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mckin\My SecuriSync\Denali\Family Office\Models\"/>
    </mc:Choice>
  </mc:AlternateContent>
  <xr:revisionPtr revIDLastSave="0" documentId="13_ncr:1_{F13FEFB0-765C-4EFA-9D9A-782A9C12F0E8}" xr6:coauthVersionLast="47" xr6:coauthVersionMax="47" xr10:uidLastSave="{00000000-0000-0000-0000-000000000000}"/>
  <bookViews>
    <workbookView xWindow="28755" yWindow="-16320" windowWidth="29040" windowHeight="15720" tabRatio="820" xr2:uid="{4D556768-6B4B-409B-A6FC-BF17B4385FD8}"/>
  </bookViews>
  <sheets>
    <sheet name="Closed Trades" sheetId="28" r:id="rId1"/>
    <sheet name="All Trades" sheetId="15" r:id="rId2"/>
  </sheets>
  <definedNames>
    <definedName name="_xlnm._FilterDatabase" localSheetId="1" hidden="1">'All Trades'!$B$1:$P$414</definedName>
    <definedName name="_xlnm._FilterDatabase" localSheetId="0" hidden="1">'Closed Trades'!$A$1:$O$414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95" i="28" l="1"/>
  <c r="R695" i="28"/>
  <c r="O698" i="15"/>
  <c r="P698" i="15" s="1"/>
  <c r="N698" i="15"/>
  <c r="M698" i="15"/>
  <c r="Q694" i="28"/>
  <c r="R694" i="28"/>
  <c r="O708" i="15"/>
  <c r="P708" i="15" s="1"/>
  <c r="N708" i="15"/>
  <c r="M708" i="15"/>
  <c r="Q693" i="28"/>
  <c r="R693" i="28"/>
  <c r="O694" i="15"/>
  <c r="P694" i="15" s="1"/>
  <c r="N694" i="15"/>
  <c r="M694" i="15"/>
  <c r="O690" i="15"/>
  <c r="P690" i="15" s="1"/>
  <c r="N690" i="15"/>
  <c r="M690" i="15"/>
  <c r="O701" i="15"/>
  <c r="P701" i="15" s="1"/>
  <c r="N701" i="15"/>
  <c r="M701" i="15"/>
  <c r="J687" i="15"/>
  <c r="O699" i="15"/>
  <c r="P699" i="15" s="1"/>
  <c r="N699" i="15"/>
  <c r="M699" i="15"/>
  <c r="L686" i="15"/>
  <c r="Q688" i="28" l="1"/>
  <c r="R688" i="28"/>
  <c r="P710" i="15"/>
  <c r="O710" i="15"/>
  <c r="N710" i="15"/>
  <c r="M710" i="15"/>
  <c r="L710" i="15"/>
  <c r="J710" i="15"/>
  <c r="L688" i="15"/>
  <c r="J709" i="15"/>
  <c r="J708" i="15"/>
  <c r="J707" i="15"/>
  <c r="Q686" i="28"/>
  <c r="R686" i="28"/>
  <c r="O700" i="15"/>
  <c r="P700" i="15" s="1"/>
  <c r="N700" i="15"/>
  <c r="M700" i="15"/>
  <c r="L705" i="15"/>
  <c r="Q685" i="28"/>
  <c r="R685" i="28"/>
  <c r="M693" i="15"/>
  <c r="N693" i="15"/>
  <c r="O693" i="15"/>
  <c r="P693" i="15"/>
  <c r="Q684" i="28"/>
  <c r="R684" i="28"/>
  <c r="O683" i="15"/>
  <c r="P683" i="15" s="1"/>
  <c r="N683" i="15"/>
  <c r="M683" i="15"/>
  <c r="J683" i="15"/>
  <c r="N687" i="28"/>
  <c r="M687" i="28"/>
  <c r="L687" i="28"/>
  <c r="Q687" i="28"/>
  <c r="R687" i="28"/>
  <c r="Q689" i="28"/>
  <c r="R689" i="28"/>
  <c r="N681" i="15"/>
  <c r="M681" i="15"/>
  <c r="P681" i="15"/>
  <c r="O681" i="15"/>
  <c r="Q683" i="28"/>
  <c r="R683" i="28"/>
  <c r="P682" i="15"/>
  <c r="N682" i="15"/>
  <c r="M682" i="15"/>
  <c r="J682" i="15"/>
  <c r="L682" i="15"/>
  <c r="O682" i="15"/>
  <c r="R682" i="28"/>
  <c r="Q682" i="28"/>
  <c r="O692" i="15"/>
  <c r="P692" i="15"/>
  <c r="N692" i="15"/>
  <c r="M692" i="15"/>
  <c r="L692" i="15"/>
  <c r="J698" i="15"/>
  <c r="R696" i="15"/>
  <c r="R697" i="15"/>
  <c r="R698" i="15"/>
  <c r="R699" i="15"/>
  <c r="R700" i="15"/>
  <c r="R701" i="15"/>
  <c r="S696" i="15"/>
  <c r="S697" i="15"/>
  <c r="S698" i="15"/>
  <c r="S699" i="15"/>
  <c r="S700" i="15"/>
  <c r="S701" i="15"/>
  <c r="R695" i="15"/>
  <c r="S695" i="15"/>
  <c r="R694" i="15"/>
  <c r="S694" i="15"/>
  <c r="L685" i="15"/>
  <c r="R690" i="15"/>
  <c r="R691" i="15"/>
  <c r="R692" i="15"/>
  <c r="R693" i="15"/>
  <c r="S690" i="15"/>
  <c r="S691" i="15"/>
  <c r="S692" i="15"/>
  <c r="S693" i="15"/>
  <c r="R689" i="15"/>
  <c r="S689" i="15"/>
  <c r="Q688" i="15"/>
  <c r="Q689" i="15" s="1"/>
  <c r="Q690" i="15" s="1"/>
  <c r="Q691" i="15" s="1"/>
  <c r="Q692" i="15" s="1"/>
  <c r="Q693" i="15" s="1"/>
  <c r="Q694" i="15" s="1"/>
  <c r="Q695" i="15" s="1"/>
  <c r="Q696" i="15" s="1"/>
  <c r="Q697" i="15" s="1"/>
  <c r="Q698" i="15" s="1"/>
  <c r="Q699" i="15" s="1"/>
  <c r="Q700" i="15" s="1"/>
  <c r="Q701" i="15" s="1"/>
  <c r="R688" i="15"/>
  <c r="S688" i="15"/>
  <c r="R677" i="28"/>
  <c r="R679" i="28"/>
  <c r="R680" i="28"/>
  <c r="R681" i="28"/>
  <c r="R678" i="28"/>
  <c r="Q677" i="28"/>
  <c r="Q679" i="28"/>
  <c r="Q680" i="28"/>
  <c r="Q681" i="28"/>
  <c r="Q678" i="28"/>
  <c r="M678" i="28"/>
  <c r="I678" i="28"/>
  <c r="L678" i="28" s="1"/>
  <c r="N680" i="15"/>
  <c r="J680" i="15"/>
  <c r="P680" i="15" s="1"/>
  <c r="N679" i="15"/>
  <c r="M679" i="15"/>
  <c r="O679" i="15"/>
  <c r="P679" i="15" s="1"/>
  <c r="R680" i="15"/>
  <c r="S680" i="15"/>
  <c r="R687" i="15"/>
  <c r="S687" i="15"/>
  <c r="R686" i="15"/>
  <c r="S686" i="15"/>
  <c r="J678" i="15"/>
  <c r="P678" i="15" s="1"/>
  <c r="O678" i="15"/>
  <c r="L678" i="15"/>
  <c r="N678" i="15" s="1"/>
  <c r="R678" i="15"/>
  <c r="S678" i="15"/>
  <c r="R685" i="15"/>
  <c r="S685" i="15"/>
  <c r="R679" i="15"/>
  <c r="S679" i="15"/>
  <c r="R684" i="15"/>
  <c r="S684" i="15"/>
  <c r="R683" i="15"/>
  <c r="S683" i="15"/>
  <c r="R676" i="28"/>
  <c r="Q676" i="28"/>
  <c r="M676" i="28"/>
  <c r="I676" i="28"/>
  <c r="O676" i="28" s="1"/>
  <c r="L677" i="28"/>
  <c r="K677" i="28"/>
  <c r="N677" i="28" s="1"/>
  <c r="R675" i="28"/>
  <c r="Q675" i="28"/>
  <c r="M675" i="28"/>
  <c r="I675" i="28"/>
  <c r="O675" i="28" s="1"/>
  <c r="R674" i="28"/>
  <c r="Q674" i="28"/>
  <c r="O674" i="28"/>
  <c r="L674" i="28"/>
  <c r="K674" i="28"/>
  <c r="M674" i="28" s="1"/>
  <c r="R673" i="28"/>
  <c r="Q673" i="28"/>
  <c r="M673" i="28"/>
  <c r="I673" i="28"/>
  <c r="O673" i="28" s="1"/>
  <c r="R672" i="28"/>
  <c r="Q672" i="28"/>
  <c r="N672" i="28"/>
  <c r="O672" i="28" s="1"/>
  <c r="M672" i="28"/>
  <c r="L672" i="28"/>
  <c r="R671" i="28"/>
  <c r="Q671" i="28"/>
  <c r="N671" i="28"/>
  <c r="M671" i="28"/>
  <c r="L671" i="28"/>
  <c r="R670" i="28"/>
  <c r="Q670" i="28"/>
  <c r="N670" i="28"/>
  <c r="I670" i="28"/>
  <c r="L670" i="28" s="1"/>
  <c r="R669" i="28"/>
  <c r="Q669" i="28"/>
  <c r="O669" i="28"/>
  <c r="L669" i="28"/>
  <c r="K669" i="28"/>
  <c r="M669" i="28" s="1"/>
  <c r="R668" i="28"/>
  <c r="Q668" i="28"/>
  <c r="O668" i="28"/>
  <c r="L668" i="28"/>
  <c r="K668" i="28"/>
  <c r="M668" i="28" s="1"/>
  <c r="R667" i="28"/>
  <c r="Q667" i="28"/>
  <c r="I667" i="28"/>
  <c r="O667" i="28" s="1"/>
  <c r="R666" i="28"/>
  <c r="Q666" i="28"/>
  <c r="O666" i="28"/>
  <c r="L666" i="28"/>
  <c r="K666" i="28"/>
  <c r="M666" i="28" s="1"/>
  <c r="R665" i="28"/>
  <c r="Q665" i="28"/>
  <c r="L665" i="28"/>
  <c r="K665" i="28"/>
  <c r="M665" i="28" s="1"/>
  <c r="R664" i="28"/>
  <c r="Q664" i="28"/>
  <c r="O664" i="28"/>
  <c r="L664" i="28"/>
  <c r="K664" i="28"/>
  <c r="M664" i="28" s="1"/>
  <c r="R663" i="28"/>
  <c r="Q663" i="28"/>
  <c r="O663" i="28"/>
  <c r="L663" i="28"/>
  <c r="K663" i="28"/>
  <c r="M663" i="28" s="1"/>
  <c r="R662" i="28"/>
  <c r="Q662" i="28"/>
  <c r="I662" i="28"/>
  <c r="L662" i="28" s="1"/>
  <c r="R661" i="28"/>
  <c r="Q661" i="28"/>
  <c r="O661" i="28"/>
  <c r="L661" i="28"/>
  <c r="K661" i="28"/>
  <c r="M661" i="28" s="1"/>
  <c r="R660" i="28"/>
  <c r="Q660" i="28"/>
  <c r="O660" i="28"/>
  <c r="L660" i="28"/>
  <c r="K660" i="28"/>
  <c r="M660" i="28" s="1"/>
  <c r="R659" i="28"/>
  <c r="Q659" i="28"/>
  <c r="O659" i="28"/>
  <c r="L659" i="28"/>
  <c r="K659" i="28"/>
  <c r="M659" i="28" s="1"/>
  <c r="R658" i="28"/>
  <c r="Q658" i="28"/>
  <c r="O658" i="28"/>
  <c r="L658" i="28"/>
  <c r="K658" i="28"/>
  <c r="M658" i="28" s="1"/>
  <c r="R657" i="28"/>
  <c r="Q657" i="28"/>
  <c r="N657" i="28"/>
  <c r="K657" i="28" s="1"/>
  <c r="M657" i="28" s="1"/>
  <c r="L657" i="28"/>
  <c r="R656" i="28"/>
  <c r="Q656" i="28"/>
  <c r="O656" i="28"/>
  <c r="L656" i="28"/>
  <c r="K656" i="28"/>
  <c r="M656" i="28" s="1"/>
  <c r="R655" i="28"/>
  <c r="Q655" i="28"/>
  <c r="O655" i="28"/>
  <c r="L655" i="28"/>
  <c r="K655" i="28"/>
  <c r="M655" i="28" s="1"/>
  <c r="R654" i="28"/>
  <c r="Q654" i="28"/>
  <c r="O654" i="28"/>
  <c r="L654" i="28"/>
  <c r="K654" i="28"/>
  <c r="M654" i="28" s="1"/>
  <c r="R653" i="28"/>
  <c r="Q653" i="28"/>
  <c r="O653" i="28"/>
  <c r="L653" i="28"/>
  <c r="K653" i="28"/>
  <c r="M653" i="28" s="1"/>
  <c r="R652" i="28"/>
  <c r="Q652" i="28"/>
  <c r="O652" i="28"/>
  <c r="L652" i="28"/>
  <c r="K652" i="28"/>
  <c r="M652" i="28" s="1"/>
  <c r="R651" i="28"/>
  <c r="Q651" i="28"/>
  <c r="O651" i="28"/>
  <c r="L651" i="28"/>
  <c r="K651" i="28"/>
  <c r="M651" i="28" s="1"/>
  <c r="R650" i="28"/>
  <c r="Q650" i="28"/>
  <c r="N650" i="28"/>
  <c r="I650" i="28"/>
  <c r="K650" i="28" s="1"/>
  <c r="M650" i="28" s="1"/>
  <c r="R649" i="28"/>
  <c r="Q649" i="28"/>
  <c r="O649" i="28"/>
  <c r="L649" i="28"/>
  <c r="K649" i="28"/>
  <c r="M649" i="28" s="1"/>
  <c r="R648" i="28"/>
  <c r="Q648" i="28"/>
  <c r="O648" i="28"/>
  <c r="L648" i="28"/>
  <c r="K648" i="28"/>
  <c r="M648" i="28" s="1"/>
  <c r="R647" i="28"/>
  <c r="Q647" i="28"/>
  <c r="O647" i="28"/>
  <c r="L647" i="28"/>
  <c r="K647" i="28"/>
  <c r="M647" i="28" s="1"/>
  <c r="R646" i="28"/>
  <c r="Q646" i="28"/>
  <c r="O646" i="28"/>
  <c r="L646" i="28"/>
  <c r="K646" i="28"/>
  <c r="M646" i="28" s="1"/>
  <c r="R645" i="28"/>
  <c r="Q645" i="28"/>
  <c r="O645" i="28"/>
  <c r="L645" i="28"/>
  <c r="K645" i="28"/>
  <c r="M645" i="28" s="1"/>
  <c r="R644" i="28"/>
  <c r="Q644" i="28"/>
  <c r="O644" i="28"/>
  <c r="L644" i="28"/>
  <c r="K644" i="28"/>
  <c r="M644" i="28" s="1"/>
  <c r="R643" i="28"/>
  <c r="Q643" i="28"/>
  <c r="O643" i="28"/>
  <c r="L643" i="28"/>
  <c r="K643" i="28"/>
  <c r="M643" i="28" s="1"/>
  <c r="R642" i="28"/>
  <c r="Q642" i="28"/>
  <c r="O642" i="28"/>
  <c r="L642" i="28"/>
  <c r="K642" i="28"/>
  <c r="M642" i="28" s="1"/>
  <c r="R641" i="28"/>
  <c r="Q641" i="28"/>
  <c r="O641" i="28"/>
  <c r="L641" i="28"/>
  <c r="K641" i="28"/>
  <c r="M641" i="28" s="1"/>
  <c r="R640" i="28"/>
  <c r="Q640" i="28"/>
  <c r="O640" i="28"/>
  <c r="L640" i="28"/>
  <c r="K640" i="28"/>
  <c r="M640" i="28" s="1"/>
  <c r="R639" i="28"/>
  <c r="Q639" i="28"/>
  <c r="O639" i="28"/>
  <c r="L639" i="28"/>
  <c r="K639" i="28"/>
  <c r="M639" i="28" s="1"/>
  <c r="R638" i="28"/>
  <c r="Q638" i="28"/>
  <c r="N638" i="28"/>
  <c r="I638" i="28"/>
  <c r="L638" i="28" s="1"/>
  <c r="R637" i="28"/>
  <c r="Q637" i="28"/>
  <c r="O637" i="28"/>
  <c r="L637" i="28"/>
  <c r="K637" i="28"/>
  <c r="M637" i="28" s="1"/>
  <c r="R636" i="28"/>
  <c r="Q636" i="28"/>
  <c r="M636" i="28"/>
  <c r="L636" i="28"/>
  <c r="R635" i="28"/>
  <c r="Q635" i="28"/>
  <c r="N635" i="28"/>
  <c r="O635" i="28" s="1"/>
  <c r="L635" i="28"/>
  <c r="R634" i="28"/>
  <c r="Q634" i="28"/>
  <c r="N634" i="28"/>
  <c r="K634" i="28" s="1"/>
  <c r="M634" i="28" s="1"/>
  <c r="L634" i="28"/>
  <c r="R633" i="28"/>
  <c r="Q633" i="28"/>
  <c r="M633" i="28"/>
  <c r="L633" i="28"/>
  <c r="R632" i="28"/>
  <c r="Q632" i="28"/>
  <c r="M632" i="28"/>
  <c r="L632" i="28"/>
  <c r="R631" i="28"/>
  <c r="Q631" i="28"/>
  <c r="R630" i="28"/>
  <c r="Q630" i="28"/>
  <c r="O630" i="28"/>
  <c r="L630" i="28"/>
  <c r="K630" i="28"/>
  <c r="M630" i="28" s="1"/>
  <c r="R629" i="28"/>
  <c r="Q629" i="28"/>
  <c r="N629" i="28"/>
  <c r="I629" i="28"/>
  <c r="K629" i="28" s="1"/>
  <c r="M629" i="28" s="1"/>
  <c r="R628" i="28"/>
  <c r="Q628" i="28"/>
  <c r="M628" i="28"/>
  <c r="L628" i="28"/>
  <c r="R627" i="28"/>
  <c r="Q627" i="28"/>
  <c r="M627" i="28"/>
  <c r="L627" i="28"/>
  <c r="R626" i="28"/>
  <c r="Q626" i="28"/>
  <c r="M626" i="28"/>
  <c r="L626" i="28"/>
  <c r="R625" i="28"/>
  <c r="Q625" i="28"/>
  <c r="N625" i="28"/>
  <c r="I625" i="28"/>
  <c r="R624" i="28"/>
  <c r="Q624" i="28"/>
  <c r="R623" i="28"/>
  <c r="Q623" i="28"/>
  <c r="O623" i="28"/>
  <c r="L623" i="28"/>
  <c r="K623" i="28"/>
  <c r="M623" i="28" s="1"/>
  <c r="R622" i="28"/>
  <c r="Q622" i="28"/>
  <c r="O622" i="28"/>
  <c r="L622" i="28"/>
  <c r="K622" i="28"/>
  <c r="M622" i="28" s="1"/>
  <c r="R621" i="28"/>
  <c r="Q621" i="28"/>
  <c r="O621" i="28"/>
  <c r="L621" i="28"/>
  <c r="K621" i="28"/>
  <c r="M621" i="28" s="1"/>
  <c r="R620" i="28"/>
  <c r="Q620" i="28"/>
  <c r="M620" i="28"/>
  <c r="L620" i="28"/>
  <c r="R619" i="28"/>
  <c r="Q619" i="28"/>
  <c r="N619" i="28"/>
  <c r="O619" i="28" s="1"/>
  <c r="M619" i="28"/>
  <c r="L619" i="28"/>
  <c r="R618" i="28"/>
  <c r="Q618" i="28"/>
  <c r="N618" i="28"/>
  <c r="M618" i="28"/>
  <c r="L618" i="28"/>
  <c r="R617" i="28"/>
  <c r="Q617" i="28"/>
  <c r="O617" i="28"/>
  <c r="L617" i="28"/>
  <c r="K617" i="28"/>
  <c r="M617" i="28" s="1"/>
  <c r="R616" i="28"/>
  <c r="Q616" i="28"/>
  <c r="M616" i="28"/>
  <c r="L616" i="28"/>
  <c r="R615" i="28"/>
  <c r="Q615" i="28"/>
  <c r="M615" i="28"/>
  <c r="L615" i="28"/>
  <c r="R614" i="28"/>
  <c r="Q614" i="28"/>
  <c r="M614" i="28"/>
  <c r="L614" i="28"/>
  <c r="R613" i="28"/>
  <c r="Q613" i="28"/>
  <c r="N613" i="28"/>
  <c r="I613" i="28"/>
  <c r="L613" i="28" s="1"/>
  <c r="R612" i="28"/>
  <c r="Q612" i="28"/>
  <c r="O612" i="28"/>
  <c r="L612" i="28"/>
  <c r="K612" i="28"/>
  <c r="M612" i="28" s="1"/>
  <c r="R611" i="28"/>
  <c r="Q611" i="28"/>
  <c r="O611" i="28"/>
  <c r="L611" i="28"/>
  <c r="K611" i="28"/>
  <c r="M611" i="28" s="1"/>
  <c r="R610" i="28"/>
  <c r="Q610" i="28"/>
  <c r="M610" i="28"/>
  <c r="L610" i="28"/>
  <c r="R609" i="28"/>
  <c r="Q609" i="28"/>
  <c r="O609" i="28"/>
  <c r="L609" i="28"/>
  <c r="K609" i="28"/>
  <c r="M609" i="28" s="1"/>
  <c r="R608" i="28"/>
  <c r="Q608" i="28"/>
  <c r="R607" i="28"/>
  <c r="Q607" i="28"/>
  <c r="N607" i="28"/>
  <c r="I607" i="28"/>
  <c r="R606" i="28"/>
  <c r="Q606" i="28"/>
  <c r="R605" i="28"/>
  <c r="Q605" i="28"/>
  <c r="R604" i="28"/>
  <c r="Q604" i="28"/>
  <c r="R603" i="28"/>
  <c r="Q603" i="28"/>
  <c r="R602" i="28"/>
  <c r="Q602" i="28"/>
  <c r="O602" i="28"/>
  <c r="L602" i="28"/>
  <c r="K602" i="28"/>
  <c r="M602" i="28" s="1"/>
  <c r="R601" i="28"/>
  <c r="Q601" i="28"/>
  <c r="L601" i="28"/>
  <c r="K601" i="28"/>
  <c r="N601" i="28" s="1"/>
  <c r="R600" i="28"/>
  <c r="Q600" i="28"/>
  <c r="R599" i="28"/>
  <c r="Q599" i="28"/>
  <c r="N599" i="28"/>
  <c r="O599" i="28" s="1"/>
  <c r="M599" i="28"/>
  <c r="L599" i="28"/>
  <c r="R598" i="28"/>
  <c r="Q598" i="28"/>
  <c r="R597" i="28"/>
  <c r="Q597" i="28"/>
  <c r="R596" i="28"/>
  <c r="Q596" i="28"/>
  <c r="R595" i="28"/>
  <c r="Q595" i="28"/>
  <c r="R594" i="28"/>
  <c r="Q594" i="28"/>
  <c r="R593" i="28"/>
  <c r="Q593" i="28"/>
  <c r="N593" i="28"/>
  <c r="O593" i="28" s="1"/>
  <c r="M593" i="28"/>
  <c r="L593" i="28"/>
  <c r="R592" i="28"/>
  <c r="Q592" i="28"/>
  <c r="R591" i="28"/>
  <c r="Q591" i="28"/>
  <c r="R590" i="28"/>
  <c r="Q590" i="28"/>
  <c r="R589" i="28"/>
  <c r="Q589" i="28"/>
  <c r="R588" i="28"/>
  <c r="Q588" i="28"/>
  <c r="R587" i="28"/>
  <c r="Q587" i="28"/>
  <c r="R586" i="28"/>
  <c r="Q586" i="28"/>
  <c r="R585" i="28"/>
  <c r="Q585" i="28"/>
  <c r="R584" i="28"/>
  <c r="Q584" i="28"/>
  <c r="N584" i="28"/>
  <c r="O584" i="28" s="1"/>
  <c r="M584" i="28"/>
  <c r="L584" i="28"/>
  <c r="R583" i="28"/>
  <c r="Q583" i="28"/>
  <c r="R582" i="28"/>
  <c r="Q582" i="28"/>
  <c r="N582" i="28"/>
  <c r="M582" i="28"/>
  <c r="L582" i="28"/>
  <c r="R581" i="28"/>
  <c r="Q581" i="28"/>
  <c r="R580" i="28"/>
  <c r="Q580" i="28"/>
  <c r="R579" i="28"/>
  <c r="Q579" i="28"/>
  <c r="R578" i="28"/>
  <c r="Q578" i="28"/>
  <c r="R577" i="28"/>
  <c r="Q577" i="28"/>
  <c r="R576" i="28"/>
  <c r="Q576" i="28"/>
  <c r="R575" i="28"/>
  <c r="Q575" i="28"/>
  <c r="R574" i="28"/>
  <c r="Q574" i="28"/>
  <c r="R573" i="28"/>
  <c r="Q573" i="28"/>
  <c r="R572" i="28"/>
  <c r="Q572" i="28"/>
  <c r="R571" i="28"/>
  <c r="Q571" i="28"/>
  <c r="R570" i="28"/>
  <c r="Q570" i="28"/>
  <c r="L570" i="28"/>
  <c r="K570" i="28"/>
  <c r="N570" i="28" s="1"/>
  <c r="R569" i="28"/>
  <c r="Q569" i="28"/>
  <c r="R568" i="28"/>
  <c r="Q568" i="28"/>
  <c r="R567" i="28"/>
  <c r="Q567" i="28"/>
  <c r="R566" i="28"/>
  <c r="Q566" i="28"/>
  <c r="R565" i="28"/>
  <c r="Q565" i="28"/>
  <c r="N565" i="28"/>
  <c r="L565" i="28"/>
  <c r="K565" i="28"/>
  <c r="M565" i="28" s="1"/>
  <c r="R564" i="28"/>
  <c r="Q564" i="28"/>
  <c r="R563" i="28"/>
  <c r="Q563" i="28"/>
  <c r="R562" i="28"/>
  <c r="Q562" i="28"/>
  <c r="R561" i="28"/>
  <c r="Q561" i="28"/>
  <c r="R560" i="28"/>
  <c r="Q560" i="28"/>
  <c r="R559" i="28"/>
  <c r="Q559" i="28"/>
  <c r="R558" i="28"/>
  <c r="Q558" i="28"/>
  <c r="R557" i="28"/>
  <c r="Q557" i="28"/>
  <c r="R556" i="28"/>
  <c r="Q556" i="28"/>
  <c r="R555" i="28"/>
  <c r="Q555" i="28"/>
  <c r="R554" i="28"/>
  <c r="Q554" i="28"/>
  <c r="R553" i="28"/>
  <c r="Q553" i="28"/>
  <c r="R552" i="28"/>
  <c r="Q552" i="28"/>
  <c r="R551" i="28"/>
  <c r="Q551" i="28"/>
  <c r="R550" i="28"/>
  <c r="Q550" i="28"/>
  <c r="R549" i="28"/>
  <c r="Q549" i="28"/>
  <c r="R548" i="28"/>
  <c r="Q548" i="28"/>
  <c r="R547" i="28"/>
  <c r="Q547" i="28"/>
  <c r="R546" i="28"/>
  <c r="Q546" i="28"/>
  <c r="R545" i="28"/>
  <c r="Q545" i="28"/>
  <c r="R544" i="28"/>
  <c r="Q544" i="28"/>
  <c r="R543" i="28"/>
  <c r="Q543" i="28"/>
  <c r="R542" i="28"/>
  <c r="Q542" i="28"/>
  <c r="M542" i="28"/>
  <c r="I542" i="28"/>
  <c r="L542" i="28" s="1"/>
  <c r="R541" i="28"/>
  <c r="Q541" i="28"/>
  <c r="R540" i="28"/>
  <c r="Q540" i="28"/>
  <c r="R539" i="28"/>
  <c r="Q539" i="28"/>
  <c r="R538" i="28"/>
  <c r="Q538" i="28"/>
  <c r="R537" i="28"/>
  <c r="Q537" i="28"/>
  <c r="R536" i="28"/>
  <c r="Q536" i="28"/>
  <c r="R535" i="28"/>
  <c r="Q535" i="28"/>
  <c r="R534" i="28"/>
  <c r="Q534" i="28"/>
  <c r="R533" i="28"/>
  <c r="Q533" i="28"/>
  <c r="R532" i="28"/>
  <c r="Q532" i="28"/>
  <c r="R531" i="28"/>
  <c r="Q531" i="28"/>
  <c r="M531" i="28"/>
  <c r="I531" i="28"/>
  <c r="N531" i="28" s="1"/>
  <c r="R530" i="28"/>
  <c r="Q530" i="28"/>
  <c r="R529" i="28"/>
  <c r="Q529" i="28"/>
  <c r="N529" i="28"/>
  <c r="O529" i="28" s="1"/>
  <c r="M529" i="28"/>
  <c r="L529" i="28"/>
  <c r="R528" i="28"/>
  <c r="Q528" i="28"/>
  <c r="R527" i="28"/>
  <c r="Q527" i="28"/>
  <c r="R526" i="28"/>
  <c r="Q526" i="28"/>
  <c r="R525" i="28"/>
  <c r="Q525" i="28"/>
  <c r="R524" i="28"/>
  <c r="Q524" i="28"/>
  <c r="R523" i="28"/>
  <c r="Q523" i="28"/>
  <c r="R522" i="28"/>
  <c r="Q522" i="28"/>
  <c r="R521" i="28"/>
  <c r="Q521" i="28"/>
  <c r="R520" i="28"/>
  <c r="Q520" i="28"/>
  <c r="R519" i="28"/>
  <c r="Q519" i="28"/>
  <c r="M519" i="28"/>
  <c r="I519" i="28"/>
  <c r="N519" i="28" s="1"/>
  <c r="R518" i="28"/>
  <c r="Q518" i="28"/>
  <c r="R517" i="28"/>
  <c r="Q517" i="28"/>
  <c r="R516" i="28"/>
  <c r="Q516" i="28"/>
  <c r="R515" i="28"/>
  <c r="Q515" i="28"/>
  <c r="R514" i="28"/>
  <c r="Q514" i="28"/>
  <c r="R513" i="28"/>
  <c r="Q513" i="28"/>
  <c r="R512" i="28"/>
  <c r="Q512" i="28"/>
  <c r="R511" i="28"/>
  <c r="Q511" i="28"/>
  <c r="N511" i="28"/>
  <c r="O511" i="28" s="1"/>
  <c r="M511" i="28"/>
  <c r="L511" i="28"/>
  <c r="R510" i="28"/>
  <c r="Q510" i="28"/>
  <c r="N510" i="28"/>
  <c r="M510" i="28"/>
  <c r="L510" i="28"/>
  <c r="R509" i="28"/>
  <c r="Q509" i="28"/>
  <c r="R508" i="28"/>
  <c r="Q508" i="28"/>
  <c r="R507" i="28"/>
  <c r="Q507" i="28"/>
  <c r="R506" i="28"/>
  <c r="Q506" i="28"/>
  <c r="R505" i="28"/>
  <c r="Q505" i="28"/>
  <c r="R504" i="28"/>
  <c r="Q504" i="28"/>
  <c r="R503" i="28"/>
  <c r="Q503" i="28"/>
  <c r="R502" i="28"/>
  <c r="Q502" i="28"/>
  <c r="R501" i="28"/>
  <c r="Q501" i="28"/>
  <c r="R500" i="28"/>
  <c r="Q500" i="28"/>
  <c r="R499" i="28"/>
  <c r="Q499" i="28"/>
  <c r="R498" i="28"/>
  <c r="Q498" i="28"/>
  <c r="R497" i="28"/>
  <c r="Q497" i="28"/>
  <c r="R496" i="28"/>
  <c r="Q496" i="28"/>
  <c r="R495" i="28"/>
  <c r="Q495" i="28"/>
  <c r="R494" i="28"/>
  <c r="Q494" i="28"/>
  <c r="R493" i="28"/>
  <c r="Q493" i="28"/>
  <c r="R492" i="28"/>
  <c r="Q492" i="28"/>
  <c r="R491" i="28"/>
  <c r="Q491" i="28"/>
  <c r="R490" i="28"/>
  <c r="Q490" i="28"/>
  <c r="R489" i="28"/>
  <c r="Q489" i="28"/>
  <c r="R488" i="28"/>
  <c r="Q488" i="28"/>
  <c r="N488" i="28"/>
  <c r="O488" i="28" s="1"/>
  <c r="M488" i="28"/>
  <c r="L488" i="28"/>
  <c r="R487" i="28"/>
  <c r="Q487" i="28"/>
  <c r="R486" i="28"/>
  <c r="Q486" i="28"/>
  <c r="R485" i="28"/>
  <c r="Q485" i="28"/>
  <c r="R484" i="28"/>
  <c r="Q484" i="28"/>
  <c r="R483" i="28"/>
  <c r="Q483" i="28"/>
  <c r="R482" i="28"/>
  <c r="Q482" i="28"/>
  <c r="R481" i="28"/>
  <c r="Q481" i="28"/>
  <c r="R480" i="28"/>
  <c r="Q480" i="28"/>
  <c r="R479" i="28"/>
  <c r="Q479" i="28"/>
  <c r="R478" i="28"/>
  <c r="Q478" i="28"/>
  <c r="R477" i="28"/>
  <c r="Q477" i="28"/>
  <c r="R476" i="28"/>
  <c r="Q476" i="28"/>
  <c r="R475" i="28"/>
  <c r="Q475" i="28"/>
  <c r="R474" i="28"/>
  <c r="Q474" i="28"/>
  <c r="R473" i="28"/>
  <c r="Q473" i="28"/>
  <c r="L473" i="28"/>
  <c r="K473" i="28"/>
  <c r="N473" i="28" s="1"/>
  <c r="R472" i="28"/>
  <c r="Q472" i="28"/>
  <c r="R471" i="28"/>
  <c r="Q471" i="28"/>
  <c r="R470" i="28"/>
  <c r="Q470" i="28"/>
  <c r="R469" i="28"/>
  <c r="Q469" i="28"/>
  <c r="R468" i="28"/>
  <c r="Q468" i="28"/>
  <c r="R467" i="28"/>
  <c r="Q467" i="28"/>
  <c r="R466" i="28"/>
  <c r="Q466" i="28"/>
  <c r="R465" i="28"/>
  <c r="Q465" i="28"/>
  <c r="R464" i="28"/>
  <c r="Q464" i="28"/>
  <c r="R463" i="28"/>
  <c r="Q463" i="28"/>
  <c r="R462" i="28"/>
  <c r="Q462" i="28"/>
  <c r="R461" i="28"/>
  <c r="Q461" i="28"/>
  <c r="R460" i="28"/>
  <c r="Q460" i="28"/>
  <c r="R459" i="28"/>
  <c r="Q459" i="28"/>
  <c r="R458" i="28"/>
  <c r="Q458" i="28"/>
  <c r="R457" i="28"/>
  <c r="Q457" i="28"/>
  <c r="R456" i="28"/>
  <c r="Q456" i="28"/>
  <c r="N456" i="28"/>
  <c r="O456" i="28" s="1"/>
  <c r="M456" i="28"/>
  <c r="L456" i="28"/>
  <c r="R455" i="28"/>
  <c r="Q455" i="28"/>
  <c r="R454" i="28"/>
  <c r="Q454" i="28"/>
  <c r="R453" i="28"/>
  <c r="Q453" i="28"/>
  <c r="R452" i="28"/>
  <c r="Q452" i="28"/>
  <c r="R451" i="28"/>
  <c r="Q451" i="28"/>
  <c r="R450" i="28"/>
  <c r="Q450" i="28"/>
  <c r="N450" i="28"/>
  <c r="O450" i="28" s="1"/>
  <c r="M450" i="28"/>
  <c r="L450" i="28"/>
  <c r="R449" i="28"/>
  <c r="Q449" i="28"/>
  <c r="N449" i="28"/>
  <c r="M449" i="28"/>
  <c r="L449" i="28"/>
  <c r="R448" i="28"/>
  <c r="Q448" i="28"/>
  <c r="N448" i="28"/>
  <c r="O448" i="28" s="1"/>
  <c r="M448" i="28"/>
  <c r="L448" i="28"/>
  <c r="R447" i="28"/>
  <c r="Q447" i="28"/>
  <c r="R446" i="28"/>
  <c r="Q446" i="28"/>
  <c r="R445" i="28"/>
  <c r="Q445" i="28"/>
  <c r="R444" i="28"/>
  <c r="Q444" i="28"/>
  <c r="R443" i="28"/>
  <c r="Q443" i="28"/>
  <c r="R442" i="28"/>
  <c r="Q442" i="28"/>
  <c r="R441" i="28"/>
  <c r="Q441" i="28"/>
  <c r="R440" i="28"/>
  <c r="Q440" i="28"/>
  <c r="R439" i="28"/>
  <c r="Q439" i="28"/>
  <c r="R438" i="28"/>
  <c r="Q438" i="28"/>
  <c r="R437" i="28"/>
  <c r="Q437" i="28"/>
  <c r="R436" i="28"/>
  <c r="Q436" i="28"/>
  <c r="R435" i="28"/>
  <c r="Q435" i="28"/>
  <c r="R434" i="28"/>
  <c r="Q434" i="28"/>
  <c r="R433" i="28"/>
  <c r="Q433" i="28"/>
  <c r="R432" i="28"/>
  <c r="Q432" i="28"/>
  <c r="R431" i="28"/>
  <c r="Q431" i="28"/>
  <c r="R430" i="28"/>
  <c r="Q430" i="28"/>
  <c r="R429" i="28"/>
  <c r="Q429" i="28"/>
  <c r="R428" i="28"/>
  <c r="Q428" i="28"/>
  <c r="R427" i="28"/>
  <c r="Q427" i="28"/>
  <c r="R426" i="28"/>
  <c r="Q426" i="28"/>
  <c r="R425" i="28"/>
  <c r="Q425" i="28"/>
  <c r="R424" i="28"/>
  <c r="Q424" i="28"/>
  <c r="R423" i="28"/>
  <c r="Q423" i="28"/>
  <c r="R422" i="28"/>
  <c r="Q422" i="28"/>
  <c r="R421" i="28"/>
  <c r="Q421" i="28"/>
  <c r="R420" i="28"/>
  <c r="Q420" i="28"/>
  <c r="R419" i="28"/>
  <c r="Q419" i="28"/>
  <c r="R418" i="28"/>
  <c r="Q418" i="28"/>
  <c r="R417" i="28"/>
  <c r="Q417" i="28"/>
  <c r="R416" i="28"/>
  <c r="Q416" i="28"/>
  <c r="R415" i="28"/>
  <c r="Q415" i="28"/>
  <c r="R414" i="28"/>
  <c r="Q414" i="28"/>
  <c r="R413" i="28"/>
  <c r="Q413" i="28"/>
  <c r="R412" i="28"/>
  <c r="Q412" i="28"/>
  <c r="R411" i="28"/>
  <c r="Q411" i="28"/>
  <c r="R410" i="28"/>
  <c r="Q410" i="28"/>
  <c r="R409" i="28"/>
  <c r="Q409" i="28"/>
  <c r="R408" i="28"/>
  <c r="Q408" i="28"/>
  <c r="R407" i="28"/>
  <c r="Q407" i="28"/>
  <c r="R406" i="28"/>
  <c r="Q406" i="28"/>
  <c r="R405" i="28"/>
  <c r="Q405" i="28"/>
  <c r="R404" i="28"/>
  <c r="Q404" i="28"/>
  <c r="R403" i="28"/>
  <c r="Q403" i="28"/>
  <c r="R402" i="28"/>
  <c r="Q402" i="28"/>
  <c r="R401" i="28"/>
  <c r="Q401" i="28"/>
  <c r="R400" i="28"/>
  <c r="Q400" i="28"/>
  <c r="R399" i="28"/>
  <c r="Q399" i="28"/>
  <c r="R398" i="28"/>
  <c r="Q398" i="28"/>
  <c r="R397" i="28"/>
  <c r="Q397" i="28"/>
  <c r="R396" i="28"/>
  <c r="Q396" i="28"/>
  <c r="R395" i="28"/>
  <c r="Q395" i="28"/>
  <c r="R394" i="28"/>
  <c r="Q394" i="28"/>
  <c r="R393" i="28"/>
  <c r="Q393" i="28"/>
  <c r="R392" i="28"/>
  <c r="Q392" i="28"/>
  <c r="R391" i="28"/>
  <c r="Q391" i="28"/>
  <c r="R390" i="28"/>
  <c r="Q390" i="28"/>
  <c r="R389" i="28"/>
  <c r="Q389" i="28"/>
  <c r="R388" i="28"/>
  <c r="Q388" i="28"/>
  <c r="R387" i="28"/>
  <c r="Q387" i="28"/>
  <c r="R386" i="28"/>
  <c r="Q386" i="28"/>
  <c r="R385" i="28"/>
  <c r="Q385" i="28"/>
  <c r="R384" i="28"/>
  <c r="Q384" i="28"/>
  <c r="R383" i="28"/>
  <c r="Q383" i="28"/>
  <c r="R382" i="28"/>
  <c r="Q382" i="28"/>
  <c r="R381" i="28"/>
  <c r="Q381" i="28"/>
  <c r="M381" i="28"/>
  <c r="L381" i="28"/>
  <c r="I381" i="28"/>
  <c r="N381" i="28" s="1"/>
  <c r="R380" i="28"/>
  <c r="Q380" i="28"/>
  <c r="R379" i="28"/>
  <c r="Q379" i="28"/>
  <c r="R378" i="28"/>
  <c r="Q378" i="28"/>
  <c r="R377" i="28"/>
  <c r="Q377" i="28"/>
  <c r="R376" i="28"/>
  <c r="Q376" i="28"/>
  <c r="R375" i="28"/>
  <c r="Q375" i="28"/>
  <c r="R374" i="28"/>
  <c r="Q374" i="28"/>
  <c r="R373" i="28"/>
  <c r="Q373" i="28"/>
  <c r="R372" i="28"/>
  <c r="Q372" i="28"/>
  <c r="R371" i="28"/>
  <c r="Q371" i="28"/>
  <c r="R370" i="28"/>
  <c r="Q370" i="28"/>
  <c r="R369" i="28"/>
  <c r="Q369" i="28"/>
  <c r="R368" i="28"/>
  <c r="Q368" i="28"/>
  <c r="R367" i="28"/>
  <c r="Q367" i="28"/>
  <c r="R366" i="28"/>
  <c r="Q366" i="28"/>
  <c r="R365" i="28"/>
  <c r="Q365" i="28"/>
  <c r="R364" i="28"/>
  <c r="Q364" i="28"/>
  <c r="R363" i="28"/>
  <c r="Q363" i="28"/>
  <c r="R362" i="28"/>
  <c r="Q362" i="28"/>
  <c r="R361" i="28"/>
  <c r="Q361" i="28"/>
  <c r="R360" i="28"/>
  <c r="Q360" i="28"/>
  <c r="R359" i="28"/>
  <c r="Q359" i="28"/>
  <c r="R358" i="28"/>
  <c r="Q358" i="28"/>
  <c r="R357" i="28"/>
  <c r="Q357" i="28"/>
  <c r="R356" i="28"/>
  <c r="Q356" i="28"/>
  <c r="R355" i="28"/>
  <c r="Q355" i="28"/>
  <c r="R354" i="28"/>
  <c r="Q354" i="28"/>
  <c r="R353" i="28"/>
  <c r="Q353" i="28"/>
  <c r="R352" i="28"/>
  <c r="Q352" i="28"/>
  <c r="R351" i="28"/>
  <c r="Q351" i="28"/>
  <c r="R350" i="28"/>
  <c r="Q350" i="28"/>
  <c r="R349" i="28"/>
  <c r="Q349" i="28"/>
  <c r="R348" i="28"/>
  <c r="Q348" i="28"/>
  <c r="R347" i="28"/>
  <c r="Q347" i="28"/>
  <c r="R346" i="28"/>
  <c r="Q346" i="28"/>
  <c r="R345" i="28"/>
  <c r="Q345" i="28"/>
  <c r="R344" i="28"/>
  <c r="Q344" i="28"/>
  <c r="R343" i="28"/>
  <c r="Q343" i="28"/>
  <c r="R342" i="28"/>
  <c r="Q342" i="28"/>
  <c r="R341" i="28"/>
  <c r="Q341" i="28"/>
  <c r="R340" i="28"/>
  <c r="Q340" i="28"/>
  <c r="R339" i="28"/>
  <c r="Q339" i="28"/>
  <c r="R338" i="28"/>
  <c r="Q338" i="28"/>
  <c r="R337" i="28"/>
  <c r="Q337" i="28"/>
  <c r="R336" i="28"/>
  <c r="Q336" i="28"/>
  <c r="R335" i="28"/>
  <c r="Q335" i="28"/>
  <c r="R334" i="28"/>
  <c r="Q334" i="28"/>
  <c r="R333" i="28"/>
  <c r="Q333" i="28"/>
  <c r="R332" i="28"/>
  <c r="Q332" i="28"/>
  <c r="R331" i="28"/>
  <c r="Q331" i="28"/>
  <c r="R330" i="28"/>
  <c r="Q330" i="28"/>
  <c r="R329" i="28"/>
  <c r="Q329" i="28"/>
  <c r="R328" i="28"/>
  <c r="Q328" i="28"/>
  <c r="R327" i="28"/>
  <c r="Q327" i="28"/>
  <c r="R326" i="28"/>
  <c r="Q326" i="28"/>
  <c r="R325" i="28"/>
  <c r="Q325" i="28"/>
  <c r="R324" i="28"/>
  <c r="Q324" i="28"/>
  <c r="R323" i="28"/>
  <c r="Q323" i="28"/>
  <c r="R322" i="28"/>
  <c r="Q322" i="28"/>
  <c r="R321" i="28"/>
  <c r="Q321" i="28"/>
  <c r="R320" i="28"/>
  <c r="Q320" i="28"/>
  <c r="R319" i="28"/>
  <c r="Q319" i="28"/>
  <c r="R318" i="28"/>
  <c r="Q318" i="28"/>
  <c r="R317" i="28"/>
  <c r="Q317" i="28"/>
  <c r="R316" i="28"/>
  <c r="Q316" i="28"/>
  <c r="R315" i="28"/>
  <c r="Q315" i="28"/>
  <c r="R314" i="28"/>
  <c r="Q314" i="28"/>
  <c r="R313" i="28"/>
  <c r="Q313" i="28"/>
  <c r="R312" i="28"/>
  <c r="Q312" i="28"/>
  <c r="R311" i="28"/>
  <c r="Q311" i="28"/>
  <c r="R310" i="28"/>
  <c r="Q310" i="28"/>
  <c r="R309" i="28"/>
  <c r="Q309" i="28"/>
  <c r="R308" i="28"/>
  <c r="Q308" i="28"/>
  <c r="R307" i="28"/>
  <c r="Q307" i="28"/>
  <c r="R306" i="28"/>
  <c r="Q306" i="28"/>
  <c r="R305" i="28"/>
  <c r="Q305" i="28"/>
  <c r="R304" i="28"/>
  <c r="Q304" i="28"/>
  <c r="R303" i="28"/>
  <c r="Q303" i="28"/>
  <c r="R302" i="28"/>
  <c r="Q302" i="28"/>
  <c r="R301" i="28"/>
  <c r="Q301" i="28"/>
  <c r="R300" i="28"/>
  <c r="Q300" i="28"/>
  <c r="R299" i="28"/>
  <c r="Q299" i="28"/>
  <c r="R298" i="28"/>
  <c r="Q298" i="28"/>
  <c r="R297" i="28"/>
  <c r="Q297" i="28"/>
  <c r="R296" i="28"/>
  <c r="Q296" i="28"/>
  <c r="R295" i="28"/>
  <c r="Q295" i="28"/>
  <c r="R294" i="28"/>
  <c r="Q294" i="28"/>
  <c r="R293" i="28"/>
  <c r="Q293" i="28"/>
  <c r="R292" i="28"/>
  <c r="Q292" i="28"/>
  <c r="R291" i="28"/>
  <c r="Q291" i="28"/>
  <c r="R290" i="28"/>
  <c r="Q290" i="28"/>
  <c r="R289" i="28"/>
  <c r="Q289" i="28"/>
  <c r="R288" i="28"/>
  <c r="Q288" i="28"/>
  <c r="R287" i="28"/>
  <c r="Q287" i="28"/>
  <c r="R286" i="28"/>
  <c r="Q286" i="28"/>
  <c r="R285" i="28"/>
  <c r="Q285" i="28"/>
  <c r="R284" i="28"/>
  <c r="Q284" i="28"/>
  <c r="R283" i="28"/>
  <c r="Q283" i="28"/>
  <c r="R282" i="28"/>
  <c r="Q282" i="28"/>
  <c r="R281" i="28"/>
  <c r="Q281" i="28"/>
  <c r="R280" i="28"/>
  <c r="Q280" i="28"/>
  <c r="R279" i="28"/>
  <c r="Q279" i="28"/>
  <c r="R278" i="28"/>
  <c r="Q278" i="28"/>
  <c r="R277" i="28"/>
  <c r="Q277" i="28"/>
  <c r="R276" i="28"/>
  <c r="Q276" i="28"/>
  <c r="R275" i="28"/>
  <c r="Q275" i="28"/>
  <c r="R274" i="28"/>
  <c r="Q274" i="28"/>
  <c r="R273" i="28"/>
  <c r="Q273" i="28"/>
  <c r="R272" i="28"/>
  <c r="Q272" i="28"/>
  <c r="R271" i="28"/>
  <c r="Q271" i="28"/>
  <c r="R270" i="28"/>
  <c r="Q270" i="28"/>
  <c r="R269" i="28"/>
  <c r="Q269" i="28"/>
  <c r="R268" i="28"/>
  <c r="Q268" i="28"/>
  <c r="R267" i="28"/>
  <c r="Q267" i="28"/>
  <c r="R266" i="28"/>
  <c r="Q266" i="28"/>
  <c r="R265" i="28"/>
  <c r="Q265" i="28"/>
  <c r="R264" i="28"/>
  <c r="Q264" i="28"/>
  <c r="R263" i="28"/>
  <c r="Q263" i="28"/>
  <c r="R262" i="28"/>
  <c r="Q262" i="28"/>
  <c r="R261" i="28"/>
  <c r="Q261" i="28"/>
  <c r="R260" i="28"/>
  <c r="Q260" i="28"/>
  <c r="R259" i="28"/>
  <c r="Q259" i="28"/>
  <c r="R258" i="28"/>
  <c r="Q258" i="28"/>
  <c r="R257" i="28"/>
  <c r="Q257" i="28"/>
  <c r="R256" i="28"/>
  <c r="Q256" i="28"/>
  <c r="R255" i="28"/>
  <c r="Q255" i="28"/>
  <c r="R254" i="28"/>
  <c r="Q254" i="28"/>
  <c r="R253" i="28"/>
  <c r="Q253" i="28"/>
  <c r="R252" i="28"/>
  <c r="Q252" i="28"/>
  <c r="R251" i="28"/>
  <c r="Q251" i="28"/>
  <c r="R250" i="28"/>
  <c r="Q250" i="28"/>
  <c r="R249" i="28"/>
  <c r="Q249" i="28"/>
  <c r="R248" i="28"/>
  <c r="Q248" i="28"/>
  <c r="R247" i="28"/>
  <c r="Q247" i="28"/>
  <c r="R246" i="28"/>
  <c r="Q246" i="28"/>
  <c r="R245" i="28"/>
  <c r="Q245" i="28"/>
  <c r="R244" i="28"/>
  <c r="Q244" i="28"/>
  <c r="R243" i="28"/>
  <c r="Q243" i="28"/>
  <c r="R242" i="28"/>
  <c r="Q242" i="28"/>
  <c r="R241" i="28"/>
  <c r="Q241" i="28"/>
  <c r="R240" i="28"/>
  <c r="Q240" i="28"/>
  <c r="R239" i="28"/>
  <c r="Q239" i="28"/>
  <c r="R238" i="28"/>
  <c r="Q238" i="28"/>
  <c r="R237" i="28"/>
  <c r="Q237" i="28"/>
  <c r="R236" i="28"/>
  <c r="Q236" i="28"/>
  <c r="R235" i="28"/>
  <c r="Q235" i="28"/>
  <c r="R234" i="28"/>
  <c r="Q234" i="28"/>
  <c r="R233" i="28"/>
  <c r="Q233" i="28"/>
  <c r="R232" i="28"/>
  <c r="Q232" i="28"/>
  <c r="R231" i="28"/>
  <c r="Q231" i="28"/>
  <c r="R230" i="28"/>
  <c r="Q230" i="28"/>
  <c r="R229" i="28"/>
  <c r="Q229" i="28"/>
  <c r="R228" i="28"/>
  <c r="Q228" i="28"/>
  <c r="R227" i="28"/>
  <c r="Q227" i="28"/>
  <c r="R226" i="28"/>
  <c r="Q226" i="28"/>
  <c r="R225" i="28"/>
  <c r="Q225" i="28"/>
  <c r="R224" i="28"/>
  <c r="Q224" i="28"/>
  <c r="R223" i="28"/>
  <c r="Q223" i="28"/>
  <c r="R222" i="28"/>
  <c r="Q222" i="28"/>
  <c r="R221" i="28"/>
  <c r="Q221" i="28"/>
  <c r="R220" i="28"/>
  <c r="Q220" i="28"/>
  <c r="R219" i="28"/>
  <c r="Q219" i="28"/>
  <c r="R218" i="28"/>
  <c r="Q218" i="28"/>
  <c r="R217" i="28"/>
  <c r="Q217" i="28"/>
  <c r="R216" i="28"/>
  <c r="Q216" i="28"/>
  <c r="R215" i="28"/>
  <c r="Q215" i="28"/>
  <c r="R214" i="28"/>
  <c r="Q214" i="28"/>
  <c r="R213" i="28"/>
  <c r="Q213" i="28"/>
  <c r="R212" i="28"/>
  <c r="Q212" i="28"/>
  <c r="R211" i="28"/>
  <c r="Q211" i="28"/>
  <c r="R210" i="28"/>
  <c r="Q210" i="28"/>
  <c r="R209" i="28"/>
  <c r="Q209" i="28"/>
  <c r="R208" i="28"/>
  <c r="Q208" i="28"/>
  <c r="R207" i="28"/>
  <c r="Q207" i="28"/>
  <c r="R206" i="28"/>
  <c r="Q206" i="28"/>
  <c r="R205" i="28"/>
  <c r="Q205" i="28"/>
  <c r="R204" i="28"/>
  <c r="Q204" i="28"/>
  <c r="R203" i="28"/>
  <c r="Q203" i="28"/>
  <c r="R202" i="28"/>
  <c r="Q202" i="28"/>
  <c r="R201" i="28"/>
  <c r="Q201" i="28"/>
  <c r="R200" i="28"/>
  <c r="Q200" i="28"/>
  <c r="R199" i="28"/>
  <c r="Q199" i="28"/>
  <c r="R198" i="28"/>
  <c r="Q198" i="28"/>
  <c r="R197" i="28"/>
  <c r="Q197" i="28"/>
  <c r="R196" i="28"/>
  <c r="Q196" i="28"/>
  <c r="R195" i="28"/>
  <c r="Q195" i="28"/>
  <c r="R194" i="28"/>
  <c r="Q194" i="28"/>
  <c r="R193" i="28"/>
  <c r="Q193" i="28"/>
  <c r="R192" i="28"/>
  <c r="Q192" i="28"/>
  <c r="R191" i="28"/>
  <c r="Q191" i="28"/>
  <c r="R190" i="28"/>
  <c r="Q190" i="28"/>
  <c r="R189" i="28"/>
  <c r="Q189" i="28"/>
  <c r="R188" i="28"/>
  <c r="Q188" i="28"/>
  <c r="R187" i="28"/>
  <c r="Q187" i="28"/>
  <c r="R186" i="28"/>
  <c r="Q186" i="28"/>
  <c r="R185" i="28"/>
  <c r="Q185" i="28"/>
  <c r="R184" i="28"/>
  <c r="Q184" i="28"/>
  <c r="R183" i="28"/>
  <c r="Q183" i="28"/>
  <c r="R182" i="28"/>
  <c r="Q182" i="28"/>
  <c r="R181" i="28"/>
  <c r="Q181" i="28"/>
  <c r="R180" i="28"/>
  <c r="Q180" i="28"/>
  <c r="R179" i="28"/>
  <c r="Q179" i="28"/>
  <c r="R178" i="28"/>
  <c r="Q178" i="28"/>
  <c r="R177" i="28"/>
  <c r="Q177" i="28"/>
  <c r="R176" i="28"/>
  <c r="Q176" i="28"/>
  <c r="R175" i="28"/>
  <c r="Q175" i="28"/>
  <c r="R174" i="28"/>
  <c r="Q174" i="28"/>
  <c r="R173" i="28"/>
  <c r="Q173" i="28"/>
  <c r="R172" i="28"/>
  <c r="Q172" i="28"/>
  <c r="R171" i="28"/>
  <c r="Q171" i="28"/>
  <c r="R170" i="28"/>
  <c r="Q170" i="28"/>
  <c r="R169" i="28"/>
  <c r="Q169" i="28"/>
  <c r="R168" i="28"/>
  <c r="Q168" i="28"/>
  <c r="R167" i="28"/>
  <c r="Q167" i="28"/>
  <c r="R166" i="28"/>
  <c r="Q166" i="28"/>
  <c r="R165" i="28"/>
  <c r="Q165" i="28"/>
  <c r="R164" i="28"/>
  <c r="Q164" i="28"/>
  <c r="R163" i="28"/>
  <c r="Q163" i="28"/>
  <c r="R162" i="28"/>
  <c r="Q162" i="28"/>
  <c r="R161" i="28"/>
  <c r="Q161" i="28"/>
  <c r="R160" i="28"/>
  <c r="Q160" i="28"/>
  <c r="R159" i="28"/>
  <c r="Q159" i="28"/>
  <c r="R158" i="28"/>
  <c r="Q158" i="28"/>
  <c r="R157" i="28"/>
  <c r="Q157" i="28"/>
  <c r="R156" i="28"/>
  <c r="Q156" i="28"/>
  <c r="R155" i="28"/>
  <c r="Q155" i="28"/>
  <c r="R154" i="28"/>
  <c r="Q154" i="28"/>
  <c r="R153" i="28"/>
  <c r="Q153" i="28"/>
  <c r="R152" i="28"/>
  <c r="Q152" i="28"/>
  <c r="R151" i="28"/>
  <c r="Q151" i="28"/>
  <c r="R150" i="28"/>
  <c r="Q150" i="28"/>
  <c r="R149" i="28"/>
  <c r="Q149" i="28"/>
  <c r="R148" i="28"/>
  <c r="Q148" i="28"/>
  <c r="R147" i="28"/>
  <c r="Q147" i="28"/>
  <c r="R146" i="28"/>
  <c r="Q146" i="28"/>
  <c r="R145" i="28"/>
  <c r="Q145" i="28"/>
  <c r="R144" i="28"/>
  <c r="Q144" i="28"/>
  <c r="R143" i="28"/>
  <c r="Q143" i="28"/>
  <c r="R142" i="28"/>
  <c r="Q142" i="28"/>
  <c r="R141" i="28"/>
  <c r="Q141" i="28"/>
  <c r="R140" i="28"/>
  <c r="Q140" i="28"/>
  <c r="R139" i="28"/>
  <c r="Q139" i="28"/>
  <c r="R138" i="28"/>
  <c r="Q138" i="28"/>
  <c r="R137" i="28"/>
  <c r="Q137" i="28"/>
  <c r="R136" i="28"/>
  <c r="Q136" i="28"/>
  <c r="R135" i="28"/>
  <c r="Q135" i="28"/>
  <c r="R134" i="28"/>
  <c r="Q134" i="28"/>
  <c r="R133" i="28"/>
  <c r="Q133" i="28"/>
  <c r="R132" i="28"/>
  <c r="Q132" i="28"/>
  <c r="R131" i="28"/>
  <c r="Q131" i="28"/>
  <c r="R130" i="28"/>
  <c r="Q130" i="28"/>
  <c r="R129" i="28"/>
  <c r="Q129" i="28"/>
  <c r="R128" i="28"/>
  <c r="Q128" i="28"/>
  <c r="R127" i="28"/>
  <c r="Q127" i="28"/>
  <c r="R126" i="28"/>
  <c r="Q126" i="28"/>
  <c r="R125" i="28"/>
  <c r="Q125" i="28"/>
  <c r="R124" i="28"/>
  <c r="Q124" i="28"/>
  <c r="R123" i="28"/>
  <c r="Q123" i="28"/>
  <c r="R122" i="28"/>
  <c r="Q122" i="28"/>
  <c r="R121" i="28"/>
  <c r="Q121" i="28"/>
  <c r="R120" i="28"/>
  <c r="Q120" i="28"/>
  <c r="R119" i="28"/>
  <c r="Q119" i="28"/>
  <c r="R118" i="28"/>
  <c r="Q118" i="28"/>
  <c r="R117" i="28"/>
  <c r="Q117" i="28"/>
  <c r="R116" i="28"/>
  <c r="Q116" i="28"/>
  <c r="R115" i="28"/>
  <c r="Q115" i="28"/>
  <c r="R114" i="28"/>
  <c r="Q114" i="28"/>
  <c r="R113" i="28"/>
  <c r="Q113" i="28"/>
  <c r="R112" i="28"/>
  <c r="Q112" i="28"/>
  <c r="R111" i="28"/>
  <c r="Q111" i="28"/>
  <c r="R110" i="28"/>
  <c r="Q110" i="28"/>
  <c r="R109" i="28"/>
  <c r="Q109" i="28"/>
  <c r="R108" i="28"/>
  <c r="Q108" i="28"/>
  <c r="R107" i="28"/>
  <c r="Q107" i="28"/>
  <c r="R106" i="28"/>
  <c r="Q106" i="28"/>
  <c r="R105" i="28"/>
  <c r="Q105" i="28"/>
  <c r="R104" i="28"/>
  <c r="Q104" i="28"/>
  <c r="R103" i="28"/>
  <c r="Q103" i="28"/>
  <c r="R102" i="28"/>
  <c r="Q102" i="28"/>
  <c r="R101" i="28"/>
  <c r="Q101" i="28"/>
  <c r="R100" i="28"/>
  <c r="Q100" i="28"/>
  <c r="R99" i="28"/>
  <c r="Q99" i="28"/>
  <c r="R98" i="28"/>
  <c r="Q98" i="28"/>
  <c r="R97" i="28"/>
  <c r="Q97" i="28"/>
  <c r="R96" i="28"/>
  <c r="Q96" i="28"/>
  <c r="R95" i="28"/>
  <c r="Q95" i="28"/>
  <c r="R94" i="28"/>
  <c r="Q94" i="28"/>
  <c r="R93" i="28"/>
  <c r="Q93" i="28"/>
  <c r="R92" i="28"/>
  <c r="Q92" i="28"/>
  <c r="R91" i="28"/>
  <c r="Q91" i="28"/>
  <c r="R90" i="28"/>
  <c r="Q90" i="28"/>
  <c r="R89" i="28"/>
  <c r="Q89" i="28"/>
  <c r="R88" i="28"/>
  <c r="Q88" i="28"/>
  <c r="R87" i="28"/>
  <c r="Q87" i="28"/>
  <c r="R86" i="28"/>
  <c r="Q86" i="28"/>
  <c r="R85" i="28"/>
  <c r="Q85" i="28"/>
  <c r="R84" i="28"/>
  <c r="Q84" i="28"/>
  <c r="R83" i="28"/>
  <c r="Q83" i="28"/>
  <c r="R82" i="28"/>
  <c r="Q82" i="28"/>
  <c r="R81" i="28"/>
  <c r="Q81" i="28"/>
  <c r="R80" i="28"/>
  <c r="Q80" i="28"/>
  <c r="R79" i="28"/>
  <c r="Q79" i="28"/>
  <c r="R78" i="28"/>
  <c r="Q78" i="28"/>
  <c r="R77" i="28"/>
  <c r="Q77" i="28"/>
  <c r="R76" i="28"/>
  <c r="Q76" i="28"/>
  <c r="R75" i="28"/>
  <c r="Q75" i="28"/>
  <c r="R74" i="28"/>
  <c r="Q74" i="28"/>
  <c r="R73" i="28"/>
  <c r="Q73" i="28"/>
  <c r="R72" i="28"/>
  <c r="Q72" i="28"/>
  <c r="R71" i="28"/>
  <c r="Q71" i="28"/>
  <c r="R70" i="28"/>
  <c r="Q70" i="28"/>
  <c r="R69" i="28"/>
  <c r="Q69" i="28"/>
  <c r="R68" i="28"/>
  <c r="Q68" i="28"/>
  <c r="R67" i="28"/>
  <c r="Q67" i="28"/>
  <c r="R66" i="28"/>
  <c r="Q66" i="28"/>
  <c r="R65" i="28"/>
  <c r="Q65" i="28"/>
  <c r="R64" i="28"/>
  <c r="Q64" i="28"/>
  <c r="R63" i="28"/>
  <c r="Q63" i="28"/>
  <c r="R62" i="28"/>
  <c r="Q62" i="28"/>
  <c r="R61" i="28"/>
  <c r="Q61" i="28"/>
  <c r="R60" i="28"/>
  <c r="Q60" i="28"/>
  <c r="R59" i="28"/>
  <c r="Q59" i="28"/>
  <c r="R58" i="28"/>
  <c r="Q58" i="28"/>
  <c r="R57" i="28"/>
  <c r="Q57" i="28"/>
  <c r="R56" i="28"/>
  <c r="Q56" i="28"/>
  <c r="R55" i="28"/>
  <c r="Q55" i="28"/>
  <c r="R54" i="28"/>
  <c r="Q54" i="28"/>
  <c r="R53" i="28"/>
  <c r="Q53" i="28"/>
  <c r="R52" i="28"/>
  <c r="Q52" i="28"/>
  <c r="R51" i="28"/>
  <c r="Q51" i="28"/>
  <c r="R50" i="28"/>
  <c r="Q50" i="28"/>
  <c r="R49" i="28"/>
  <c r="Q49" i="28"/>
  <c r="R48" i="28"/>
  <c r="Q48" i="28"/>
  <c r="R47" i="28"/>
  <c r="Q47" i="28"/>
  <c r="R46" i="28"/>
  <c r="Q46" i="28"/>
  <c r="R45" i="28"/>
  <c r="Q45" i="28"/>
  <c r="R44" i="28"/>
  <c r="Q44" i="28"/>
  <c r="R43" i="28"/>
  <c r="Q43" i="28"/>
  <c r="R42" i="28"/>
  <c r="Q42" i="28"/>
  <c r="R41" i="28"/>
  <c r="Q41" i="28"/>
  <c r="R40" i="28"/>
  <c r="Q40" i="28"/>
  <c r="R39" i="28"/>
  <c r="Q39" i="28"/>
  <c r="R38" i="28"/>
  <c r="Q38" i="28"/>
  <c r="R37" i="28"/>
  <c r="Q37" i="28"/>
  <c r="R36" i="28"/>
  <c r="Q36" i="28"/>
  <c r="R35" i="28"/>
  <c r="Q35" i="28"/>
  <c r="R34" i="28"/>
  <c r="Q34" i="28"/>
  <c r="R33" i="28"/>
  <c r="Q33" i="28"/>
  <c r="R32" i="28"/>
  <c r="Q32" i="28"/>
  <c r="R31" i="28"/>
  <c r="Q31" i="28"/>
  <c r="R30" i="28"/>
  <c r="Q30" i="28"/>
  <c r="R29" i="28"/>
  <c r="Q29" i="28"/>
  <c r="R28" i="28"/>
  <c r="Q28" i="28"/>
  <c r="R27" i="28"/>
  <c r="Q27" i="28"/>
  <c r="R26" i="28"/>
  <c r="Q26" i="28"/>
  <c r="R25" i="28"/>
  <c r="Q25" i="28"/>
  <c r="R24" i="28"/>
  <c r="Q24" i="28"/>
  <c r="R23" i="28"/>
  <c r="Q23" i="28"/>
  <c r="R22" i="28"/>
  <c r="Q22" i="28"/>
  <c r="R21" i="28"/>
  <c r="Q21" i="28"/>
  <c r="R20" i="28"/>
  <c r="Q20" i="28"/>
  <c r="R19" i="28"/>
  <c r="Q19" i="28"/>
  <c r="R18" i="28"/>
  <c r="Q18" i="28"/>
  <c r="R17" i="28"/>
  <c r="Q17" i="28"/>
  <c r="R16" i="28"/>
  <c r="Q16" i="28"/>
  <c r="R15" i="28"/>
  <c r="Q15" i="28"/>
  <c r="R14" i="28"/>
  <c r="Q14" i="28"/>
  <c r="R13" i="28"/>
  <c r="Q13" i="28"/>
  <c r="R12" i="28"/>
  <c r="Q12" i="28"/>
  <c r="R11" i="28"/>
  <c r="Q11" i="28"/>
  <c r="R10" i="28"/>
  <c r="Q10" i="28"/>
  <c r="R9" i="28"/>
  <c r="Q9" i="28"/>
  <c r="R8" i="28"/>
  <c r="Q8" i="28"/>
  <c r="R7" i="28"/>
  <c r="Q7" i="28"/>
  <c r="R6" i="28"/>
  <c r="Q6" i="28"/>
  <c r="R5" i="28"/>
  <c r="Q5" i="28"/>
  <c r="R4" i="28"/>
  <c r="Q4" i="28"/>
  <c r="R3" i="28"/>
  <c r="Q3" i="28"/>
  <c r="R2" i="28"/>
  <c r="Q2" i="28"/>
  <c r="P2" i="28"/>
  <c r="P3" i="28" s="1"/>
  <c r="P4" i="28" s="1"/>
  <c r="P5" i="28" s="1"/>
  <c r="P6" i="28" s="1"/>
  <c r="P7" i="28" s="1"/>
  <c r="P8" i="28" s="1"/>
  <c r="P9" i="28" s="1"/>
  <c r="P10" i="28" s="1"/>
  <c r="P11" i="28" s="1"/>
  <c r="P12" i="28" s="1"/>
  <c r="P13" i="28" s="1"/>
  <c r="P14" i="28" s="1"/>
  <c r="P15" i="28" s="1"/>
  <c r="P16" i="28" s="1"/>
  <c r="P17" i="28" s="1"/>
  <c r="P18" i="28" s="1"/>
  <c r="P19" i="28" s="1"/>
  <c r="P20" i="28" s="1"/>
  <c r="P21" i="28" s="1"/>
  <c r="P22" i="28" s="1"/>
  <c r="P23" i="28" s="1"/>
  <c r="P24" i="28" s="1"/>
  <c r="P25" i="28" s="1"/>
  <c r="P26" i="28" s="1"/>
  <c r="P27" i="28" s="1"/>
  <c r="P28" i="28" s="1"/>
  <c r="P29" i="28" s="1"/>
  <c r="P30" i="28" s="1"/>
  <c r="P31" i="28" s="1"/>
  <c r="P32" i="28" s="1"/>
  <c r="P33" i="28" s="1"/>
  <c r="P34" i="28" s="1"/>
  <c r="P35" i="28" s="1"/>
  <c r="P36" i="28" s="1"/>
  <c r="P37" i="28" s="1"/>
  <c r="P38" i="28" s="1"/>
  <c r="P39" i="28" s="1"/>
  <c r="P40" i="28" s="1"/>
  <c r="P41" i="28" s="1"/>
  <c r="P42" i="28" s="1"/>
  <c r="P43" i="28" s="1"/>
  <c r="P44" i="28" s="1"/>
  <c r="P45" i="28" s="1"/>
  <c r="P46" i="28" s="1"/>
  <c r="P47" i="28" s="1"/>
  <c r="P48" i="28" s="1"/>
  <c r="P49" i="28" s="1"/>
  <c r="P50" i="28" s="1"/>
  <c r="P51" i="28" s="1"/>
  <c r="P52" i="28" s="1"/>
  <c r="P53" i="28" s="1"/>
  <c r="P54" i="28" s="1"/>
  <c r="P55" i="28" s="1"/>
  <c r="P56" i="28" s="1"/>
  <c r="P57" i="28" s="1"/>
  <c r="P58" i="28" s="1"/>
  <c r="P59" i="28" s="1"/>
  <c r="P60" i="28" s="1"/>
  <c r="P61" i="28" s="1"/>
  <c r="P62" i="28" s="1"/>
  <c r="P63" i="28" s="1"/>
  <c r="P64" i="28" s="1"/>
  <c r="P65" i="28" s="1"/>
  <c r="P66" i="28" s="1"/>
  <c r="P67" i="28" s="1"/>
  <c r="P68" i="28" s="1"/>
  <c r="P69" i="28" s="1"/>
  <c r="P70" i="28" s="1"/>
  <c r="P71" i="28" s="1"/>
  <c r="P72" i="28" s="1"/>
  <c r="P73" i="28" s="1"/>
  <c r="P74" i="28" s="1"/>
  <c r="P75" i="28" s="1"/>
  <c r="P76" i="28" s="1"/>
  <c r="P77" i="28" s="1"/>
  <c r="P78" i="28" s="1"/>
  <c r="P79" i="28" s="1"/>
  <c r="P80" i="28" s="1"/>
  <c r="P81" i="28" s="1"/>
  <c r="P82" i="28" s="1"/>
  <c r="P83" i="28" s="1"/>
  <c r="P84" i="28" s="1"/>
  <c r="P85" i="28" s="1"/>
  <c r="P86" i="28" s="1"/>
  <c r="P87" i="28" s="1"/>
  <c r="P88" i="28" s="1"/>
  <c r="P89" i="28" s="1"/>
  <c r="P90" i="28" s="1"/>
  <c r="P91" i="28" s="1"/>
  <c r="P92" i="28" s="1"/>
  <c r="P93" i="28" s="1"/>
  <c r="P94" i="28" s="1"/>
  <c r="P95" i="28" s="1"/>
  <c r="P96" i="28" s="1"/>
  <c r="P97" i="28" s="1"/>
  <c r="P98" i="28" s="1"/>
  <c r="P99" i="28" s="1"/>
  <c r="P100" i="28" s="1"/>
  <c r="P101" i="28" s="1"/>
  <c r="P102" i="28" s="1"/>
  <c r="P103" i="28" s="1"/>
  <c r="P104" i="28" s="1"/>
  <c r="P105" i="28" s="1"/>
  <c r="P106" i="28" s="1"/>
  <c r="P107" i="28" s="1"/>
  <c r="P108" i="28" s="1"/>
  <c r="P109" i="28" s="1"/>
  <c r="P110" i="28" s="1"/>
  <c r="P111" i="28" s="1"/>
  <c r="P112" i="28" s="1"/>
  <c r="P113" i="28" s="1"/>
  <c r="P114" i="28" s="1"/>
  <c r="P115" i="28" s="1"/>
  <c r="P116" i="28" s="1"/>
  <c r="P117" i="28" s="1"/>
  <c r="P118" i="28" s="1"/>
  <c r="P119" i="28" s="1"/>
  <c r="P120" i="28" s="1"/>
  <c r="P121" i="28" s="1"/>
  <c r="P122" i="28" s="1"/>
  <c r="P123" i="28" s="1"/>
  <c r="P124" i="28" s="1"/>
  <c r="P125" i="28" s="1"/>
  <c r="P126" i="28" s="1"/>
  <c r="P127" i="28" s="1"/>
  <c r="P128" i="28" s="1"/>
  <c r="P129" i="28" s="1"/>
  <c r="P130" i="28" s="1"/>
  <c r="P131" i="28" s="1"/>
  <c r="P132" i="28" s="1"/>
  <c r="P133" i="28" s="1"/>
  <c r="P134" i="28" s="1"/>
  <c r="P135" i="28" s="1"/>
  <c r="P136" i="28" s="1"/>
  <c r="P137" i="28" s="1"/>
  <c r="P138" i="28" s="1"/>
  <c r="P139" i="28" s="1"/>
  <c r="P140" i="28" s="1"/>
  <c r="P141" i="28" s="1"/>
  <c r="P142" i="28" s="1"/>
  <c r="P143" i="28" s="1"/>
  <c r="P144" i="28" s="1"/>
  <c r="P145" i="28" s="1"/>
  <c r="P146" i="28" s="1"/>
  <c r="P147" i="28" s="1"/>
  <c r="P148" i="28" s="1"/>
  <c r="P149" i="28" s="1"/>
  <c r="P150" i="28" s="1"/>
  <c r="P151" i="28" s="1"/>
  <c r="P152" i="28" s="1"/>
  <c r="P153" i="28" s="1"/>
  <c r="P154" i="28" s="1"/>
  <c r="P155" i="28" s="1"/>
  <c r="P156" i="28" s="1"/>
  <c r="P157" i="28" s="1"/>
  <c r="P158" i="28" s="1"/>
  <c r="P159" i="28" s="1"/>
  <c r="P160" i="28" s="1"/>
  <c r="P161" i="28" s="1"/>
  <c r="P162" i="28" s="1"/>
  <c r="P163" i="28" s="1"/>
  <c r="P164" i="28" s="1"/>
  <c r="P165" i="28" s="1"/>
  <c r="P166" i="28" s="1"/>
  <c r="P167" i="28" s="1"/>
  <c r="P168" i="28" s="1"/>
  <c r="P169" i="28" s="1"/>
  <c r="P170" i="28" s="1"/>
  <c r="P171" i="28" s="1"/>
  <c r="P172" i="28" s="1"/>
  <c r="P173" i="28" s="1"/>
  <c r="P174" i="28" s="1"/>
  <c r="P175" i="28" s="1"/>
  <c r="P176" i="28" s="1"/>
  <c r="P177" i="28" s="1"/>
  <c r="P178" i="28" s="1"/>
  <c r="P179" i="28" s="1"/>
  <c r="P180" i="28" s="1"/>
  <c r="P181" i="28" s="1"/>
  <c r="P182" i="28" s="1"/>
  <c r="P183" i="28" s="1"/>
  <c r="P184" i="28" s="1"/>
  <c r="P185" i="28" s="1"/>
  <c r="P186" i="28" s="1"/>
  <c r="P187" i="28" s="1"/>
  <c r="P188" i="28" s="1"/>
  <c r="P189" i="28" s="1"/>
  <c r="P190" i="28" s="1"/>
  <c r="P191" i="28" s="1"/>
  <c r="P192" i="28" s="1"/>
  <c r="P193" i="28" s="1"/>
  <c r="P194" i="28" s="1"/>
  <c r="P195" i="28" s="1"/>
  <c r="P196" i="28" s="1"/>
  <c r="P197" i="28" s="1"/>
  <c r="P198" i="28" s="1"/>
  <c r="P199" i="28" s="1"/>
  <c r="P200" i="28" s="1"/>
  <c r="P201" i="28" s="1"/>
  <c r="P202" i="28" s="1"/>
  <c r="P203" i="28" s="1"/>
  <c r="P204" i="28" s="1"/>
  <c r="P205" i="28" s="1"/>
  <c r="P206" i="28" s="1"/>
  <c r="P207" i="28" s="1"/>
  <c r="P208" i="28" s="1"/>
  <c r="P209" i="28" s="1"/>
  <c r="P210" i="28" s="1"/>
  <c r="P211" i="28" s="1"/>
  <c r="P212" i="28" s="1"/>
  <c r="P213" i="28" s="1"/>
  <c r="P214" i="28" s="1"/>
  <c r="P215" i="28" s="1"/>
  <c r="P216" i="28" s="1"/>
  <c r="P217" i="28" s="1"/>
  <c r="P218" i="28" s="1"/>
  <c r="P219" i="28" s="1"/>
  <c r="P220" i="28" s="1"/>
  <c r="P221" i="28" s="1"/>
  <c r="P222" i="28" s="1"/>
  <c r="P223" i="28" s="1"/>
  <c r="P224" i="28" s="1"/>
  <c r="P225" i="28" s="1"/>
  <c r="P226" i="28" s="1"/>
  <c r="P227" i="28" s="1"/>
  <c r="P228" i="28" s="1"/>
  <c r="P229" i="28" s="1"/>
  <c r="P230" i="28" s="1"/>
  <c r="P231" i="28" s="1"/>
  <c r="P232" i="28" s="1"/>
  <c r="P233" i="28" s="1"/>
  <c r="P234" i="28" s="1"/>
  <c r="P235" i="28" s="1"/>
  <c r="P236" i="28" s="1"/>
  <c r="P237" i="28" s="1"/>
  <c r="P238" i="28" s="1"/>
  <c r="P239" i="28" s="1"/>
  <c r="P240" i="28" s="1"/>
  <c r="P241" i="28" s="1"/>
  <c r="P242" i="28" s="1"/>
  <c r="P243" i="28" s="1"/>
  <c r="P244" i="28" s="1"/>
  <c r="P245" i="28" s="1"/>
  <c r="P246" i="28" s="1"/>
  <c r="P247" i="28" s="1"/>
  <c r="P248" i="28" s="1"/>
  <c r="P249" i="28" s="1"/>
  <c r="P250" i="28" s="1"/>
  <c r="P251" i="28" s="1"/>
  <c r="P252" i="28" s="1"/>
  <c r="P253" i="28" s="1"/>
  <c r="P254" i="28" s="1"/>
  <c r="P255" i="28" s="1"/>
  <c r="P256" i="28" s="1"/>
  <c r="P257" i="28" s="1"/>
  <c r="P258" i="28" s="1"/>
  <c r="P259" i="28" s="1"/>
  <c r="P260" i="28" s="1"/>
  <c r="P261" i="28" s="1"/>
  <c r="P262" i="28" s="1"/>
  <c r="P263" i="28" s="1"/>
  <c r="P264" i="28" s="1"/>
  <c r="P265" i="28" s="1"/>
  <c r="P266" i="28" s="1"/>
  <c r="P267" i="28" s="1"/>
  <c r="P268" i="28" s="1"/>
  <c r="P269" i="28" s="1"/>
  <c r="P270" i="28" s="1"/>
  <c r="P271" i="28" s="1"/>
  <c r="P272" i="28" s="1"/>
  <c r="P273" i="28" s="1"/>
  <c r="P274" i="28" s="1"/>
  <c r="P275" i="28" s="1"/>
  <c r="P276" i="28" s="1"/>
  <c r="P277" i="28" s="1"/>
  <c r="P278" i="28" s="1"/>
  <c r="P279" i="28" s="1"/>
  <c r="P280" i="28" s="1"/>
  <c r="P281" i="28" s="1"/>
  <c r="P282" i="28" s="1"/>
  <c r="P283" i="28" s="1"/>
  <c r="P284" i="28" s="1"/>
  <c r="P285" i="28" s="1"/>
  <c r="P286" i="28" s="1"/>
  <c r="P287" i="28" s="1"/>
  <c r="P288" i="28" s="1"/>
  <c r="P289" i="28" s="1"/>
  <c r="P290" i="28" s="1"/>
  <c r="P291" i="28" s="1"/>
  <c r="P292" i="28" s="1"/>
  <c r="P293" i="28" s="1"/>
  <c r="P294" i="28" s="1"/>
  <c r="P295" i="28" s="1"/>
  <c r="P296" i="28" s="1"/>
  <c r="P297" i="28" s="1"/>
  <c r="P298" i="28" s="1"/>
  <c r="P299" i="28" s="1"/>
  <c r="P300" i="28" s="1"/>
  <c r="P301" i="28" s="1"/>
  <c r="P302" i="28" s="1"/>
  <c r="P303" i="28" s="1"/>
  <c r="P304" i="28" s="1"/>
  <c r="P305" i="28" s="1"/>
  <c r="P306" i="28" s="1"/>
  <c r="P307" i="28" s="1"/>
  <c r="P308" i="28" s="1"/>
  <c r="P309" i="28" s="1"/>
  <c r="P310" i="28" s="1"/>
  <c r="P311" i="28" s="1"/>
  <c r="P312" i="28" s="1"/>
  <c r="P313" i="28" s="1"/>
  <c r="P314" i="28" s="1"/>
  <c r="P315" i="28" s="1"/>
  <c r="P316" i="28" s="1"/>
  <c r="P317" i="28" s="1"/>
  <c r="P318" i="28" s="1"/>
  <c r="P319" i="28" s="1"/>
  <c r="P320" i="28" s="1"/>
  <c r="P321" i="28" s="1"/>
  <c r="P322" i="28" s="1"/>
  <c r="P323" i="28" s="1"/>
  <c r="P324" i="28" s="1"/>
  <c r="P325" i="28" s="1"/>
  <c r="P326" i="28" s="1"/>
  <c r="P327" i="28" s="1"/>
  <c r="P328" i="28" s="1"/>
  <c r="P329" i="28" s="1"/>
  <c r="P330" i="28" s="1"/>
  <c r="P331" i="28" s="1"/>
  <c r="P332" i="28" s="1"/>
  <c r="P333" i="28" s="1"/>
  <c r="P334" i="28" s="1"/>
  <c r="P335" i="28" s="1"/>
  <c r="P336" i="28" s="1"/>
  <c r="P337" i="28" s="1"/>
  <c r="P338" i="28" s="1"/>
  <c r="P339" i="28" s="1"/>
  <c r="P340" i="28" s="1"/>
  <c r="P341" i="28" s="1"/>
  <c r="P342" i="28" s="1"/>
  <c r="P343" i="28" s="1"/>
  <c r="P344" i="28" s="1"/>
  <c r="P345" i="28" s="1"/>
  <c r="P346" i="28" s="1"/>
  <c r="P347" i="28" s="1"/>
  <c r="P348" i="28" s="1"/>
  <c r="P349" i="28" s="1"/>
  <c r="P350" i="28" s="1"/>
  <c r="P351" i="28" s="1"/>
  <c r="P352" i="28" s="1"/>
  <c r="P353" i="28" s="1"/>
  <c r="P354" i="28" s="1"/>
  <c r="P355" i="28" s="1"/>
  <c r="P356" i="28" s="1"/>
  <c r="P357" i="28" s="1"/>
  <c r="P358" i="28" s="1"/>
  <c r="P359" i="28" s="1"/>
  <c r="P360" i="28" s="1"/>
  <c r="P361" i="28" s="1"/>
  <c r="P362" i="28" s="1"/>
  <c r="P363" i="28" s="1"/>
  <c r="P364" i="28" s="1"/>
  <c r="P365" i="28" s="1"/>
  <c r="P366" i="28" s="1"/>
  <c r="P367" i="28" s="1"/>
  <c r="P368" i="28" s="1"/>
  <c r="P369" i="28" s="1"/>
  <c r="P370" i="28" s="1"/>
  <c r="P371" i="28" s="1"/>
  <c r="P372" i="28" s="1"/>
  <c r="P373" i="28" s="1"/>
  <c r="P374" i="28" s="1"/>
  <c r="P375" i="28" s="1"/>
  <c r="P376" i="28" s="1"/>
  <c r="P377" i="28" s="1"/>
  <c r="P378" i="28" s="1"/>
  <c r="P379" i="28" s="1"/>
  <c r="P380" i="28" s="1"/>
  <c r="R682" i="15"/>
  <c r="S682" i="15"/>
  <c r="N676" i="15"/>
  <c r="J676" i="15"/>
  <c r="P676" i="15" s="1"/>
  <c r="R676" i="15"/>
  <c r="S676" i="15"/>
  <c r="L681" i="15"/>
  <c r="R681" i="15"/>
  <c r="S681" i="15"/>
  <c r="M677" i="15"/>
  <c r="L677" i="15"/>
  <c r="O677" i="15" s="1"/>
  <c r="P677" i="15" s="1"/>
  <c r="R677" i="15"/>
  <c r="S677" i="15"/>
  <c r="O671" i="15"/>
  <c r="P671" i="15" s="1"/>
  <c r="M671" i="15"/>
  <c r="N671" i="15"/>
  <c r="R671" i="15"/>
  <c r="S671" i="15"/>
  <c r="N675" i="15"/>
  <c r="J675" i="15"/>
  <c r="P675" i="15" s="1"/>
  <c r="M674" i="15"/>
  <c r="N674" i="15"/>
  <c r="P674" i="15"/>
  <c r="L674" i="15"/>
  <c r="N673" i="15"/>
  <c r="J673" i="15"/>
  <c r="P673" i="15" s="1"/>
  <c r="R673" i="15"/>
  <c r="R674" i="15"/>
  <c r="R675" i="15"/>
  <c r="S673" i="15"/>
  <c r="S674" i="15"/>
  <c r="S675" i="15"/>
  <c r="O672" i="15"/>
  <c r="P672" i="15" s="1"/>
  <c r="Q2" i="15"/>
  <c r="Q3" i="15" s="1"/>
  <c r="Q4" i="15" s="1"/>
  <c r="Q5" i="15" s="1"/>
  <c r="Q6" i="15" s="1"/>
  <c r="Q7" i="15" s="1"/>
  <c r="Q8" i="15" s="1"/>
  <c r="Q9" i="15" s="1"/>
  <c r="Q10" i="15" s="1"/>
  <c r="Q11" i="15" s="1"/>
  <c r="Q12" i="15" s="1"/>
  <c r="Q13" i="15" s="1"/>
  <c r="Q14" i="15" s="1"/>
  <c r="Q15" i="15" s="1"/>
  <c r="Q16" i="15" s="1"/>
  <c r="Q17" i="15" s="1"/>
  <c r="Q18" i="15" s="1"/>
  <c r="Q19" i="15" s="1"/>
  <c r="Q20" i="15" s="1"/>
  <c r="Q21" i="15" s="1"/>
  <c r="Q22" i="15" s="1"/>
  <c r="Q23" i="15" s="1"/>
  <c r="Q24" i="15" s="1"/>
  <c r="Q25" i="15" s="1"/>
  <c r="Q26" i="15" s="1"/>
  <c r="Q27" i="15" s="1"/>
  <c r="Q28" i="15" s="1"/>
  <c r="Q29" i="15" s="1"/>
  <c r="Q30" i="15" s="1"/>
  <c r="Q31" i="15" s="1"/>
  <c r="Q32" i="15" s="1"/>
  <c r="Q33" i="15" s="1"/>
  <c r="Q34" i="15" s="1"/>
  <c r="Q35" i="15" s="1"/>
  <c r="Q36" i="15" s="1"/>
  <c r="Q37" i="15" s="1"/>
  <c r="Q38" i="15" s="1"/>
  <c r="Q39" i="15" s="1"/>
  <c r="Q40" i="15" s="1"/>
  <c r="Q41" i="15" s="1"/>
  <c r="Q42" i="15" s="1"/>
  <c r="Q43" i="15" s="1"/>
  <c r="Q44" i="15" s="1"/>
  <c r="Q45" i="15" s="1"/>
  <c r="Q46" i="15" s="1"/>
  <c r="Q47" i="15" s="1"/>
  <c r="Q48" i="15" s="1"/>
  <c r="Q49" i="15" s="1"/>
  <c r="Q50" i="15" s="1"/>
  <c r="Q51" i="15" s="1"/>
  <c r="Q52" i="15" s="1"/>
  <c r="Q53" i="15" s="1"/>
  <c r="Q54" i="15" s="1"/>
  <c r="Q55" i="15" s="1"/>
  <c r="Q56" i="15" s="1"/>
  <c r="Q57" i="15" s="1"/>
  <c r="Q58" i="15" s="1"/>
  <c r="Q59" i="15" s="1"/>
  <c r="Q60" i="15" s="1"/>
  <c r="Q61" i="15" s="1"/>
  <c r="Q62" i="15" s="1"/>
  <c r="Q63" i="15" s="1"/>
  <c r="Q64" i="15" s="1"/>
  <c r="Q65" i="15" s="1"/>
  <c r="Q66" i="15" s="1"/>
  <c r="Q67" i="15" s="1"/>
  <c r="Q68" i="15" s="1"/>
  <c r="Q69" i="15" s="1"/>
  <c r="Q70" i="15" s="1"/>
  <c r="Q71" i="15" s="1"/>
  <c r="Q72" i="15" s="1"/>
  <c r="Q73" i="15" s="1"/>
  <c r="Q74" i="15" s="1"/>
  <c r="Q75" i="15" s="1"/>
  <c r="Q76" i="15" s="1"/>
  <c r="Q77" i="15" s="1"/>
  <c r="Q78" i="15" s="1"/>
  <c r="Q79" i="15" s="1"/>
  <c r="Q80" i="15" s="1"/>
  <c r="Q81" i="15" s="1"/>
  <c r="Q82" i="15" s="1"/>
  <c r="Q83" i="15" s="1"/>
  <c r="Q84" i="15" s="1"/>
  <c r="Q85" i="15" s="1"/>
  <c r="Q86" i="15" s="1"/>
  <c r="Q87" i="15" s="1"/>
  <c r="Q88" i="15" s="1"/>
  <c r="Q89" i="15" s="1"/>
  <c r="Q90" i="15" s="1"/>
  <c r="Q91" i="15" s="1"/>
  <c r="Q92" i="15" s="1"/>
  <c r="Q93" i="15" s="1"/>
  <c r="Q94" i="15" s="1"/>
  <c r="Q95" i="15" s="1"/>
  <c r="Q96" i="15" s="1"/>
  <c r="Q97" i="15" s="1"/>
  <c r="Q98" i="15" s="1"/>
  <c r="Q99" i="15" s="1"/>
  <c r="Q100" i="15" s="1"/>
  <c r="Q101" i="15" s="1"/>
  <c r="Q102" i="15" s="1"/>
  <c r="Q103" i="15" s="1"/>
  <c r="Q104" i="15" s="1"/>
  <c r="Q105" i="15" s="1"/>
  <c r="Q106" i="15" s="1"/>
  <c r="Q107" i="15" s="1"/>
  <c r="Q108" i="15" s="1"/>
  <c r="Q109" i="15" s="1"/>
  <c r="Q110" i="15" s="1"/>
  <c r="Q111" i="15" s="1"/>
  <c r="Q112" i="15" s="1"/>
  <c r="Q113" i="15" s="1"/>
  <c r="Q114" i="15" s="1"/>
  <c r="Q115" i="15" s="1"/>
  <c r="Q116" i="15" s="1"/>
  <c r="Q117" i="15" s="1"/>
  <c r="Q118" i="15" s="1"/>
  <c r="Q119" i="15" s="1"/>
  <c r="Q120" i="15" s="1"/>
  <c r="Q121" i="15" s="1"/>
  <c r="Q122" i="15" s="1"/>
  <c r="Q123" i="15" s="1"/>
  <c r="Q124" i="15" s="1"/>
  <c r="Q125" i="15" s="1"/>
  <c r="Q126" i="15" s="1"/>
  <c r="Q127" i="15" s="1"/>
  <c r="Q128" i="15" s="1"/>
  <c r="Q129" i="15" s="1"/>
  <c r="Q130" i="15" s="1"/>
  <c r="Q131" i="15" s="1"/>
  <c r="Q132" i="15" s="1"/>
  <c r="Q133" i="15" s="1"/>
  <c r="Q134" i="15" s="1"/>
  <c r="Q135" i="15" s="1"/>
  <c r="Q136" i="15" s="1"/>
  <c r="Q137" i="15" s="1"/>
  <c r="Q138" i="15" s="1"/>
  <c r="Q139" i="15" s="1"/>
  <c r="Q140" i="15" s="1"/>
  <c r="Q141" i="15" s="1"/>
  <c r="Q142" i="15" s="1"/>
  <c r="Q143" i="15" s="1"/>
  <c r="Q144" i="15" s="1"/>
  <c r="Q145" i="15" s="1"/>
  <c r="Q146" i="15" s="1"/>
  <c r="Q147" i="15" s="1"/>
  <c r="Q148" i="15" s="1"/>
  <c r="Q149" i="15" s="1"/>
  <c r="Q150" i="15" s="1"/>
  <c r="Q151" i="15" s="1"/>
  <c r="Q152" i="15" s="1"/>
  <c r="Q153" i="15" s="1"/>
  <c r="Q154" i="15" s="1"/>
  <c r="Q155" i="15" s="1"/>
  <c r="Q156" i="15" s="1"/>
  <c r="Q157" i="15" s="1"/>
  <c r="Q158" i="15" s="1"/>
  <c r="Q159" i="15" s="1"/>
  <c r="Q160" i="15" s="1"/>
  <c r="Q161" i="15" s="1"/>
  <c r="Q162" i="15" s="1"/>
  <c r="Q163" i="15" s="1"/>
  <c r="Q164" i="15" s="1"/>
  <c r="Q165" i="15" s="1"/>
  <c r="Q166" i="15" s="1"/>
  <c r="Q167" i="15" s="1"/>
  <c r="Q168" i="15" s="1"/>
  <c r="Q169" i="15" s="1"/>
  <c r="Q170" i="15" s="1"/>
  <c r="Q171" i="15" s="1"/>
  <c r="Q172" i="15" s="1"/>
  <c r="Q173" i="15" s="1"/>
  <c r="Q174" i="15" s="1"/>
  <c r="Q175" i="15" s="1"/>
  <c r="Q176" i="15" s="1"/>
  <c r="Q177" i="15" s="1"/>
  <c r="Q178" i="15" s="1"/>
  <c r="Q179" i="15" s="1"/>
  <c r="Q180" i="15" s="1"/>
  <c r="Q181" i="15" s="1"/>
  <c r="Q182" i="15" s="1"/>
  <c r="Q183" i="15" s="1"/>
  <c r="Q184" i="15" s="1"/>
  <c r="Q185" i="15" s="1"/>
  <c r="Q186" i="15" s="1"/>
  <c r="Q187" i="15" s="1"/>
  <c r="Q188" i="15" s="1"/>
  <c r="Q189" i="15" s="1"/>
  <c r="Q190" i="15" s="1"/>
  <c r="Q191" i="15" s="1"/>
  <c r="Q192" i="15" s="1"/>
  <c r="Q193" i="15" s="1"/>
  <c r="Q194" i="15" s="1"/>
  <c r="Q195" i="15" s="1"/>
  <c r="Q196" i="15" s="1"/>
  <c r="Q197" i="15" s="1"/>
  <c r="Q198" i="15" s="1"/>
  <c r="Q199" i="15" s="1"/>
  <c r="Q200" i="15" s="1"/>
  <c r="Q201" i="15" s="1"/>
  <c r="Q202" i="15" s="1"/>
  <c r="Q203" i="15" s="1"/>
  <c r="Q204" i="15" s="1"/>
  <c r="Q205" i="15" s="1"/>
  <c r="Q206" i="15" s="1"/>
  <c r="Q207" i="15" s="1"/>
  <c r="Q208" i="15" s="1"/>
  <c r="Q209" i="15" s="1"/>
  <c r="Q210" i="15" s="1"/>
  <c r="Q211" i="15" s="1"/>
  <c r="Q212" i="15" s="1"/>
  <c r="Q213" i="15" s="1"/>
  <c r="Q214" i="15" s="1"/>
  <c r="Q215" i="15" s="1"/>
  <c r="Q216" i="15" s="1"/>
  <c r="Q217" i="15" s="1"/>
  <c r="Q218" i="15" s="1"/>
  <c r="Q219" i="15" s="1"/>
  <c r="Q220" i="15" s="1"/>
  <c r="Q221" i="15" s="1"/>
  <c r="Q222" i="15" s="1"/>
  <c r="Q223" i="15" s="1"/>
  <c r="Q224" i="15" s="1"/>
  <c r="Q225" i="15" s="1"/>
  <c r="Q226" i="15" s="1"/>
  <c r="Q227" i="15" s="1"/>
  <c r="Q228" i="15" s="1"/>
  <c r="Q229" i="15" s="1"/>
  <c r="Q230" i="15" s="1"/>
  <c r="Q231" i="15" s="1"/>
  <c r="Q232" i="15" s="1"/>
  <c r="Q233" i="15" s="1"/>
  <c r="Q234" i="15" s="1"/>
  <c r="Q235" i="15" s="1"/>
  <c r="Q236" i="15" s="1"/>
  <c r="Q237" i="15" s="1"/>
  <c r="Q238" i="15" s="1"/>
  <c r="Q239" i="15" s="1"/>
  <c r="Q240" i="15" s="1"/>
  <c r="Q241" i="15" s="1"/>
  <c r="Q242" i="15" s="1"/>
  <c r="Q243" i="15" s="1"/>
  <c r="Q244" i="15" s="1"/>
  <c r="Q245" i="15" s="1"/>
  <c r="Q246" i="15" s="1"/>
  <c r="Q247" i="15" s="1"/>
  <c r="Q248" i="15" s="1"/>
  <c r="Q249" i="15" s="1"/>
  <c r="Q250" i="15" s="1"/>
  <c r="Q251" i="15" s="1"/>
  <c r="Q252" i="15" s="1"/>
  <c r="Q253" i="15" s="1"/>
  <c r="Q254" i="15" s="1"/>
  <c r="Q255" i="15" s="1"/>
  <c r="Q256" i="15" s="1"/>
  <c r="Q257" i="15" s="1"/>
  <c r="Q258" i="15" s="1"/>
  <c r="Q259" i="15" s="1"/>
  <c r="Q260" i="15" s="1"/>
  <c r="Q261" i="15" s="1"/>
  <c r="Q262" i="15" s="1"/>
  <c r="Q263" i="15" s="1"/>
  <c r="Q264" i="15" s="1"/>
  <c r="Q265" i="15" s="1"/>
  <c r="Q266" i="15" s="1"/>
  <c r="Q267" i="15" s="1"/>
  <c r="Q268" i="15" s="1"/>
  <c r="Q269" i="15" s="1"/>
  <c r="Q270" i="15" s="1"/>
  <c r="Q271" i="15" s="1"/>
  <c r="Q272" i="15" s="1"/>
  <c r="Q273" i="15" s="1"/>
  <c r="Q274" i="15" s="1"/>
  <c r="Q275" i="15" s="1"/>
  <c r="Q276" i="15" s="1"/>
  <c r="Q277" i="15" s="1"/>
  <c r="Q278" i="15" s="1"/>
  <c r="Q279" i="15" s="1"/>
  <c r="Q280" i="15" s="1"/>
  <c r="Q281" i="15" s="1"/>
  <c r="Q282" i="15" s="1"/>
  <c r="Q283" i="15" s="1"/>
  <c r="Q284" i="15" s="1"/>
  <c r="Q285" i="15" s="1"/>
  <c r="Q286" i="15" s="1"/>
  <c r="Q287" i="15" s="1"/>
  <c r="Q288" i="15" s="1"/>
  <c r="Q289" i="15" s="1"/>
  <c r="Q290" i="15" s="1"/>
  <c r="Q291" i="15" s="1"/>
  <c r="Q292" i="15" s="1"/>
  <c r="Q293" i="15" s="1"/>
  <c r="Q294" i="15" s="1"/>
  <c r="Q295" i="15" s="1"/>
  <c r="Q296" i="15" s="1"/>
  <c r="Q297" i="15" s="1"/>
  <c r="Q298" i="15" s="1"/>
  <c r="Q299" i="15" s="1"/>
  <c r="Q300" i="15" s="1"/>
  <c r="Q301" i="15" s="1"/>
  <c r="Q302" i="15" s="1"/>
  <c r="Q303" i="15" s="1"/>
  <c r="Q304" i="15" s="1"/>
  <c r="Q305" i="15" s="1"/>
  <c r="Q306" i="15" s="1"/>
  <c r="Q307" i="15" s="1"/>
  <c r="Q308" i="15" s="1"/>
  <c r="Q309" i="15" s="1"/>
  <c r="Q310" i="15" s="1"/>
  <c r="Q311" i="15" s="1"/>
  <c r="Q312" i="15" s="1"/>
  <c r="Q313" i="15" s="1"/>
  <c r="Q314" i="15" s="1"/>
  <c r="Q315" i="15" s="1"/>
  <c r="Q316" i="15" s="1"/>
  <c r="Q317" i="15" s="1"/>
  <c r="Q318" i="15" s="1"/>
  <c r="Q319" i="15" s="1"/>
  <c r="Q320" i="15" s="1"/>
  <c r="Q321" i="15" s="1"/>
  <c r="Q322" i="15" s="1"/>
  <c r="Q323" i="15" s="1"/>
  <c r="Q324" i="15" s="1"/>
  <c r="Q325" i="15" s="1"/>
  <c r="Q326" i="15" s="1"/>
  <c r="Q327" i="15" s="1"/>
  <c r="Q328" i="15" s="1"/>
  <c r="Q329" i="15" s="1"/>
  <c r="Q330" i="15" s="1"/>
  <c r="Q331" i="15" s="1"/>
  <c r="Q332" i="15" s="1"/>
  <c r="Q333" i="15" s="1"/>
  <c r="Q334" i="15" s="1"/>
  <c r="Q335" i="15" s="1"/>
  <c r="Q336" i="15" s="1"/>
  <c r="Q337" i="15" s="1"/>
  <c r="Q338" i="15" s="1"/>
  <c r="Q339" i="15" s="1"/>
  <c r="Q340" i="15" s="1"/>
  <c r="Q341" i="15" s="1"/>
  <c r="Q342" i="15" s="1"/>
  <c r="Q343" i="15" s="1"/>
  <c r="Q344" i="15" s="1"/>
  <c r="Q345" i="15" s="1"/>
  <c r="Q346" i="15" s="1"/>
  <c r="Q347" i="15" s="1"/>
  <c r="Q348" i="15" s="1"/>
  <c r="Q349" i="15" s="1"/>
  <c r="Q350" i="15" s="1"/>
  <c r="Q351" i="15" s="1"/>
  <c r="Q352" i="15" s="1"/>
  <c r="Q353" i="15" s="1"/>
  <c r="Q354" i="15" s="1"/>
  <c r="Q355" i="15" s="1"/>
  <c r="Q356" i="15" s="1"/>
  <c r="Q357" i="15" s="1"/>
  <c r="Q358" i="15" s="1"/>
  <c r="Q359" i="15" s="1"/>
  <c r="Q360" i="15" s="1"/>
  <c r="Q361" i="15" s="1"/>
  <c r="Q362" i="15" s="1"/>
  <c r="Q363" i="15" s="1"/>
  <c r="Q364" i="15" s="1"/>
  <c r="Q365" i="15" s="1"/>
  <c r="Q366" i="15" s="1"/>
  <c r="Q367" i="15" s="1"/>
  <c r="Q368" i="15" s="1"/>
  <c r="Q369" i="15" s="1"/>
  <c r="Q370" i="15" s="1"/>
  <c r="Q371" i="15" s="1"/>
  <c r="Q372" i="15" s="1"/>
  <c r="Q373" i="15" s="1"/>
  <c r="Q374" i="15" s="1"/>
  <c r="Q375" i="15" s="1"/>
  <c r="Q376" i="15" s="1"/>
  <c r="Q377" i="15" s="1"/>
  <c r="Q378" i="15" s="1"/>
  <c r="Q379" i="15" s="1"/>
  <c r="Q380" i="15" s="1"/>
  <c r="R2" i="15"/>
  <c r="S2" i="15"/>
  <c r="R3" i="15"/>
  <c r="S3" i="15"/>
  <c r="R4" i="15"/>
  <c r="S4" i="15"/>
  <c r="R5" i="15"/>
  <c r="S5" i="15"/>
  <c r="R6" i="15"/>
  <c r="S6" i="15"/>
  <c r="R7" i="15"/>
  <c r="S7" i="15"/>
  <c r="R8" i="15"/>
  <c r="S8" i="15"/>
  <c r="R9" i="15"/>
  <c r="S9" i="15"/>
  <c r="R10" i="15"/>
  <c r="S10" i="15"/>
  <c r="R11" i="15"/>
  <c r="S11" i="15"/>
  <c r="R12" i="15"/>
  <c r="S12" i="15"/>
  <c r="R13" i="15"/>
  <c r="S13" i="15"/>
  <c r="R14" i="15"/>
  <c r="S14" i="15"/>
  <c r="R15" i="15"/>
  <c r="S15" i="15"/>
  <c r="R16" i="15"/>
  <c r="S16" i="15"/>
  <c r="R17" i="15"/>
  <c r="S17" i="15"/>
  <c r="R18" i="15"/>
  <c r="S18" i="15"/>
  <c r="R19" i="15"/>
  <c r="S19" i="15"/>
  <c r="R20" i="15"/>
  <c r="S20" i="15"/>
  <c r="R21" i="15"/>
  <c r="S21" i="15"/>
  <c r="R22" i="15"/>
  <c r="S22" i="15"/>
  <c r="R23" i="15"/>
  <c r="S23" i="15"/>
  <c r="R24" i="15"/>
  <c r="S24" i="15"/>
  <c r="R25" i="15"/>
  <c r="S25" i="15"/>
  <c r="R26" i="15"/>
  <c r="S26" i="15"/>
  <c r="R27" i="15"/>
  <c r="S27" i="15"/>
  <c r="R28" i="15"/>
  <c r="S28" i="15"/>
  <c r="R29" i="15"/>
  <c r="S29" i="15"/>
  <c r="R30" i="15"/>
  <c r="S30" i="15"/>
  <c r="R31" i="15"/>
  <c r="S31" i="15"/>
  <c r="R32" i="15"/>
  <c r="S32" i="15"/>
  <c r="R33" i="15"/>
  <c r="S33" i="15"/>
  <c r="R34" i="15"/>
  <c r="S34" i="15"/>
  <c r="R35" i="15"/>
  <c r="S35" i="15"/>
  <c r="R36" i="15"/>
  <c r="S36" i="15"/>
  <c r="R37" i="15"/>
  <c r="S37" i="15"/>
  <c r="R38" i="15"/>
  <c r="S38" i="15"/>
  <c r="R39" i="15"/>
  <c r="S39" i="15"/>
  <c r="R40" i="15"/>
  <c r="S40" i="15"/>
  <c r="R41" i="15"/>
  <c r="S41" i="15"/>
  <c r="R42" i="15"/>
  <c r="S42" i="15"/>
  <c r="R43" i="15"/>
  <c r="S43" i="15"/>
  <c r="R44" i="15"/>
  <c r="S44" i="15"/>
  <c r="R45" i="15"/>
  <c r="S45" i="15"/>
  <c r="R46" i="15"/>
  <c r="S46" i="15"/>
  <c r="R47" i="15"/>
  <c r="S47" i="15"/>
  <c r="R48" i="15"/>
  <c r="S48" i="15"/>
  <c r="R49" i="15"/>
  <c r="S49" i="15"/>
  <c r="R50" i="15"/>
  <c r="S50" i="15"/>
  <c r="R51" i="15"/>
  <c r="S51" i="15"/>
  <c r="R52" i="15"/>
  <c r="S52" i="15"/>
  <c r="R53" i="15"/>
  <c r="S53" i="15"/>
  <c r="R54" i="15"/>
  <c r="S54" i="15"/>
  <c r="R55" i="15"/>
  <c r="S55" i="15"/>
  <c r="R56" i="15"/>
  <c r="S56" i="15"/>
  <c r="R57" i="15"/>
  <c r="S57" i="15"/>
  <c r="R58" i="15"/>
  <c r="S58" i="15"/>
  <c r="R59" i="15"/>
  <c r="S59" i="15"/>
  <c r="R60" i="15"/>
  <c r="S60" i="15"/>
  <c r="R61" i="15"/>
  <c r="S61" i="15"/>
  <c r="R62" i="15"/>
  <c r="S62" i="15"/>
  <c r="R63" i="15"/>
  <c r="S63" i="15"/>
  <c r="R64" i="15"/>
  <c r="S64" i="15"/>
  <c r="R65" i="15"/>
  <c r="S65" i="15"/>
  <c r="R66" i="15"/>
  <c r="S66" i="15"/>
  <c r="R67" i="15"/>
  <c r="S67" i="15"/>
  <c r="R68" i="15"/>
  <c r="S68" i="15"/>
  <c r="R69" i="15"/>
  <c r="S69" i="15"/>
  <c r="R70" i="15"/>
  <c r="S70" i="15"/>
  <c r="R71" i="15"/>
  <c r="S71" i="15"/>
  <c r="R72" i="15"/>
  <c r="S72" i="15"/>
  <c r="R73" i="15"/>
  <c r="S73" i="15"/>
  <c r="R74" i="15"/>
  <c r="S74" i="15"/>
  <c r="R75" i="15"/>
  <c r="S75" i="15"/>
  <c r="R76" i="15"/>
  <c r="S76" i="15"/>
  <c r="R77" i="15"/>
  <c r="S77" i="15"/>
  <c r="R78" i="15"/>
  <c r="S78" i="15"/>
  <c r="R79" i="15"/>
  <c r="S79" i="15"/>
  <c r="R80" i="15"/>
  <c r="S80" i="15"/>
  <c r="R81" i="15"/>
  <c r="S81" i="15"/>
  <c r="R82" i="15"/>
  <c r="S82" i="15"/>
  <c r="R83" i="15"/>
  <c r="S83" i="15"/>
  <c r="R84" i="15"/>
  <c r="S84" i="15"/>
  <c r="R85" i="15"/>
  <c r="S85" i="15"/>
  <c r="R86" i="15"/>
  <c r="S86" i="15"/>
  <c r="R87" i="15"/>
  <c r="S87" i="15"/>
  <c r="R88" i="15"/>
  <c r="S88" i="15"/>
  <c r="R89" i="15"/>
  <c r="S89" i="15"/>
  <c r="R90" i="15"/>
  <c r="S90" i="15"/>
  <c r="R91" i="15"/>
  <c r="S91" i="15"/>
  <c r="R92" i="15"/>
  <c r="S92" i="15"/>
  <c r="R93" i="15"/>
  <c r="S93" i="15"/>
  <c r="R94" i="15"/>
  <c r="S94" i="15"/>
  <c r="R95" i="15"/>
  <c r="S95" i="15"/>
  <c r="R96" i="15"/>
  <c r="S96" i="15"/>
  <c r="R97" i="15"/>
  <c r="S97" i="15"/>
  <c r="R98" i="15"/>
  <c r="S98" i="15"/>
  <c r="R99" i="15"/>
  <c r="S99" i="15"/>
  <c r="R100" i="15"/>
  <c r="S100" i="15"/>
  <c r="R101" i="15"/>
  <c r="S101" i="15"/>
  <c r="R102" i="15"/>
  <c r="S102" i="15"/>
  <c r="R103" i="15"/>
  <c r="S103" i="15"/>
  <c r="R104" i="15"/>
  <c r="S104" i="15"/>
  <c r="R105" i="15"/>
  <c r="S105" i="15"/>
  <c r="R106" i="15"/>
  <c r="S106" i="15"/>
  <c r="R107" i="15"/>
  <c r="S107" i="15"/>
  <c r="R108" i="15"/>
  <c r="S108" i="15"/>
  <c r="R109" i="15"/>
  <c r="S109" i="15"/>
  <c r="R110" i="15"/>
  <c r="S110" i="15"/>
  <c r="R111" i="15"/>
  <c r="S111" i="15"/>
  <c r="R112" i="15"/>
  <c r="S112" i="15"/>
  <c r="R113" i="15"/>
  <c r="S113" i="15"/>
  <c r="R114" i="15"/>
  <c r="S114" i="15"/>
  <c r="R115" i="15"/>
  <c r="S115" i="15"/>
  <c r="R116" i="15"/>
  <c r="S116" i="15"/>
  <c r="R117" i="15"/>
  <c r="S117" i="15"/>
  <c r="R118" i="15"/>
  <c r="S118" i="15"/>
  <c r="R119" i="15"/>
  <c r="S119" i="15"/>
  <c r="R120" i="15"/>
  <c r="S120" i="15"/>
  <c r="R121" i="15"/>
  <c r="S121" i="15"/>
  <c r="R122" i="15"/>
  <c r="S122" i="15"/>
  <c r="R123" i="15"/>
  <c r="S123" i="15"/>
  <c r="R124" i="15"/>
  <c r="S124" i="15"/>
  <c r="R125" i="15"/>
  <c r="S125" i="15"/>
  <c r="R126" i="15"/>
  <c r="S126" i="15"/>
  <c r="R127" i="15"/>
  <c r="S127" i="15"/>
  <c r="R128" i="15"/>
  <c r="S128" i="15"/>
  <c r="R129" i="15"/>
  <c r="S129" i="15"/>
  <c r="R130" i="15"/>
  <c r="S130" i="15"/>
  <c r="R131" i="15"/>
  <c r="S131" i="15"/>
  <c r="R132" i="15"/>
  <c r="S132" i="15"/>
  <c r="R133" i="15"/>
  <c r="S133" i="15"/>
  <c r="R134" i="15"/>
  <c r="S134" i="15"/>
  <c r="R135" i="15"/>
  <c r="S135" i="15"/>
  <c r="R136" i="15"/>
  <c r="S136" i="15"/>
  <c r="R137" i="15"/>
  <c r="S137" i="15"/>
  <c r="R138" i="15"/>
  <c r="S138" i="15"/>
  <c r="R139" i="15"/>
  <c r="S139" i="15"/>
  <c r="R140" i="15"/>
  <c r="S140" i="15"/>
  <c r="R141" i="15"/>
  <c r="S141" i="15"/>
  <c r="R142" i="15"/>
  <c r="S142" i="15"/>
  <c r="R143" i="15"/>
  <c r="S143" i="15"/>
  <c r="R144" i="15"/>
  <c r="S144" i="15"/>
  <c r="R145" i="15"/>
  <c r="S145" i="15"/>
  <c r="R146" i="15"/>
  <c r="S146" i="15"/>
  <c r="R147" i="15"/>
  <c r="S147" i="15"/>
  <c r="R148" i="15"/>
  <c r="S148" i="15"/>
  <c r="R149" i="15"/>
  <c r="S149" i="15"/>
  <c r="R150" i="15"/>
  <c r="S150" i="15"/>
  <c r="R151" i="15"/>
  <c r="S151" i="15"/>
  <c r="R152" i="15"/>
  <c r="S152" i="15"/>
  <c r="R153" i="15"/>
  <c r="S153" i="15"/>
  <c r="R154" i="15"/>
  <c r="S154" i="15"/>
  <c r="R155" i="15"/>
  <c r="S155" i="15"/>
  <c r="R156" i="15"/>
  <c r="S156" i="15"/>
  <c r="R157" i="15"/>
  <c r="S157" i="15"/>
  <c r="R158" i="15"/>
  <c r="S158" i="15"/>
  <c r="R159" i="15"/>
  <c r="S159" i="15"/>
  <c r="R160" i="15"/>
  <c r="S160" i="15"/>
  <c r="R161" i="15"/>
  <c r="S161" i="15"/>
  <c r="R162" i="15"/>
  <c r="S162" i="15"/>
  <c r="R163" i="15"/>
  <c r="S163" i="15"/>
  <c r="R164" i="15"/>
  <c r="S164" i="15"/>
  <c r="R165" i="15"/>
  <c r="S165" i="15"/>
  <c r="R166" i="15"/>
  <c r="S166" i="15"/>
  <c r="R167" i="15"/>
  <c r="S167" i="15"/>
  <c r="R168" i="15"/>
  <c r="S168" i="15"/>
  <c r="R169" i="15"/>
  <c r="S169" i="15"/>
  <c r="R170" i="15"/>
  <c r="S170" i="15"/>
  <c r="R171" i="15"/>
  <c r="S171" i="15"/>
  <c r="R172" i="15"/>
  <c r="S172" i="15"/>
  <c r="R173" i="15"/>
  <c r="S173" i="15"/>
  <c r="R174" i="15"/>
  <c r="S174" i="15"/>
  <c r="R175" i="15"/>
  <c r="S175" i="15"/>
  <c r="R176" i="15"/>
  <c r="S176" i="15"/>
  <c r="R177" i="15"/>
  <c r="S177" i="15"/>
  <c r="R178" i="15"/>
  <c r="S178" i="15"/>
  <c r="R179" i="15"/>
  <c r="S179" i="15"/>
  <c r="R180" i="15"/>
  <c r="S180" i="15"/>
  <c r="R181" i="15"/>
  <c r="S181" i="15"/>
  <c r="R182" i="15"/>
  <c r="S182" i="15"/>
  <c r="R183" i="15"/>
  <c r="S183" i="15"/>
  <c r="R184" i="15"/>
  <c r="S184" i="15"/>
  <c r="R185" i="15"/>
  <c r="S185" i="15"/>
  <c r="R186" i="15"/>
  <c r="S186" i="15"/>
  <c r="R187" i="15"/>
  <c r="S187" i="15"/>
  <c r="R188" i="15"/>
  <c r="S188" i="15"/>
  <c r="R189" i="15"/>
  <c r="S189" i="15"/>
  <c r="R190" i="15"/>
  <c r="S190" i="15"/>
  <c r="R191" i="15"/>
  <c r="S191" i="15"/>
  <c r="R192" i="15"/>
  <c r="S192" i="15"/>
  <c r="R193" i="15"/>
  <c r="S193" i="15"/>
  <c r="R194" i="15"/>
  <c r="S194" i="15"/>
  <c r="R195" i="15"/>
  <c r="S195" i="15"/>
  <c r="R196" i="15"/>
  <c r="S196" i="15"/>
  <c r="R197" i="15"/>
  <c r="S197" i="15"/>
  <c r="R198" i="15"/>
  <c r="S198" i="15"/>
  <c r="R199" i="15"/>
  <c r="S199" i="15"/>
  <c r="R200" i="15"/>
  <c r="S200" i="15"/>
  <c r="R201" i="15"/>
  <c r="S201" i="15"/>
  <c r="R202" i="15"/>
  <c r="S202" i="15"/>
  <c r="R203" i="15"/>
  <c r="S203" i="15"/>
  <c r="R204" i="15"/>
  <c r="S204" i="15"/>
  <c r="R205" i="15"/>
  <c r="S205" i="15"/>
  <c r="R206" i="15"/>
  <c r="S206" i="15"/>
  <c r="R207" i="15"/>
  <c r="S207" i="15"/>
  <c r="R208" i="15"/>
  <c r="S208" i="15"/>
  <c r="R209" i="15"/>
  <c r="S209" i="15"/>
  <c r="R210" i="15"/>
  <c r="S210" i="15"/>
  <c r="R211" i="15"/>
  <c r="S211" i="15"/>
  <c r="R212" i="15"/>
  <c r="S212" i="15"/>
  <c r="R213" i="15"/>
  <c r="S213" i="15"/>
  <c r="R214" i="15"/>
  <c r="S214" i="15"/>
  <c r="R215" i="15"/>
  <c r="S215" i="15"/>
  <c r="R216" i="15"/>
  <c r="S216" i="15"/>
  <c r="R217" i="15"/>
  <c r="S217" i="15"/>
  <c r="R218" i="15"/>
  <c r="S218" i="15"/>
  <c r="R219" i="15"/>
  <c r="S219" i="15"/>
  <c r="R220" i="15"/>
  <c r="S220" i="15"/>
  <c r="R221" i="15"/>
  <c r="S221" i="15"/>
  <c r="R222" i="15"/>
  <c r="S222" i="15"/>
  <c r="R223" i="15"/>
  <c r="S223" i="15"/>
  <c r="R224" i="15"/>
  <c r="S224" i="15"/>
  <c r="R225" i="15"/>
  <c r="S225" i="15"/>
  <c r="R226" i="15"/>
  <c r="S226" i="15"/>
  <c r="R227" i="15"/>
  <c r="S227" i="15"/>
  <c r="R228" i="15"/>
  <c r="S228" i="15"/>
  <c r="R229" i="15"/>
  <c r="S229" i="15"/>
  <c r="R230" i="15"/>
  <c r="S230" i="15"/>
  <c r="R231" i="15"/>
  <c r="S231" i="15"/>
  <c r="R232" i="15"/>
  <c r="S232" i="15"/>
  <c r="R233" i="15"/>
  <c r="S233" i="15"/>
  <c r="R234" i="15"/>
  <c r="S234" i="15"/>
  <c r="R235" i="15"/>
  <c r="S235" i="15"/>
  <c r="R236" i="15"/>
  <c r="S236" i="15"/>
  <c r="R237" i="15"/>
  <c r="S237" i="15"/>
  <c r="R238" i="15"/>
  <c r="S238" i="15"/>
  <c r="R239" i="15"/>
  <c r="S239" i="15"/>
  <c r="R240" i="15"/>
  <c r="S240" i="15"/>
  <c r="R241" i="15"/>
  <c r="S241" i="15"/>
  <c r="R242" i="15"/>
  <c r="S242" i="15"/>
  <c r="R243" i="15"/>
  <c r="S243" i="15"/>
  <c r="R244" i="15"/>
  <c r="S244" i="15"/>
  <c r="R245" i="15"/>
  <c r="S245" i="15"/>
  <c r="R246" i="15"/>
  <c r="S246" i="15"/>
  <c r="R247" i="15"/>
  <c r="S247" i="15"/>
  <c r="R248" i="15"/>
  <c r="S248" i="15"/>
  <c r="R249" i="15"/>
  <c r="S249" i="15"/>
  <c r="R250" i="15"/>
  <c r="S250" i="15"/>
  <c r="R251" i="15"/>
  <c r="S251" i="15"/>
  <c r="R252" i="15"/>
  <c r="S252" i="15"/>
  <c r="R253" i="15"/>
  <c r="S253" i="15"/>
  <c r="R254" i="15"/>
  <c r="S254" i="15"/>
  <c r="R255" i="15"/>
  <c r="S255" i="15"/>
  <c r="R256" i="15"/>
  <c r="S256" i="15"/>
  <c r="R257" i="15"/>
  <c r="S257" i="15"/>
  <c r="R258" i="15"/>
  <c r="S258" i="15"/>
  <c r="R259" i="15"/>
  <c r="S259" i="15"/>
  <c r="R260" i="15"/>
  <c r="S260" i="15"/>
  <c r="R261" i="15"/>
  <c r="S261" i="15"/>
  <c r="R262" i="15"/>
  <c r="S262" i="15"/>
  <c r="R263" i="15"/>
  <c r="S263" i="15"/>
  <c r="R264" i="15"/>
  <c r="S264" i="15"/>
  <c r="R265" i="15"/>
  <c r="S265" i="15"/>
  <c r="R266" i="15"/>
  <c r="S266" i="15"/>
  <c r="R267" i="15"/>
  <c r="S267" i="15"/>
  <c r="R268" i="15"/>
  <c r="S268" i="15"/>
  <c r="R269" i="15"/>
  <c r="S269" i="15"/>
  <c r="R270" i="15"/>
  <c r="S270" i="15"/>
  <c r="R271" i="15"/>
  <c r="S271" i="15"/>
  <c r="R272" i="15"/>
  <c r="S272" i="15"/>
  <c r="R273" i="15"/>
  <c r="S273" i="15"/>
  <c r="R274" i="15"/>
  <c r="S274" i="15"/>
  <c r="R275" i="15"/>
  <c r="S275" i="15"/>
  <c r="R276" i="15"/>
  <c r="S276" i="15"/>
  <c r="R277" i="15"/>
  <c r="S277" i="15"/>
  <c r="R278" i="15"/>
  <c r="S278" i="15"/>
  <c r="R279" i="15"/>
  <c r="S279" i="15"/>
  <c r="R280" i="15"/>
  <c r="S280" i="15"/>
  <c r="R281" i="15"/>
  <c r="S281" i="15"/>
  <c r="R282" i="15"/>
  <c r="S282" i="15"/>
  <c r="R283" i="15"/>
  <c r="S283" i="15"/>
  <c r="R284" i="15"/>
  <c r="S284" i="15"/>
  <c r="R285" i="15"/>
  <c r="S285" i="15"/>
  <c r="R286" i="15"/>
  <c r="S286" i="15"/>
  <c r="R287" i="15"/>
  <c r="S287" i="15"/>
  <c r="R288" i="15"/>
  <c r="S288" i="15"/>
  <c r="R289" i="15"/>
  <c r="S289" i="15"/>
  <c r="R290" i="15"/>
  <c r="S290" i="15"/>
  <c r="R291" i="15"/>
  <c r="S291" i="15"/>
  <c r="R292" i="15"/>
  <c r="S292" i="15"/>
  <c r="R293" i="15"/>
  <c r="S293" i="15"/>
  <c r="R294" i="15"/>
  <c r="S294" i="15"/>
  <c r="R295" i="15"/>
  <c r="S295" i="15"/>
  <c r="R296" i="15"/>
  <c r="S296" i="15"/>
  <c r="R297" i="15"/>
  <c r="S297" i="15"/>
  <c r="R298" i="15"/>
  <c r="S298" i="15"/>
  <c r="R299" i="15"/>
  <c r="S299" i="15"/>
  <c r="R300" i="15"/>
  <c r="S300" i="15"/>
  <c r="R301" i="15"/>
  <c r="S301" i="15"/>
  <c r="R302" i="15"/>
  <c r="S302" i="15"/>
  <c r="R303" i="15"/>
  <c r="S303" i="15"/>
  <c r="R304" i="15"/>
  <c r="S304" i="15"/>
  <c r="R305" i="15"/>
  <c r="S305" i="15"/>
  <c r="R306" i="15"/>
  <c r="S306" i="15"/>
  <c r="R307" i="15"/>
  <c r="S307" i="15"/>
  <c r="R308" i="15"/>
  <c r="S308" i="15"/>
  <c r="R309" i="15"/>
  <c r="S309" i="15"/>
  <c r="R310" i="15"/>
  <c r="S310" i="15"/>
  <c r="R311" i="15"/>
  <c r="S311" i="15"/>
  <c r="R312" i="15"/>
  <c r="S312" i="15"/>
  <c r="R313" i="15"/>
  <c r="S313" i="15"/>
  <c r="R314" i="15"/>
  <c r="S314" i="15"/>
  <c r="R315" i="15"/>
  <c r="S315" i="15"/>
  <c r="R316" i="15"/>
  <c r="S316" i="15"/>
  <c r="R317" i="15"/>
  <c r="S317" i="15"/>
  <c r="R318" i="15"/>
  <c r="S318" i="15"/>
  <c r="R319" i="15"/>
  <c r="S319" i="15"/>
  <c r="R320" i="15"/>
  <c r="S320" i="15"/>
  <c r="R321" i="15"/>
  <c r="S321" i="15"/>
  <c r="R322" i="15"/>
  <c r="S322" i="15"/>
  <c r="R323" i="15"/>
  <c r="S323" i="15"/>
  <c r="R324" i="15"/>
  <c r="S324" i="15"/>
  <c r="R325" i="15"/>
  <c r="S325" i="15"/>
  <c r="R326" i="15"/>
  <c r="S326" i="15"/>
  <c r="R327" i="15"/>
  <c r="S327" i="15"/>
  <c r="R328" i="15"/>
  <c r="S328" i="15"/>
  <c r="R329" i="15"/>
  <c r="S329" i="15"/>
  <c r="R330" i="15"/>
  <c r="S330" i="15"/>
  <c r="R331" i="15"/>
  <c r="S331" i="15"/>
  <c r="R332" i="15"/>
  <c r="S332" i="15"/>
  <c r="R333" i="15"/>
  <c r="S333" i="15"/>
  <c r="R334" i="15"/>
  <c r="S334" i="15"/>
  <c r="R335" i="15"/>
  <c r="S335" i="15"/>
  <c r="R336" i="15"/>
  <c r="S336" i="15"/>
  <c r="R337" i="15"/>
  <c r="S337" i="15"/>
  <c r="R338" i="15"/>
  <c r="S338" i="15"/>
  <c r="R339" i="15"/>
  <c r="S339" i="15"/>
  <c r="R340" i="15"/>
  <c r="S340" i="15"/>
  <c r="R341" i="15"/>
  <c r="S341" i="15"/>
  <c r="R342" i="15"/>
  <c r="S342" i="15"/>
  <c r="R343" i="15"/>
  <c r="S343" i="15"/>
  <c r="R344" i="15"/>
  <c r="S344" i="15"/>
  <c r="R345" i="15"/>
  <c r="S345" i="15"/>
  <c r="R346" i="15"/>
  <c r="S346" i="15"/>
  <c r="R347" i="15"/>
  <c r="S347" i="15"/>
  <c r="R348" i="15"/>
  <c r="S348" i="15"/>
  <c r="R349" i="15"/>
  <c r="S349" i="15"/>
  <c r="R350" i="15"/>
  <c r="S350" i="15"/>
  <c r="R351" i="15"/>
  <c r="S351" i="15"/>
  <c r="R352" i="15"/>
  <c r="S352" i="15"/>
  <c r="R353" i="15"/>
  <c r="S353" i="15"/>
  <c r="R354" i="15"/>
  <c r="S354" i="15"/>
  <c r="R355" i="15"/>
  <c r="S355" i="15"/>
  <c r="R356" i="15"/>
  <c r="S356" i="15"/>
  <c r="R357" i="15"/>
  <c r="S357" i="15"/>
  <c r="R358" i="15"/>
  <c r="S358" i="15"/>
  <c r="R359" i="15"/>
  <c r="S359" i="15"/>
  <c r="R360" i="15"/>
  <c r="S360" i="15"/>
  <c r="R361" i="15"/>
  <c r="S361" i="15"/>
  <c r="R362" i="15"/>
  <c r="S362" i="15"/>
  <c r="R363" i="15"/>
  <c r="S363" i="15"/>
  <c r="R364" i="15"/>
  <c r="S364" i="15"/>
  <c r="R365" i="15"/>
  <c r="S365" i="15"/>
  <c r="R366" i="15"/>
  <c r="S366" i="15"/>
  <c r="R367" i="15"/>
  <c r="S367" i="15"/>
  <c r="R368" i="15"/>
  <c r="S368" i="15"/>
  <c r="R369" i="15"/>
  <c r="S369" i="15"/>
  <c r="R370" i="15"/>
  <c r="S370" i="15"/>
  <c r="R371" i="15"/>
  <c r="S371" i="15"/>
  <c r="R372" i="15"/>
  <c r="S372" i="15"/>
  <c r="R373" i="15"/>
  <c r="S373" i="15"/>
  <c r="R374" i="15"/>
  <c r="S374" i="15"/>
  <c r="R375" i="15"/>
  <c r="S375" i="15"/>
  <c r="R376" i="15"/>
  <c r="S376" i="15"/>
  <c r="R377" i="15"/>
  <c r="S377" i="15"/>
  <c r="R378" i="15"/>
  <c r="S378" i="15"/>
  <c r="R379" i="15"/>
  <c r="S379" i="15"/>
  <c r="R380" i="15"/>
  <c r="S380" i="15"/>
  <c r="J381" i="15"/>
  <c r="O381" i="15" s="1"/>
  <c r="N381" i="15"/>
  <c r="R381" i="15"/>
  <c r="S381" i="15"/>
  <c r="R382" i="15"/>
  <c r="S382" i="15"/>
  <c r="R383" i="15"/>
  <c r="S383" i="15"/>
  <c r="R384" i="15"/>
  <c r="S384" i="15"/>
  <c r="R385" i="15"/>
  <c r="S385" i="15"/>
  <c r="R386" i="15"/>
  <c r="S386" i="15"/>
  <c r="R387" i="15"/>
  <c r="S387" i="15"/>
  <c r="R388" i="15"/>
  <c r="S388" i="15"/>
  <c r="R389" i="15"/>
  <c r="S389" i="15"/>
  <c r="R390" i="15"/>
  <c r="S390" i="15"/>
  <c r="R391" i="15"/>
  <c r="S391" i="15"/>
  <c r="R392" i="15"/>
  <c r="S392" i="15"/>
  <c r="R393" i="15"/>
  <c r="S393" i="15"/>
  <c r="R394" i="15"/>
  <c r="S394" i="15"/>
  <c r="R395" i="15"/>
  <c r="S395" i="15"/>
  <c r="R396" i="15"/>
  <c r="S396" i="15"/>
  <c r="R397" i="15"/>
  <c r="S397" i="15"/>
  <c r="R398" i="15"/>
  <c r="S398" i="15"/>
  <c r="R399" i="15"/>
  <c r="S399" i="15"/>
  <c r="R400" i="15"/>
  <c r="S400" i="15"/>
  <c r="R401" i="15"/>
  <c r="S401" i="15"/>
  <c r="R402" i="15"/>
  <c r="S402" i="15"/>
  <c r="R403" i="15"/>
  <c r="S403" i="15"/>
  <c r="R404" i="15"/>
  <c r="S404" i="15"/>
  <c r="R405" i="15"/>
  <c r="S405" i="15"/>
  <c r="R406" i="15"/>
  <c r="S406" i="15"/>
  <c r="R407" i="15"/>
  <c r="S407" i="15"/>
  <c r="R408" i="15"/>
  <c r="S408" i="15"/>
  <c r="R409" i="15"/>
  <c r="S409" i="15"/>
  <c r="R410" i="15"/>
  <c r="S410" i="15"/>
  <c r="R411" i="15"/>
  <c r="S411" i="15"/>
  <c r="R412" i="15"/>
  <c r="S412" i="15"/>
  <c r="R413" i="15"/>
  <c r="S413" i="15"/>
  <c r="R414" i="15"/>
  <c r="S414" i="15"/>
  <c r="R415" i="15"/>
  <c r="S415" i="15"/>
  <c r="R416" i="15"/>
  <c r="S416" i="15"/>
  <c r="R417" i="15"/>
  <c r="S417" i="15"/>
  <c r="R418" i="15"/>
  <c r="S418" i="15"/>
  <c r="R419" i="15"/>
  <c r="S419" i="15"/>
  <c r="R420" i="15"/>
  <c r="S420" i="15"/>
  <c r="R421" i="15"/>
  <c r="S421" i="15"/>
  <c r="R422" i="15"/>
  <c r="S422" i="15"/>
  <c r="R423" i="15"/>
  <c r="S423" i="15"/>
  <c r="R424" i="15"/>
  <c r="S424" i="15"/>
  <c r="R425" i="15"/>
  <c r="S425" i="15"/>
  <c r="R426" i="15"/>
  <c r="S426" i="15"/>
  <c r="R427" i="15"/>
  <c r="S427" i="15"/>
  <c r="R428" i="15"/>
  <c r="S428" i="15"/>
  <c r="R429" i="15"/>
  <c r="S429" i="15"/>
  <c r="R430" i="15"/>
  <c r="S430" i="15"/>
  <c r="R431" i="15"/>
  <c r="S431" i="15"/>
  <c r="R432" i="15"/>
  <c r="S432" i="15"/>
  <c r="R433" i="15"/>
  <c r="S433" i="15"/>
  <c r="R434" i="15"/>
  <c r="S434" i="15"/>
  <c r="R435" i="15"/>
  <c r="S435" i="15"/>
  <c r="R436" i="15"/>
  <c r="S436" i="15"/>
  <c r="R437" i="15"/>
  <c r="S437" i="15"/>
  <c r="R438" i="15"/>
  <c r="S438" i="15"/>
  <c r="R439" i="15"/>
  <c r="S439" i="15"/>
  <c r="R440" i="15"/>
  <c r="S440" i="15"/>
  <c r="R441" i="15"/>
  <c r="S441" i="15"/>
  <c r="R442" i="15"/>
  <c r="S442" i="15"/>
  <c r="R443" i="15"/>
  <c r="S443" i="15"/>
  <c r="R444" i="15"/>
  <c r="S444" i="15"/>
  <c r="R445" i="15"/>
  <c r="S445" i="15"/>
  <c r="R446" i="15"/>
  <c r="S446" i="15"/>
  <c r="R447" i="15"/>
  <c r="S447" i="15"/>
  <c r="M448" i="15"/>
  <c r="N448" i="15"/>
  <c r="O448" i="15"/>
  <c r="P448" i="15" s="1"/>
  <c r="R448" i="15"/>
  <c r="S448" i="15"/>
  <c r="M449" i="15"/>
  <c r="N449" i="15"/>
  <c r="O449" i="15"/>
  <c r="R449" i="15"/>
  <c r="S449" i="15"/>
  <c r="M450" i="15"/>
  <c r="N450" i="15"/>
  <c r="O450" i="15"/>
  <c r="P450" i="15" s="1"/>
  <c r="R450" i="15"/>
  <c r="S450" i="15"/>
  <c r="R451" i="15"/>
  <c r="S451" i="15"/>
  <c r="R452" i="15"/>
  <c r="S452" i="15"/>
  <c r="R453" i="15"/>
  <c r="S453" i="15"/>
  <c r="R454" i="15"/>
  <c r="S454" i="15"/>
  <c r="R455" i="15"/>
  <c r="S455" i="15"/>
  <c r="M456" i="15"/>
  <c r="N456" i="15"/>
  <c r="O456" i="15"/>
  <c r="P456" i="15" s="1"/>
  <c r="R456" i="15"/>
  <c r="S456" i="15"/>
  <c r="R457" i="15"/>
  <c r="S457" i="15"/>
  <c r="R458" i="15"/>
  <c r="S458" i="15"/>
  <c r="R459" i="15"/>
  <c r="S459" i="15"/>
  <c r="R460" i="15"/>
  <c r="S460" i="15"/>
  <c r="R461" i="15"/>
  <c r="S461" i="15"/>
  <c r="R462" i="15"/>
  <c r="S462" i="15"/>
  <c r="R463" i="15"/>
  <c r="S463" i="15"/>
  <c r="R464" i="15"/>
  <c r="S464" i="15"/>
  <c r="R465" i="15"/>
  <c r="S465" i="15"/>
  <c r="R466" i="15"/>
  <c r="S466" i="15"/>
  <c r="R467" i="15"/>
  <c r="S467" i="15"/>
  <c r="R468" i="15"/>
  <c r="S468" i="15"/>
  <c r="R469" i="15"/>
  <c r="S469" i="15"/>
  <c r="R470" i="15"/>
  <c r="S470" i="15"/>
  <c r="R471" i="15"/>
  <c r="S471" i="15"/>
  <c r="R472" i="15"/>
  <c r="S472" i="15"/>
  <c r="L473" i="15"/>
  <c r="O473" i="15" s="1"/>
  <c r="P473" i="15" s="1"/>
  <c r="M473" i="15"/>
  <c r="R473" i="15"/>
  <c r="S473" i="15"/>
  <c r="R474" i="15"/>
  <c r="S474" i="15"/>
  <c r="R475" i="15"/>
  <c r="S475" i="15"/>
  <c r="R476" i="15"/>
  <c r="S476" i="15"/>
  <c r="R477" i="15"/>
  <c r="S477" i="15"/>
  <c r="R478" i="15"/>
  <c r="S478" i="15"/>
  <c r="R479" i="15"/>
  <c r="S479" i="15"/>
  <c r="R480" i="15"/>
  <c r="S480" i="15"/>
  <c r="R481" i="15"/>
  <c r="S481" i="15"/>
  <c r="R482" i="15"/>
  <c r="S482" i="15"/>
  <c r="R483" i="15"/>
  <c r="S483" i="15"/>
  <c r="R484" i="15"/>
  <c r="S484" i="15"/>
  <c r="R485" i="15"/>
  <c r="S485" i="15"/>
  <c r="R486" i="15"/>
  <c r="S486" i="15"/>
  <c r="R487" i="15"/>
  <c r="S487" i="15"/>
  <c r="M488" i="15"/>
  <c r="N488" i="15"/>
  <c r="O488" i="15"/>
  <c r="P488" i="15" s="1"/>
  <c r="R488" i="15"/>
  <c r="S488" i="15"/>
  <c r="R489" i="15"/>
  <c r="S489" i="15"/>
  <c r="R490" i="15"/>
  <c r="S490" i="15"/>
  <c r="R491" i="15"/>
  <c r="S491" i="15"/>
  <c r="R492" i="15"/>
  <c r="S492" i="15"/>
  <c r="R493" i="15"/>
  <c r="S493" i="15"/>
  <c r="R494" i="15"/>
  <c r="S494" i="15"/>
  <c r="R495" i="15"/>
  <c r="S495" i="15"/>
  <c r="R496" i="15"/>
  <c r="S496" i="15"/>
  <c r="R497" i="15"/>
  <c r="S497" i="15"/>
  <c r="R498" i="15"/>
  <c r="S498" i="15"/>
  <c r="R499" i="15"/>
  <c r="S499" i="15"/>
  <c r="R500" i="15"/>
  <c r="S500" i="15"/>
  <c r="R501" i="15"/>
  <c r="S501" i="15"/>
  <c r="R502" i="15"/>
  <c r="S502" i="15"/>
  <c r="R503" i="15"/>
  <c r="S503" i="15"/>
  <c r="R504" i="15"/>
  <c r="S504" i="15"/>
  <c r="R505" i="15"/>
  <c r="S505" i="15"/>
  <c r="R506" i="15"/>
  <c r="S506" i="15"/>
  <c r="R507" i="15"/>
  <c r="S507" i="15"/>
  <c r="R508" i="15"/>
  <c r="S508" i="15"/>
  <c r="R509" i="15"/>
  <c r="S509" i="15"/>
  <c r="M510" i="15"/>
  <c r="N510" i="15"/>
  <c r="O510" i="15"/>
  <c r="R510" i="15"/>
  <c r="S510" i="15"/>
  <c r="M511" i="15"/>
  <c r="N511" i="15"/>
  <c r="O511" i="15"/>
  <c r="P511" i="15" s="1"/>
  <c r="R511" i="15"/>
  <c r="S511" i="15"/>
  <c r="R512" i="15"/>
  <c r="S512" i="15"/>
  <c r="R513" i="15"/>
  <c r="S513" i="15"/>
  <c r="R514" i="15"/>
  <c r="S514" i="15"/>
  <c r="R515" i="15"/>
  <c r="S515" i="15"/>
  <c r="R516" i="15"/>
  <c r="S516" i="15"/>
  <c r="R517" i="15"/>
  <c r="S517" i="15"/>
  <c r="R518" i="15"/>
  <c r="S518" i="15"/>
  <c r="J519" i="15"/>
  <c r="M519" i="15" s="1"/>
  <c r="N519" i="15"/>
  <c r="R519" i="15"/>
  <c r="S519" i="15"/>
  <c r="R520" i="15"/>
  <c r="S520" i="15"/>
  <c r="R521" i="15"/>
  <c r="S521" i="15"/>
  <c r="R522" i="15"/>
  <c r="S522" i="15"/>
  <c r="R523" i="15"/>
  <c r="S523" i="15"/>
  <c r="R524" i="15"/>
  <c r="S524" i="15"/>
  <c r="R525" i="15"/>
  <c r="S525" i="15"/>
  <c r="R526" i="15"/>
  <c r="S526" i="15"/>
  <c r="R527" i="15"/>
  <c r="S527" i="15"/>
  <c r="R528" i="15"/>
  <c r="S528" i="15"/>
  <c r="M529" i="15"/>
  <c r="N529" i="15"/>
  <c r="O529" i="15"/>
  <c r="P529" i="15" s="1"/>
  <c r="R529" i="15"/>
  <c r="S529" i="15"/>
  <c r="R530" i="15"/>
  <c r="S530" i="15"/>
  <c r="J531" i="15"/>
  <c r="M531" i="15" s="1"/>
  <c r="N531" i="15"/>
  <c r="R531" i="15"/>
  <c r="S531" i="15"/>
  <c r="R532" i="15"/>
  <c r="S532" i="15"/>
  <c r="R533" i="15"/>
  <c r="S533" i="15"/>
  <c r="R534" i="15"/>
  <c r="S534" i="15"/>
  <c r="R535" i="15"/>
  <c r="S535" i="15"/>
  <c r="R536" i="15"/>
  <c r="S536" i="15"/>
  <c r="R537" i="15"/>
  <c r="S537" i="15"/>
  <c r="R538" i="15"/>
  <c r="S538" i="15"/>
  <c r="R539" i="15"/>
  <c r="S539" i="15"/>
  <c r="R540" i="15"/>
  <c r="S540" i="15"/>
  <c r="R541" i="15"/>
  <c r="S541" i="15"/>
  <c r="J542" i="15"/>
  <c r="M542" i="15" s="1"/>
  <c r="N542" i="15"/>
  <c r="R542" i="15"/>
  <c r="S542" i="15"/>
  <c r="R543" i="15"/>
  <c r="S543" i="15"/>
  <c r="R544" i="15"/>
  <c r="S544" i="15"/>
  <c r="R545" i="15"/>
  <c r="S545" i="15"/>
  <c r="R546" i="15"/>
  <c r="S546" i="15"/>
  <c r="R547" i="15"/>
  <c r="S547" i="15"/>
  <c r="R548" i="15"/>
  <c r="S548" i="15"/>
  <c r="R549" i="15"/>
  <c r="S549" i="15"/>
  <c r="R550" i="15"/>
  <c r="S550" i="15"/>
  <c r="R551" i="15"/>
  <c r="S551" i="15"/>
  <c r="R552" i="15"/>
  <c r="S552" i="15"/>
  <c r="R553" i="15"/>
  <c r="S553" i="15"/>
  <c r="R554" i="15"/>
  <c r="S554" i="15"/>
  <c r="R555" i="15"/>
  <c r="S555" i="15"/>
  <c r="R556" i="15"/>
  <c r="S556" i="15"/>
  <c r="R557" i="15"/>
  <c r="S557" i="15"/>
  <c r="R558" i="15"/>
  <c r="S558" i="15"/>
  <c r="R559" i="15"/>
  <c r="S559" i="15"/>
  <c r="R560" i="15"/>
  <c r="S560" i="15"/>
  <c r="R561" i="15"/>
  <c r="S561" i="15"/>
  <c r="R562" i="15"/>
  <c r="S562" i="15"/>
  <c r="R563" i="15"/>
  <c r="S563" i="15"/>
  <c r="R564" i="15"/>
  <c r="S564" i="15"/>
  <c r="L565" i="15"/>
  <c r="O565" i="15" s="1"/>
  <c r="P565" i="15" s="1"/>
  <c r="M565" i="15"/>
  <c r="R565" i="15"/>
  <c r="S565" i="15"/>
  <c r="R566" i="15"/>
  <c r="S566" i="15"/>
  <c r="R567" i="15"/>
  <c r="S567" i="15"/>
  <c r="R568" i="15"/>
  <c r="S568" i="15"/>
  <c r="R569" i="15"/>
  <c r="S569" i="15"/>
  <c r="L570" i="15"/>
  <c r="O570" i="15" s="1"/>
  <c r="P570" i="15" s="1"/>
  <c r="M570" i="15"/>
  <c r="N570" i="15"/>
  <c r="R570" i="15"/>
  <c r="S570" i="15"/>
  <c r="R571" i="15"/>
  <c r="S571" i="15"/>
  <c r="R572" i="15"/>
  <c r="S572" i="15"/>
  <c r="R573" i="15"/>
  <c r="S573" i="15"/>
  <c r="R574" i="15"/>
  <c r="S574" i="15"/>
  <c r="R575" i="15"/>
  <c r="S575" i="15"/>
  <c r="R576" i="15"/>
  <c r="S576" i="15"/>
  <c r="R577" i="15"/>
  <c r="S577" i="15"/>
  <c r="R578" i="15"/>
  <c r="S578" i="15"/>
  <c r="R579" i="15"/>
  <c r="S579" i="15"/>
  <c r="R580" i="15"/>
  <c r="S580" i="15"/>
  <c r="R581" i="15"/>
  <c r="S581" i="15"/>
  <c r="M582" i="15"/>
  <c r="N582" i="15"/>
  <c r="O582" i="15"/>
  <c r="P582" i="15" s="1"/>
  <c r="R582" i="15"/>
  <c r="S582" i="15"/>
  <c r="R583" i="15"/>
  <c r="S583" i="15"/>
  <c r="M584" i="15"/>
  <c r="N584" i="15"/>
  <c r="O584" i="15"/>
  <c r="P584" i="15" s="1"/>
  <c r="R584" i="15"/>
  <c r="S584" i="15"/>
  <c r="R585" i="15"/>
  <c r="S585" i="15"/>
  <c r="R586" i="15"/>
  <c r="S586" i="15"/>
  <c r="R587" i="15"/>
  <c r="S587" i="15"/>
  <c r="R588" i="15"/>
  <c r="S588" i="15"/>
  <c r="R589" i="15"/>
  <c r="S589" i="15"/>
  <c r="R590" i="15"/>
  <c r="S590" i="15"/>
  <c r="R591" i="15"/>
  <c r="S591" i="15"/>
  <c r="R592" i="15"/>
  <c r="S592" i="15"/>
  <c r="M593" i="15"/>
  <c r="N593" i="15"/>
  <c r="O593" i="15"/>
  <c r="P593" i="15" s="1"/>
  <c r="R593" i="15"/>
  <c r="S593" i="15"/>
  <c r="R594" i="15"/>
  <c r="S594" i="15"/>
  <c r="R595" i="15"/>
  <c r="S595" i="15"/>
  <c r="R596" i="15"/>
  <c r="S596" i="15"/>
  <c r="R597" i="15"/>
  <c r="S597" i="15"/>
  <c r="R598" i="15"/>
  <c r="S598" i="15"/>
  <c r="M599" i="15"/>
  <c r="N599" i="15"/>
  <c r="O599" i="15"/>
  <c r="P599" i="15" s="1"/>
  <c r="R599" i="15"/>
  <c r="S599" i="15"/>
  <c r="R600" i="15"/>
  <c r="S600" i="15"/>
  <c r="L601" i="15"/>
  <c r="M601" i="15"/>
  <c r="R601" i="15"/>
  <c r="S601" i="15"/>
  <c r="L602" i="15"/>
  <c r="N602" i="15" s="1"/>
  <c r="M602" i="15"/>
  <c r="P602" i="15"/>
  <c r="R602" i="15"/>
  <c r="S602" i="15"/>
  <c r="R603" i="15"/>
  <c r="S603" i="15"/>
  <c r="R604" i="15"/>
  <c r="S604" i="15"/>
  <c r="R605" i="15"/>
  <c r="S605" i="15"/>
  <c r="R606" i="15"/>
  <c r="S606" i="15"/>
  <c r="J607" i="15"/>
  <c r="O607" i="15"/>
  <c r="R607" i="15"/>
  <c r="S607" i="15"/>
  <c r="R608" i="15"/>
  <c r="S608" i="15"/>
  <c r="L609" i="15"/>
  <c r="N609" i="15" s="1"/>
  <c r="M609" i="15"/>
  <c r="P609" i="15"/>
  <c r="R609" i="15"/>
  <c r="S609" i="15"/>
  <c r="M610" i="15"/>
  <c r="N610" i="15"/>
  <c r="R610" i="15"/>
  <c r="S610" i="15"/>
  <c r="L611" i="15"/>
  <c r="N611" i="15" s="1"/>
  <c r="M611" i="15"/>
  <c r="P611" i="15"/>
  <c r="R611" i="15"/>
  <c r="S611" i="15"/>
  <c r="L612" i="15"/>
  <c r="N612" i="15" s="1"/>
  <c r="M612" i="15"/>
  <c r="P612" i="15"/>
  <c r="R612" i="15"/>
  <c r="S612" i="15"/>
  <c r="J613" i="15"/>
  <c r="M613" i="15" s="1"/>
  <c r="O613" i="15"/>
  <c r="R613" i="15"/>
  <c r="S613" i="15"/>
  <c r="M614" i="15"/>
  <c r="N614" i="15"/>
  <c r="R614" i="15"/>
  <c r="S614" i="15"/>
  <c r="M615" i="15"/>
  <c r="N615" i="15"/>
  <c r="R615" i="15"/>
  <c r="S615" i="15"/>
  <c r="M616" i="15"/>
  <c r="N616" i="15"/>
  <c r="R616" i="15"/>
  <c r="S616" i="15"/>
  <c r="L617" i="15"/>
  <c r="N617" i="15" s="1"/>
  <c r="M617" i="15"/>
  <c r="P617" i="15"/>
  <c r="R617" i="15"/>
  <c r="S617" i="15"/>
  <c r="M618" i="15"/>
  <c r="N618" i="15"/>
  <c r="O618" i="15"/>
  <c r="P618" i="15" s="1"/>
  <c r="R618" i="15"/>
  <c r="S618" i="15"/>
  <c r="M619" i="15"/>
  <c r="N619" i="15"/>
  <c r="O619" i="15"/>
  <c r="P619" i="15" s="1"/>
  <c r="R619" i="15"/>
  <c r="S619" i="15"/>
  <c r="M620" i="15"/>
  <c r="N620" i="15"/>
  <c r="R620" i="15"/>
  <c r="S620" i="15"/>
  <c r="L621" i="15"/>
  <c r="N621" i="15" s="1"/>
  <c r="M621" i="15"/>
  <c r="P621" i="15"/>
  <c r="R621" i="15"/>
  <c r="S621" i="15"/>
  <c r="L622" i="15"/>
  <c r="N622" i="15" s="1"/>
  <c r="M622" i="15"/>
  <c r="P622" i="15"/>
  <c r="R622" i="15"/>
  <c r="S622" i="15"/>
  <c r="L623" i="15"/>
  <c r="N623" i="15" s="1"/>
  <c r="M623" i="15"/>
  <c r="P623" i="15"/>
  <c r="R623" i="15"/>
  <c r="S623" i="15"/>
  <c r="R624" i="15"/>
  <c r="S624" i="15"/>
  <c r="J625" i="15"/>
  <c r="M625" i="15"/>
  <c r="O625" i="15"/>
  <c r="P625" i="15"/>
  <c r="R625" i="15"/>
  <c r="S625" i="15"/>
  <c r="M626" i="15"/>
  <c r="N626" i="15"/>
  <c r="R626" i="15"/>
  <c r="S626" i="15"/>
  <c r="M627" i="15"/>
  <c r="N627" i="15"/>
  <c r="R627" i="15"/>
  <c r="S627" i="15"/>
  <c r="M628" i="15"/>
  <c r="N628" i="15"/>
  <c r="R628" i="15"/>
  <c r="S628" i="15"/>
  <c r="J629" i="15"/>
  <c r="M629" i="15" s="1"/>
  <c r="O629" i="15"/>
  <c r="P629" i="15" s="1"/>
  <c r="R629" i="15"/>
  <c r="S629" i="15"/>
  <c r="L630" i="15"/>
  <c r="N630" i="15" s="1"/>
  <c r="M630" i="15"/>
  <c r="P630" i="15"/>
  <c r="R630" i="15"/>
  <c r="S630" i="15"/>
  <c r="R631" i="15"/>
  <c r="S631" i="15"/>
  <c r="M632" i="15"/>
  <c r="N632" i="15"/>
  <c r="R632" i="15"/>
  <c r="S632" i="15"/>
  <c r="M633" i="15"/>
  <c r="N633" i="15"/>
  <c r="R633" i="15"/>
  <c r="S633" i="15"/>
  <c r="M634" i="15"/>
  <c r="O634" i="15"/>
  <c r="P634" i="15" s="1"/>
  <c r="R634" i="15"/>
  <c r="S634" i="15"/>
  <c r="M635" i="15"/>
  <c r="O635" i="15"/>
  <c r="P635" i="15" s="1"/>
  <c r="R635" i="15"/>
  <c r="S635" i="15"/>
  <c r="M636" i="15"/>
  <c r="N636" i="15"/>
  <c r="R636" i="15"/>
  <c r="S636" i="15"/>
  <c r="L637" i="15"/>
  <c r="N637" i="15" s="1"/>
  <c r="M637" i="15"/>
  <c r="P637" i="15"/>
  <c r="R637" i="15"/>
  <c r="S637" i="15"/>
  <c r="J638" i="15"/>
  <c r="P638" i="15" s="1"/>
  <c r="M638" i="15"/>
  <c r="O638" i="15"/>
  <c r="R638" i="15"/>
  <c r="S638" i="15"/>
  <c r="L639" i="15"/>
  <c r="N639" i="15" s="1"/>
  <c r="M639" i="15"/>
  <c r="P639" i="15"/>
  <c r="R639" i="15"/>
  <c r="S639" i="15"/>
  <c r="L640" i="15"/>
  <c r="N640" i="15" s="1"/>
  <c r="M640" i="15"/>
  <c r="P640" i="15"/>
  <c r="R640" i="15"/>
  <c r="S640" i="15"/>
  <c r="L641" i="15"/>
  <c r="N641" i="15" s="1"/>
  <c r="M641" i="15"/>
  <c r="P641" i="15"/>
  <c r="R641" i="15"/>
  <c r="S641" i="15"/>
  <c r="L642" i="15"/>
  <c r="N642" i="15" s="1"/>
  <c r="M642" i="15"/>
  <c r="P642" i="15"/>
  <c r="R642" i="15"/>
  <c r="S642" i="15"/>
  <c r="L643" i="15"/>
  <c r="N643" i="15" s="1"/>
  <c r="M643" i="15"/>
  <c r="P643" i="15"/>
  <c r="R643" i="15"/>
  <c r="S643" i="15"/>
  <c r="L644" i="15"/>
  <c r="N644" i="15" s="1"/>
  <c r="M644" i="15"/>
  <c r="P644" i="15"/>
  <c r="R644" i="15"/>
  <c r="S644" i="15"/>
  <c r="L645" i="15"/>
  <c r="N645" i="15" s="1"/>
  <c r="M645" i="15"/>
  <c r="P645" i="15"/>
  <c r="R645" i="15"/>
  <c r="S645" i="15"/>
  <c r="L646" i="15"/>
  <c r="N646" i="15" s="1"/>
  <c r="M646" i="15"/>
  <c r="P646" i="15"/>
  <c r="R646" i="15"/>
  <c r="S646" i="15"/>
  <c r="L647" i="15"/>
  <c r="N647" i="15" s="1"/>
  <c r="M647" i="15"/>
  <c r="P647" i="15"/>
  <c r="R647" i="15"/>
  <c r="S647" i="15"/>
  <c r="L648" i="15"/>
  <c r="N648" i="15" s="1"/>
  <c r="M648" i="15"/>
  <c r="P648" i="15"/>
  <c r="R648" i="15"/>
  <c r="S648" i="15"/>
  <c r="L649" i="15"/>
  <c r="N649" i="15" s="1"/>
  <c r="M649" i="15"/>
  <c r="P649" i="15"/>
  <c r="R649" i="15"/>
  <c r="S649" i="15"/>
  <c r="J650" i="15"/>
  <c r="M650" i="15" s="1"/>
  <c r="O650" i="15"/>
  <c r="R650" i="15"/>
  <c r="S650" i="15"/>
  <c r="L651" i="15"/>
  <c r="N651" i="15" s="1"/>
  <c r="M651" i="15"/>
  <c r="P651" i="15"/>
  <c r="R651" i="15"/>
  <c r="S651" i="15"/>
  <c r="L652" i="15"/>
  <c r="N652" i="15" s="1"/>
  <c r="M652" i="15"/>
  <c r="P652" i="15"/>
  <c r="R652" i="15"/>
  <c r="S652" i="15"/>
  <c r="L653" i="15"/>
  <c r="N653" i="15" s="1"/>
  <c r="M653" i="15"/>
  <c r="P653" i="15"/>
  <c r="R653" i="15"/>
  <c r="S653" i="15"/>
  <c r="L654" i="15"/>
  <c r="N654" i="15" s="1"/>
  <c r="M654" i="15"/>
  <c r="P654" i="15"/>
  <c r="R654" i="15"/>
  <c r="S654" i="15"/>
  <c r="L655" i="15"/>
  <c r="N655" i="15" s="1"/>
  <c r="M655" i="15"/>
  <c r="P655" i="15"/>
  <c r="R655" i="15"/>
  <c r="S655" i="15"/>
  <c r="L656" i="15"/>
  <c r="N656" i="15" s="1"/>
  <c r="M656" i="15"/>
  <c r="P656" i="15"/>
  <c r="R656" i="15"/>
  <c r="S656" i="15"/>
  <c r="M657" i="15"/>
  <c r="O657" i="15"/>
  <c r="P657" i="15" s="1"/>
  <c r="R657" i="15"/>
  <c r="S657" i="15"/>
  <c r="L658" i="15"/>
  <c r="N658" i="15" s="1"/>
  <c r="M658" i="15"/>
  <c r="P658" i="15"/>
  <c r="R658" i="15"/>
  <c r="S658" i="15"/>
  <c r="L659" i="15"/>
  <c r="N659" i="15" s="1"/>
  <c r="M659" i="15"/>
  <c r="P659" i="15"/>
  <c r="R659" i="15"/>
  <c r="S659" i="15"/>
  <c r="L660" i="15"/>
  <c r="N660" i="15" s="1"/>
  <c r="M660" i="15"/>
  <c r="P660" i="15"/>
  <c r="R660" i="15"/>
  <c r="S660" i="15"/>
  <c r="L661" i="15"/>
  <c r="N661" i="15" s="1"/>
  <c r="M661" i="15"/>
  <c r="P661" i="15"/>
  <c r="R661" i="15"/>
  <c r="S661" i="15"/>
  <c r="J662" i="15"/>
  <c r="O662" i="15" s="1"/>
  <c r="M662" i="15"/>
  <c r="R662" i="15"/>
  <c r="S662" i="15"/>
  <c r="L663" i="15"/>
  <c r="N663" i="15" s="1"/>
  <c r="M663" i="15"/>
  <c r="P663" i="15"/>
  <c r="R663" i="15"/>
  <c r="S663" i="15"/>
  <c r="L664" i="15"/>
  <c r="N664" i="15" s="1"/>
  <c r="M664" i="15"/>
  <c r="P664" i="15"/>
  <c r="R664" i="15"/>
  <c r="S664" i="15"/>
  <c r="L665" i="15"/>
  <c r="N665" i="15" s="1"/>
  <c r="M665" i="15"/>
  <c r="R665" i="15"/>
  <c r="S665" i="15"/>
  <c r="L666" i="15"/>
  <c r="N666" i="15" s="1"/>
  <c r="M666" i="15"/>
  <c r="P666" i="15"/>
  <c r="R666" i="15"/>
  <c r="S666" i="15"/>
  <c r="J667" i="15"/>
  <c r="P667" i="15" s="1"/>
  <c r="R667" i="15"/>
  <c r="S667" i="15"/>
  <c r="L668" i="15"/>
  <c r="N668" i="15" s="1"/>
  <c r="M668" i="15"/>
  <c r="P668" i="15"/>
  <c r="R668" i="15"/>
  <c r="S668" i="15"/>
  <c r="L669" i="15"/>
  <c r="N669" i="15" s="1"/>
  <c r="M669" i="15"/>
  <c r="P669" i="15"/>
  <c r="R669" i="15"/>
  <c r="S669" i="15"/>
  <c r="J670" i="15"/>
  <c r="M670" i="15"/>
  <c r="O670" i="15"/>
  <c r="R670" i="15"/>
  <c r="S670" i="15"/>
  <c r="M672" i="15"/>
  <c r="N672" i="15"/>
  <c r="R672" i="15"/>
  <c r="S672" i="15"/>
  <c r="L638" i="15" l="1"/>
  <c r="N638" i="15" s="1"/>
  <c r="N677" i="15"/>
  <c r="L613" i="15"/>
  <c r="N613" i="15" s="1"/>
  <c r="N473" i="15"/>
  <c r="P670" i="15"/>
  <c r="P650" i="15"/>
  <c r="P607" i="15"/>
  <c r="M667" i="15"/>
  <c r="L667" i="15"/>
  <c r="N667" i="15" s="1"/>
  <c r="N565" i="15"/>
  <c r="O542" i="15"/>
  <c r="P542" i="15" s="1"/>
  <c r="M381" i="15"/>
  <c r="O531" i="15"/>
  <c r="P531" i="15" s="1"/>
  <c r="L670" i="15"/>
  <c r="N670" i="15" s="1"/>
  <c r="L657" i="15"/>
  <c r="N657" i="15" s="1"/>
  <c r="P613" i="15"/>
  <c r="O519" i="15"/>
  <c r="P519" i="15" s="1"/>
  <c r="L607" i="15"/>
  <c r="N607" i="15" s="1"/>
  <c r="M680" i="15"/>
  <c r="O638" i="28"/>
  <c r="M677" i="28"/>
  <c r="K625" i="28"/>
  <c r="M625" i="28" s="1"/>
  <c r="N542" i="28"/>
  <c r="O542" i="28" s="1"/>
  <c r="M473" i="28"/>
  <c r="M678" i="15"/>
  <c r="O607" i="28"/>
  <c r="K613" i="28"/>
  <c r="M613" i="28" s="1"/>
  <c r="O650" i="28"/>
  <c r="N665" i="28"/>
  <c r="O665" i="28" s="1"/>
  <c r="K638" i="28"/>
  <c r="M638" i="28" s="1"/>
  <c r="N662" i="28"/>
  <c r="K662" i="28" s="1"/>
  <c r="M662" i="28" s="1"/>
  <c r="O662" i="28" s="1"/>
  <c r="K667" i="28"/>
  <c r="M667" i="28" s="1"/>
  <c r="L667" i="28"/>
  <c r="L675" i="28"/>
  <c r="O570" i="28"/>
  <c r="O519" i="28"/>
  <c r="O601" i="28"/>
  <c r="P381" i="28"/>
  <c r="P382" i="28" s="1"/>
  <c r="P383" i="28" s="1"/>
  <c r="P384" i="28" s="1"/>
  <c r="P385" i="28" s="1"/>
  <c r="P386" i="28" s="1"/>
  <c r="P387" i="28" s="1"/>
  <c r="P388" i="28" s="1"/>
  <c r="P389" i="28" s="1"/>
  <c r="P390" i="28" s="1"/>
  <c r="P391" i="28" s="1"/>
  <c r="P392" i="28" s="1"/>
  <c r="P393" i="28" s="1"/>
  <c r="P394" i="28" s="1"/>
  <c r="P395" i="28" s="1"/>
  <c r="P396" i="28" s="1"/>
  <c r="P397" i="28" s="1"/>
  <c r="P398" i="28" s="1"/>
  <c r="P399" i="28" s="1"/>
  <c r="P400" i="28" s="1"/>
  <c r="P401" i="28" s="1"/>
  <c r="P402" i="28" s="1"/>
  <c r="P403" i="28" s="1"/>
  <c r="P404" i="28" s="1"/>
  <c r="P405" i="28" s="1"/>
  <c r="P406" i="28" s="1"/>
  <c r="P407" i="28" s="1"/>
  <c r="P408" i="28" s="1"/>
  <c r="P409" i="28" s="1"/>
  <c r="P410" i="28" s="1"/>
  <c r="P411" i="28" s="1"/>
  <c r="P412" i="28" s="1"/>
  <c r="P413" i="28" s="1"/>
  <c r="P414" i="28" s="1"/>
  <c r="P415" i="28" s="1"/>
  <c r="P416" i="28" s="1"/>
  <c r="P417" i="28" s="1"/>
  <c r="P418" i="28" s="1"/>
  <c r="P419" i="28" s="1"/>
  <c r="P420" i="28" s="1"/>
  <c r="P421" i="28" s="1"/>
  <c r="P422" i="28" s="1"/>
  <c r="P423" i="28" s="1"/>
  <c r="P424" i="28" s="1"/>
  <c r="P425" i="28" s="1"/>
  <c r="P426" i="28" s="1"/>
  <c r="P427" i="28" s="1"/>
  <c r="P428" i="28" s="1"/>
  <c r="P429" i="28" s="1"/>
  <c r="P430" i="28" s="1"/>
  <c r="P431" i="28" s="1"/>
  <c r="P432" i="28" s="1"/>
  <c r="P433" i="28" s="1"/>
  <c r="P434" i="28" s="1"/>
  <c r="P435" i="28" s="1"/>
  <c r="P436" i="28" s="1"/>
  <c r="P437" i="28" s="1"/>
  <c r="P438" i="28" s="1"/>
  <c r="P439" i="28" s="1"/>
  <c r="P440" i="28" s="1"/>
  <c r="P441" i="28" s="1"/>
  <c r="P442" i="28" s="1"/>
  <c r="P443" i="28" s="1"/>
  <c r="P444" i="28" s="1"/>
  <c r="P445" i="28" s="1"/>
  <c r="P446" i="28" s="1"/>
  <c r="P447" i="28" s="1"/>
  <c r="P448" i="28" s="1"/>
  <c r="P449" i="28" s="1"/>
  <c r="P450" i="28" s="1"/>
  <c r="P451" i="28" s="1"/>
  <c r="P452" i="28" s="1"/>
  <c r="P453" i="28" s="1"/>
  <c r="P454" i="28" s="1"/>
  <c r="P455" i="28" s="1"/>
  <c r="P456" i="28" s="1"/>
  <c r="P457" i="28" s="1"/>
  <c r="P458" i="28" s="1"/>
  <c r="P459" i="28" s="1"/>
  <c r="P460" i="28" s="1"/>
  <c r="P461" i="28" s="1"/>
  <c r="P462" i="28" s="1"/>
  <c r="P463" i="28" s="1"/>
  <c r="P464" i="28" s="1"/>
  <c r="P465" i="28" s="1"/>
  <c r="P466" i="28" s="1"/>
  <c r="P467" i="28" s="1"/>
  <c r="P468" i="28" s="1"/>
  <c r="P469" i="28" s="1"/>
  <c r="P470" i="28" s="1"/>
  <c r="P471" i="28" s="1"/>
  <c r="P472" i="28" s="1"/>
  <c r="P473" i="28" s="1"/>
  <c r="P474" i="28" s="1"/>
  <c r="P475" i="28" s="1"/>
  <c r="P476" i="28" s="1"/>
  <c r="P477" i="28" s="1"/>
  <c r="P478" i="28" s="1"/>
  <c r="P479" i="28" s="1"/>
  <c r="P480" i="28" s="1"/>
  <c r="P481" i="28" s="1"/>
  <c r="P482" i="28" s="1"/>
  <c r="P483" i="28" s="1"/>
  <c r="P484" i="28" s="1"/>
  <c r="P485" i="28" s="1"/>
  <c r="P486" i="28" s="1"/>
  <c r="P487" i="28" s="1"/>
  <c r="P488" i="28" s="1"/>
  <c r="P489" i="28" s="1"/>
  <c r="P490" i="28" s="1"/>
  <c r="P491" i="28" s="1"/>
  <c r="P492" i="28" s="1"/>
  <c r="P493" i="28" s="1"/>
  <c r="P494" i="28" s="1"/>
  <c r="P495" i="28" s="1"/>
  <c r="P496" i="28" s="1"/>
  <c r="P497" i="28" s="1"/>
  <c r="P498" i="28" s="1"/>
  <c r="P499" i="28" s="1"/>
  <c r="P500" i="28" s="1"/>
  <c r="P501" i="28" s="1"/>
  <c r="P502" i="28" s="1"/>
  <c r="P503" i="28" s="1"/>
  <c r="P504" i="28" s="1"/>
  <c r="P505" i="28" s="1"/>
  <c r="P506" i="28" s="1"/>
  <c r="P507" i="28" s="1"/>
  <c r="P508" i="28" s="1"/>
  <c r="P509" i="28" s="1"/>
  <c r="P510" i="28" s="1"/>
  <c r="P511" i="28" s="1"/>
  <c r="P512" i="28" s="1"/>
  <c r="P513" i="28" s="1"/>
  <c r="P514" i="28" s="1"/>
  <c r="P515" i="28" s="1"/>
  <c r="P516" i="28" s="1"/>
  <c r="P517" i="28" s="1"/>
  <c r="P518" i="28" s="1"/>
  <c r="P519" i="28" s="1"/>
  <c r="P520" i="28" s="1"/>
  <c r="P521" i="28" s="1"/>
  <c r="P522" i="28" s="1"/>
  <c r="P523" i="28" s="1"/>
  <c r="P524" i="28" s="1"/>
  <c r="P525" i="28" s="1"/>
  <c r="P526" i="28" s="1"/>
  <c r="P527" i="28" s="1"/>
  <c r="P528" i="28" s="1"/>
  <c r="P529" i="28" s="1"/>
  <c r="P530" i="28" s="1"/>
  <c r="P531" i="28" s="1"/>
  <c r="P532" i="28" s="1"/>
  <c r="P533" i="28" s="1"/>
  <c r="P534" i="28" s="1"/>
  <c r="P535" i="28" s="1"/>
  <c r="P536" i="28" s="1"/>
  <c r="P537" i="28" s="1"/>
  <c r="P538" i="28" s="1"/>
  <c r="P539" i="28" s="1"/>
  <c r="P540" i="28" s="1"/>
  <c r="P541" i="28" s="1"/>
  <c r="P542" i="28" s="1"/>
  <c r="P543" i="28" s="1"/>
  <c r="P544" i="28" s="1"/>
  <c r="P545" i="28" s="1"/>
  <c r="P546" i="28" s="1"/>
  <c r="P547" i="28" s="1"/>
  <c r="P548" i="28" s="1"/>
  <c r="P549" i="28" s="1"/>
  <c r="P550" i="28" s="1"/>
  <c r="P551" i="28" s="1"/>
  <c r="P552" i="28" s="1"/>
  <c r="P553" i="28" s="1"/>
  <c r="P554" i="28" s="1"/>
  <c r="P555" i="28" s="1"/>
  <c r="P556" i="28" s="1"/>
  <c r="P557" i="28" s="1"/>
  <c r="P558" i="28" s="1"/>
  <c r="P559" i="28" s="1"/>
  <c r="P560" i="28" s="1"/>
  <c r="P561" i="28" s="1"/>
  <c r="P562" i="28" s="1"/>
  <c r="P563" i="28" s="1"/>
  <c r="P564" i="28" s="1"/>
  <c r="P565" i="28" s="1"/>
  <c r="P566" i="28" s="1"/>
  <c r="P567" i="28" s="1"/>
  <c r="P568" i="28" s="1"/>
  <c r="P569" i="28" s="1"/>
  <c r="P570" i="28" s="1"/>
  <c r="P571" i="28" s="1"/>
  <c r="P572" i="28" s="1"/>
  <c r="P573" i="28" s="1"/>
  <c r="P574" i="28" s="1"/>
  <c r="P575" i="28" s="1"/>
  <c r="P576" i="28" s="1"/>
  <c r="P577" i="28" s="1"/>
  <c r="P578" i="28" s="1"/>
  <c r="P579" i="28" s="1"/>
  <c r="P580" i="28" s="1"/>
  <c r="P581" i="28" s="1"/>
  <c r="P582" i="28" s="1"/>
  <c r="P583" i="28" s="1"/>
  <c r="P584" i="28" s="1"/>
  <c r="P585" i="28" s="1"/>
  <c r="P586" i="28" s="1"/>
  <c r="P587" i="28" s="1"/>
  <c r="P588" i="28" s="1"/>
  <c r="P589" i="28" s="1"/>
  <c r="P590" i="28" s="1"/>
  <c r="P591" i="28" s="1"/>
  <c r="P592" i="28" s="1"/>
  <c r="P593" i="28" s="1"/>
  <c r="P594" i="28" s="1"/>
  <c r="P595" i="28" s="1"/>
  <c r="P596" i="28" s="1"/>
  <c r="P597" i="28" s="1"/>
  <c r="P598" i="28" s="1"/>
  <c r="P599" i="28" s="1"/>
  <c r="P600" i="28" s="1"/>
  <c r="P601" i="28" s="1"/>
  <c r="P602" i="28" s="1"/>
  <c r="P603" i="28" s="1"/>
  <c r="P604" i="28" s="1"/>
  <c r="P605" i="28" s="1"/>
  <c r="P606" i="28" s="1"/>
  <c r="P607" i="28" s="1"/>
  <c r="P608" i="28" s="1"/>
  <c r="P609" i="28" s="1"/>
  <c r="P610" i="28" s="1"/>
  <c r="P611" i="28" s="1"/>
  <c r="P612" i="28" s="1"/>
  <c r="P613" i="28" s="1"/>
  <c r="P614" i="28" s="1"/>
  <c r="P615" i="28" s="1"/>
  <c r="P616" i="28" s="1"/>
  <c r="P617" i="28" s="1"/>
  <c r="P618" i="28" s="1"/>
  <c r="P619" i="28" s="1"/>
  <c r="P620" i="28" s="1"/>
  <c r="P621" i="28" s="1"/>
  <c r="P622" i="28" s="1"/>
  <c r="P623" i="28" s="1"/>
  <c r="P624" i="28" s="1"/>
  <c r="P625" i="28" s="1"/>
  <c r="P626" i="28" s="1"/>
  <c r="P627" i="28" s="1"/>
  <c r="P628" i="28" s="1"/>
  <c r="P629" i="28" s="1"/>
  <c r="P630" i="28" s="1"/>
  <c r="P631" i="28" s="1"/>
  <c r="P632" i="28" s="1"/>
  <c r="P633" i="28" s="1"/>
  <c r="P634" i="28" s="1"/>
  <c r="P635" i="28" s="1"/>
  <c r="P636" i="28" s="1"/>
  <c r="P637" i="28" s="1"/>
  <c r="P638" i="28" s="1"/>
  <c r="P639" i="28" s="1"/>
  <c r="P640" i="28" s="1"/>
  <c r="P641" i="28" s="1"/>
  <c r="P642" i="28" s="1"/>
  <c r="P643" i="28" s="1"/>
  <c r="P644" i="28" s="1"/>
  <c r="P645" i="28" s="1"/>
  <c r="P646" i="28" s="1"/>
  <c r="P647" i="28" s="1"/>
  <c r="P648" i="28" s="1"/>
  <c r="P649" i="28" s="1"/>
  <c r="P650" i="28" s="1"/>
  <c r="P651" i="28" s="1"/>
  <c r="P652" i="28" s="1"/>
  <c r="P653" i="28" s="1"/>
  <c r="P654" i="28" s="1"/>
  <c r="P655" i="28" s="1"/>
  <c r="P656" i="28" s="1"/>
  <c r="P657" i="28" s="1"/>
  <c r="P658" i="28" s="1"/>
  <c r="P659" i="28" s="1"/>
  <c r="P660" i="28" s="1"/>
  <c r="P661" i="28" s="1"/>
  <c r="P662" i="28" s="1"/>
  <c r="P663" i="28" s="1"/>
  <c r="P664" i="28" s="1"/>
  <c r="P665" i="28" s="1"/>
  <c r="P666" i="28" s="1"/>
  <c r="P667" i="28" s="1"/>
  <c r="P668" i="28" s="1"/>
  <c r="P669" i="28" s="1"/>
  <c r="P670" i="28" s="1"/>
  <c r="P671" i="28" s="1"/>
  <c r="P672" i="28" s="1"/>
  <c r="P673" i="28" s="1"/>
  <c r="P674" i="28" s="1"/>
  <c r="P675" i="28" s="1"/>
  <c r="O381" i="28"/>
  <c r="O531" i="28"/>
  <c r="L625" i="28"/>
  <c r="L629" i="28"/>
  <c r="L673" i="28"/>
  <c r="O677" i="28"/>
  <c r="L519" i="28"/>
  <c r="O613" i="28"/>
  <c r="K670" i="28"/>
  <c r="M670" i="28" s="1"/>
  <c r="L531" i="28"/>
  <c r="O625" i="28"/>
  <c r="O629" i="28"/>
  <c r="O449" i="28"/>
  <c r="O657" i="28"/>
  <c r="O582" i="28"/>
  <c r="M601" i="28"/>
  <c r="O670" i="28"/>
  <c r="O618" i="28"/>
  <c r="K607" i="28"/>
  <c r="M607" i="28" s="1"/>
  <c r="O634" i="28"/>
  <c r="L607" i="28"/>
  <c r="L676" i="28"/>
  <c r="M570" i="28"/>
  <c r="K635" i="28"/>
  <c r="M635" i="28" s="1"/>
  <c r="O671" i="28"/>
  <c r="L650" i="28"/>
  <c r="O510" i="28"/>
  <c r="O473" i="28"/>
  <c r="O565" i="28"/>
  <c r="M676" i="15"/>
  <c r="M673" i="15"/>
  <c r="M675" i="15"/>
  <c r="L634" i="15"/>
  <c r="N634" i="15" s="1"/>
  <c r="P381" i="15"/>
  <c r="Q381" i="15"/>
  <c r="Q382" i="15" s="1"/>
  <c r="Q383" i="15" s="1"/>
  <c r="Q384" i="15" s="1"/>
  <c r="Q385" i="15" s="1"/>
  <c r="Q386" i="15" s="1"/>
  <c r="Q387" i="15" s="1"/>
  <c r="Q388" i="15" s="1"/>
  <c r="Q389" i="15" s="1"/>
  <c r="Q390" i="15" s="1"/>
  <c r="Q391" i="15" s="1"/>
  <c r="Q392" i="15" s="1"/>
  <c r="Q393" i="15" s="1"/>
  <c r="Q394" i="15" s="1"/>
  <c r="Q395" i="15" s="1"/>
  <c r="Q396" i="15" s="1"/>
  <c r="Q397" i="15" s="1"/>
  <c r="Q398" i="15" s="1"/>
  <c r="Q399" i="15" s="1"/>
  <c r="Q400" i="15" s="1"/>
  <c r="Q401" i="15" s="1"/>
  <c r="Q402" i="15" s="1"/>
  <c r="Q403" i="15" s="1"/>
  <c r="Q404" i="15" s="1"/>
  <c r="Q405" i="15" s="1"/>
  <c r="Q406" i="15" s="1"/>
  <c r="Q407" i="15" s="1"/>
  <c r="Q408" i="15" s="1"/>
  <c r="Q409" i="15" s="1"/>
  <c r="Q410" i="15" s="1"/>
  <c r="Q411" i="15" s="1"/>
  <c r="Q412" i="15" s="1"/>
  <c r="Q413" i="15" s="1"/>
  <c r="Q414" i="15" s="1"/>
  <c r="Q415" i="15" s="1"/>
  <c r="Q416" i="15" s="1"/>
  <c r="Q417" i="15" s="1"/>
  <c r="Q418" i="15" s="1"/>
  <c r="Q419" i="15" s="1"/>
  <c r="Q420" i="15" s="1"/>
  <c r="Q421" i="15" s="1"/>
  <c r="Q422" i="15" s="1"/>
  <c r="Q423" i="15" s="1"/>
  <c r="Q424" i="15" s="1"/>
  <c r="Q425" i="15" s="1"/>
  <c r="Q426" i="15" s="1"/>
  <c r="Q427" i="15" s="1"/>
  <c r="Q428" i="15" s="1"/>
  <c r="Q429" i="15" s="1"/>
  <c r="Q430" i="15" s="1"/>
  <c r="Q431" i="15" s="1"/>
  <c r="Q432" i="15" s="1"/>
  <c r="Q433" i="15" s="1"/>
  <c r="Q434" i="15" s="1"/>
  <c r="Q435" i="15" s="1"/>
  <c r="Q436" i="15" s="1"/>
  <c r="Q437" i="15" s="1"/>
  <c r="Q438" i="15" s="1"/>
  <c r="Q439" i="15" s="1"/>
  <c r="Q440" i="15" s="1"/>
  <c r="Q441" i="15" s="1"/>
  <c r="Q442" i="15" s="1"/>
  <c r="Q443" i="15" s="1"/>
  <c r="Q444" i="15" s="1"/>
  <c r="Q445" i="15" s="1"/>
  <c r="Q446" i="15" s="1"/>
  <c r="Q447" i="15" s="1"/>
  <c r="Q448" i="15" s="1"/>
  <c r="Q449" i="15" s="1"/>
  <c r="Q450" i="15" s="1"/>
  <c r="Q451" i="15" s="1"/>
  <c r="Q452" i="15" s="1"/>
  <c r="Q453" i="15" s="1"/>
  <c r="Q454" i="15" s="1"/>
  <c r="Q455" i="15" s="1"/>
  <c r="Q456" i="15" s="1"/>
  <c r="Q457" i="15" s="1"/>
  <c r="Q458" i="15" s="1"/>
  <c r="Q459" i="15" s="1"/>
  <c r="Q460" i="15" s="1"/>
  <c r="Q461" i="15" s="1"/>
  <c r="Q462" i="15" s="1"/>
  <c r="Q463" i="15" s="1"/>
  <c r="Q464" i="15" s="1"/>
  <c r="Q465" i="15" s="1"/>
  <c r="Q466" i="15" s="1"/>
  <c r="Q467" i="15" s="1"/>
  <c r="Q468" i="15" s="1"/>
  <c r="Q469" i="15" s="1"/>
  <c r="Q470" i="15" s="1"/>
  <c r="Q471" i="15" s="1"/>
  <c r="Q472" i="15" s="1"/>
  <c r="Q473" i="15" s="1"/>
  <c r="Q474" i="15" s="1"/>
  <c r="Q475" i="15" s="1"/>
  <c r="Q476" i="15" s="1"/>
  <c r="Q477" i="15" s="1"/>
  <c r="Q478" i="15" s="1"/>
  <c r="Q479" i="15" s="1"/>
  <c r="Q480" i="15" s="1"/>
  <c r="Q481" i="15" s="1"/>
  <c r="Q482" i="15" s="1"/>
  <c r="Q483" i="15" s="1"/>
  <c r="Q484" i="15" s="1"/>
  <c r="Q485" i="15" s="1"/>
  <c r="Q486" i="15" s="1"/>
  <c r="Q487" i="15" s="1"/>
  <c r="Q488" i="15" s="1"/>
  <c r="Q489" i="15" s="1"/>
  <c r="Q490" i="15" s="1"/>
  <c r="Q491" i="15" s="1"/>
  <c r="Q492" i="15" s="1"/>
  <c r="Q493" i="15" s="1"/>
  <c r="Q494" i="15" s="1"/>
  <c r="Q495" i="15" s="1"/>
  <c r="Q496" i="15" s="1"/>
  <c r="Q497" i="15" s="1"/>
  <c r="Q498" i="15" s="1"/>
  <c r="Q499" i="15" s="1"/>
  <c r="Q500" i="15" s="1"/>
  <c r="Q501" i="15" s="1"/>
  <c r="Q502" i="15" s="1"/>
  <c r="Q503" i="15" s="1"/>
  <c r="Q504" i="15" s="1"/>
  <c r="Q505" i="15" s="1"/>
  <c r="Q506" i="15" s="1"/>
  <c r="Q507" i="15" s="1"/>
  <c r="Q508" i="15" s="1"/>
  <c r="Q509" i="15" s="1"/>
  <c r="Q510" i="15" s="1"/>
  <c r="Q511" i="15" s="1"/>
  <c r="Q512" i="15" s="1"/>
  <c r="Q513" i="15" s="1"/>
  <c r="Q514" i="15" s="1"/>
  <c r="Q515" i="15" s="1"/>
  <c r="Q516" i="15" s="1"/>
  <c r="Q517" i="15" s="1"/>
  <c r="Q518" i="15" s="1"/>
  <c r="Q519" i="15" s="1"/>
  <c r="Q520" i="15" s="1"/>
  <c r="Q521" i="15" s="1"/>
  <c r="Q522" i="15" s="1"/>
  <c r="Q523" i="15" s="1"/>
  <c r="Q524" i="15" s="1"/>
  <c r="Q525" i="15" s="1"/>
  <c r="Q526" i="15" s="1"/>
  <c r="Q527" i="15" s="1"/>
  <c r="Q528" i="15" s="1"/>
  <c r="Q529" i="15" s="1"/>
  <c r="Q530" i="15" s="1"/>
  <c r="Q531" i="15" s="1"/>
  <c r="Q532" i="15" s="1"/>
  <c r="Q533" i="15" s="1"/>
  <c r="Q534" i="15" s="1"/>
  <c r="Q535" i="15" s="1"/>
  <c r="Q536" i="15" s="1"/>
  <c r="Q537" i="15" s="1"/>
  <c r="Q538" i="15" s="1"/>
  <c r="Q539" i="15" s="1"/>
  <c r="Q540" i="15" s="1"/>
  <c r="Q541" i="15" s="1"/>
  <c r="Q542" i="15" s="1"/>
  <c r="Q543" i="15" s="1"/>
  <c r="Q544" i="15" s="1"/>
  <c r="Q545" i="15" s="1"/>
  <c r="Q546" i="15" s="1"/>
  <c r="Q547" i="15" s="1"/>
  <c r="Q548" i="15" s="1"/>
  <c r="Q549" i="15" s="1"/>
  <c r="Q550" i="15" s="1"/>
  <c r="Q551" i="15" s="1"/>
  <c r="Q552" i="15" s="1"/>
  <c r="Q553" i="15" s="1"/>
  <c r="Q554" i="15" s="1"/>
  <c r="Q555" i="15" s="1"/>
  <c r="Q556" i="15" s="1"/>
  <c r="Q557" i="15" s="1"/>
  <c r="Q558" i="15" s="1"/>
  <c r="Q559" i="15" s="1"/>
  <c r="Q560" i="15" s="1"/>
  <c r="Q561" i="15" s="1"/>
  <c r="Q562" i="15" s="1"/>
  <c r="Q563" i="15" s="1"/>
  <c r="Q564" i="15" s="1"/>
  <c r="Q565" i="15" s="1"/>
  <c r="Q566" i="15" s="1"/>
  <c r="Q567" i="15" s="1"/>
  <c r="Q568" i="15" s="1"/>
  <c r="Q569" i="15" s="1"/>
  <c r="Q570" i="15" s="1"/>
  <c r="Q571" i="15" s="1"/>
  <c r="Q572" i="15" s="1"/>
  <c r="Q573" i="15" s="1"/>
  <c r="Q574" i="15" s="1"/>
  <c r="Q575" i="15" s="1"/>
  <c r="Q576" i="15" s="1"/>
  <c r="Q577" i="15" s="1"/>
  <c r="Q578" i="15" s="1"/>
  <c r="Q579" i="15" s="1"/>
  <c r="Q580" i="15" s="1"/>
  <c r="Q581" i="15" s="1"/>
  <c r="Q582" i="15" s="1"/>
  <c r="Q583" i="15" s="1"/>
  <c r="Q584" i="15" s="1"/>
  <c r="Q585" i="15" s="1"/>
  <c r="Q586" i="15" s="1"/>
  <c r="Q587" i="15" s="1"/>
  <c r="Q588" i="15" s="1"/>
  <c r="Q589" i="15" s="1"/>
  <c r="Q590" i="15" s="1"/>
  <c r="Q591" i="15" s="1"/>
  <c r="Q592" i="15" s="1"/>
  <c r="Q593" i="15" s="1"/>
  <c r="Q594" i="15" s="1"/>
  <c r="Q595" i="15" s="1"/>
  <c r="Q596" i="15" s="1"/>
  <c r="Q597" i="15" s="1"/>
  <c r="Q598" i="15" s="1"/>
  <c r="Q599" i="15" s="1"/>
  <c r="Q600" i="15" s="1"/>
  <c r="L635" i="15"/>
  <c r="N635" i="15" s="1"/>
  <c r="L625" i="15"/>
  <c r="N625" i="15" s="1"/>
  <c r="N601" i="15"/>
  <c r="O601" i="15"/>
  <c r="P510" i="15"/>
  <c r="L650" i="15"/>
  <c r="N650" i="15" s="1"/>
  <c r="P449" i="15"/>
  <c r="L629" i="15"/>
  <c r="N629" i="15" s="1"/>
  <c r="L662" i="15"/>
  <c r="N662" i="15" s="1"/>
  <c r="P662" i="15" s="1"/>
  <c r="M607" i="15"/>
  <c r="O665" i="15"/>
  <c r="P665" i="15" l="1"/>
  <c r="P601" i="15"/>
  <c r="Q601" i="15"/>
  <c r="Q602" i="15" s="1"/>
  <c r="Q603" i="15" s="1"/>
  <c r="Q604" i="15" s="1"/>
  <c r="Q605" i="15" s="1"/>
  <c r="Q606" i="15" s="1"/>
  <c r="Q607" i="15" s="1"/>
  <c r="Q608" i="15" s="1"/>
  <c r="Q609" i="15" s="1"/>
  <c r="Q610" i="15" s="1"/>
  <c r="Q611" i="15" s="1"/>
  <c r="Q612" i="15" s="1"/>
  <c r="Q613" i="15" s="1"/>
  <c r="Q614" i="15" s="1"/>
  <c r="Q615" i="15" s="1"/>
  <c r="Q616" i="15" s="1"/>
  <c r="Q617" i="15" s="1"/>
  <c r="Q618" i="15" s="1"/>
  <c r="Q619" i="15" s="1"/>
  <c r="Q620" i="15" s="1"/>
  <c r="Q621" i="15" s="1"/>
  <c r="Q622" i="15" s="1"/>
  <c r="Q623" i="15" s="1"/>
  <c r="Q624" i="15" s="1"/>
  <c r="Q625" i="15" s="1"/>
  <c r="Q626" i="15" s="1"/>
  <c r="Q627" i="15" s="1"/>
  <c r="Q628" i="15" s="1"/>
  <c r="Q629" i="15" s="1"/>
  <c r="Q630" i="15" s="1"/>
  <c r="Q631" i="15" s="1"/>
  <c r="Q632" i="15" s="1"/>
  <c r="Q633" i="15" s="1"/>
  <c r="Q634" i="15" s="1"/>
  <c r="Q635" i="15" s="1"/>
  <c r="Q636" i="15" s="1"/>
  <c r="Q637" i="15" s="1"/>
  <c r="Q638" i="15" s="1"/>
  <c r="Q639" i="15" s="1"/>
  <c r="Q640" i="15" s="1"/>
  <c r="Q641" i="15" s="1"/>
  <c r="Q642" i="15" s="1"/>
  <c r="Q643" i="15" s="1"/>
  <c r="Q644" i="15" s="1"/>
  <c r="Q645" i="15" s="1"/>
  <c r="Q646" i="15" s="1"/>
  <c r="Q647" i="15" s="1"/>
  <c r="Q648" i="15" s="1"/>
  <c r="Q649" i="15" s="1"/>
  <c r="Q650" i="15" s="1"/>
  <c r="Q651" i="15" s="1"/>
  <c r="Q652" i="15" s="1"/>
  <c r="Q653" i="15" s="1"/>
  <c r="Q654" i="15" s="1"/>
  <c r="Q655" i="15" s="1"/>
  <c r="Q656" i="15" s="1"/>
  <c r="Q657" i="15" s="1"/>
  <c r="Q658" i="15" s="1"/>
  <c r="Q659" i="15" s="1"/>
  <c r="Q660" i="15" s="1"/>
  <c r="Q661" i="15" s="1"/>
  <c r="Q662" i="15" s="1"/>
  <c r="P676" i="28" l="1"/>
  <c r="P677" i="28" s="1"/>
  <c r="P678" i="28" l="1"/>
  <c r="P679" i="28" s="1"/>
  <c r="P680" i="28" s="1"/>
  <c r="P681" i="28" s="1"/>
  <c r="P682" i="28" s="1"/>
  <c r="P683" i="28" s="1"/>
  <c r="P684" i="28" s="1"/>
  <c r="P685" i="28" s="1"/>
  <c r="P686" i="28" s="1"/>
  <c r="P687" i="28" s="1"/>
  <c r="P688" i="28" s="1"/>
  <c r="P689" i="28" s="1"/>
  <c r="P690" i="28" s="1"/>
  <c r="P691" i="28" s="1"/>
  <c r="P692" i="28" s="1"/>
  <c r="P693" i="28" s="1"/>
  <c r="P694" i="28" s="1"/>
  <c r="P695" i="28" s="1"/>
</calcChain>
</file>

<file path=xl/sharedStrings.xml><?xml version="1.0" encoding="utf-8"?>
<sst xmlns="http://schemas.openxmlformats.org/spreadsheetml/2006/main" count="9822" uniqueCount="326">
  <si>
    <t>Ticker</t>
  </si>
  <si>
    <t>Shares</t>
  </si>
  <si>
    <t>Price</t>
  </si>
  <si>
    <t>PnL</t>
  </si>
  <si>
    <t>Forex</t>
  </si>
  <si>
    <t>Short</t>
  </si>
  <si>
    <t>USDCHF</t>
  </si>
  <si>
    <t>Long</t>
  </si>
  <si>
    <t>EURUSD</t>
  </si>
  <si>
    <t>USO</t>
  </si>
  <si>
    <t>SPY</t>
  </si>
  <si>
    <t>NVDA</t>
  </si>
  <si>
    <t>Futures</t>
  </si>
  <si>
    <t>CL</t>
  </si>
  <si>
    <t>GOOG</t>
  </si>
  <si>
    <t>IWM</t>
  </si>
  <si>
    <t>Equity</t>
  </si>
  <si>
    <t>AAPL</t>
  </si>
  <si>
    <t>JPM</t>
  </si>
  <si>
    <t>OZK</t>
  </si>
  <si>
    <t>BWA</t>
  </si>
  <si>
    <t>GBPUSD</t>
  </si>
  <si>
    <t>BLDR</t>
  </si>
  <si>
    <t>PAAS</t>
  </si>
  <si>
    <t>ASML</t>
  </si>
  <si>
    <t>RYAAY</t>
  </si>
  <si>
    <t>WMT</t>
  </si>
  <si>
    <t>MLCO</t>
  </si>
  <si>
    <t>ETF</t>
  </si>
  <si>
    <t>TLT</t>
  </si>
  <si>
    <t>KEY</t>
  </si>
  <si>
    <t>DISH</t>
  </si>
  <si>
    <t>EDU</t>
  </si>
  <si>
    <t>SANM</t>
  </si>
  <si>
    <t>HAE</t>
  </si>
  <si>
    <t>MRK</t>
  </si>
  <si>
    <t>EXPD</t>
  </si>
  <si>
    <t>TSLA</t>
  </si>
  <si>
    <t>HDB</t>
  </si>
  <si>
    <t>WEAT</t>
  </si>
  <si>
    <t>CF</t>
  </si>
  <si>
    <t>MSFT</t>
  </si>
  <si>
    <t>YW</t>
  </si>
  <si>
    <t>NG</t>
  </si>
  <si>
    <t>NKD</t>
  </si>
  <si>
    <t>SBUX</t>
  </si>
  <si>
    <t>MAT</t>
  </si>
  <si>
    <t>EURNOK</t>
  </si>
  <si>
    <t>USDNOK</t>
  </si>
  <si>
    <t>MELI</t>
  </si>
  <si>
    <t>DX</t>
  </si>
  <si>
    <t>SMH</t>
  </si>
  <si>
    <t>SLV</t>
  </si>
  <si>
    <t>AIG</t>
  </si>
  <si>
    <t>DEO</t>
  </si>
  <si>
    <t>DHR</t>
  </si>
  <si>
    <t>GOLD</t>
  </si>
  <si>
    <t>SKYW</t>
  </si>
  <si>
    <t>MDB</t>
  </si>
  <si>
    <t>AXTA</t>
  </si>
  <si>
    <t>CADCHF</t>
  </si>
  <si>
    <t>NXDT</t>
  </si>
  <si>
    <t>DBRG</t>
  </si>
  <si>
    <t>NRG</t>
  </si>
  <si>
    <t>MASI</t>
  </si>
  <si>
    <t>UHAL</t>
  </si>
  <si>
    <t>EXPI</t>
  </si>
  <si>
    <t>HA</t>
  </si>
  <si>
    <t>EURSEK</t>
  </si>
  <si>
    <t>USDCNH</t>
  </si>
  <si>
    <t>USDSEK</t>
  </si>
  <si>
    <t>USDJPY</t>
  </si>
  <si>
    <t>SMCI</t>
  </si>
  <si>
    <t>IDXX</t>
  </si>
  <si>
    <t>SNBR</t>
  </si>
  <si>
    <t>CSCO</t>
  </si>
  <si>
    <t>KWEB</t>
  </si>
  <si>
    <t>FCFS</t>
  </si>
  <si>
    <t>CME</t>
  </si>
  <si>
    <t>CHFJPY</t>
  </si>
  <si>
    <t>HXL</t>
  </si>
  <si>
    <t>CC</t>
  </si>
  <si>
    <t>ES</t>
  </si>
  <si>
    <t>JBHT</t>
  </si>
  <si>
    <t>ESTX50</t>
  </si>
  <si>
    <t>MBT</t>
  </si>
  <si>
    <t>10y</t>
  </si>
  <si>
    <t>ZS</t>
  </si>
  <si>
    <t>SB</t>
  </si>
  <si>
    <t>RTY</t>
  </si>
  <si>
    <t>NQ</t>
  </si>
  <si>
    <t>RB</t>
  </si>
  <si>
    <t>GC</t>
  </si>
  <si>
    <t>Closing Date</t>
  </si>
  <si>
    <t>Open Value</t>
  </si>
  <si>
    <t>Close Value</t>
  </si>
  <si>
    <t>AMZN</t>
  </si>
  <si>
    <t>Call Spread</t>
  </si>
  <si>
    <t>Put Spread</t>
  </si>
  <si>
    <t>Puts</t>
  </si>
  <si>
    <t>GLD</t>
  </si>
  <si>
    <t>CVBF</t>
  </si>
  <si>
    <t>Calls</t>
  </si>
  <si>
    <t>TNK</t>
  </si>
  <si>
    <t>BLK</t>
  </si>
  <si>
    <t>DIA</t>
  </si>
  <si>
    <t>Bear Call Spread</t>
  </si>
  <si>
    <t>COIN</t>
  </si>
  <si>
    <t>Direction</t>
  </si>
  <si>
    <t>Close Price</t>
  </si>
  <si>
    <t>PnL %</t>
  </si>
  <si>
    <t>KRE</t>
  </si>
  <si>
    <t>UNP</t>
  </si>
  <si>
    <t>CANE</t>
  </si>
  <si>
    <t>AFRM</t>
  </si>
  <si>
    <t>SNAP</t>
  </si>
  <si>
    <t>CADJPY</t>
  </si>
  <si>
    <t>USDSGD</t>
  </si>
  <si>
    <t>AUDCHF</t>
  </si>
  <si>
    <t>EURCAD</t>
  </si>
  <si>
    <t>EURHUF</t>
  </si>
  <si>
    <t>USDCZK</t>
  </si>
  <si>
    <t>USDPLN</t>
  </si>
  <si>
    <t>USDCAD</t>
  </si>
  <si>
    <t>NZDJPY</t>
  </si>
  <si>
    <t>NZDUSD</t>
  </si>
  <si>
    <t>MXNJPY</t>
  </si>
  <si>
    <t>USDMXN</t>
  </si>
  <si>
    <t>EURCHF</t>
  </si>
  <si>
    <t>AUDCAD</t>
  </si>
  <si>
    <t>UVXY</t>
  </si>
  <si>
    <t>CNX</t>
  </si>
  <si>
    <t>GDXJ</t>
  </si>
  <si>
    <t>QQQ</t>
  </si>
  <si>
    <t>USDZAR</t>
  </si>
  <si>
    <t>CHFNOK</t>
  </si>
  <si>
    <t>BA</t>
  </si>
  <si>
    <t>FBP</t>
  </si>
  <si>
    <t>DKS</t>
  </si>
  <si>
    <t>DELL</t>
  </si>
  <si>
    <t>AAOI</t>
  </si>
  <si>
    <t>IONQ</t>
  </si>
  <si>
    <t>CVNA</t>
  </si>
  <si>
    <t>SOXS</t>
  </si>
  <si>
    <t>SQ</t>
  </si>
  <si>
    <t>AEHR</t>
  </si>
  <si>
    <t>APP</t>
  </si>
  <si>
    <t>AKAM</t>
  </si>
  <si>
    <t>FSLY</t>
  </si>
  <si>
    <t>WOLF</t>
  </si>
  <si>
    <t>DKNG</t>
  </si>
  <si>
    <t>UBER</t>
  </si>
  <si>
    <t>PHM</t>
  </si>
  <si>
    <t>SOXL</t>
  </si>
  <si>
    <t>VRT</t>
  </si>
  <si>
    <t>CRWD</t>
  </si>
  <si>
    <t>XLP</t>
  </si>
  <si>
    <t>NTNX</t>
  </si>
  <si>
    <t>ACMR</t>
  </si>
  <si>
    <t>NFLX</t>
  </si>
  <si>
    <t>CELH</t>
  </si>
  <si>
    <t>JBL</t>
  </si>
  <si>
    <t>META</t>
  </si>
  <si>
    <t>PLTR</t>
  </si>
  <si>
    <t>DDOG</t>
  </si>
  <si>
    <t>DASH</t>
  </si>
  <si>
    <t>IOT</t>
  </si>
  <si>
    <t>PATH</t>
  </si>
  <si>
    <t>U</t>
  </si>
  <si>
    <t>UPST</t>
  </si>
  <si>
    <t>TNA</t>
  </si>
  <si>
    <t>PDD</t>
  </si>
  <si>
    <t>PODD</t>
  </si>
  <si>
    <t>GPS</t>
  </si>
  <si>
    <t>BAC</t>
  </si>
  <si>
    <t>WSM</t>
  </si>
  <si>
    <t>STNE</t>
  </si>
  <si>
    <t>INTC</t>
  </si>
  <si>
    <t>XLK</t>
  </si>
  <si>
    <t>TSM</t>
  </si>
  <si>
    <t>TDOC</t>
  </si>
  <si>
    <t>MNDY</t>
  </si>
  <si>
    <t>S</t>
  </si>
  <si>
    <t>LNG</t>
  </si>
  <si>
    <t>MES</t>
  </si>
  <si>
    <t>CVS</t>
  </si>
  <si>
    <t>HD</t>
  </si>
  <si>
    <t>BABA</t>
  </si>
  <si>
    <t>BYDDF</t>
  </si>
  <si>
    <t>CRH</t>
  </si>
  <si>
    <t>CCL</t>
  </si>
  <si>
    <t>URI</t>
  </si>
  <si>
    <t>SRUUF</t>
  </si>
  <si>
    <t>UBS</t>
  </si>
  <si>
    <t>PANW</t>
  </si>
  <si>
    <t>CCJ</t>
  </si>
  <si>
    <t>CRSP</t>
  </si>
  <si>
    <t>Option</t>
  </si>
  <si>
    <t>FAST</t>
  </si>
  <si>
    <t>INFA</t>
  </si>
  <si>
    <t>Type</t>
  </si>
  <si>
    <t>D1</t>
  </si>
  <si>
    <t>Kind</t>
  </si>
  <si>
    <t>ML</t>
  </si>
  <si>
    <t>Instrument</t>
  </si>
  <si>
    <t>NOKUSD</t>
  </si>
  <si>
    <t>AMD</t>
  </si>
  <si>
    <t>LEN</t>
  </si>
  <si>
    <t>CNVA</t>
  </si>
  <si>
    <t>SYM</t>
  </si>
  <si>
    <t>PWR</t>
  </si>
  <si>
    <t>AI</t>
  </si>
  <si>
    <t>SOUN</t>
  </si>
  <si>
    <t>NEM</t>
  </si>
  <si>
    <t>W</t>
  </si>
  <si>
    <t>DT</t>
  </si>
  <si>
    <t>Rolling PnL</t>
  </si>
  <si>
    <t>ARM</t>
  </si>
  <si>
    <t>CLSK</t>
  </si>
  <si>
    <t>IBM</t>
  </si>
  <si>
    <t>CHFHUF</t>
  </si>
  <si>
    <t>MPC</t>
  </si>
  <si>
    <t>LMND</t>
  </si>
  <si>
    <t>MRO</t>
  </si>
  <si>
    <t>HOOD</t>
  </si>
  <si>
    <t>Year</t>
  </si>
  <si>
    <t>Month</t>
  </si>
  <si>
    <t>LYFT</t>
  </si>
  <si>
    <t>PSTG</t>
  </si>
  <si>
    <t>VRNS</t>
  </si>
  <si>
    <t>TWLO</t>
  </si>
  <si>
    <t>TZA</t>
  </si>
  <si>
    <t>CMRE</t>
  </si>
  <si>
    <t>NET</t>
  </si>
  <si>
    <t>VKTX</t>
  </si>
  <si>
    <t>ON</t>
  </si>
  <si>
    <t>GTLB</t>
  </si>
  <si>
    <t>CMCSA</t>
  </si>
  <si>
    <t>MRNA</t>
  </si>
  <si>
    <t>ONH</t>
  </si>
  <si>
    <t>No</t>
  </si>
  <si>
    <t>Yes</t>
  </si>
  <si>
    <t>OMF</t>
  </si>
  <si>
    <t>FROG</t>
  </si>
  <si>
    <t>CARR</t>
  </si>
  <si>
    <t>JMIA</t>
  </si>
  <si>
    <t>BITI</t>
  </si>
  <si>
    <t>NCLH</t>
  </si>
  <si>
    <t>POWL</t>
  </si>
  <si>
    <t>GBPCHF</t>
  </si>
  <si>
    <t>GS</t>
  </si>
  <si>
    <t>LLY</t>
  </si>
  <si>
    <t>AVAV</t>
  </si>
  <si>
    <t>NU</t>
  </si>
  <si>
    <t>SLB</t>
  </si>
  <si>
    <t>AXON</t>
  </si>
  <si>
    <t>MU</t>
  </si>
  <si>
    <t>ELF</t>
  </si>
  <si>
    <t>HIMS</t>
  </si>
  <si>
    <t>ERJ</t>
  </si>
  <si>
    <t>ALAB</t>
  </si>
  <si>
    <t>PLL</t>
  </si>
  <si>
    <t>SQQQ</t>
  </si>
  <si>
    <t>MAG</t>
  </si>
  <si>
    <t>NNOX</t>
  </si>
  <si>
    <t>XLE</t>
  </si>
  <si>
    <t>ARKK</t>
  </si>
  <si>
    <t>SOFR</t>
  </si>
  <si>
    <t>HG</t>
  </si>
  <si>
    <t>MNQ</t>
  </si>
  <si>
    <t>ZW</t>
  </si>
  <si>
    <t>MET</t>
  </si>
  <si>
    <t>TOST</t>
  </si>
  <si>
    <t>CGC</t>
  </si>
  <si>
    <t>SMTC</t>
  </si>
  <si>
    <t>GME</t>
  </si>
  <si>
    <t>DIS</t>
  </si>
  <si>
    <t>MA</t>
  </si>
  <si>
    <t>CAT</t>
  </si>
  <si>
    <t>TGT</t>
  </si>
  <si>
    <t>ANF</t>
  </si>
  <si>
    <t>NVAX</t>
  </si>
  <si>
    <t>Entry Date</t>
  </si>
  <si>
    <t>BOOT</t>
  </si>
  <si>
    <t>LPG</t>
  </si>
  <si>
    <t>RDDT</t>
  </si>
  <si>
    <t>KC</t>
  </si>
  <si>
    <t>CHFCNH</t>
  </si>
  <si>
    <t>USDHUF</t>
  </si>
  <si>
    <t>GBPJPY</t>
  </si>
  <si>
    <t>Multiplier</t>
  </si>
  <si>
    <t>ARGT</t>
  </si>
  <si>
    <t>HUBB</t>
  </si>
  <si>
    <t>KOPN</t>
  </si>
  <si>
    <t>PYPL</t>
  </si>
  <si>
    <t>SCCO</t>
  </si>
  <si>
    <t>Account</t>
  </si>
  <si>
    <t>SNOW</t>
  </si>
  <si>
    <t>VNOM</t>
  </si>
  <si>
    <t>XLV</t>
  </si>
  <si>
    <t>XOM</t>
  </si>
  <si>
    <t>IBKR</t>
  </si>
  <si>
    <t>McKinley</t>
  </si>
  <si>
    <t>P.J</t>
  </si>
  <si>
    <t>Day Trade</t>
  </si>
  <si>
    <t>McK Collaborative</t>
  </si>
  <si>
    <t>P.J. Collaborative</t>
  </si>
  <si>
    <t>KLAC</t>
  </si>
  <si>
    <t>VIX</t>
  </si>
  <si>
    <t>HON</t>
  </si>
  <si>
    <t>FTNT</t>
  </si>
  <si>
    <t>Z</t>
  </si>
  <si>
    <t>ASTS</t>
  </si>
  <si>
    <t>AMLP</t>
  </si>
  <si>
    <t>Expiry</t>
  </si>
  <si>
    <t>Sep</t>
  </si>
  <si>
    <t>Oct</t>
  </si>
  <si>
    <t>Jan</t>
  </si>
  <si>
    <t>Aug</t>
  </si>
  <si>
    <t>Jun</t>
  </si>
  <si>
    <t>NKE</t>
  </si>
  <si>
    <t>Mar</t>
  </si>
  <si>
    <t>CVX</t>
  </si>
  <si>
    <t>BCD</t>
  </si>
  <si>
    <t>2024</t>
  </si>
  <si>
    <t>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</si>
</sst>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334C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0" tint="-0.14996795556505021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 tint="-0.14996795556505021"/>
      </left>
      <right/>
      <top style="thin">
        <color theme="4" tint="0.39997558519241921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1" xfId="0" applyFont="1" applyFill="1" applyBorder="1" applyAlignment="1">
      <alignment horizontal="center"/>
    </xf>
    <xf numFmtId="164" fontId="2" fillId="2" borderId="2" xfId="2" applyNumberFormat="1" applyFont="1" applyFill="1" applyBorder="1" applyAlignment="1">
      <alignment horizontal="center"/>
    </xf>
    <xf numFmtId="164" fontId="0" fillId="0" borderId="0" xfId="2" applyNumberFormat="1" applyFont="1"/>
    <xf numFmtId="44" fontId="2" fillId="2" borderId="1" xfId="1" applyFont="1" applyFill="1" applyBorder="1" applyAlignment="1">
      <alignment horizontal="center"/>
    </xf>
    <xf numFmtId="44" fontId="0" fillId="0" borderId="0" xfId="1" applyFont="1"/>
    <xf numFmtId="44" fontId="2" fillId="2" borderId="2" xfId="1" applyFont="1" applyFill="1" applyBorder="1" applyAlignment="1">
      <alignment horizontal="center"/>
    </xf>
    <xf numFmtId="14" fontId="0" fillId="0" borderId="0" xfId="0" applyNumberFormat="1" applyAlignment="1">
      <alignment horizontal="right"/>
    </xf>
    <xf numFmtId="14" fontId="2" fillId="2" borderId="1" xfId="0" applyNumberFormat="1" applyFont="1" applyFill="1" applyBorder="1" applyAlignment="1">
      <alignment horizontal="right"/>
    </xf>
    <xf numFmtId="44" fontId="0" fillId="0" borderId="0" xfId="0" applyNumberFormat="1"/>
    <xf numFmtId="44" fontId="2" fillId="2" borderId="0" xfId="1" applyFont="1" applyFill="1" applyBorder="1" applyAlignment="1">
      <alignment horizontal="center"/>
    </xf>
    <xf numFmtId="14" fontId="0" fillId="0" borderId="0" xfId="1" applyNumberFormat="1" applyFont="1"/>
    <xf numFmtId="2" fontId="2" fillId="2" borderId="1" xfId="1" applyNumberFormat="1" applyFont="1" applyFill="1" applyBorder="1" applyAlignment="1">
      <alignment horizontal="center"/>
    </xf>
    <xf numFmtId="2" fontId="0" fillId="0" borderId="0" xfId="1" applyNumberFormat="1" applyFont="1"/>
    <xf numFmtId="44" fontId="0" fillId="0" borderId="0" xfId="2" applyNumberFormat="1" applyFont="1"/>
    <xf numFmtId="0" fontId="0" fillId="3" borderId="3" xfId="0" applyFill="1" applyBorder="1"/>
    <xf numFmtId="0" fontId="4" fillId="2" borderId="4" xfId="0" applyFont="1" applyFill="1" applyBorder="1" applyAlignment="1">
      <alignment horizontal="center"/>
    </xf>
    <xf numFmtId="14" fontId="0" fillId="0" borderId="0" xfId="0" applyNumberFormat="1"/>
    <xf numFmtId="2" fontId="0" fillId="3" borderId="3" xfId="1" applyNumberFormat="1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9" formatCode="m/d/yyyy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9" formatCode="m/d/yyyy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</dxf>
  </dxfs>
  <tableStyles count="0" defaultTableStyle="TableStyleMedium2" defaultPivotStyle="PivotStyleLight16"/>
  <colors>
    <mruColors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'Closed Trades'!$P$1</c:f>
              <c:strCache>
                <c:ptCount val="1"/>
                <c:pt idx="0">
                  <c:v> Rolling PnL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'Closed Trades'!$F$2:$F$678</c:f>
              <c:numCache>
                <c:formatCode>m/d/yyyy</c:formatCode>
                <c:ptCount val="677"/>
                <c:pt idx="0">
                  <c:v>44645</c:v>
                </c:pt>
                <c:pt idx="1">
                  <c:v>44679</c:v>
                </c:pt>
                <c:pt idx="2">
                  <c:v>44694</c:v>
                </c:pt>
                <c:pt idx="3">
                  <c:v>44708</c:v>
                </c:pt>
                <c:pt idx="4">
                  <c:v>44844</c:v>
                </c:pt>
                <c:pt idx="5">
                  <c:v>44925</c:v>
                </c:pt>
                <c:pt idx="6">
                  <c:v>44934</c:v>
                </c:pt>
                <c:pt idx="7">
                  <c:v>44946</c:v>
                </c:pt>
                <c:pt idx="8">
                  <c:v>44952</c:v>
                </c:pt>
                <c:pt idx="9">
                  <c:v>44957</c:v>
                </c:pt>
                <c:pt idx="10">
                  <c:v>44966</c:v>
                </c:pt>
                <c:pt idx="11">
                  <c:v>44970</c:v>
                </c:pt>
                <c:pt idx="12">
                  <c:v>44973</c:v>
                </c:pt>
                <c:pt idx="13">
                  <c:v>44978</c:v>
                </c:pt>
                <c:pt idx="14">
                  <c:v>44978</c:v>
                </c:pt>
                <c:pt idx="15">
                  <c:v>44979</c:v>
                </c:pt>
                <c:pt idx="16">
                  <c:v>44979</c:v>
                </c:pt>
                <c:pt idx="17">
                  <c:v>44980</c:v>
                </c:pt>
                <c:pt idx="18">
                  <c:v>44981</c:v>
                </c:pt>
                <c:pt idx="19">
                  <c:v>44981</c:v>
                </c:pt>
                <c:pt idx="20">
                  <c:v>44981</c:v>
                </c:pt>
                <c:pt idx="21">
                  <c:v>44984</c:v>
                </c:pt>
                <c:pt idx="22">
                  <c:v>44984</c:v>
                </c:pt>
                <c:pt idx="23">
                  <c:v>44984</c:v>
                </c:pt>
                <c:pt idx="24">
                  <c:v>44985</c:v>
                </c:pt>
                <c:pt idx="25">
                  <c:v>44986</c:v>
                </c:pt>
                <c:pt idx="26">
                  <c:v>44986</c:v>
                </c:pt>
                <c:pt idx="27">
                  <c:v>44987</c:v>
                </c:pt>
                <c:pt idx="28">
                  <c:v>44987</c:v>
                </c:pt>
                <c:pt idx="29">
                  <c:v>44988</c:v>
                </c:pt>
                <c:pt idx="30">
                  <c:v>44988</c:v>
                </c:pt>
                <c:pt idx="31">
                  <c:v>44988</c:v>
                </c:pt>
                <c:pt idx="32">
                  <c:v>44991</c:v>
                </c:pt>
                <c:pt idx="33">
                  <c:v>44992</c:v>
                </c:pt>
                <c:pt idx="34">
                  <c:v>44992</c:v>
                </c:pt>
                <c:pt idx="35">
                  <c:v>44992</c:v>
                </c:pt>
                <c:pt idx="36">
                  <c:v>44993</c:v>
                </c:pt>
                <c:pt idx="37">
                  <c:v>44993</c:v>
                </c:pt>
                <c:pt idx="38">
                  <c:v>44994</c:v>
                </c:pt>
                <c:pt idx="39">
                  <c:v>44994</c:v>
                </c:pt>
                <c:pt idx="40">
                  <c:v>44994</c:v>
                </c:pt>
                <c:pt idx="41">
                  <c:v>44995</c:v>
                </c:pt>
                <c:pt idx="42">
                  <c:v>44995</c:v>
                </c:pt>
                <c:pt idx="43">
                  <c:v>44995</c:v>
                </c:pt>
                <c:pt idx="44">
                  <c:v>44998</c:v>
                </c:pt>
                <c:pt idx="45">
                  <c:v>44998</c:v>
                </c:pt>
                <c:pt idx="46">
                  <c:v>44998</c:v>
                </c:pt>
                <c:pt idx="47">
                  <c:v>44999</c:v>
                </c:pt>
                <c:pt idx="48">
                  <c:v>44999</c:v>
                </c:pt>
                <c:pt idx="49">
                  <c:v>45001</c:v>
                </c:pt>
                <c:pt idx="50">
                  <c:v>45001</c:v>
                </c:pt>
                <c:pt idx="51">
                  <c:v>45001</c:v>
                </c:pt>
                <c:pt idx="52">
                  <c:v>45002</c:v>
                </c:pt>
                <c:pt idx="53">
                  <c:v>45002</c:v>
                </c:pt>
                <c:pt idx="54">
                  <c:v>45002</c:v>
                </c:pt>
                <c:pt idx="55">
                  <c:v>45002</c:v>
                </c:pt>
                <c:pt idx="56">
                  <c:v>45005</c:v>
                </c:pt>
                <c:pt idx="57">
                  <c:v>45006</c:v>
                </c:pt>
                <c:pt idx="58">
                  <c:v>45007</c:v>
                </c:pt>
                <c:pt idx="59">
                  <c:v>45007</c:v>
                </c:pt>
                <c:pt idx="60">
                  <c:v>45008</c:v>
                </c:pt>
                <c:pt idx="61">
                  <c:v>45008</c:v>
                </c:pt>
                <c:pt idx="62">
                  <c:v>45008</c:v>
                </c:pt>
                <c:pt idx="63">
                  <c:v>45009</c:v>
                </c:pt>
                <c:pt idx="64">
                  <c:v>45009</c:v>
                </c:pt>
                <c:pt idx="65">
                  <c:v>45009</c:v>
                </c:pt>
                <c:pt idx="66">
                  <c:v>45009</c:v>
                </c:pt>
                <c:pt idx="67">
                  <c:v>45013</c:v>
                </c:pt>
                <c:pt idx="68">
                  <c:v>45013</c:v>
                </c:pt>
                <c:pt idx="69">
                  <c:v>45014</c:v>
                </c:pt>
                <c:pt idx="70">
                  <c:v>45015</c:v>
                </c:pt>
                <c:pt idx="71">
                  <c:v>45015</c:v>
                </c:pt>
                <c:pt idx="72">
                  <c:v>45015</c:v>
                </c:pt>
                <c:pt idx="73">
                  <c:v>45016</c:v>
                </c:pt>
                <c:pt idx="74">
                  <c:v>45016</c:v>
                </c:pt>
                <c:pt idx="75">
                  <c:v>45016</c:v>
                </c:pt>
                <c:pt idx="76">
                  <c:v>45019</c:v>
                </c:pt>
                <c:pt idx="77">
                  <c:v>45019</c:v>
                </c:pt>
                <c:pt idx="78">
                  <c:v>45020</c:v>
                </c:pt>
                <c:pt idx="79">
                  <c:v>45020</c:v>
                </c:pt>
                <c:pt idx="80">
                  <c:v>45020</c:v>
                </c:pt>
                <c:pt idx="81">
                  <c:v>45021</c:v>
                </c:pt>
                <c:pt idx="82">
                  <c:v>45022</c:v>
                </c:pt>
                <c:pt idx="83">
                  <c:v>45022</c:v>
                </c:pt>
                <c:pt idx="84">
                  <c:v>45027</c:v>
                </c:pt>
                <c:pt idx="85">
                  <c:v>45027</c:v>
                </c:pt>
                <c:pt idx="86">
                  <c:v>45028</c:v>
                </c:pt>
                <c:pt idx="87">
                  <c:v>45029</c:v>
                </c:pt>
                <c:pt idx="88">
                  <c:v>45030</c:v>
                </c:pt>
                <c:pt idx="89">
                  <c:v>45033</c:v>
                </c:pt>
                <c:pt idx="90">
                  <c:v>45033</c:v>
                </c:pt>
                <c:pt idx="91">
                  <c:v>45033</c:v>
                </c:pt>
                <c:pt idx="92">
                  <c:v>45033</c:v>
                </c:pt>
                <c:pt idx="93">
                  <c:v>45033</c:v>
                </c:pt>
                <c:pt idx="94">
                  <c:v>45034</c:v>
                </c:pt>
                <c:pt idx="95">
                  <c:v>45036</c:v>
                </c:pt>
                <c:pt idx="96">
                  <c:v>45037</c:v>
                </c:pt>
                <c:pt idx="97">
                  <c:v>45037</c:v>
                </c:pt>
                <c:pt idx="98">
                  <c:v>45037</c:v>
                </c:pt>
                <c:pt idx="99">
                  <c:v>45037</c:v>
                </c:pt>
                <c:pt idx="100">
                  <c:v>45037</c:v>
                </c:pt>
                <c:pt idx="101">
                  <c:v>45040</c:v>
                </c:pt>
                <c:pt idx="102">
                  <c:v>45040</c:v>
                </c:pt>
                <c:pt idx="103">
                  <c:v>45041</c:v>
                </c:pt>
                <c:pt idx="104">
                  <c:v>45041</c:v>
                </c:pt>
                <c:pt idx="105">
                  <c:v>45041</c:v>
                </c:pt>
                <c:pt idx="106">
                  <c:v>45043</c:v>
                </c:pt>
                <c:pt idx="107">
                  <c:v>45043</c:v>
                </c:pt>
                <c:pt idx="108">
                  <c:v>45044</c:v>
                </c:pt>
                <c:pt idx="109">
                  <c:v>45044</c:v>
                </c:pt>
                <c:pt idx="110">
                  <c:v>45044</c:v>
                </c:pt>
                <c:pt idx="111">
                  <c:v>45047</c:v>
                </c:pt>
                <c:pt idx="112">
                  <c:v>45048</c:v>
                </c:pt>
                <c:pt idx="113">
                  <c:v>45048</c:v>
                </c:pt>
                <c:pt idx="114">
                  <c:v>45048</c:v>
                </c:pt>
                <c:pt idx="115">
                  <c:v>45049</c:v>
                </c:pt>
                <c:pt idx="116">
                  <c:v>45049</c:v>
                </c:pt>
                <c:pt idx="117">
                  <c:v>45051</c:v>
                </c:pt>
                <c:pt idx="118">
                  <c:v>45055</c:v>
                </c:pt>
                <c:pt idx="119">
                  <c:v>45056</c:v>
                </c:pt>
                <c:pt idx="120">
                  <c:v>45058</c:v>
                </c:pt>
                <c:pt idx="121">
                  <c:v>45058</c:v>
                </c:pt>
                <c:pt idx="122">
                  <c:v>45058</c:v>
                </c:pt>
                <c:pt idx="123">
                  <c:v>45058</c:v>
                </c:pt>
                <c:pt idx="124">
                  <c:v>45058</c:v>
                </c:pt>
                <c:pt idx="125">
                  <c:v>45062</c:v>
                </c:pt>
                <c:pt idx="126">
                  <c:v>45063</c:v>
                </c:pt>
                <c:pt idx="127">
                  <c:v>45063</c:v>
                </c:pt>
                <c:pt idx="128">
                  <c:v>45063</c:v>
                </c:pt>
                <c:pt idx="129">
                  <c:v>45063</c:v>
                </c:pt>
                <c:pt idx="130">
                  <c:v>45064</c:v>
                </c:pt>
                <c:pt idx="131">
                  <c:v>45064</c:v>
                </c:pt>
                <c:pt idx="132">
                  <c:v>45065</c:v>
                </c:pt>
                <c:pt idx="133">
                  <c:v>45065</c:v>
                </c:pt>
                <c:pt idx="134">
                  <c:v>45065</c:v>
                </c:pt>
                <c:pt idx="135">
                  <c:v>45065</c:v>
                </c:pt>
                <c:pt idx="136">
                  <c:v>45069</c:v>
                </c:pt>
                <c:pt idx="137">
                  <c:v>45069</c:v>
                </c:pt>
                <c:pt idx="138">
                  <c:v>45069</c:v>
                </c:pt>
                <c:pt idx="139">
                  <c:v>45070</c:v>
                </c:pt>
                <c:pt idx="140">
                  <c:v>45071</c:v>
                </c:pt>
                <c:pt idx="141">
                  <c:v>45071</c:v>
                </c:pt>
                <c:pt idx="142">
                  <c:v>45072</c:v>
                </c:pt>
                <c:pt idx="143">
                  <c:v>45076</c:v>
                </c:pt>
                <c:pt idx="144">
                  <c:v>45077</c:v>
                </c:pt>
                <c:pt idx="145">
                  <c:v>45078</c:v>
                </c:pt>
                <c:pt idx="146">
                  <c:v>45079</c:v>
                </c:pt>
                <c:pt idx="147">
                  <c:v>45082</c:v>
                </c:pt>
                <c:pt idx="148">
                  <c:v>45084</c:v>
                </c:pt>
                <c:pt idx="149">
                  <c:v>45084</c:v>
                </c:pt>
                <c:pt idx="150">
                  <c:v>45085</c:v>
                </c:pt>
                <c:pt idx="151">
                  <c:v>45086</c:v>
                </c:pt>
                <c:pt idx="152">
                  <c:v>45086</c:v>
                </c:pt>
                <c:pt idx="153">
                  <c:v>45089</c:v>
                </c:pt>
                <c:pt idx="154">
                  <c:v>45090</c:v>
                </c:pt>
                <c:pt idx="155">
                  <c:v>45091</c:v>
                </c:pt>
                <c:pt idx="156">
                  <c:v>45092</c:v>
                </c:pt>
                <c:pt idx="157">
                  <c:v>45092</c:v>
                </c:pt>
                <c:pt idx="158">
                  <c:v>45093</c:v>
                </c:pt>
                <c:pt idx="159">
                  <c:v>45093</c:v>
                </c:pt>
                <c:pt idx="160">
                  <c:v>45093</c:v>
                </c:pt>
                <c:pt idx="161">
                  <c:v>45093</c:v>
                </c:pt>
                <c:pt idx="162">
                  <c:v>45093</c:v>
                </c:pt>
                <c:pt idx="163">
                  <c:v>45097</c:v>
                </c:pt>
                <c:pt idx="164">
                  <c:v>45097</c:v>
                </c:pt>
                <c:pt idx="165">
                  <c:v>45097</c:v>
                </c:pt>
                <c:pt idx="166">
                  <c:v>45097</c:v>
                </c:pt>
                <c:pt idx="167">
                  <c:v>45103</c:v>
                </c:pt>
                <c:pt idx="168">
                  <c:v>45104</c:v>
                </c:pt>
                <c:pt idx="169">
                  <c:v>45105</c:v>
                </c:pt>
                <c:pt idx="170">
                  <c:v>45106</c:v>
                </c:pt>
                <c:pt idx="171">
                  <c:v>45107</c:v>
                </c:pt>
                <c:pt idx="172">
                  <c:v>45107</c:v>
                </c:pt>
                <c:pt idx="173">
                  <c:v>45107</c:v>
                </c:pt>
                <c:pt idx="174">
                  <c:v>45107</c:v>
                </c:pt>
                <c:pt idx="175">
                  <c:v>45107</c:v>
                </c:pt>
                <c:pt idx="176">
                  <c:v>45112</c:v>
                </c:pt>
                <c:pt idx="177">
                  <c:v>45114</c:v>
                </c:pt>
                <c:pt idx="178">
                  <c:v>45114</c:v>
                </c:pt>
                <c:pt idx="179">
                  <c:v>45117</c:v>
                </c:pt>
                <c:pt idx="180">
                  <c:v>45117</c:v>
                </c:pt>
                <c:pt idx="181">
                  <c:v>45118</c:v>
                </c:pt>
                <c:pt idx="182">
                  <c:v>45118</c:v>
                </c:pt>
                <c:pt idx="183">
                  <c:v>45118</c:v>
                </c:pt>
                <c:pt idx="184">
                  <c:v>45119</c:v>
                </c:pt>
                <c:pt idx="185">
                  <c:v>45119</c:v>
                </c:pt>
                <c:pt idx="186">
                  <c:v>45119</c:v>
                </c:pt>
                <c:pt idx="187">
                  <c:v>45119</c:v>
                </c:pt>
                <c:pt idx="188">
                  <c:v>45119</c:v>
                </c:pt>
                <c:pt idx="189">
                  <c:v>45119</c:v>
                </c:pt>
                <c:pt idx="190">
                  <c:v>45119</c:v>
                </c:pt>
                <c:pt idx="191">
                  <c:v>45119</c:v>
                </c:pt>
                <c:pt idx="192">
                  <c:v>45119</c:v>
                </c:pt>
                <c:pt idx="193">
                  <c:v>45120</c:v>
                </c:pt>
                <c:pt idx="194">
                  <c:v>45120</c:v>
                </c:pt>
                <c:pt idx="195">
                  <c:v>45121</c:v>
                </c:pt>
                <c:pt idx="196">
                  <c:v>45122</c:v>
                </c:pt>
                <c:pt idx="197">
                  <c:v>45122</c:v>
                </c:pt>
                <c:pt idx="198">
                  <c:v>45122</c:v>
                </c:pt>
                <c:pt idx="199">
                  <c:v>45123</c:v>
                </c:pt>
                <c:pt idx="200">
                  <c:v>45124</c:v>
                </c:pt>
                <c:pt idx="201">
                  <c:v>45124</c:v>
                </c:pt>
                <c:pt idx="202">
                  <c:v>45127</c:v>
                </c:pt>
                <c:pt idx="203">
                  <c:v>45128</c:v>
                </c:pt>
                <c:pt idx="204">
                  <c:v>45131</c:v>
                </c:pt>
                <c:pt idx="205">
                  <c:v>45131</c:v>
                </c:pt>
                <c:pt idx="206">
                  <c:v>45132</c:v>
                </c:pt>
                <c:pt idx="207">
                  <c:v>45133</c:v>
                </c:pt>
                <c:pt idx="208">
                  <c:v>45133</c:v>
                </c:pt>
                <c:pt idx="209">
                  <c:v>45134</c:v>
                </c:pt>
                <c:pt idx="210">
                  <c:v>45134</c:v>
                </c:pt>
                <c:pt idx="211">
                  <c:v>45141</c:v>
                </c:pt>
                <c:pt idx="212">
                  <c:v>45145</c:v>
                </c:pt>
                <c:pt idx="213">
                  <c:v>45146</c:v>
                </c:pt>
                <c:pt idx="214">
                  <c:v>45147</c:v>
                </c:pt>
                <c:pt idx="215">
                  <c:v>45156</c:v>
                </c:pt>
                <c:pt idx="216">
                  <c:v>45156</c:v>
                </c:pt>
                <c:pt idx="217">
                  <c:v>45167</c:v>
                </c:pt>
                <c:pt idx="218">
                  <c:v>45168</c:v>
                </c:pt>
                <c:pt idx="219">
                  <c:v>45168</c:v>
                </c:pt>
                <c:pt idx="220">
                  <c:v>45168</c:v>
                </c:pt>
                <c:pt idx="221">
                  <c:v>45171</c:v>
                </c:pt>
                <c:pt idx="222">
                  <c:v>45174</c:v>
                </c:pt>
                <c:pt idx="223">
                  <c:v>45175</c:v>
                </c:pt>
                <c:pt idx="224">
                  <c:v>45176</c:v>
                </c:pt>
                <c:pt idx="225">
                  <c:v>45177</c:v>
                </c:pt>
                <c:pt idx="226">
                  <c:v>45177</c:v>
                </c:pt>
                <c:pt idx="227">
                  <c:v>45179</c:v>
                </c:pt>
                <c:pt idx="228">
                  <c:v>45182</c:v>
                </c:pt>
                <c:pt idx="229">
                  <c:v>45182</c:v>
                </c:pt>
                <c:pt idx="230">
                  <c:v>45182</c:v>
                </c:pt>
                <c:pt idx="231">
                  <c:v>45182</c:v>
                </c:pt>
                <c:pt idx="232">
                  <c:v>45182</c:v>
                </c:pt>
                <c:pt idx="233">
                  <c:v>45183</c:v>
                </c:pt>
                <c:pt idx="234">
                  <c:v>45183</c:v>
                </c:pt>
                <c:pt idx="235">
                  <c:v>45183</c:v>
                </c:pt>
                <c:pt idx="236">
                  <c:v>45183</c:v>
                </c:pt>
                <c:pt idx="237">
                  <c:v>45188</c:v>
                </c:pt>
                <c:pt idx="238">
                  <c:v>45188</c:v>
                </c:pt>
                <c:pt idx="239">
                  <c:v>45189</c:v>
                </c:pt>
                <c:pt idx="240">
                  <c:v>45189</c:v>
                </c:pt>
                <c:pt idx="241">
                  <c:v>45189</c:v>
                </c:pt>
                <c:pt idx="242">
                  <c:v>45189</c:v>
                </c:pt>
                <c:pt idx="243">
                  <c:v>45189</c:v>
                </c:pt>
                <c:pt idx="244">
                  <c:v>45190</c:v>
                </c:pt>
                <c:pt idx="245">
                  <c:v>45190</c:v>
                </c:pt>
                <c:pt idx="246">
                  <c:v>45194</c:v>
                </c:pt>
                <c:pt idx="247">
                  <c:v>45195</c:v>
                </c:pt>
                <c:pt idx="248">
                  <c:v>45196</c:v>
                </c:pt>
                <c:pt idx="249">
                  <c:v>45197</c:v>
                </c:pt>
                <c:pt idx="250">
                  <c:v>45197</c:v>
                </c:pt>
                <c:pt idx="251">
                  <c:v>45198</c:v>
                </c:pt>
                <c:pt idx="252">
                  <c:v>45198</c:v>
                </c:pt>
                <c:pt idx="253">
                  <c:v>45198</c:v>
                </c:pt>
                <c:pt idx="254">
                  <c:v>45198</c:v>
                </c:pt>
                <c:pt idx="255">
                  <c:v>45198</c:v>
                </c:pt>
                <c:pt idx="256">
                  <c:v>45198</c:v>
                </c:pt>
                <c:pt idx="257">
                  <c:v>45198</c:v>
                </c:pt>
                <c:pt idx="258">
                  <c:v>45199</c:v>
                </c:pt>
                <c:pt idx="259">
                  <c:v>45200</c:v>
                </c:pt>
                <c:pt idx="260">
                  <c:v>45201</c:v>
                </c:pt>
                <c:pt idx="261">
                  <c:v>45201</c:v>
                </c:pt>
                <c:pt idx="262">
                  <c:v>45202</c:v>
                </c:pt>
                <c:pt idx="263">
                  <c:v>45202</c:v>
                </c:pt>
                <c:pt idx="264">
                  <c:v>45202</c:v>
                </c:pt>
                <c:pt idx="265">
                  <c:v>45202</c:v>
                </c:pt>
                <c:pt idx="266">
                  <c:v>45202</c:v>
                </c:pt>
                <c:pt idx="267">
                  <c:v>45203</c:v>
                </c:pt>
                <c:pt idx="268">
                  <c:v>45203</c:v>
                </c:pt>
                <c:pt idx="269">
                  <c:v>45203</c:v>
                </c:pt>
                <c:pt idx="270">
                  <c:v>45203</c:v>
                </c:pt>
                <c:pt idx="271">
                  <c:v>45203</c:v>
                </c:pt>
                <c:pt idx="272">
                  <c:v>45204</c:v>
                </c:pt>
                <c:pt idx="273">
                  <c:v>45205</c:v>
                </c:pt>
                <c:pt idx="274">
                  <c:v>45205</c:v>
                </c:pt>
                <c:pt idx="275">
                  <c:v>45205</c:v>
                </c:pt>
                <c:pt idx="276">
                  <c:v>45208</c:v>
                </c:pt>
                <c:pt idx="277">
                  <c:v>45209</c:v>
                </c:pt>
                <c:pt idx="278">
                  <c:v>45211</c:v>
                </c:pt>
                <c:pt idx="279">
                  <c:v>45211</c:v>
                </c:pt>
                <c:pt idx="280">
                  <c:v>45211</c:v>
                </c:pt>
                <c:pt idx="281">
                  <c:v>45211</c:v>
                </c:pt>
                <c:pt idx="282">
                  <c:v>45211</c:v>
                </c:pt>
                <c:pt idx="283">
                  <c:v>45215</c:v>
                </c:pt>
                <c:pt idx="284">
                  <c:v>45217</c:v>
                </c:pt>
                <c:pt idx="285">
                  <c:v>45217</c:v>
                </c:pt>
                <c:pt idx="286">
                  <c:v>45217</c:v>
                </c:pt>
                <c:pt idx="287">
                  <c:v>45218</c:v>
                </c:pt>
                <c:pt idx="288">
                  <c:v>45219</c:v>
                </c:pt>
                <c:pt idx="289">
                  <c:v>45219</c:v>
                </c:pt>
                <c:pt idx="290">
                  <c:v>45219</c:v>
                </c:pt>
                <c:pt idx="291">
                  <c:v>45219</c:v>
                </c:pt>
                <c:pt idx="292">
                  <c:v>45219</c:v>
                </c:pt>
                <c:pt idx="293">
                  <c:v>45219</c:v>
                </c:pt>
                <c:pt idx="294">
                  <c:v>45219</c:v>
                </c:pt>
                <c:pt idx="295">
                  <c:v>45223</c:v>
                </c:pt>
                <c:pt idx="296">
                  <c:v>45224</c:v>
                </c:pt>
                <c:pt idx="297">
                  <c:v>45224</c:v>
                </c:pt>
                <c:pt idx="298">
                  <c:v>45225</c:v>
                </c:pt>
                <c:pt idx="299">
                  <c:v>45225</c:v>
                </c:pt>
                <c:pt idx="300">
                  <c:v>45225</c:v>
                </c:pt>
                <c:pt idx="301">
                  <c:v>45225</c:v>
                </c:pt>
                <c:pt idx="302">
                  <c:v>45225</c:v>
                </c:pt>
                <c:pt idx="303">
                  <c:v>45226</c:v>
                </c:pt>
                <c:pt idx="304">
                  <c:v>45229</c:v>
                </c:pt>
                <c:pt idx="305">
                  <c:v>45231</c:v>
                </c:pt>
                <c:pt idx="306">
                  <c:v>45232</c:v>
                </c:pt>
                <c:pt idx="307">
                  <c:v>45232</c:v>
                </c:pt>
                <c:pt idx="308">
                  <c:v>45233</c:v>
                </c:pt>
                <c:pt idx="309">
                  <c:v>45238</c:v>
                </c:pt>
                <c:pt idx="310">
                  <c:v>45239</c:v>
                </c:pt>
                <c:pt idx="311">
                  <c:v>45239</c:v>
                </c:pt>
                <c:pt idx="312">
                  <c:v>45239</c:v>
                </c:pt>
                <c:pt idx="313">
                  <c:v>45244</c:v>
                </c:pt>
                <c:pt idx="314">
                  <c:v>45245</c:v>
                </c:pt>
                <c:pt idx="315">
                  <c:v>45245</c:v>
                </c:pt>
                <c:pt idx="316">
                  <c:v>45245</c:v>
                </c:pt>
                <c:pt idx="317">
                  <c:v>45246</c:v>
                </c:pt>
                <c:pt idx="318">
                  <c:v>45246</c:v>
                </c:pt>
                <c:pt idx="319">
                  <c:v>45247</c:v>
                </c:pt>
                <c:pt idx="320">
                  <c:v>45247</c:v>
                </c:pt>
                <c:pt idx="321">
                  <c:v>45250</c:v>
                </c:pt>
                <c:pt idx="322">
                  <c:v>45250</c:v>
                </c:pt>
                <c:pt idx="323">
                  <c:v>45250</c:v>
                </c:pt>
                <c:pt idx="324">
                  <c:v>45251</c:v>
                </c:pt>
                <c:pt idx="325">
                  <c:v>45254</c:v>
                </c:pt>
                <c:pt idx="326">
                  <c:v>45254</c:v>
                </c:pt>
                <c:pt idx="327">
                  <c:v>45254</c:v>
                </c:pt>
                <c:pt idx="328">
                  <c:v>45254</c:v>
                </c:pt>
                <c:pt idx="329">
                  <c:v>45257</c:v>
                </c:pt>
                <c:pt idx="330">
                  <c:v>45258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45260</c:v>
                </c:pt>
                <c:pt idx="335">
                  <c:v>45261</c:v>
                </c:pt>
                <c:pt idx="336">
                  <c:v>45264</c:v>
                </c:pt>
                <c:pt idx="337">
                  <c:v>45264</c:v>
                </c:pt>
                <c:pt idx="338">
                  <c:v>45265</c:v>
                </c:pt>
                <c:pt idx="339">
                  <c:v>45265</c:v>
                </c:pt>
                <c:pt idx="340">
                  <c:v>45265</c:v>
                </c:pt>
                <c:pt idx="341">
                  <c:v>45266</c:v>
                </c:pt>
                <c:pt idx="342">
                  <c:v>45267</c:v>
                </c:pt>
                <c:pt idx="343">
                  <c:v>45268</c:v>
                </c:pt>
                <c:pt idx="344">
                  <c:v>45273</c:v>
                </c:pt>
                <c:pt idx="345">
                  <c:v>45273</c:v>
                </c:pt>
                <c:pt idx="346">
                  <c:v>45273</c:v>
                </c:pt>
                <c:pt idx="347">
                  <c:v>45274</c:v>
                </c:pt>
                <c:pt idx="348">
                  <c:v>45274</c:v>
                </c:pt>
                <c:pt idx="349">
                  <c:v>45274</c:v>
                </c:pt>
                <c:pt idx="350">
                  <c:v>45274</c:v>
                </c:pt>
                <c:pt idx="351">
                  <c:v>45275</c:v>
                </c:pt>
                <c:pt idx="352">
                  <c:v>45275</c:v>
                </c:pt>
                <c:pt idx="353">
                  <c:v>45276</c:v>
                </c:pt>
                <c:pt idx="354">
                  <c:v>45279</c:v>
                </c:pt>
                <c:pt idx="355">
                  <c:v>45281</c:v>
                </c:pt>
                <c:pt idx="356">
                  <c:v>45281</c:v>
                </c:pt>
                <c:pt idx="357">
                  <c:v>45282</c:v>
                </c:pt>
                <c:pt idx="358">
                  <c:v>45282</c:v>
                </c:pt>
                <c:pt idx="359">
                  <c:v>45287</c:v>
                </c:pt>
                <c:pt idx="360">
                  <c:v>45289</c:v>
                </c:pt>
                <c:pt idx="361">
                  <c:v>45289</c:v>
                </c:pt>
                <c:pt idx="362">
                  <c:v>45289</c:v>
                </c:pt>
                <c:pt idx="363">
                  <c:v>45289</c:v>
                </c:pt>
                <c:pt idx="364">
                  <c:v>45293</c:v>
                </c:pt>
                <c:pt idx="365">
                  <c:v>45293</c:v>
                </c:pt>
                <c:pt idx="366">
                  <c:v>45295</c:v>
                </c:pt>
                <c:pt idx="367">
                  <c:v>45295</c:v>
                </c:pt>
                <c:pt idx="368">
                  <c:v>45296</c:v>
                </c:pt>
                <c:pt idx="369">
                  <c:v>45296</c:v>
                </c:pt>
                <c:pt idx="370">
                  <c:v>45299</c:v>
                </c:pt>
                <c:pt idx="371">
                  <c:v>45300</c:v>
                </c:pt>
                <c:pt idx="372">
                  <c:v>45300</c:v>
                </c:pt>
                <c:pt idx="373">
                  <c:v>45301</c:v>
                </c:pt>
                <c:pt idx="374">
                  <c:v>45302</c:v>
                </c:pt>
                <c:pt idx="375">
                  <c:v>45302</c:v>
                </c:pt>
                <c:pt idx="376">
                  <c:v>45304</c:v>
                </c:pt>
                <c:pt idx="377">
                  <c:v>45307</c:v>
                </c:pt>
                <c:pt idx="378">
                  <c:v>45307</c:v>
                </c:pt>
                <c:pt idx="379">
                  <c:v>45308</c:v>
                </c:pt>
                <c:pt idx="380">
                  <c:v>45310</c:v>
                </c:pt>
                <c:pt idx="381">
                  <c:v>45310</c:v>
                </c:pt>
                <c:pt idx="382">
                  <c:v>45313</c:v>
                </c:pt>
                <c:pt idx="383">
                  <c:v>45313</c:v>
                </c:pt>
                <c:pt idx="384">
                  <c:v>45314</c:v>
                </c:pt>
                <c:pt idx="385">
                  <c:v>45314</c:v>
                </c:pt>
                <c:pt idx="386">
                  <c:v>45315</c:v>
                </c:pt>
                <c:pt idx="387">
                  <c:v>45316</c:v>
                </c:pt>
                <c:pt idx="388">
                  <c:v>45317</c:v>
                </c:pt>
                <c:pt idx="389">
                  <c:v>45320</c:v>
                </c:pt>
                <c:pt idx="390">
                  <c:v>45320</c:v>
                </c:pt>
                <c:pt idx="391">
                  <c:v>45320</c:v>
                </c:pt>
                <c:pt idx="392">
                  <c:v>45322</c:v>
                </c:pt>
                <c:pt idx="393">
                  <c:v>45322</c:v>
                </c:pt>
                <c:pt idx="394">
                  <c:v>45322</c:v>
                </c:pt>
                <c:pt idx="395">
                  <c:v>45323</c:v>
                </c:pt>
                <c:pt idx="396">
                  <c:v>45323</c:v>
                </c:pt>
                <c:pt idx="397">
                  <c:v>45323</c:v>
                </c:pt>
                <c:pt idx="398">
                  <c:v>45323</c:v>
                </c:pt>
                <c:pt idx="399">
                  <c:v>45323</c:v>
                </c:pt>
                <c:pt idx="400">
                  <c:v>45323</c:v>
                </c:pt>
                <c:pt idx="401">
                  <c:v>45323</c:v>
                </c:pt>
                <c:pt idx="402">
                  <c:v>45323</c:v>
                </c:pt>
                <c:pt idx="403">
                  <c:v>45324</c:v>
                </c:pt>
                <c:pt idx="404">
                  <c:v>45324</c:v>
                </c:pt>
                <c:pt idx="405">
                  <c:v>45327</c:v>
                </c:pt>
                <c:pt idx="406">
                  <c:v>45327</c:v>
                </c:pt>
                <c:pt idx="407">
                  <c:v>45328</c:v>
                </c:pt>
                <c:pt idx="408">
                  <c:v>45328</c:v>
                </c:pt>
                <c:pt idx="409">
                  <c:v>45328</c:v>
                </c:pt>
                <c:pt idx="410">
                  <c:v>45329</c:v>
                </c:pt>
                <c:pt idx="411">
                  <c:v>45330</c:v>
                </c:pt>
                <c:pt idx="412">
                  <c:v>45331</c:v>
                </c:pt>
                <c:pt idx="413">
                  <c:v>45334</c:v>
                </c:pt>
                <c:pt idx="414">
                  <c:v>45334</c:v>
                </c:pt>
                <c:pt idx="415">
                  <c:v>45335</c:v>
                </c:pt>
                <c:pt idx="416">
                  <c:v>45335</c:v>
                </c:pt>
                <c:pt idx="417">
                  <c:v>45335</c:v>
                </c:pt>
                <c:pt idx="418">
                  <c:v>45335</c:v>
                </c:pt>
                <c:pt idx="419">
                  <c:v>45337</c:v>
                </c:pt>
                <c:pt idx="420">
                  <c:v>45338</c:v>
                </c:pt>
                <c:pt idx="421">
                  <c:v>45338</c:v>
                </c:pt>
                <c:pt idx="422">
                  <c:v>45338</c:v>
                </c:pt>
                <c:pt idx="423">
                  <c:v>45338</c:v>
                </c:pt>
                <c:pt idx="424">
                  <c:v>45341</c:v>
                </c:pt>
                <c:pt idx="425">
                  <c:v>45342</c:v>
                </c:pt>
                <c:pt idx="426">
                  <c:v>45342</c:v>
                </c:pt>
                <c:pt idx="427">
                  <c:v>45342</c:v>
                </c:pt>
                <c:pt idx="428">
                  <c:v>45345</c:v>
                </c:pt>
                <c:pt idx="429">
                  <c:v>45345</c:v>
                </c:pt>
                <c:pt idx="430">
                  <c:v>45348</c:v>
                </c:pt>
                <c:pt idx="431">
                  <c:v>45349</c:v>
                </c:pt>
                <c:pt idx="432">
                  <c:v>45349</c:v>
                </c:pt>
                <c:pt idx="433">
                  <c:v>45349</c:v>
                </c:pt>
                <c:pt idx="434">
                  <c:v>45349</c:v>
                </c:pt>
                <c:pt idx="435">
                  <c:v>45349</c:v>
                </c:pt>
                <c:pt idx="436">
                  <c:v>45349</c:v>
                </c:pt>
                <c:pt idx="437">
                  <c:v>45350</c:v>
                </c:pt>
                <c:pt idx="438">
                  <c:v>45350</c:v>
                </c:pt>
                <c:pt idx="439">
                  <c:v>45350</c:v>
                </c:pt>
                <c:pt idx="440">
                  <c:v>45351</c:v>
                </c:pt>
                <c:pt idx="441">
                  <c:v>45351</c:v>
                </c:pt>
                <c:pt idx="442">
                  <c:v>45351</c:v>
                </c:pt>
                <c:pt idx="443">
                  <c:v>45351</c:v>
                </c:pt>
                <c:pt idx="444">
                  <c:v>45352</c:v>
                </c:pt>
                <c:pt idx="445">
                  <c:v>45352</c:v>
                </c:pt>
                <c:pt idx="446">
                  <c:v>45352</c:v>
                </c:pt>
                <c:pt idx="447">
                  <c:v>45352</c:v>
                </c:pt>
                <c:pt idx="448">
                  <c:v>45352</c:v>
                </c:pt>
                <c:pt idx="449">
                  <c:v>45355</c:v>
                </c:pt>
                <c:pt idx="450">
                  <c:v>45355</c:v>
                </c:pt>
                <c:pt idx="451">
                  <c:v>45356</c:v>
                </c:pt>
                <c:pt idx="452">
                  <c:v>45356</c:v>
                </c:pt>
                <c:pt idx="453">
                  <c:v>45356</c:v>
                </c:pt>
                <c:pt idx="454">
                  <c:v>45356</c:v>
                </c:pt>
                <c:pt idx="455">
                  <c:v>45357</c:v>
                </c:pt>
                <c:pt idx="456">
                  <c:v>45357</c:v>
                </c:pt>
                <c:pt idx="457">
                  <c:v>45357</c:v>
                </c:pt>
                <c:pt idx="458">
                  <c:v>45358</c:v>
                </c:pt>
                <c:pt idx="459">
                  <c:v>45358</c:v>
                </c:pt>
                <c:pt idx="460">
                  <c:v>45358</c:v>
                </c:pt>
                <c:pt idx="461">
                  <c:v>45359</c:v>
                </c:pt>
                <c:pt idx="462">
                  <c:v>45359</c:v>
                </c:pt>
                <c:pt idx="463">
                  <c:v>45359</c:v>
                </c:pt>
                <c:pt idx="464">
                  <c:v>45359</c:v>
                </c:pt>
                <c:pt idx="465">
                  <c:v>45359</c:v>
                </c:pt>
                <c:pt idx="466">
                  <c:v>45359</c:v>
                </c:pt>
                <c:pt idx="467">
                  <c:v>45359</c:v>
                </c:pt>
                <c:pt idx="468">
                  <c:v>45359</c:v>
                </c:pt>
                <c:pt idx="469">
                  <c:v>45359</c:v>
                </c:pt>
                <c:pt idx="470">
                  <c:v>45363</c:v>
                </c:pt>
                <c:pt idx="471">
                  <c:v>45363</c:v>
                </c:pt>
                <c:pt idx="472">
                  <c:v>45364</c:v>
                </c:pt>
                <c:pt idx="473">
                  <c:v>45364</c:v>
                </c:pt>
                <c:pt idx="474">
                  <c:v>45364</c:v>
                </c:pt>
                <c:pt idx="475">
                  <c:v>45365</c:v>
                </c:pt>
                <c:pt idx="476">
                  <c:v>45365</c:v>
                </c:pt>
                <c:pt idx="477">
                  <c:v>45365</c:v>
                </c:pt>
                <c:pt idx="478">
                  <c:v>45366</c:v>
                </c:pt>
                <c:pt idx="479">
                  <c:v>45366</c:v>
                </c:pt>
                <c:pt idx="480">
                  <c:v>45366</c:v>
                </c:pt>
                <c:pt idx="481">
                  <c:v>45366</c:v>
                </c:pt>
                <c:pt idx="482">
                  <c:v>45366</c:v>
                </c:pt>
                <c:pt idx="483">
                  <c:v>45366</c:v>
                </c:pt>
                <c:pt idx="484">
                  <c:v>45366</c:v>
                </c:pt>
                <c:pt idx="485">
                  <c:v>45366</c:v>
                </c:pt>
                <c:pt idx="486">
                  <c:v>45366</c:v>
                </c:pt>
                <c:pt idx="487">
                  <c:v>45369</c:v>
                </c:pt>
                <c:pt idx="488">
                  <c:v>45370</c:v>
                </c:pt>
                <c:pt idx="489">
                  <c:v>45370</c:v>
                </c:pt>
                <c:pt idx="490">
                  <c:v>45370</c:v>
                </c:pt>
                <c:pt idx="491">
                  <c:v>45370</c:v>
                </c:pt>
                <c:pt idx="492">
                  <c:v>45370</c:v>
                </c:pt>
                <c:pt idx="493">
                  <c:v>45370</c:v>
                </c:pt>
                <c:pt idx="494">
                  <c:v>45371</c:v>
                </c:pt>
                <c:pt idx="495">
                  <c:v>45371</c:v>
                </c:pt>
                <c:pt idx="496">
                  <c:v>45371</c:v>
                </c:pt>
                <c:pt idx="497">
                  <c:v>45371</c:v>
                </c:pt>
                <c:pt idx="498">
                  <c:v>45371</c:v>
                </c:pt>
                <c:pt idx="499">
                  <c:v>45372</c:v>
                </c:pt>
                <c:pt idx="500">
                  <c:v>45372</c:v>
                </c:pt>
                <c:pt idx="501">
                  <c:v>45372</c:v>
                </c:pt>
                <c:pt idx="502">
                  <c:v>45372</c:v>
                </c:pt>
                <c:pt idx="503">
                  <c:v>45373</c:v>
                </c:pt>
                <c:pt idx="504">
                  <c:v>45373</c:v>
                </c:pt>
                <c:pt idx="505">
                  <c:v>45375</c:v>
                </c:pt>
                <c:pt idx="506">
                  <c:v>45376</c:v>
                </c:pt>
                <c:pt idx="507">
                  <c:v>45376</c:v>
                </c:pt>
                <c:pt idx="508">
                  <c:v>45376</c:v>
                </c:pt>
                <c:pt idx="509">
                  <c:v>45376</c:v>
                </c:pt>
                <c:pt idx="510">
                  <c:v>45377</c:v>
                </c:pt>
                <c:pt idx="511">
                  <c:v>45378</c:v>
                </c:pt>
                <c:pt idx="512">
                  <c:v>45379</c:v>
                </c:pt>
                <c:pt idx="513">
                  <c:v>45379</c:v>
                </c:pt>
                <c:pt idx="514">
                  <c:v>45379</c:v>
                </c:pt>
                <c:pt idx="515">
                  <c:v>45383</c:v>
                </c:pt>
                <c:pt idx="516">
                  <c:v>45383</c:v>
                </c:pt>
                <c:pt idx="517">
                  <c:v>45383</c:v>
                </c:pt>
                <c:pt idx="518">
                  <c:v>45384</c:v>
                </c:pt>
                <c:pt idx="519">
                  <c:v>45384</c:v>
                </c:pt>
                <c:pt idx="520">
                  <c:v>45384</c:v>
                </c:pt>
                <c:pt idx="521">
                  <c:v>45384</c:v>
                </c:pt>
                <c:pt idx="522">
                  <c:v>45384</c:v>
                </c:pt>
                <c:pt idx="523">
                  <c:v>45386</c:v>
                </c:pt>
                <c:pt idx="524">
                  <c:v>45386</c:v>
                </c:pt>
                <c:pt idx="525">
                  <c:v>45386</c:v>
                </c:pt>
                <c:pt idx="526">
                  <c:v>45386</c:v>
                </c:pt>
                <c:pt idx="527">
                  <c:v>45386</c:v>
                </c:pt>
                <c:pt idx="528">
                  <c:v>45387</c:v>
                </c:pt>
                <c:pt idx="529">
                  <c:v>45387</c:v>
                </c:pt>
                <c:pt idx="530">
                  <c:v>45390</c:v>
                </c:pt>
                <c:pt idx="531">
                  <c:v>45391</c:v>
                </c:pt>
                <c:pt idx="532">
                  <c:v>45392</c:v>
                </c:pt>
                <c:pt idx="533">
                  <c:v>45392</c:v>
                </c:pt>
                <c:pt idx="534">
                  <c:v>45392</c:v>
                </c:pt>
                <c:pt idx="535">
                  <c:v>45393</c:v>
                </c:pt>
                <c:pt idx="536">
                  <c:v>45393</c:v>
                </c:pt>
                <c:pt idx="537">
                  <c:v>45393</c:v>
                </c:pt>
                <c:pt idx="538">
                  <c:v>45393</c:v>
                </c:pt>
                <c:pt idx="539">
                  <c:v>45394</c:v>
                </c:pt>
                <c:pt idx="540">
                  <c:v>45394</c:v>
                </c:pt>
                <c:pt idx="541">
                  <c:v>45397</c:v>
                </c:pt>
                <c:pt idx="542">
                  <c:v>45397</c:v>
                </c:pt>
                <c:pt idx="543">
                  <c:v>45397</c:v>
                </c:pt>
                <c:pt idx="544">
                  <c:v>45397</c:v>
                </c:pt>
                <c:pt idx="545">
                  <c:v>45398</c:v>
                </c:pt>
                <c:pt idx="546">
                  <c:v>45398</c:v>
                </c:pt>
                <c:pt idx="547">
                  <c:v>45400</c:v>
                </c:pt>
                <c:pt idx="548">
                  <c:v>45400</c:v>
                </c:pt>
                <c:pt idx="549">
                  <c:v>45401</c:v>
                </c:pt>
                <c:pt idx="550">
                  <c:v>45404</c:v>
                </c:pt>
                <c:pt idx="551">
                  <c:v>45405</c:v>
                </c:pt>
                <c:pt idx="552">
                  <c:v>45407</c:v>
                </c:pt>
                <c:pt idx="553">
                  <c:v>45407</c:v>
                </c:pt>
                <c:pt idx="554">
                  <c:v>45408</c:v>
                </c:pt>
                <c:pt idx="555">
                  <c:v>45408</c:v>
                </c:pt>
                <c:pt idx="556">
                  <c:v>45408</c:v>
                </c:pt>
                <c:pt idx="557">
                  <c:v>45411</c:v>
                </c:pt>
                <c:pt idx="558">
                  <c:v>45413</c:v>
                </c:pt>
                <c:pt idx="559">
                  <c:v>45413</c:v>
                </c:pt>
                <c:pt idx="560">
                  <c:v>45414</c:v>
                </c:pt>
                <c:pt idx="561">
                  <c:v>45415</c:v>
                </c:pt>
                <c:pt idx="562">
                  <c:v>45419</c:v>
                </c:pt>
                <c:pt idx="563">
                  <c:v>45419</c:v>
                </c:pt>
                <c:pt idx="564">
                  <c:v>45422</c:v>
                </c:pt>
                <c:pt idx="565">
                  <c:v>45422</c:v>
                </c:pt>
                <c:pt idx="566">
                  <c:v>45423</c:v>
                </c:pt>
                <c:pt idx="567">
                  <c:v>45425</c:v>
                </c:pt>
                <c:pt idx="568">
                  <c:v>45426</c:v>
                </c:pt>
                <c:pt idx="569">
                  <c:v>45428</c:v>
                </c:pt>
                <c:pt idx="570">
                  <c:v>45428</c:v>
                </c:pt>
                <c:pt idx="571">
                  <c:v>45429</c:v>
                </c:pt>
                <c:pt idx="572">
                  <c:v>45429</c:v>
                </c:pt>
                <c:pt idx="573">
                  <c:v>45430</c:v>
                </c:pt>
                <c:pt idx="574">
                  <c:v>45432</c:v>
                </c:pt>
                <c:pt idx="575">
                  <c:v>45432</c:v>
                </c:pt>
                <c:pt idx="576">
                  <c:v>45432</c:v>
                </c:pt>
                <c:pt idx="577">
                  <c:v>45432</c:v>
                </c:pt>
                <c:pt idx="578">
                  <c:v>45433</c:v>
                </c:pt>
                <c:pt idx="579">
                  <c:v>45433</c:v>
                </c:pt>
                <c:pt idx="580">
                  <c:v>45434</c:v>
                </c:pt>
                <c:pt idx="581">
                  <c:v>45435</c:v>
                </c:pt>
                <c:pt idx="582">
                  <c:v>45435</c:v>
                </c:pt>
                <c:pt idx="583">
                  <c:v>45436</c:v>
                </c:pt>
                <c:pt idx="584">
                  <c:v>45440</c:v>
                </c:pt>
                <c:pt idx="585">
                  <c:v>45440</c:v>
                </c:pt>
                <c:pt idx="586">
                  <c:v>45440</c:v>
                </c:pt>
                <c:pt idx="587">
                  <c:v>45440</c:v>
                </c:pt>
                <c:pt idx="588">
                  <c:v>45440</c:v>
                </c:pt>
                <c:pt idx="589">
                  <c:v>45442</c:v>
                </c:pt>
                <c:pt idx="590">
                  <c:v>45442</c:v>
                </c:pt>
                <c:pt idx="591">
                  <c:v>45443</c:v>
                </c:pt>
                <c:pt idx="592">
                  <c:v>45446</c:v>
                </c:pt>
                <c:pt idx="593">
                  <c:v>45448</c:v>
                </c:pt>
                <c:pt idx="594">
                  <c:v>45450</c:v>
                </c:pt>
                <c:pt idx="595">
                  <c:v>45450</c:v>
                </c:pt>
                <c:pt idx="596">
                  <c:v>45450</c:v>
                </c:pt>
                <c:pt idx="597">
                  <c:v>45450</c:v>
                </c:pt>
                <c:pt idx="598">
                  <c:v>45453</c:v>
                </c:pt>
                <c:pt idx="599">
                  <c:v>45454</c:v>
                </c:pt>
                <c:pt idx="600">
                  <c:v>45455</c:v>
                </c:pt>
                <c:pt idx="601">
                  <c:v>45456</c:v>
                </c:pt>
                <c:pt idx="602">
                  <c:v>45456</c:v>
                </c:pt>
                <c:pt idx="603">
                  <c:v>45457</c:v>
                </c:pt>
                <c:pt idx="604">
                  <c:v>45457</c:v>
                </c:pt>
                <c:pt idx="605">
                  <c:v>45457</c:v>
                </c:pt>
                <c:pt idx="606">
                  <c:v>45460</c:v>
                </c:pt>
                <c:pt idx="607">
                  <c:v>45460</c:v>
                </c:pt>
                <c:pt idx="608">
                  <c:v>45461</c:v>
                </c:pt>
                <c:pt idx="609">
                  <c:v>45461</c:v>
                </c:pt>
                <c:pt idx="610">
                  <c:v>45463</c:v>
                </c:pt>
                <c:pt idx="611">
                  <c:v>45463</c:v>
                </c:pt>
                <c:pt idx="612">
                  <c:v>45464</c:v>
                </c:pt>
                <c:pt idx="613">
                  <c:v>45464</c:v>
                </c:pt>
                <c:pt idx="614">
                  <c:v>45464</c:v>
                </c:pt>
                <c:pt idx="615">
                  <c:v>45467</c:v>
                </c:pt>
                <c:pt idx="616">
                  <c:v>45467</c:v>
                </c:pt>
                <c:pt idx="617">
                  <c:v>45467</c:v>
                </c:pt>
                <c:pt idx="618">
                  <c:v>45468</c:v>
                </c:pt>
                <c:pt idx="619">
                  <c:v>45468</c:v>
                </c:pt>
                <c:pt idx="620">
                  <c:v>45468</c:v>
                </c:pt>
                <c:pt idx="621">
                  <c:v>45469</c:v>
                </c:pt>
                <c:pt idx="622">
                  <c:v>45470</c:v>
                </c:pt>
                <c:pt idx="623">
                  <c:v>45470</c:v>
                </c:pt>
                <c:pt idx="624">
                  <c:v>45471</c:v>
                </c:pt>
                <c:pt idx="625">
                  <c:v>45471</c:v>
                </c:pt>
                <c:pt idx="626">
                  <c:v>45471</c:v>
                </c:pt>
                <c:pt idx="627">
                  <c:v>45471</c:v>
                </c:pt>
                <c:pt idx="628">
                  <c:v>45471</c:v>
                </c:pt>
                <c:pt idx="629">
                  <c:v>45473</c:v>
                </c:pt>
                <c:pt idx="630">
                  <c:v>45473</c:v>
                </c:pt>
                <c:pt idx="631">
                  <c:v>45474</c:v>
                </c:pt>
                <c:pt idx="632">
                  <c:v>45474</c:v>
                </c:pt>
                <c:pt idx="633">
                  <c:v>45474</c:v>
                </c:pt>
                <c:pt idx="634">
                  <c:v>45476</c:v>
                </c:pt>
                <c:pt idx="635">
                  <c:v>45478</c:v>
                </c:pt>
                <c:pt idx="636">
                  <c:v>45478</c:v>
                </c:pt>
                <c:pt idx="637">
                  <c:v>45483</c:v>
                </c:pt>
                <c:pt idx="638">
                  <c:v>45484</c:v>
                </c:pt>
                <c:pt idx="639">
                  <c:v>45485</c:v>
                </c:pt>
                <c:pt idx="640">
                  <c:v>45485</c:v>
                </c:pt>
                <c:pt idx="641">
                  <c:v>45485</c:v>
                </c:pt>
                <c:pt idx="642">
                  <c:v>45485</c:v>
                </c:pt>
                <c:pt idx="643">
                  <c:v>45489</c:v>
                </c:pt>
                <c:pt idx="644">
                  <c:v>45489</c:v>
                </c:pt>
                <c:pt idx="645">
                  <c:v>45490</c:v>
                </c:pt>
                <c:pt idx="646">
                  <c:v>45490</c:v>
                </c:pt>
                <c:pt idx="647">
                  <c:v>45490</c:v>
                </c:pt>
                <c:pt idx="648">
                  <c:v>45490</c:v>
                </c:pt>
                <c:pt idx="649">
                  <c:v>45490</c:v>
                </c:pt>
                <c:pt idx="650">
                  <c:v>45490</c:v>
                </c:pt>
                <c:pt idx="651">
                  <c:v>45491</c:v>
                </c:pt>
                <c:pt idx="652">
                  <c:v>45492</c:v>
                </c:pt>
                <c:pt idx="653">
                  <c:v>45492</c:v>
                </c:pt>
                <c:pt idx="654">
                  <c:v>45492</c:v>
                </c:pt>
                <c:pt idx="655">
                  <c:v>45492</c:v>
                </c:pt>
                <c:pt idx="656">
                  <c:v>45492</c:v>
                </c:pt>
                <c:pt idx="657">
                  <c:v>45492</c:v>
                </c:pt>
                <c:pt idx="658">
                  <c:v>45495</c:v>
                </c:pt>
                <c:pt idx="659">
                  <c:v>45495</c:v>
                </c:pt>
                <c:pt idx="660">
                  <c:v>45495</c:v>
                </c:pt>
                <c:pt idx="661">
                  <c:v>45497</c:v>
                </c:pt>
                <c:pt idx="662">
                  <c:v>45497</c:v>
                </c:pt>
                <c:pt idx="663">
                  <c:v>45497</c:v>
                </c:pt>
                <c:pt idx="664">
                  <c:v>45498</c:v>
                </c:pt>
                <c:pt idx="665">
                  <c:v>45498</c:v>
                </c:pt>
                <c:pt idx="666">
                  <c:v>45498</c:v>
                </c:pt>
                <c:pt idx="667">
                  <c:v>45498</c:v>
                </c:pt>
                <c:pt idx="668">
                  <c:v>45498</c:v>
                </c:pt>
                <c:pt idx="669">
                  <c:v>45503</c:v>
                </c:pt>
                <c:pt idx="670">
                  <c:v>45504</c:v>
                </c:pt>
                <c:pt idx="671">
                  <c:v>45504</c:v>
                </c:pt>
                <c:pt idx="672">
                  <c:v>45504</c:v>
                </c:pt>
                <c:pt idx="673">
                  <c:v>45504</c:v>
                </c:pt>
                <c:pt idx="674">
                  <c:v>45506</c:v>
                </c:pt>
                <c:pt idx="675">
                  <c:v>45509</c:v>
                </c:pt>
                <c:pt idx="676">
                  <c:v>45509</c:v>
                </c:pt>
              </c:numCache>
            </c:numRef>
          </c:cat>
          <c:val>
            <c:numRef>
              <c:f>'Closed Trades'!$P$2:$P$678</c:f>
              <c:numCache>
                <c:formatCode>_("$"* #,##0.00_);_("$"* \(#,##0.00\);_("$"* "-"??_);_(@_)</c:formatCode>
                <c:ptCount val="677"/>
                <c:pt idx="0">
                  <c:v>-2307.4800000000005</c:v>
                </c:pt>
                <c:pt idx="1">
                  <c:v>9043.869999999999</c:v>
                </c:pt>
                <c:pt idx="2">
                  <c:v>7359.7999999999993</c:v>
                </c:pt>
                <c:pt idx="3">
                  <c:v>3837.9199999999992</c:v>
                </c:pt>
                <c:pt idx="4">
                  <c:v>10044.019999999999</c:v>
                </c:pt>
                <c:pt idx="5">
                  <c:v>14621.039999999999</c:v>
                </c:pt>
                <c:pt idx="6">
                  <c:v>17191.170000000006</c:v>
                </c:pt>
                <c:pt idx="7">
                  <c:v>17330.140000000007</c:v>
                </c:pt>
                <c:pt idx="8">
                  <c:v>16304.739999999983</c:v>
                </c:pt>
                <c:pt idx="9">
                  <c:v>18335.989999999983</c:v>
                </c:pt>
                <c:pt idx="10">
                  <c:v>16213.890000000007</c:v>
                </c:pt>
                <c:pt idx="11">
                  <c:v>19736.910000000007</c:v>
                </c:pt>
                <c:pt idx="12">
                  <c:v>26087.309999999914</c:v>
                </c:pt>
                <c:pt idx="13">
                  <c:v>24087.309999999914</c:v>
                </c:pt>
                <c:pt idx="14">
                  <c:v>24168.309999999914</c:v>
                </c:pt>
                <c:pt idx="15">
                  <c:v>24085.809999999914</c:v>
                </c:pt>
                <c:pt idx="16">
                  <c:v>27318.209999999937</c:v>
                </c:pt>
                <c:pt idx="17">
                  <c:v>25283.009999999984</c:v>
                </c:pt>
                <c:pt idx="18">
                  <c:v>22847.81000000003</c:v>
                </c:pt>
                <c:pt idx="19">
                  <c:v>21145.709999999937</c:v>
                </c:pt>
                <c:pt idx="20">
                  <c:v>26101.709999999937</c:v>
                </c:pt>
                <c:pt idx="21">
                  <c:v>24084.109999999844</c:v>
                </c:pt>
                <c:pt idx="22">
                  <c:v>23733.409999999891</c:v>
                </c:pt>
                <c:pt idx="23">
                  <c:v>36064.409999999887</c:v>
                </c:pt>
                <c:pt idx="24">
                  <c:v>37446.809999999794</c:v>
                </c:pt>
                <c:pt idx="25">
                  <c:v>41322.809999999794</c:v>
                </c:pt>
                <c:pt idx="26">
                  <c:v>59777.889999999868</c:v>
                </c:pt>
                <c:pt idx="27">
                  <c:v>53711.889999999868</c:v>
                </c:pt>
                <c:pt idx="28">
                  <c:v>47809.090000000055</c:v>
                </c:pt>
                <c:pt idx="29">
                  <c:v>43699.090000000055</c:v>
                </c:pt>
                <c:pt idx="30">
                  <c:v>39655.090000000055</c:v>
                </c:pt>
                <c:pt idx="31">
                  <c:v>35619.889999999868</c:v>
                </c:pt>
                <c:pt idx="32">
                  <c:v>31700.889999999868</c:v>
                </c:pt>
                <c:pt idx="33">
                  <c:v>29465.689999999682</c:v>
                </c:pt>
                <c:pt idx="34">
                  <c:v>27598.089999999589</c:v>
                </c:pt>
                <c:pt idx="35">
                  <c:v>26962.889999999403</c:v>
                </c:pt>
                <c:pt idx="36">
                  <c:v>23873.829999999405</c:v>
                </c:pt>
                <c:pt idx="37">
                  <c:v>25214.329999999405</c:v>
                </c:pt>
                <c:pt idx="38">
                  <c:v>24567.329999999405</c:v>
                </c:pt>
                <c:pt idx="39">
                  <c:v>46001.329999999405</c:v>
                </c:pt>
                <c:pt idx="40">
                  <c:v>52809.679999999411</c:v>
                </c:pt>
                <c:pt idx="41">
                  <c:v>56276.489999999409</c:v>
                </c:pt>
                <c:pt idx="42">
                  <c:v>59948.559999999408</c:v>
                </c:pt>
                <c:pt idx="43">
                  <c:v>64404.559999999408</c:v>
                </c:pt>
                <c:pt idx="44">
                  <c:v>61836.959999999315</c:v>
                </c:pt>
                <c:pt idx="45">
                  <c:v>59819.359999999222</c:v>
                </c:pt>
                <c:pt idx="46">
                  <c:v>66926.759999999136</c:v>
                </c:pt>
                <c:pt idx="47">
                  <c:v>62048.259999999136</c:v>
                </c:pt>
                <c:pt idx="48">
                  <c:v>79188.05999999895</c:v>
                </c:pt>
                <c:pt idx="49">
                  <c:v>73122.05999999895</c:v>
                </c:pt>
                <c:pt idx="50">
                  <c:v>67243.55999999895</c:v>
                </c:pt>
                <c:pt idx="51">
                  <c:v>68346.55999999895</c:v>
                </c:pt>
                <c:pt idx="52">
                  <c:v>70921.499999998952</c:v>
                </c:pt>
                <c:pt idx="53">
                  <c:v>64375.499999998952</c:v>
                </c:pt>
                <c:pt idx="54">
                  <c:v>61831.499999998952</c:v>
                </c:pt>
                <c:pt idx="55">
                  <c:v>59975.099999999045</c:v>
                </c:pt>
                <c:pt idx="56">
                  <c:v>53159.099999999045</c:v>
                </c:pt>
                <c:pt idx="57">
                  <c:v>52905.599999999045</c:v>
                </c:pt>
                <c:pt idx="58">
                  <c:v>49958.539999999048</c:v>
                </c:pt>
                <c:pt idx="59">
                  <c:v>60142.539999999048</c:v>
                </c:pt>
                <c:pt idx="60">
                  <c:v>51792.039999999048</c:v>
                </c:pt>
                <c:pt idx="61">
                  <c:v>47646.339999998861</c:v>
                </c:pt>
                <c:pt idx="62">
                  <c:v>53804.899999998859</c:v>
                </c:pt>
                <c:pt idx="63">
                  <c:v>53288.479999998846</c:v>
                </c:pt>
                <c:pt idx="64">
                  <c:v>49085.719999998844</c:v>
                </c:pt>
                <c:pt idx="65">
                  <c:v>64237.2799999989</c:v>
                </c:pt>
                <c:pt idx="66">
                  <c:v>60068.2799999989</c:v>
                </c:pt>
                <c:pt idx="67">
                  <c:v>58502.2799999989</c:v>
                </c:pt>
                <c:pt idx="68">
                  <c:v>64436.2799999989</c:v>
                </c:pt>
                <c:pt idx="69">
                  <c:v>58370.2799999989</c:v>
                </c:pt>
                <c:pt idx="70">
                  <c:v>54701.2799999989</c:v>
                </c:pt>
                <c:pt idx="71">
                  <c:v>51727.2799999989</c:v>
                </c:pt>
                <c:pt idx="72">
                  <c:v>53933.2799999989</c:v>
                </c:pt>
                <c:pt idx="73">
                  <c:v>49955.489999998899</c:v>
                </c:pt>
                <c:pt idx="74">
                  <c:v>43008.689999998154</c:v>
                </c:pt>
                <c:pt idx="75">
                  <c:v>40105.88999999834</c:v>
                </c:pt>
                <c:pt idx="76">
                  <c:v>33852.38999999834</c:v>
                </c:pt>
                <c:pt idx="77">
                  <c:v>41178.749999998327</c:v>
                </c:pt>
                <c:pt idx="78">
                  <c:v>35300.249999998327</c:v>
                </c:pt>
                <c:pt idx="79">
                  <c:v>31131.249999998327</c:v>
                </c:pt>
                <c:pt idx="80">
                  <c:v>29253.84999999842</c:v>
                </c:pt>
                <c:pt idx="81">
                  <c:v>23375.34999999842</c:v>
                </c:pt>
                <c:pt idx="82">
                  <c:v>19331.34999999842</c:v>
                </c:pt>
                <c:pt idx="83">
                  <c:v>16632.499999998414</c:v>
                </c:pt>
                <c:pt idx="84">
                  <c:v>14128.999999998414</c:v>
                </c:pt>
                <c:pt idx="85">
                  <c:v>20509.999999998414</c:v>
                </c:pt>
                <c:pt idx="86">
                  <c:v>28215.999999998414</c:v>
                </c:pt>
                <c:pt idx="87">
                  <c:v>24171.999999998414</c:v>
                </c:pt>
                <c:pt idx="88">
                  <c:v>20252.999999998414</c:v>
                </c:pt>
                <c:pt idx="89">
                  <c:v>16916.169999998398</c:v>
                </c:pt>
                <c:pt idx="90">
                  <c:v>17225.169999998398</c:v>
                </c:pt>
                <c:pt idx="91">
                  <c:v>13888.339999998381</c:v>
                </c:pt>
                <c:pt idx="92">
                  <c:v>8339.2399999983754</c:v>
                </c:pt>
                <c:pt idx="93">
                  <c:v>17889.179999998378</c:v>
                </c:pt>
                <c:pt idx="94">
                  <c:v>19635.679999998378</c:v>
                </c:pt>
                <c:pt idx="95">
                  <c:v>9525.6799999983778</c:v>
                </c:pt>
                <c:pt idx="96">
                  <c:v>3721.559999998377</c:v>
                </c:pt>
                <c:pt idx="97">
                  <c:v>18445.709999998377</c:v>
                </c:pt>
                <c:pt idx="98">
                  <c:v>43967.749999998377</c:v>
                </c:pt>
                <c:pt idx="99">
                  <c:v>56393.809999998375</c:v>
                </c:pt>
                <c:pt idx="100">
                  <c:v>54377.739999998375</c:v>
                </c:pt>
                <c:pt idx="101">
                  <c:v>54383.979999998599</c:v>
                </c:pt>
                <c:pt idx="102">
                  <c:v>80820.369999998584</c:v>
                </c:pt>
                <c:pt idx="103">
                  <c:v>85199.789999998582</c:v>
                </c:pt>
                <c:pt idx="104">
                  <c:v>74777.289999998582</c:v>
                </c:pt>
                <c:pt idx="105">
                  <c:v>64667.289999998582</c:v>
                </c:pt>
                <c:pt idx="106">
                  <c:v>60851.289999998582</c:v>
                </c:pt>
                <c:pt idx="107">
                  <c:v>125047.18999999855</c:v>
                </c:pt>
                <c:pt idx="108">
                  <c:v>120679.74999999854</c:v>
                </c:pt>
                <c:pt idx="109">
                  <c:v>114988.74999999854</c:v>
                </c:pt>
                <c:pt idx="110">
                  <c:v>102772.19999999856</c:v>
                </c:pt>
                <c:pt idx="111">
                  <c:v>97433.189999998547</c:v>
                </c:pt>
                <c:pt idx="112">
                  <c:v>87265.36999999854</c:v>
                </c:pt>
                <c:pt idx="113">
                  <c:v>76209.149999998568</c:v>
                </c:pt>
                <c:pt idx="114">
                  <c:v>70298.299999998562</c:v>
                </c:pt>
                <c:pt idx="115">
                  <c:v>67009.739999998565</c:v>
                </c:pt>
                <c:pt idx="116">
                  <c:v>74815.739999998565</c:v>
                </c:pt>
                <c:pt idx="117">
                  <c:v>70836.979999998555</c:v>
                </c:pt>
                <c:pt idx="118">
                  <c:v>73878.779999998544</c:v>
                </c:pt>
                <c:pt idx="119">
                  <c:v>67905.699999998469</c:v>
                </c:pt>
                <c:pt idx="120">
                  <c:v>59202.629999998469</c:v>
                </c:pt>
                <c:pt idx="121">
                  <c:v>52803.269999998469</c:v>
                </c:pt>
                <c:pt idx="122">
                  <c:v>45974.599999998485</c:v>
                </c:pt>
                <c:pt idx="123">
                  <c:v>39145.929999998501</c:v>
                </c:pt>
                <c:pt idx="124">
                  <c:v>34873.489999998499</c:v>
                </c:pt>
                <c:pt idx="125">
                  <c:v>34845.189999998496</c:v>
                </c:pt>
                <c:pt idx="126">
                  <c:v>31930.239999998485</c:v>
                </c:pt>
                <c:pt idx="127">
                  <c:v>27886.239999998485</c:v>
                </c:pt>
                <c:pt idx="128">
                  <c:v>23842.239999998485</c:v>
                </c:pt>
                <c:pt idx="129">
                  <c:v>19834.739999998485</c:v>
                </c:pt>
                <c:pt idx="130">
                  <c:v>15261.509999998474</c:v>
                </c:pt>
                <c:pt idx="131">
                  <c:v>17527.829999998481</c:v>
                </c:pt>
                <c:pt idx="132">
                  <c:v>11242.78999999848</c:v>
                </c:pt>
                <c:pt idx="133">
                  <c:v>7322.2099999984803</c:v>
                </c:pt>
                <c:pt idx="134">
                  <c:v>10293.709999998478</c:v>
                </c:pt>
                <c:pt idx="135">
                  <c:v>4044.9799999984789</c:v>
                </c:pt>
                <c:pt idx="136">
                  <c:v>20.919999998481217</c:v>
                </c:pt>
                <c:pt idx="137">
                  <c:v>1896.1799999984905</c:v>
                </c:pt>
                <c:pt idx="138">
                  <c:v>21848.379999998488</c:v>
                </c:pt>
                <c:pt idx="139">
                  <c:v>39665.92999999848</c:v>
                </c:pt>
                <c:pt idx="140">
                  <c:v>75710.909999998461</c:v>
                </c:pt>
                <c:pt idx="141">
                  <c:v>117508.47999999847</c:v>
                </c:pt>
                <c:pt idx="142">
                  <c:v>112259.43999999847</c:v>
                </c:pt>
                <c:pt idx="143">
                  <c:v>102263.13999999849</c:v>
                </c:pt>
                <c:pt idx="144">
                  <c:v>90933.939999998474</c:v>
                </c:pt>
                <c:pt idx="145">
                  <c:v>84160.239999998463</c:v>
                </c:pt>
                <c:pt idx="146">
                  <c:v>99217.149999998495</c:v>
                </c:pt>
                <c:pt idx="147">
                  <c:v>100394.38999999849</c:v>
                </c:pt>
                <c:pt idx="148">
                  <c:v>105791.5599999985</c:v>
                </c:pt>
                <c:pt idx="149">
                  <c:v>99765.109999998502</c:v>
                </c:pt>
                <c:pt idx="150">
                  <c:v>99595.599999998492</c:v>
                </c:pt>
                <c:pt idx="151">
                  <c:v>93345.72037036893</c:v>
                </c:pt>
                <c:pt idx="152">
                  <c:v>84440.178489158818</c:v>
                </c:pt>
                <c:pt idx="153">
                  <c:v>89380.738489158815</c:v>
                </c:pt>
                <c:pt idx="154">
                  <c:v>106260.77848915885</c:v>
                </c:pt>
                <c:pt idx="155">
                  <c:v>102216.77848915885</c:v>
                </c:pt>
                <c:pt idx="156">
                  <c:v>88726.81848915889</c:v>
                </c:pt>
                <c:pt idx="157">
                  <c:v>95591.848489158889</c:v>
                </c:pt>
                <c:pt idx="158">
                  <c:v>85765.608489158898</c:v>
                </c:pt>
                <c:pt idx="159">
                  <c:v>77594.558489158895</c:v>
                </c:pt>
                <c:pt idx="160">
                  <c:v>77743.92848915889</c:v>
                </c:pt>
                <c:pt idx="161">
                  <c:v>72168.528489158867</c:v>
                </c:pt>
                <c:pt idx="162">
                  <c:v>67969.288489158862</c:v>
                </c:pt>
                <c:pt idx="163">
                  <c:v>57830.378489158858</c:v>
                </c:pt>
                <c:pt idx="164">
                  <c:v>69063.258489158805</c:v>
                </c:pt>
                <c:pt idx="165">
                  <c:v>58767.698489158778</c:v>
                </c:pt>
                <c:pt idx="166">
                  <c:v>77142.388489158766</c:v>
                </c:pt>
                <c:pt idx="167">
                  <c:v>66792.368489158776</c:v>
                </c:pt>
                <c:pt idx="168">
                  <c:v>69841.898489158804</c:v>
                </c:pt>
                <c:pt idx="169">
                  <c:v>65087.248489158781</c:v>
                </c:pt>
                <c:pt idx="170">
                  <c:v>57282.938489158783</c:v>
                </c:pt>
                <c:pt idx="171">
                  <c:v>51153.938489158783</c:v>
                </c:pt>
                <c:pt idx="172">
                  <c:v>52829.79335436847</c:v>
                </c:pt>
                <c:pt idx="173">
                  <c:v>59993.049245296002</c:v>
                </c:pt>
                <c:pt idx="174">
                  <c:v>48116.079245296001</c:v>
                </c:pt>
                <c:pt idx="175">
                  <c:v>53073.549245296002</c:v>
                </c:pt>
                <c:pt idx="176">
                  <c:v>38034.299245295973</c:v>
                </c:pt>
                <c:pt idx="177">
                  <c:v>20151.459245295948</c:v>
                </c:pt>
                <c:pt idx="178">
                  <c:v>9567.6592452959303</c:v>
                </c:pt>
                <c:pt idx="179">
                  <c:v>-4450.5007547039859</c:v>
                </c:pt>
                <c:pt idx="180">
                  <c:v>12933.019245296033</c:v>
                </c:pt>
                <c:pt idx="181">
                  <c:v>3985.5354165346998</c:v>
                </c:pt>
                <c:pt idx="182">
                  <c:v>9327.3154165347278</c:v>
                </c:pt>
                <c:pt idx="183">
                  <c:v>18280.875416534727</c:v>
                </c:pt>
                <c:pt idx="184">
                  <c:v>246.14915036773527</c:v>
                </c:pt>
                <c:pt idx="185">
                  <c:v>-16385.99003374291</c:v>
                </c:pt>
                <c:pt idx="186">
                  <c:v>-32932.229499103341</c:v>
                </c:pt>
                <c:pt idx="187">
                  <c:v>-39054.906615650769</c:v>
                </c:pt>
                <c:pt idx="188">
                  <c:v>-39136.926615650758</c:v>
                </c:pt>
                <c:pt idx="189">
                  <c:v>-39859.296615650761</c:v>
                </c:pt>
                <c:pt idx="190">
                  <c:v>-50464.276615650771</c:v>
                </c:pt>
                <c:pt idx="191">
                  <c:v>-49903.196615650755</c:v>
                </c:pt>
                <c:pt idx="192">
                  <c:v>-81783.068390249653</c:v>
                </c:pt>
                <c:pt idx="193">
                  <c:v>-96926.16839024963</c:v>
                </c:pt>
                <c:pt idx="194">
                  <c:v>-110405.61851994296</c:v>
                </c:pt>
                <c:pt idx="195">
                  <c:v>-39531.1785199429</c:v>
                </c:pt>
                <c:pt idx="196">
                  <c:v>-49520.128519942911</c:v>
                </c:pt>
                <c:pt idx="197">
                  <c:v>-30553.338519942874</c:v>
                </c:pt>
                <c:pt idx="198">
                  <c:v>-38041.738519942781</c:v>
                </c:pt>
                <c:pt idx="199">
                  <c:v>-48064.838519942758</c:v>
                </c:pt>
                <c:pt idx="200">
                  <c:v>-52081.258519942756</c:v>
                </c:pt>
                <c:pt idx="201">
                  <c:v>19333.771480057156</c:v>
                </c:pt>
                <c:pt idx="202">
                  <c:v>101701.59233307003</c:v>
                </c:pt>
                <c:pt idx="203">
                  <c:v>106063.81233307003</c:v>
                </c:pt>
                <c:pt idx="204">
                  <c:v>121155.91233307001</c:v>
                </c:pt>
                <c:pt idx="205">
                  <c:v>111183.47233307007</c:v>
                </c:pt>
                <c:pt idx="206">
                  <c:v>105368.47233307007</c:v>
                </c:pt>
                <c:pt idx="207">
                  <c:v>95257.172333070077</c:v>
                </c:pt>
                <c:pt idx="208">
                  <c:v>85005.652333070058</c:v>
                </c:pt>
                <c:pt idx="209">
                  <c:v>109123.15233307006</c:v>
                </c:pt>
                <c:pt idx="210">
                  <c:v>94077.152333070058</c:v>
                </c:pt>
                <c:pt idx="211">
                  <c:v>79771.0723330701</c:v>
                </c:pt>
                <c:pt idx="212">
                  <c:v>71449.552333070082</c:v>
                </c:pt>
                <c:pt idx="213">
                  <c:v>54986.592333070119</c:v>
                </c:pt>
                <c:pt idx="214">
                  <c:v>41212.592333070119</c:v>
                </c:pt>
                <c:pt idx="215">
                  <c:v>48106.842333070119</c:v>
                </c:pt>
                <c:pt idx="216">
                  <c:v>33244.662333070119</c:v>
                </c:pt>
                <c:pt idx="217">
                  <c:v>37237.332333070117</c:v>
                </c:pt>
                <c:pt idx="218">
                  <c:v>61707.73233307014</c:v>
                </c:pt>
                <c:pt idx="219">
                  <c:v>55432.73233307014</c:v>
                </c:pt>
                <c:pt idx="220">
                  <c:v>58457.812333070142</c:v>
                </c:pt>
                <c:pt idx="221">
                  <c:v>43206.212333070165</c:v>
                </c:pt>
                <c:pt idx="222">
                  <c:v>36074.762333070154</c:v>
                </c:pt>
                <c:pt idx="223">
                  <c:v>29977.96233307034</c:v>
                </c:pt>
                <c:pt idx="224">
                  <c:v>20942.142333070333</c:v>
                </c:pt>
                <c:pt idx="225">
                  <c:v>11606.642333070333</c:v>
                </c:pt>
                <c:pt idx="226">
                  <c:v>12131.182333070341</c:v>
                </c:pt>
                <c:pt idx="227">
                  <c:v>2202.3923330703619</c:v>
                </c:pt>
                <c:pt idx="228">
                  <c:v>11542.392333070362</c:v>
                </c:pt>
                <c:pt idx="229">
                  <c:v>11477.70233307036</c:v>
                </c:pt>
                <c:pt idx="230">
                  <c:v>12630.20233307036</c:v>
                </c:pt>
                <c:pt idx="231">
                  <c:v>14282.19233307035</c:v>
                </c:pt>
                <c:pt idx="232">
                  <c:v>9799.4823330703293</c:v>
                </c:pt>
                <c:pt idx="233">
                  <c:v>9376.0823330703352</c:v>
                </c:pt>
                <c:pt idx="234">
                  <c:v>10476.902333070342</c:v>
                </c:pt>
                <c:pt idx="235">
                  <c:v>4511.5923330703445</c:v>
                </c:pt>
                <c:pt idx="236">
                  <c:v>4256.4123330703515</c:v>
                </c:pt>
                <c:pt idx="237">
                  <c:v>-1776.9876669296573</c:v>
                </c:pt>
                <c:pt idx="238">
                  <c:v>6626.4623330703398</c:v>
                </c:pt>
                <c:pt idx="239">
                  <c:v>1488.182333070341</c:v>
                </c:pt>
                <c:pt idx="240">
                  <c:v>-1141.747666929652</c:v>
                </c:pt>
                <c:pt idx="241">
                  <c:v>-2115.9076669295682</c:v>
                </c:pt>
                <c:pt idx="242">
                  <c:v>34251.995458070174</c:v>
                </c:pt>
                <c:pt idx="243">
                  <c:v>31505.19545807036</c:v>
                </c:pt>
                <c:pt idx="244">
                  <c:v>25816.44545807036</c:v>
                </c:pt>
                <c:pt idx="245">
                  <c:v>29111.44545807036</c:v>
                </c:pt>
                <c:pt idx="246">
                  <c:v>30492.345458070384</c:v>
                </c:pt>
                <c:pt idx="247">
                  <c:v>31221.95545807037</c:v>
                </c:pt>
                <c:pt idx="248">
                  <c:v>114377.95545807037</c:v>
                </c:pt>
                <c:pt idx="249">
                  <c:v>113825.23545807037</c:v>
                </c:pt>
                <c:pt idx="250">
                  <c:v>105474.61545807037</c:v>
                </c:pt>
                <c:pt idx="251">
                  <c:v>96429.783914070314</c:v>
                </c:pt>
                <c:pt idx="252">
                  <c:v>102987.25391407032</c:v>
                </c:pt>
                <c:pt idx="253">
                  <c:v>118814.0039140703</c:v>
                </c:pt>
                <c:pt idx="254">
                  <c:v>142316.53777164995</c:v>
                </c:pt>
                <c:pt idx="255">
                  <c:v>134999.47777164995</c:v>
                </c:pt>
                <c:pt idx="256">
                  <c:v>131524.22777164995</c:v>
                </c:pt>
                <c:pt idx="257">
                  <c:v>156914.44777165004</c:v>
                </c:pt>
                <c:pt idx="258">
                  <c:v>158889.44777165004</c:v>
                </c:pt>
                <c:pt idx="259">
                  <c:v>150416.42777165008</c:v>
                </c:pt>
                <c:pt idx="260">
                  <c:v>145013.61277165008</c:v>
                </c:pt>
                <c:pt idx="261">
                  <c:v>144925.61277165008</c:v>
                </c:pt>
                <c:pt idx="262">
                  <c:v>133818.50941594533</c:v>
                </c:pt>
                <c:pt idx="263">
                  <c:v>124684.7294159453</c:v>
                </c:pt>
                <c:pt idx="264">
                  <c:v>116399.16505352927</c:v>
                </c:pt>
                <c:pt idx="265">
                  <c:v>107224.32505352925</c:v>
                </c:pt>
                <c:pt idx="266">
                  <c:v>118294.53505352925</c:v>
                </c:pt>
                <c:pt idx="267">
                  <c:v>138050.01505352926</c:v>
                </c:pt>
                <c:pt idx="268">
                  <c:v>138886.18505352928</c:v>
                </c:pt>
                <c:pt idx="269">
                  <c:v>141054.06505352928</c:v>
                </c:pt>
                <c:pt idx="270">
                  <c:v>147672.48505352929</c:v>
                </c:pt>
                <c:pt idx="271">
                  <c:v>194474.04505352935</c:v>
                </c:pt>
                <c:pt idx="272">
                  <c:v>218214.12505352942</c:v>
                </c:pt>
                <c:pt idx="273">
                  <c:v>224680.44505352943</c:v>
                </c:pt>
                <c:pt idx="274">
                  <c:v>209054.44505352943</c:v>
                </c:pt>
                <c:pt idx="275">
                  <c:v>207032.44505352943</c:v>
                </c:pt>
                <c:pt idx="276">
                  <c:v>191981.58505352944</c:v>
                </c:pt>
                <c:pt idx="277">
                  <c:v>205506.40505352945</c:v>
                </c:pt>
                <c:pt idx="278">
                  <c:v>199311.40505352945</c:v>
                </c:pt>
                <c:pt idx="279">
                  <c:v>202622.80505352945</c:v>
                </c:pt>
                <c:pt idx="280">
                  <c:v>211902.55505352945</c:v>
                </c:pt>
                <c:pt idx="281">
                  <c:v>225229.05505352945</c:v>
                </c:pt>
                <c:pt idx="282">
                  <c:v>215566.10505352943</c:v>
                </c:pt>
                <c:pt idx="283">
                  <c:v>224481.41505352943</c:v>
                </c:pt>
                <c:pt idx="284">
                  <c:v>245870.57505352941</c:v>
                </c:pt>
                <c:pt idx="285">
                  <c:v>243678.21505352942</c:v>
                </c:pt>
                <c:pt idx="286">
                  <c:v>281047.7550535294</c:v>
                </c:pt>
                <c:pt idx="287">
                  <c:v>269616.35505352938</c:v>
                </c:pt>
                <c:pt idx="288">
                  <c:v>260882.35505352938</c:v>
                </c:pt>
                <c:pt idx="289">
                  <c:v>251908.65505352936</c:v>
                </c:pt>
                <c:pt idx="290">
                  <c:v>251319.68505352936</c:v>
                </c:pt>
                <c:pt idx="291">
                  <c:v>254019.68505352936</c:v>
                </c:pt>
                <c:pt idx="292">
                  <c:v>258690.80703833731</c:v>
                </c:pt>
                <c:pt idx="293">
                  <c:v>263872.36703833728</c:v>
                </c:pt>
                <c:pt idx="294">
                  <c:v>270382.36703833728</c:v>
                </c:pt>
                <c:pt idx="295">
                  <c:v>261955.72703833738</c:v>
                </c:pt>
                <c:pt idx="296">
                  <c:v>262100.06703833738</c:v>
                </c:pt>
                <c:pt idx="297">
                  <c:v>264583.16703833739</c:v>
                </c:pt>
                <c:pt idx="298">
                  <c:v>256973.6870383374</c:v>
                </c:pt>
                <c:pt idx="299">
                  <c:v>256195.6870383374</c:v>
                </c:pt>
                <c:pt idx="300">
                  <c:v>261976.8670383374</c:v>
                </c:pt>
                <c:pt idx="301">
                  <c:v>259813.8670383374</c:v>
                </c:pt>
                <c:pt idx="302">
                  <c:v>335124.2670383373</c:v>
                </c:pt>
                <c:pt idx="303">
                  <c:v>339845.2670383373</c:v>
                </c:pt>
                <c:pt idx="304">
                  <c:v>336346.8870383373</c:v>
                </c:pt>
                <c:pt idx="305">
                  <c:v>323262.8870383373</c:v>
                </c:pt>
                <c:pt idx="306">
                  <c:v>327272.8870383373</c:v>
                </c:pt>
                <c:pt idx="307">
                  <c:v>354210.8870383373</c:v>
                </c:pt>
                <c:pt idx="308">
                  <c:v>344742.8870383373</c:v>
                </c:pt>
                <c:pt idx="309">
                  <c:v>360468.75703833729</c:v>
                </c:pt>
                <c:pt idx="310">
                  <c:v>353881.67703833734</c:v>
                </c:pt>
                <c:pt idx="311">
                  <c:v>348944.82703833736</c:v>
                </c:pt>
                <c:pt idx="312">
                  <c:v>346856.82703833736</c:v>
                </c:pt>
                <c:pt idx="313">
                  <c:v>371299.82703833736</c:v>
                </c:pt>
                <c:pt idx="314">
                  <c:v>371406.97703833738</c:v>
                </c:pt>
                <c:pt idx="315">
                  <c:v>361272.97703833738</c:v>
                </c:pt>
                <c:pt idx="316">
                  <c:v>352998.97703833738</c:v>
                </c:pt>
                <c:pt idx="317">
                  <c:v>353944.34703833738</c:v>
                </c:pt>
                <c:pt idx="318">
                  <c:v>341417.75703833741</c:v>
                </c:pt>
                <c:pt idx="319">
                  <c:v>381874.69256349676</c:v>
                </c:pt>
                <c:pt idx="320">
                  <c:v>372560.17256349674</c:v>
                </c:pt>
                <c:pt idx="321">
                  <c:v>376924.11256349675</c:v>
                </c:pt>
                <c:pt idx="322">
                  <c:v>374013.61256349675</c:v>
                </c:pt>
                <c:pt idx="323">
                  <c:v>408279.66256349673</c:v>
                </c:pt>
                <c:pt idx="324">
                  <c:v>415542.56256349676</c:v>
                </c:pt>
                <c:pt idx="325">
                  <c:v>410913.87256349676</c:v>
                </c:pt>
                <c:pt idx="326">
                  <c:v>408341.6725634968</c:v>
                </c:pt>
                <c:pt idx="327">
                  <c:v>405957.5425634968</c:v>
                </c:pt>
                <c:pt idx="328">
                  <c:v>399521.76256349677</c:v>
                </c:pt>
                <c:pt idx="329">
                  <c:v>423603.16256349673</c:v>
                </c:pt>
                <c:pt idx="330">
                  <c:v>423725.30256349675</c:v>
                </c:pt>
                <c:pt idx="331">
                  <c:v>445061.55256349675</c:v>
                </c:pt>
                <c:pt idx="332">
                  <c:v>451669.34256349673</c:v>
                </c:pt>
                <c:pt idx="333">
                  <c:v>452231.38256349671</c:v>
                </c:pt>
                <c:pt idx="334">
                  <c:v>454291.38256349671</c:v>
                </c:pt>
                <c:pt idx="335">
                  <c:v>471274.9825634968</c:v>
                </c:pt>
                <c:pt idx="336">
                  <c:v>469769.59256349679</c:v>
                </c:pt>
                <c:pt idx="337">
                  <c:v>469484.09256349679</c:v>
                </c:pt>
                <c:pt idx="338">
                  <c:v>461884.27256349678</c:v>
                </c:pt>
                <c:pt idx="339">
                  <c:v>454647.13256349677</c:v>
                </c:pt>
                <c:pt idx="340">
                  <c:v>456013.51256349677</c:v>
                </c:pt>
                <c:pt idx="341">
                  <c:v>453502.11256349675</c:v>
                </c:pt>
                <c:pt idx="342">
                  <c:v>446049.72256349679</c:v>
                </c:pt>
                <c:pt idx="343">
                  <c:v>438180.63256349677</c:v>
                </c:pt>
                <c:pt idx="344">
                  <c:v>431563.75256349676</c:v>
                </c:pt>
                <c:pt idx="345">
                  <c:v>436684.79256349674</c:v>
                </c:pt>
                <c:pt idx="346">
                  <c:v>434076.79256349674</c:v>
                </c:pt>
                <c:pt idx="347">
                  <c:v>450034.63256349671</c:v>
                </c:pt>
                <c:pt idx="348">
                  <c:v>470872.89256349672</c:v>
                </c:pt>
                <c:pt idx="349">
                  <c:v>520834.39256349672</c:v>
                </c:pt>
                <c:pt idx="350">
                  <c:v>520717.5025634967</c:v>
                </c:pt>
                <c:pt idx="351">
                  <c:v>512891.80256349669</c:v>
                </c:pt>
                <c:pt idx="352">
                  <c:v>514568.5025634967</c:v>
                </c:pt>
                <c:pt idx="353">
                  <c:v>518136.97256349667</c:v>
                </c:pt>
                <c:pt idx="354">
                  <c:v>518129.65256349667</c:v>
                </c:pt>
                <c:pt idx="355">
                  <c:v>515650.65256349667</c:v>
                </c:pt>
                <c:pt idx="356">
                  <c:v>505498.65256349667</c:v>
                </c:pt>
                <c:pt idx="357">
                  <c:v>497233.49256349669</c:v>
                </c:pt>
                <c:pt idx="358">
                  <c:v>494422.39256349666</c:v>
                </c:pt>
                <c:pt idx="359">
                  <c:v>487007.39256349666</c:v>
                </c:pt>
                <c:pt idx="360">
                  <c:v>469623.87256349664</c:v>
                </c:pt>
                <c:pt idx="361">
                  <c:v>467763.30256349663</c:v>
                </c:pt>
                <c:pt idx="362">
                  <c:v>466183.99256349663</c:v>
                </c:pt>
                <c:pt idx="363">
                  <c:v>465898.70256349666</c:v>
                </c:pt>
                <c:pt idx="364">
                  <c:v>466763.01256349671</c:v>
                </c:pt>
                <c:pt idx="365">
                  <c:v>485511.68256349675</c:v>
                </c:pt>
                <c:pt idx="366">
                  <c:v>481895.93256349675</c:v>
                </c:pt>
                <c:pt idx="367">
                  <c:v>481062.84256349679</c:v>
                </c:pt>
                <c:pt idx="368">
                  <c:v>474409.24256349681</c:v>
                </c:pt>
                <c:pt idx="369">
                  <c:v>472445.04256349662</c:v>
                </c:pt>
                <c:pt idx="370">
                  <c:v>486651.75256349659</c:v>
                </c:pt>
                <c:pt idx="371">
                  <c:v>481325.69256349659</c:v>
                </c:pt>
                <c:pt idx="372">
                  <c:v>476303.28256349661</c:v>
                </c:pt>
                <c:pt idx="373">
                  <c:v>456294.35256349662</c:v>
                </c:pt>
                <c:pt idx="374">
                  <c:v>446861.29256349662</c:v>
                </c:pt>
                <c:pt idx="375">
                  <c:v>448977.19256349665</c:v>
                </c:pt>
                <c:pt idx="376">
                  <c:v>438816.19256349665</c:v>
                </c:pt>
                <c:pt idx="377">
                  <c:v>431212.53256349661</c:v>
                </c:pt>
                <c:pt idx="378">
                  <c:v>424849.5825634966</c:v>
                </c:pt>
                <c:pt idx="379">
                  <c:v>404840.65256349661</c:v>
                </c:pt>
                <c:pt idx="380">
                  <c:v>395056.83256349666</c:v>
                </c:pt>
                <c:pt idx="381">
                  <c:v>400556.96256349667</c:v>
                </c:pt>
                <c:pt idx="382">
                  <c:v>406291.32256349665</c:v>
                </c:pt>
                <c:pt idx="383">
                  <c:v>416468.54256349662</c:v>
                </c:pt>
                <c:pt idx="384">
                  <c:v>410441.70256349666</c:v>
                </c:pt>
                <c:pt idx="385">
                  <c:v>404751.36256349669</c:v>
                </c:pt>
                <c:pt idx="386">
                  <c:v>421967.1225634967</c:v>
                </c:pt>
                <c:pt idx="387">
                  <c:v>436540.47256349667</c:v>
                </c:pt>
                <c:pt idx="388">
                  <c:v>449278.5625634967</c:v>
                </c:pt>
                <c:pt idx="389">
                  <c:v>443958.71256349672</c:v>
                </c:pt>
                <c:pt idx="390">
                  <c:v>456502.1825634967</c:v>
                </c:pt>
                <c:pt idx="391">
                  <c:v>458124.1825634967</c:v>
                </c:pt>
                <c:pt idx="392">
                  <c:v>444108.78256349667</c:v>
                </c:pt>
                <c:pt idx="393">
                  <c:v>431013.53256349667</c:v>
                </c:pt>
                <c:pt idx="394">
                  <c:v>440925.65256349667</c:v>
                </c:pt>
                <c:pt idx="395">
                  <c:v>430517.85256349668</c:v>
                </c:pt>
                <c:pt idx="396">
                  <c:v>421452.72256349667</c:v>
                </c:pt>
                <c:pt idx="397">
                  <c:v>415176.46256349667</c:v>
                </c:pt>
                <c:pt idx="398">
                  <c:v>410547.71256349667</c:v>
                </c:pt>
                <c:pt idx="399">
                  <c:v>410744.02256349666</c:v>
                </c:pt>
                <c:pt idx="400">
                  <c:v>420485.70256349666</c:v>
                </c:pt>
                <c:pt idx="401">
                  <c:v>383958.70256349666</c:v>
                </c:pt>
                <c:pt idx="402">
                  <c:v>378634.48256349668</c:v>
                </c:pt>
                <c:pt idx="403">
                  <c:v>389439.1825634967</c:v>
                </c:pt>
                <c:pt idx="404">
                  <c:v>390426.1825634967</c:v>
                </c:pt>
                <c:pt idx="405">
                  <c:v>373276.1825634967</c:v>
                </c:pt>
                <c:pt idx="406">
                  <c:v>362320.1825634967</c:v>
                </c:pt>
                <c:pt idx="407">
                  <c:v>356138.1825634967</c:v>
                </c:pt>
                <c:pt idx="408">
                  <c:v>362153.86256349669</c:v>
                </c:pt>
                <c:pt idx="409">
                  <c:v>382755.24256349669</c:v>
                </c:pt>
                <c:pt idx="410">
                  <c:v>373547.77256349666</c:v>
                </c:pt>
                <c:pt idx="411">
                  <c:v>367673.68256349664</c:v>
                </c:pt>
                <c:pt idx="412">
                  <c:v>421161.3925634966</c:v>
                </c:pt>
                <c:pt idx="413">
                  <c:v>406267.5825634966</c:v>
                </c:pt>
                <c:pt idx="414">
                  <c:v>396211.7025634966</c:v>
                </c:pt>
                <c:pt idx="415">
                  <c:v>367004.30256349669</c:v>
                </c:pt>
                <c:pt idx="416">
                  <c:v>359113.99256349669</c:v>
                </c:pt>
                <c:pt idx="417">
                  <c:v>342070.99256349669</c:v>
                </c:pt>
                <c:pt idx="418">
                  <c:v>337885.99256349669</c:v>
                </c:pt>
                <c:pt idx="419">
                  <c:v>351873.03256349673</c:v>
                </c:pt>
                <c:pt idx="420">
                  <c:v>345263.34256349673</c:v>
                </c:pt>
                <c:pt idx="421">
                  <c:v>343259.33256349672</c:v>
                </c:pt>
                <c:pt idx="422">
                  <c:v>342916.37256349676</c:v>
                </c:pt>
                <c:pt idx="423">
                  <c:v>353832.91256349673</c:v>
                </c:pt>
                <c:pt idx="424">
                  <c:v>363138.49256349675</c:v>
                </c:pt>
                <c:pt idx="425">
                  <c:v>348065.31256349676</c:v>
                </c:pt>
                <c:pt idx="426">
                  <c:v>334427.31256349676</c:v>
                </c:pt>
                <c:pt idx="427">
                  <c:v>322832.31256349676</c:v>
                </c:pt>
                <c:pt idx="428">
                  <c:v>383059.79256349674</c:v>
                </c:pt>
                <c:pt idx="429">
                  <c:v>410974.8725634967</c:v>
                </c:pt>
                <c:pt idx="430">
                  <c:v>408423.16256349668</c:v>
                </c:pt>
                <c:pt idx="431">
                  <c:v>410571.35256349668</c:v>
                </c:pt>
                <c:pt idx="432">
                  <c:v>413912.84256349667</c:v>
                </c:pt>
                <c:pt idx="433">
                  <c:v>415265.40256349667</c:v>
                </c:pt>
                <c:pt idx="434">
                  <c:v>417209.96256349667</c:v>
                </c:pt>
                <c:pt idx="435">
                  <c:v>420215.96256349667</c:v>
                </c:pt>
                <c:pt idx="436">
                  <c:v>414006.96256349667</c:v>
                </c:pt>
                <c:pt idx="437">
                  <c:v>402652.21256349667</c:v>
                </c:pt>
                <c:pt idx="438">
                  <c:v>422198.13256349659</c:v>
                </c:pt>
                <c:pt idx="439">
                  <c:v>420127.68256349658</c:v>
                </c:pt>
                <c:pt idx="440">
                  <c:v>410209.59256349655</c:v>
                </c:pt>
                <c:pt idx="441">
                  <c:v>409599.59256349655</c:v>
                </c:pt>
                <c:pt idx="442">
                  <c:v>443602.07256349659</c:v>
                </c:pt>
                <c:pt idx="443">
                  <c:v>434547.07256349659</c:v>
                </c:pt>
                <c:pt idx="444">
                  <c:v>428572.25256349659</c:v>
                </c:pt>
                <c:pt idx="445">
                  <c:v>428565.25256349659</c:v>
                </c:pt>
                <c:pt idx="446">
                  <c:v>429613.24256349658</c:v>
                </c:pt>
                <c:pt idx="447">
                  <c:v>425674.05256349657</c:v>
                </c:pt>
                <c:pt idx="448">
                  <c:v>424502.36256349657</c:v>
                </c:pt>
                <c:pt idx="449">
                  <c:v>427878.66256349656</c:v>
                </c:pt>
                <c:pt idx="450">
                  <c:v>425378.47256349656</c:v>
                </c:pt>
                <c:pt idx="451">
                  <c:v>415190.90256349655</c:v>
                </c:pt>
                <c:pt idx="452">
                  <c:v>405636.02256349655</c:v>
                </c:pt>
                <c:pt idx="453">
                  <c:v>407433.59256349655</c:v>
                </c:pt>
                <c:pt idx="454">
                  <c:v>392744.21256349655</c:v>
                </c:pt>
                <c:pt idx="455">
                  <c:v>387681.21256349655</c:v>
                </c:pt>
                <c:pt idx="456">
                  <c:v>382618.21256349655</c:v>
                </c:pt>
                <c:pt idx="457">
                  <c:v>374904.81825814006</c:v>
                </c:pt>
                <c:pt idx="458">
                  <c:v>364110.64825814008</c:v>
                </c:pt>
                <c:pt idx="459">
                  <c:v>354564.95825814008</c:v>
                </c:pt>
                <c:pt idx="460">
                  <c:v>348462.95825814008</c:v>
                </c:pt>
                <c:pt idx="461">
                  <c:v>350731.47825814009</c:v>
                </c:pt>
                <c:pt idx="462">
                  <c:v>340321.07745814009</c:v>
                </c:pt>
                <c:pt idx="463">
                  <c:v>358954.50745814008</c:v>
                </c:pt>
                <c:pt idx="464">
                  <c:v>357515.50745814008</c:v>
                </c:pt>
                <c:pt idx="465">
                  <c:v>362630.50745814008</c:v>
                </c:pt>
                <c:pt idx="466">
                  <c:v>360503.50745814008</c:v>
                </c:pt>
                <c:pt idx="467">
                  <c:v>355694.65745814005</c:v>
                </c:pt>
                <c:pt idx="468">
                  <c:v>360740.65745814005</c:v>
                </c:pt>
                <c:pt idx="469">
                  <c:v>352377.61745814007</c:v>
                </c:pt>
                <c:pt idx="470">
                  <c:v>353062.35745814006</c:v>
                </c:pt>
                <c:pt idx="471">
                  <c:v>412711.82745814003</c:v>
                </c:pt>
                <c:pt idx="472">
                  <c:v>412527.48745814001</c:v>
                </c:pt>
                <c:pt idx="473">
                  <c:v>410931.98745814001</c:v>
                </c:pt>
                <c:pt idx="474">
                  <c:v>409289.43745814002</c:v>
                </c:pt>
                <c:pt idx="475">
                  <c:v>411869.43745814002</c:v>
                </c:pt>
                <c:pt idx="476">
                  <c:v>404854.63745814003</c:v>
                </c:pt>
                <c:pt idx="477">
                  <c:v>396054.63745814003</c:v>
                </c:pt>
                <c:pt idx="478">
                  <c:v>394134.74745814002</c:v>
                </c:pt>
                <c:pt idx="479">
                  <c:v>391024.34745813999</c:v>
                </c:pt>
                <c:pt idx="480">
                  <c:v>388238.91745814</c:v>
                </c:pt>
                <c:pt idx="481">
                  <c:v>390507.56745813997</c:v>
                </c:pt>
                <c:pt idx="482">
                  <c:v>385928.71745813999</c:v>
                </c:pt>
                <c:pt idx="483">
                  <c:v>373618.41745814</c:v>
                </c:pt>
                <c:pt idx="484">
                  <c:v>365911.54745814</c:v>
                </c:pt>
                <c:pt idx="485">
                  <c:v>359429.20745813998</c:v>
                </c:pt>
                <c:pt idx="486">
                  <c:v>349461.50745813997</c:v>
                </c:pt>
                <c:pt idx="487">
                  <c:v>350694.47745814</c:v>
                </c:pt>
                <c:pt idx="488">
                  <c:v>345490.57745813997</c:v>
                </c:pt>
                <c:pt idx="489">
                  <c:v>338031.03745814</c:v>
                </c:pt>
                <c:pt idx="490">
                  <c:v>330128.14745813998</c:v>
                </c:pt>
                <c:pt idx="491">
                  <c:v>324437.08745813998</c:v>
                </c:pt>
                <c:pt idx="492">
                  <c:v>318117.51745813998</c:v>
                </c:pt>
                <c:pt idx="493">
                  <c:v>300407.35845813999</c:v>
                </c:pt>
                <c:pt idx="494">
                  <c:v>287064.89845813997</c:v>
                </c:pt>
                <c:pt idx="495">
                  <c:v>285744.89845813997</c:v>
                </c:pt>
                <c:pt idx="496">
                  <c:v>322758.89845813997</c:v>
                </c:pt>
                <c:pt idx="497">
                  <c:v>327047.89845813997</c:v>
                </c:pt>
                <c:pt idx="498">
                  <c:v>338776.47845814005</c:v>
                </c:pt>
                <c:pt idx="499">
                  <c:v>337221.47845814005</c:v>
                </c:pt>
                <c:pt idx="500">
                  <c:v>333194.97845814005</c:v>
                </c:pt>
                <c:pt idx="501">
                  <c:v>331639.97845814005</c:v>
                </c:pt>
                <c:pt idx="502">
                  <c:v>328770.09845814016</c:v>
                </c:pt>
                <c:pt idx="503">
                  <c:v>327384.13845814014</c:v>
                </c:pt>
                <c:pt idx="504">
                  <c:v>335943.41845814011</c:v>
                </c:pt>
                <c:pt idx="505">
                  <c:v>325321.96845814009</c:v>
                </c:pt>
                <c:pt idx="506">
                  <c:v>324337.45845814008</c:v>
                </c:pt>
                <c:pt idx="507">
                  <c:v>319409.02845814009</c:v>
                </c:pt>
                <c:pt idx="508">
                  <c:v>289429.02845814009</c:v>
                </c:pt>
                <c:pt idx="509">
                  <c:v>269439.02845814009</c:v>
                </c:pt>
                <c:pt idx="510">
                  <c:v>272278.97845814005</c:v>
                </c:pt>
                <c:pt idx="511">
                  <c:v>263679.35845814005</c:v>
                </c:pt>
                <c:pt idx="512">
                  <c:v>278999.80845814006</c:v>
                </c:pt>
                <c:pt idx="513">
                  <c:v>280466.24845814006</c:v>
                </c:pt>
                <c:pt idx="514">
                  <c:v>276619.36845814006</c:v>
                </c:pt>
                <c:pt idx="515">
                  <c:v>268794.36845814006</c:v>
                </c:pt>
                <c:pt idx="516">
                  <c:v>262788.42845814006</c:v>
                </c:pt>
                <c:pt idx="517">
                  <c:v>260825.05845814006</c:v>
                </c:pt>
                <c:pt idx="518">
                  <c:v>254833.47845814005</c:v>
                </c:pt>
                <c:pt idx="519">
                  <c:v>250557.49845814003</c:v>
                </c:pt>
                <c:pt idx="520">
                  <c:v>246148.49845814003</c:v>
                </c:pt>
                <c:pt idx="521">
                  <c:v>242151.49845814003</c:v>
                </c:pt>
                <c:pt idx="522">
                  <c:v>294609.79845814011</c:v>
                </c:pt>
                <c:pt idx="523">
                  <c:v>337316.0984581401</c:v>
                </c:pt>
                <c:pt idx="524">
                  <c:v>333269.41845814011</c:v>
                </c:pt>
                <c:pt idx="525">
                  <c:v>323531.52845814009</c:v>
                </c:pt>
                <c:pt idx="526">
                  <c:v>318111.52845814009</c:v>
                </c:pt>
                <c:pt idx="527">
                  <c:v>310470.1584581401</c:v>
                </c:pt>
                <c:pt idx="528">
                  <c:v>347765.80845814012</c:v>
                </c:pt>
                <c:pt idx="529">
                  <c:v>344649.05845814012</c:v>
                </c:pt>
                <c:pt idx="530">
                  <c:v>339969.05845814012</c:v>
                </c:pt>
                <c:pt idx="531">
                  <c:v>346811.45845814014</c:v>
                </c:pt>
                <c:pt idx="532">
                  <c:v>341668.67845814012</c:v>
                </c:pt>
                <c:pt idx="533">
                  <c:v>335544.67845814012</c:v>
                </c:pt>
                <c:pt idx="534">
                  <c:v>328034.67845814012</c:v>
                </c:pt>
                <c:pt idx="535">
                  <c:v>328742.06845814013</c:v>
                </c:pt>
                <c:pt idx="536">
                  <c:v>330493.66845814011</c:v>
                </c:pt>
                <c:pt idx="537">
                  <c:v>324138.27845814009</c:v>
                </c:pt>
                <c:pt idx="538">
                  <c:v>317612.33845814009</c:v>
                </c:pt>
                <c:pt idx="539">
                  <c:v>308814.23845814005</c:v>
                </c:pt>
                <c:pt idx="540">
                  <c:v>333618.92845814006</c:v>
                </c:pt>
                <c:pt idx="541">
                  <c:v>308594.46845814009</c:v>
                </c:pt>
                <c:pt idx="542">
                  <c:v>305238.10845814011</c:v>
                </c:pt>
                <c:pt idx="543">
                  <c:v>301261.10845814011</c:v>
                </c:pt>
                <c:pt idx="544">
                  <c:v>296538.37845814013</c:v>
                </c:pt>
                <c:pt idx="545">
                  <c:v>301843.45845814014</c:v>
                </c:pt>
                <c:pt idx="546">
                  <c:v>297725.45845814014</c:v>
                </c:pt>
                <c:pt idx="547">
                  <c:v>291896.42845814012</c:v>
                </c:pt>
                <c:pt idx="548">
                  <c:v>287749.7284581401</c:v>
                </c:pt>
                <c:pt idx="549">
                  <c:v>270268.68845814012</c:v>
                </c:pt>
                <c:pt idx="550">
                  <c:v>270235.68845814012</c:v>
                </c:pt>
                <c:pt idx="551">
                  <c:v>282382.38845814014</c:v>
                </c:pt>
                <c:pt idx="552">
                  <c:v>279133.56845814013</c:v>
                </c:pt>
                <c:pt idx="553">
                  <c:v>290494.77845814015</c:v>
                </c:pt>
                <c:pt idx="554">
                  <c:v>285768.77845814015</c:v>
                </c:pt>
                <c:pt idx="555">
                  <c:v>285613.77845814015</c:v>
                </c:pt>
                <c:pt idx="556">
                  <c:v>277119.57845814014</c:v>
                </c:pt>
                <c:pt idx="557">
                  <c:v>286705.70845814014</c:v>
                </c:pt>
                <c:pt idx="558">
                  <c:v>281399.60845814017</c:v>
                </c:pt>
                <c:pt idx="559">
                  <c:v>283510.60845814017</c:v>
                </c:pt>
                <c:pt idx="560">
                  <c:v>298518.20845814014</c:v>
                </c:pt>
                <c:pt idx="561">
                  <c:v>296521.20845814014</c:v>
                </c:pt>
                <c:pt idx="562">
                  <c:v>291552.45845814014</c:v>
                </c:pt>
                <c:pt idx="563">
                  <c:v>323670.99845814012</c:v>
                </c:pt>
                <c:pt idx="564">
                  <c:v>316360.99845814012</c:v>
                </c:pt>
                <c:pt idx="565">
                  <c:v>302330.99845814012</c:v>
                </c:pt>
                <c:pt idx="566">
                  <c:v>291403.54845814011</c:v>
                </c:pt>
                <c:pt idx="567">
                  <c:v>271280.54845814011</c:v>
                </c:pt>
                <c:pt idx="568">
                  <c:v>308972.01845814008</c:v>
                </c:pt>
                <c:pt idx="569">
                  <c:v>309062.01845814008</c:v>
                </c:pt>
                <c:pt idx="570">
                  <c:v>303964.79845814011</c:v>
                </c:pt>
                <c:pt idx="571">
                  <c:v>316396.98845814011</c:v>
                </c:pt>
                <c:pt idx="572">
                  <c:v>311247.56845814013</c:v>
                </c:pt>
                <c:pt idx="573">
                  <c:v>305923.4084581401</c:v>
                </c:pt>
                <c:pt idx="574">
                  <c:v>298696.68845814012</c:v>
                </c:pt>
                <c:pt idx="575">
                  <c:v>287996.94845814013</c:v>
                </c:pt>
                <c:pt idx="576">
                  <c:v>283199.94845814013</c:v>
                </c:pt>
                <c:pt idx="577">
                  <c:v>277007.39845814015</c:v>
                </c:pt>
                <c:pt idx="578">
                  <c:v>294477.69845814013</c:v>
                </c:pt>
                <c:pt idx="579">
                  <c:v>286830.99845814012</c:v>
                </c:pt>
                <c:pt idx="580">
                  <c:v>282892.4784581401</c:v>
                </c:pt>
                <c:pt idx="581">
                  <c:v>280680.99845814012</c:v>
                </c:pt>
                <c:pt idx="582">
                  <c:v>278889.5984581401</c:v>
                </c:pt>
                <c:pt idx="583">
                  <c:v>281818.55845814012</c:v>
                </c:pt>
                <c:pt idx="584">
                  <c:v>285806.04845814011</c:v>
                </c:pt>
                <c:pt idx="585">
                  <c:v>297143.69845814013</c:v>
                </c:pt>
                <c:pt idx="586">
                  <c:v>289805.62845814013</c:v>
                </c:pt>
                <c:pt idx="587">
                  <c:v>284567.85845814011</c:v>
                </c:pt>
                <c:pt idx="588">
                  <c:v>273992.05845814012</c:v>
                </c:pt>
                <c:pt idx="589">
                  <c:v>264438.87845814007</c:v>
                </c:pt>
                <c:pt idx="590">
                  <c:v>254939.13845814008</c:v>
                </c:pt>
                <c:pt idx="591">
                  <c:v>249928.08845814009</c:v>
                </c:pt>
                <c:pt idx="592">
                  <c:v>245223.38845814008</c:v>
                </c:pt>
                <c:pt idx="593">
                  <c:v>236123.38845814008</c:v>
                </c:pt>
                <c:pt idx="594">
                  <c:v>232826.41845814008</c:v>
                </c:pt>
                <c:pt idx="595">
                  <c:v>222855.92845814006</c:v>
                </c:pt>
                <c:pt idx="596">
                  <c:v>228974.13845814005</c:v>
                </c:pt>
                <c:pt idx="597">
                  <c:v>203762.22845814005</c:v>
                </c:pt>
                <c:pt idx="598">
                  <c:v>214926.46845814004</c:v>
                </c:pt>
                <c:pt idx="599">
                  <c:v>230333.27845814003</c:v>
                </c:pt>
                <c:pt idx="600">
                  <c:v>231982.38845814002</c:v>
                </c:pt>
                <c:pt idx="601">
                  <c:v>226702.33845814003</c:v>
                </c:pt>
                <c:pt idx="602">
                  <c:v>223864.44845814002</c:v>
                </c:pt>
                <c:pt idx="603">
                  <c:v>222744.44845814002</c:v>
                </c:pt>
                <c:pt idx="604">
                  <c:v>220167.31845814001</c:v>
                </c:pt>
                <c:pt idx="605">
                  <c:v>219021.07845814002</c:v>
                </c:pt>
                <c:pt idx="606">
                  <c:v>223367.76845814002</c:v>
                </c:pt>
                <c:pt idx="607">
                  <c:v>239443.38845814002</c:v>
                </c:pt>
                <c:pt idx="608">
                  <c:v>239963.38845814002</c:v>
                </c:pt>
                <c:pt idx="609">
                  <c:v>234758.38845814002</c:v>
                </c:pt>
                <c:pt idx="610">
                  <c:v>238022.11845814003</c:v>
                </c:pt>
                <c:pt idx="611">
                  <c:v>235709.61845814003</c:v>
                </c:pt>
                <c:pt idx="612">
                  <c:v>232382.69845814002</c:v>
                </c:pt>
                <c:pt idx="613">
                  <c:v>259783.69845814002</c:v>
                </c:pt>
                <c:pt idx="614">
                  <c:v>257131.48845814003</c:v>
                </c:pt>
                <c:pt idx="615">
                  <c:v>254304.16845814002</c:v>
                </c:pt>
                <c:pt idx="616">
                  <c:v>224021.66845814002</c:v>
                </c:pt>
                <c:pt idx="617">
                  <c:v>193761.66845814002</c:v>
                </c:pt>
                <c:pt idx="618">
                  <c:v>194506.32845814002</c:v>
                </c:pt>
                <c:pt idx="619">
                  <c:v>189682.69845814002</c:v>
                </c:pt>
                <c:pt idx="620">
                  <c:v>184755.37845814001</c:v>
                </c:pt>
                <c:pt idx="621">
                  <c:v>187316.77845814</c:v>
                </c:pt>
                <c:pt idx="622">
                  <c:v>187513.34845814001</c:v>
                </c:pt>
                <c:pt idx="623">
                  <c:v>185716.38845814002</c:v>
                </c:pt>
                <c:pt idx="624">
                  <c:v>186182.86845814003</c:v>
                </c:pt>
                <c:pt idx="625">
                  <c:v>183722.86845814003</c:v>
                </c:pt>
                <c:pt idx="626">
                  <c:v>186760.11845814003</c:v>
                </c:pt>
                <c:pt idx="627">
                  <c:v>187226.59845814004</c:v>
                </c:pt>
                <c:pt idx="628">
                  <c:v>190681.59845814004</c:v>
                </c:pt>
                <c:pt idx="629">
                  <c:v>204143.10845814005</c:v>
                </c:pt>
                <c:pt idx="630">
                  <c:v>205758.10845814005</c:v>
                </c:pt>
                <c:pt idx="631">
                  <c:v>206214.10845814005</c:v>
                </c:pt>
                <c:pt idx="632">
                  <c:v>201714.58326376649</c:v>
                </c:pt>
                <c:pt idx="633">
                  <c:v>196918.01160139398</c:v>
                </c:pt>
                <c:pt idx="634">
                  <c:v>197262.64160139399</c:v>
                </c:pt>
                <c:pt idx="635">
                  <c:v>194955.17160139399</c:v>
                </c:pt>
                <c:pt idx="636">
                  <c:v>199954.08160139399</c:v>
                </c:pt>
                <c:pt idx="637">
                  <c:v>202440.501601394</c:v>
                </c:pt>
                <c:pt idx="638">
                  <c:v>192549.001601394</c:v>
                </c:pt>
                <c:pt idx="639">
                  <c:v>187335.251601394</c:v>
                </c:pt>
                <c:pt idx="640">
                  <c:v>167957.97160139401</c:v>
                </c:pt>
                <c:pt idx="641">
                  <c:v>162933.69160139401</c:v>
                </c:pt>
                <c:pt idx="642">
                  <c:v>160923.69160139401</c:v>
                </c:pt>
                <c:pt idx="643">
                  <c:v>160384.73160139401</c:v>
                </c:pt>
                <c:pt idx="644">
                  <c:v>160392.05160139402</c:v>
                </c:pt>
                <c:pt idx="645">
                  <c:v>157830.27160139402</c:v>
                </c:pt>
                <c:pt idx="646">
                  <c:v>161058.30160139402</c:v>
                </c:pt>
                <c:pt idx="647">
                  <c:v>177899.72160139401</c:v>
                </c:pt>
                <c:pt idx="648">
                  <c:v>180722.20160139402</c:v>
                </c:pt>
                <c:pt idx="649">
                  <c:v>174447.46160139402</c:v>
                </c:pt>
                <c:pt idx="650">
                  <c:v>188510.38160139404</c:v>
                </c:pt>
                <c:pt idx="651">
                  <c:v>197737.97160139403</c:v>
                </c:pt>
                <c:pt idx="652">
                  <c:v>192777.25160139403</c:v>
                </c:pt>
                <c:pt idx="653">
                  <c:v>187789.82160139404</c:v>
                </c:pt>
                <c:pt idx="654">
                  <c:v>181254.07160139404</c:v>
                </c:pt>
                <c:pt idx="655">
                  <c:v>189265.83160139405</c:v>
                </c:pt>
                <c:pt idx="656">
                  <c:v>191406.51160139404</c:v>
                </c:pt>
                <c:pt idx="657">
                  <c:v>193435.81160139403</c:v>
                </c:pt>
                <c:pt idx="658">
                  <c:v>202894.37160139403</c:v>
                </c:pt>
                <c:pt idx="659">
                  <c:v>193090.97160139403</c:v>
                </c:pt>
                <c:pt idx="660">
                  <c:v>176710.34581368216</c:v>
                </c:pt>
                <c:pt idx="661">
                  <c:v>171483.99581368215</c:v>
                </c:pt>
                <c:pt idx="662">
                  <c:v>165442.09581368216</c:v>
                </c:pt>
                <c:pt idx="663">
                  <c:v>186190.75581368216</c:v>
                </c:pt>
                <c:pt idx="664">
                  <c:v>176315.63581368217</c:v>
                </c:pt>
                <c:pt idx="665">
                  <c:v>165231.63581368217</c:v>
                </c:pt>
                <c:pt idx="666">
                  <c:v>169901.89581368217</c:v>
                </c:pt>
                <c:pt idx="667">
                  <c:v>183921.82581368217</c:v>
                </c:pt>
                <c:pt idx="668">
                  <c:v>182130.42581368217</c:v>
                </c:pt>
                <c:pt idx="669">
                  <c:v>146016.91581368219</c:v>
                </c:pt>
                <c:pt idx="670">
                  <c:v>147049.97581368219</c:v>
                </c:pt>
                <c:pt idx="671">
                  <c:v>138048.97581368219</c:v>
                </c:pt>
                <c:pt idx="672">
                  <c:v>132882.97581368219</c:v>
                </c:pt>
                <c:pt idx="673">
                  <c:v>127756.97581368219</c:v>
                </c:pt>
                <c:pt idx="674">
                  <c:v>121406.97581368219</c:v>
                </c:pt>
                <c:pt idx="675">
                  <c:v>146795.4858136822</c:v>
                </c:pt>
                <c:pt idx="676">
                  <c:v>141222.4858136822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91-4A82-B2EE-958F08A1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416831"/>
        <c:axId val="741714895"/>
      </c:lineChart>
      <c:dateAx>
        <c:axId val="54141683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14895"/>
        <c:crosses val="autoZero"/>
        <c:auto val="1"/>
        <c:lblOffset val="100"/>
        <c:baseTimeUnit val="days"/>
      </c:dateAx>
      <c:valAx>
        <c:axId val="74171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1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Trades'!$Q$1</c:f>
              <c:strCache>
                <c:ptCount val="1"/>
                <c:pt idx="0">
                  <c:v> Rolling PnL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Trades'!$G$2:$G$703</c:f>
              <c:numCache>
                <c:formatCode>m/d/yyyy</c:formatCode>
                <c:ptCount val="702"/>
                <c:pt idx="0">
                  <c:v>44645</c:v>
                </c:pt>
                <c:pt idx="1">
                  <c:v>44679</c:v>
                </c:pt>
                <c:pt idx="2">
                  <c:v>44694</c:v>
                </c:pt>
                <c:pt idx="3">
                  <c:v>44708</c:v>
                </c:pt>
                <c:pt idx="4">
                  <c:v>44844</c:v>
                </c:pt>
                <c:pt idx="5">
                  <c:v>44925</c:v>
                </c:pt>
                <c:pt idx="6">
                  <c:v>44934</c:v>
                </c:pt>
                <c:pt idx="7">
                  <c:v>44946</c:v>
                </c:pt>
                <c:pt idx="8">
                  <c:v>44952</c:v>
                </c:pt>
                <c:pt idx="9">
                  <c:v>44957</c:v>
                </c:pt>
                <c:pt idx="10">
                  <c:v>44966</c:v>
                </c:pt>
                <c:pt idx="11">
                  <c:v>44970</c:v>
                </c:pt>
                <c:pt idx="12">
                  <c:v>44973</c:v>
                </c:pt>
                <c:pt idx="13">
                  <c:v>44978</c:v>
                </c:pt>
                <c:pt idx="14">
                  <c:v>44978</c:v>
                </c:pt>
                <c:pt idx="15">
                  <c:v>44979</c:v>
                </c:pt>
                <c:pt idx="16">
                  <c:v>44979</c:v>
                </c:pt>
                <c:pt idx="17">
                  <c:v>44980</c:v>
                </c:pt>
                <c:pt idx="18">
                  <c:v>44981</c:v>
                </c:pt>
                <c:pt idx="19">
                  <c:v>44981</c:v>
                </c:pt>
                <c:pt idx="20">
                  <c:v>44981</c:v>
                </c:pt>
                <c:pt idx="21">
                  <c:v>44984</c:v>
                </c:pt>
                <c:pt idx="22">
                  <c:v>44984</c:v>
                </c:pt>
                <c:pt idx="23">
                  <c:v>44984</c:v>
                </c:pt>
                <c:pt idx="24">
                  <c:v>44985</c:v>
                </c:pt>
                <c:pt idx="25">
                  <c:v>44986</c:v>
                </c:pt>
                <c:pt idx="26">
                  <c:v>44986</c:v>
                </c:pt>
                <c:pt idx="27">
                  <c:v>44987</c:v>
                </c:pt>
                <c:pt idx="28">
                  <c:v>44987</c:v>
                </c:pt>
                <c:pt idx="29">
                  <c:v>44988</c:v>
                </c:pt>
                <c:pt idx="30">
                  <c:v>44988</c:v>
                </c:pt>
                <c:pt idx="31">
                  <c:v>44988</c:v>
                </c:pt>
                <c:pt idx="32">
                  <c:v>44991</c:v>
                </c:pt>
                <c:pt idx="33">
                  <c:v>44992</c:v>
                </c:pt>
                <c:pt idx="34">
                  <c:v>44992</c:v>
                </c:pt>
                <c:pt idx="35">
                  <c:v>44992</c:v>
                </c:pt>
                <c:pt idx="36">
                  <c:v>44993</c:v>
                </c:pt>
                <c:pt idx="37">
                  <c:v>44993</c:v>
                </c:pt>
                <c:pt idx="38">
                  <c:v>44994</c:v>
                </c:pt>
                <c:pt idx="39">
                  <c:v>44994</c:v>
                </c:pt>
                <c:pt idx="40">
                  <c:v>44994</c:v>
                </c:pt>
                <c:pt idx="41">
                  <c:v>44995</c:v>
                </c:pt>
                <c:pt idx="42">
                  <c:v>44995</c:v>
                </c:pt>
                <c:pt idx="43">
                  <c:v>44995</c:v>
                </c:pt>
                <c:pt idx="44">
                  <c:v>44998</c:v>
                </c:pt>
                <c:pt idx="45">
                  <c:v>44998</c:v>
                </c:pt>
                <c:pt idx="46">
                  <c:v>44998</c:v>
                </c:pt>
                <c:pt idx="47">
                  <c:v>44999</c:v>
                </c:pt>
                <c:pt idx="48">
                  <c:v>44999</c:v>
                </c:pt>
                <c:pt idx="49">
                  <c:v>45001</c:v>
                </c:pt>
                <c:pt idx="50">
                  <c:v>45001</c:v>
                </c:pt>
                <c:pt idx="51">
                  <c:v>45001</c:v>
                </c:pt>
                <c:pt idx="52">
                  <c:v>45002</c:v>
                </c:pt>
                <c:pt idx="53">
                  <c:v>45002</c:v>
                </c:pt>
                <c:pt idx="54">
                  <c:v>45002</c:v>
                </c:pt>
                <c:pt idx="55">
                  <c:v>45002</c:v>
                </c:pt>
                <c:pt idx="56">
                  <c:v>45005</c:v>
                </c:pt>
                <c:pt idx="57">
                  <c:v>45006</c:v>
                </c:pt>
                <c:pt idx="58">
                  <c:v>45007</c:v>
                </c:pt>
                <c:pt idx="59">
                  <c:v>45007</c:v>
                </c:pt>
                <c:pt idx="60">
                  <c:v>45008</c:v>
                </c:pt>
                <c:pt idx="61">
                  <c:v>45008</c:v>
                </c:pt>
                <c:pt idx="62">
                  <c:v>45008</c:v>
                </c:pt>
                <c:pt idx="63">
                  <c:v>45009</c:v>
                </c:pt>
                <c:pt idx="64">
                  <c:v>45009</c:v>
                </c:pt>
                <c:pt idx="65">
                  <c:v>45009</c:v>
                </c:pt>
                <c:pt idx="66">
                  <c:v>45009</c:v>
                </c:pt>
                <c:pt idx="67">
                  <c:v>45013</c:v>
                </c:pt>
                <c:pt idx="68">
                  <c:v>45013</c:v>
                </c:pt>
                <c:pt idx="69">
                  <c:v>45014</c:v>
                </c:pt>
                <c:pt idx="70">
                  <c:v>45015</c:v>
                </c:pt>
                <c:pt idx="71">
                  <c:v>45015</c:v>
                </c:pt>
                <c:pt idx="72">
                  <c:v>45015</c:v>
                </c:pt>
                <c:pt idx="73">
                  <c:v>45016</c:v>
                </c:pt>
                <c:pt idx="74">
                  <c:v>45016</c:v>
                </c:pt>
                <c:pt idx="75">
                  <c:v>45016</c:v>
                </c:pt>
                <c:pt idx="76">
                  <c:v>45019</c:v>
                </c:pt>
                <c:pt idx="77">
                  <c:v>45019</c:v>
                </c:pt>
                <c:pt idx="78">
                  <c:v>45020</c:v>
                </c:pt>
                <c:pt idx="79">
                  <c:v>45020</c:v>
                </c:pt>
                <c:pt idx="80">
                  <c:v>45020</c:v>
                </c:pt>
                <c:pt idx="81">
                  <c:v>45021</c:v>
                </c:pt>
                <c:pt idx="82">
                  <c:v>45022</c:v>
                </c:pt>
                <c:pt idx="83">
                  <c:v>45022</c:v>
                </c:pt>
                <c:pt idx="84">
                  <c:v>45027</c:v>
                </c:pt>
                <c:pt idx="85">
                  <c:v>45027</c:v>
                </c:pt>
                <c:pt idx="86">
                  <c:v>45028</c:v>
                </c:pt>
                <c:pt idx="87">
                  <c:v>45029</c:v>
                </c:pt>
                <c:pt idx="88">
                  <c:v>45030</c:v>
                </c:pt>
                <c:pt idx="89">
                  <c:v>45033</c:v>
                </c:pt>
                <c:pt idx="90">
                  <c:v>45033</c:v>
                </c:pt>
                <c:pt idx="91">
                  <c:v>45033</c:v>
                </c:pt>
                <c:pt idx="92">
                  <c:v>45033</c:v>
                </c:pt>
                <c:pt idx="93">
                  <c:v>45033</c:v>
                </c:pt>
                <c:pt idx="94">
                  <c:v>45034</c:v>
                </c:pt>
                <c:pt idx="95">
                  <c:v>45036</c:v>
                </c:pt>
                <c:pt idx="96">
                  <c:v>45037</c:v>
                </c:pt>
                <c:pt idx="97">
                  <c:v>45037</c:v>
                </c:pt>
                <c:pt idx="98">
                  <c:v>45037</c:v>
                </c:pt>
                <c:pt idx="99">
                  <c:v>45037</c:v>
                </c:pt>
                <c:pt idx="100">
                  <c:v>45037</c:v>
                </c:pt>
                <c:pt idx="101">
                  <c:v>45040</c:v>
                </c:pt>
                <c:pt idx="102">
                  <c:v>45040</c:v>
                </c:pt>
                <c:pt idx="103">
                  <c:v>45041</c:v>
                </c:pt>
                <c:pt idx="104">
                  <c:v>45041</c:v>
                </c:pt>
                <c:pt idx="105">
                  <c:v>45041</c:v>
                </c:pt>
                <c:pt idx="106">
                  <c:v>45043</c:v>
                </c:pt>
                <c:pt idx="107">
                  <c:v>45043</c:v>
                </c:pt>
                <c:pt idx="108">
                  <c:v>45044</c:v>
                </c:pt>
                <c:pt idx="109">
                  <c:v>45044</c:v>
                </c:pt>
                <c:pt idx="110">
                  <c:v>45044</c:v>
                </c:pt>
                <c:pt idx="111">
                  <c:v>45047</c:v>
                </c:pt>
                <c:pt idx="112">
                  <c:v>45048</c:v>
                </c:pt>
                <c:pt idx="113">
                  <c:v>45048</c:v>
                </c:pt>
                <c:pt idx="114">
                  <c:v>45048</c:v>
                </c:pt>
                <c:pt idx="115">
                  <c:v>45049</c:v>
                </c:pt>
                <c:pt idx="116">
                  <c:v>45049</c:v>
                </c:pt>
                <c:pt idx="117">
                  <c:v>45051</c:v>
                </c:pt>
                <c:pt idx="118">
                  <c:v>45055</c:v>
                </c:pt>
                <c:pt idx="119">
                  <c:v>45056</c:v>
                </c:pt>
                <c:pt idx="120">
                  <c:v>45058</c:v>
                </c:pt>
                <c:pt idx="121">
                  <c:v>45058</c:v>
                </c:pt>
                <c:pt idx="122">
                  <c:v>45058</c:v>
                </c:pt>
                <c:pt idx="123">
                  <c:v>45058</c:v>
                </c:pt>
                <c:pt idx="124">
                  <c:v>45058</c:v>
                </c:pt>
                <c:pt idx="125">
                  <c:v>45062</c:v>
                </c:pt>
                <c:pt idx="126">
                  <c:v>45063</c:v>
                </c:pt>
                <c:pt idx="127">
                  <c:v>45063</c:v>
                </c:pt>
                <c:pt idx="128">
                  <c:v>45063</c:v>
                </c:pt>
                <c:pt idx="129">
                  <c:v>45063</c:v>
                </c:pt>
                <c:pt idx="130">
                  <c:v>45064</c:v>
                </c:pt>
                <c:pt idx="131">
                  <c:v>45064</c:v>
                </c:pt>
                <c:pt idx="132">
                  <c:v>45065</c:v>
                </c:pt>
                <c:pt idx="133">
                  <c:v>45065</c:v>
                </c:pt>
                <c:pt idx="134">
                  <c:v>45065</c:v>
                </c:pt>
                <c:pt idx="135">
                  <c:v>45065</c:v>
                </c:pt>
                <c:pt idx="136">
                  <c:v>45069</c:v>
                </c:pt>
                <c:pt idx="137">
                  <c:v>45069</c:v>
                </c:pt>
                <c:pt idx="138">
                  <c:v>45069</c:v>
                </c:pt>
                <c:pt idx="139">
                  <c:v>45070</c:v>
                </c:pt>
                <c:pt idx="140">
                  <c:v>45071</c:v>
                </c:pt>
                <c:pt idx="141">
                  <c:v>45071</c:v>
                </c:pt>
                <c:pt idx="142">
                  <c:v>45072</c:v>
                </c:pt>
                <c:pt idx="143">
                  <c:v>45076</c:v>
                </c:pt>
                <c:pt idx="144">
                  <c:v>45077</c:v>
                </c:pt>
                <c:pt idx="145">
                  <c:v>45078</c:v>
                </c:pt>
                <c:pt idx="146">
                  <c:v>45079</c:v>
                </c:pt>
                <c:pt idx="147">
                  <c:v>45082</c:v>
                </c:pt>
                <c:pt idx="148">
                  <c:v>45084</c:v>
                </c:pt>
                <c:pt idx="149">
                  <c:v>45084</c:v>
                </c:pt>
                <c:pt idx="150">
                  <c:v>45085</c:v>
                </c:pt>
                <c:pt idx="151">
                  <c:v>45086</c:v>
                </c:pt>
                <c:pt idx="152">
                  <c:v>45086</c:v>
                </c:pt>
                <c:pt idx="153">
                  <c:v>45089</c:v>
                </c:pt>
                <c:pt idx="154">
                  <c:v>45090</c:v>
                </c:pt>
                <c:pt idx="155">
                  <c:v>45091</c:v>
                </c:pt>
                <c:pt idx="156">
                  <c:v>45092</c:v>
                </c:pt>
                <c:pt idx="157">
                  <c:v>45092</c:v>
                </c:pt>
                <c:pt idx="158">
                  <c:v>45093</c:v>
                </c:pt>
                <c:pt idx="159">
                  <c:v>45093</c:v>
                </c:pt>
                <c:pt idx="160">
                  <c:v>45093</c:v>
                </c:pt>
                <c:pt idx="161">
                  <c:v>45093</c:v>
                </c:pt>
                <c:pt idx="162">
                  <c:v>45093</c:v>
                </c:pt>
                <c:pt idx="163">
                  <c:v>45097</c:v>
                </c:pt>
                <c:pt idx="164">
                  <c:v>45097</c:v>
                </c:pt>
                <c:pt idx="165">
                  <c:v>45097</c:v>
                </c:pt>
                <c:pt idx="166">
                  <c:v>45097</c:v>
                </c:pt>
                <c:pt idx="167">
                  <c:v>45103</c:v>
                </c:pt>
                <c:pt idx="168">
                  <c:v>45104</c:v>
                </c:pt>
                <c:pt idx="169">
                  <c:v>45105</c:v>
                </c:pt>
                <c:pt idx="170">
                  <c:v>45106</c:v>
                </c:pt>
                <c:pt idx="171">
                  <c:v>45107</c:v>
                </c:pt>
                <c:pt idx="172">
                  <c:v>45107</c:v>
                </c:pt>
                <c:pt idx="173">
                  <c:v>45107</c:v>
                </c:pt>
                <c:pt idx="174">
                  <c:v>45107</c:v>
                </c:pt>
                <c:pt idx="175">
                  <c:v>45107</c:v>
                </c:pt>
                <c:pt idx="176">
                  <c:v>45112</c:v>
                </c:pt>
                <c:pt idx="177">
                  <c:v>45114</c:v>
                </c:pt>
                <c:pt idx="178">
                  <c:v>45114</c:v>
                </c:pt>
                <c:pt idx="179">
                  <c:v>45117</c:v>
                </c:pt>
                <c:pt idx="180">
                  <c:v>45117</c:v>
                </c:pt>
                <c:pt idx="181">
                  <c:v>45118</c:v>
                </c:pt>
                <c:pt idx="182">
                  <c:v>45118</c:v>
                </c:pt>
                <c:pt idx="183">
                  <c:v>45118</c:v>
                </c:pt>
                <c:pt idx="184">
                  <c:v>45119</c:v>
                </c:pt>
                <c:pt idx="185">
                  <c:v>45119</c:v>
                </c:pt>
                <c:pt idx="186">
                  <c:v>45119</c:v>
                </c:pt>
                <c:pt idx="187">
                  <c:v>45119</c:v>
                </c:pt>
                <c:pt idx="188">
                  <c:v>45119</c:v>
                </c:pt>
                <c:pt idx="189">
                  <c:v>45119</c:v>
                </c:pt>
                <c:pt idx="190">
                  <c:v>45119</c:v>
                </c:pt>
                <c:pt idx="191">
                  <c:v>45119</c:v>
                </c:pt>
                <c:pt idx="192">
                  <c:v>45119</c:v>
                </c:pt>
                <c:pt idx="193">
                  <c:v>45120</c:v>
                </c:pt>
                <c:pt idx="194">
                  <c:v>45120</c:v>
                </c:pt>
                <c:pt idx="195">
                  <c:v>45121</c:v>
                </c:pt>
                <c:pt idx="196">
                  <c:v>45122</c:v>
                </c:pt>
                <c:pt idx="197">
                  <c:v>45122</c:v>
                </c:pt>
                <c:pt idx="198">
                  <c:v>45122</c:v>
                </c:pt>
                <c:pt idx="199">
                  <c:v>45123</c:v>
                </c:pt>
                <c:pt idx="200">
                  <c:v>45124</c:v>
                </c:pt>
                <c:pt idx="201">
                  <c:v>45124</c:v>
                </c:pt>
                <c:pt idx="202">
                  <c:v>45127</c:v>
                </c:pt>
                <c:pt idx="203">
                  <c:v>45128</c:v>
                </c:pt>
                <c:pt idx="204">
                  <c:v>45131</c:v>
                </c:pt>
                <c:pt idx="205">
                  <c:v>45131</c:v>
                </c:pt>
                <c:pt idx="206">
                  <c:v>45132</c:v>
                </c:pt>
                <c:pt idx="207">
                  <c:v>45133</c:v>
                </c:pt>
                <c:pt idx="208">
                  <c:v>45133</c:v>
                </c:pt>
                <c:pt idx="209">
                  <c:v>45134</c:v>
                </c:pt>
                <c:pt idx="210">
                  <c:v>45134</c:v>
                </c:pt>
                <c:pt idx="211">
                  <c:v>45141</c:v>
                </c:pt>
                <c:pt idx="212">
                  <c:v>45145</c:v>
                </c:pt>
                <c:pt idx="213">
                  <c:v>45146</c:v>
                </c:pt>
                <c:pt idx="214">
                  <c:v>45147</c:v>
                </c:pt>
                <c:pt idx="215">
                  <c:v>45156</c:v>
                </c:pt>
                <c:pt idx="216">
                  <c:v>45156</c:v>
                </c:pt>
                <c:pt idx="217">
                  <c:v>45167</c:v>
                </c:pt>
                <c:pt idx="218">
                  <c:v>45168</c:v>
                </c:pt>
                <c:pt idx="219">
                  <c:v>45168</c:v>
                </c:pt>
                <c:pt idx="220">
                  <c:v>45168</c:v>
                </c:pt>
                <c:pt idx="221">
                  <c:v>45171</c:v>
                </c:pt>
                <c:pt idx="222">
                  <c:v>45174</c:v>
                </c:pt>
                <c:pt idx="223">
                  <c:v>45175</c:v>
                </c:pt>
                <c:pt idx="224">
                  <c:v>45176</c:v>
                </c:pt>
                <c:pt idx="225">
                  <c:v>45177</c:v>
                </c:pt>
                <c:pt idx="226">
                  <c:v>45177</c:v>
                </c:pt>
                <c:pt idx="227">
                  <c:v>45179</c:v>
                </c:pt>
                <c:pt idx="228">
                  <c:v>45182</c:v>
                </c:pt>
                <c:pt idx="229">
                  <c:v>45182</c:v>
                </c:pt>
                <c:pt idx="230">
                  <c:v>45182</c:v>
                </c:pt>
                <c:pt idx="231">
                  <c:v>45182</c:v>
                </c:pt>
                <c:pt idx="232">
                  <c:v>45182</c:v>
                </c:pt>
                <c:pt idx="233">
                  <c:v>45183</c:v>
                </c:pt>
                <c:pt idx="234">
                  <c:v>45183</c:v>
                </c:pt>
                <c:pt idx="235">
                  <c:v>45183</c:v>
                </c:pt>
                <c:pt idx="236">
                  <c:v>45183</c:v>
                </c:pt>
                <c:pt idx="237">
                  <c:v>45188</c:v>
                </c:pt>
                <c:pt idx="238">
                  <c:v>45188</c:v>
                </c:pt>
                <c:pt idx="239">
                  <c:v>45189</c:v>
                </c:pt>
                <c:pt idx="240">
                  <c:v>45189</c:v>
                </c:pt>
                <c:pt idx="241">
                  <c:v>45189</c:v>
                </c:pt>
                <c:pt idx="242">
                  <c:v>45189</c:v>
                </c:pt>
                <c:pt idx="243">
                  <c:v>45189</c:v>
                </c:pt>
                <c:pt idx="244">
                  <c:v>45190</c:v>
                </c:pt>
                <c:pt idx="245">
                  <c:v>45190</c:v>
                </c:pt>
                <c:pt idx="246">
                  <c:v>45194</c:v>
                </c:pt>
                <c:pt idx="247">
                  <c:v>45195</c:v>
                </c:pt>
                <c:pt idx="248">
                  <c:v>45196</c:v>
                </c:pt>
                <c:pt idx="249">
                  <c:v>45197</c:v>
                </c:pt>
                <c:pt idx="250">
                  <c:v>45197</c:v>
                </c:pt>
                <c:pt idx="251">
                  <c:v>45198</c:v>
                </c:pt>
                <c:pt idx="252">
                  <c:v>45198</c:v>
                </c:pt>
                <c:pt idx="253">
                  <c:v>45198</c:v>
                </c:pt>
                <c:pt idx="254">
                  <c:v>45198</c:v>
                </c:pt>
                <c:pt idx="255">
                  <c:v>45198</c:v>
                </c:pt>
                <c:pt idx="256">
                  <c:v>45198</c:v>
                </c:pt>
                <c:pt idx="257">
                  <c:v>45198</c:v>
                </c:pt>
                <c:pt idx="258">
                  <c:v>45199</c:v>
                </c:pt>
                <c:pt idx="259">
                  <c:v>45200</c:v>
                </c:pt>
                <c:pt idx="260">
                  <c:v>45201</c:v>
                </c:pt>
                <c:pt idx="261">
                  <c:v>45201</c:v>
                </c:pt>
                <c:pt idx="262">
                  <c:v>45202</c:v>
                </c:pt>
                <c:pt idx="263">
                  <c:v>45202</c:v>
                </c:pt>
                <c:pt idx="264">
                  <c:v>45202</c:v>
                </c:pt>
                <c:pt idx="265">
                  <c:v>45202</c:v>
                </c:pt>
                <c:pt idx="266">
                  <c:v>45202</c:v>
                </c:pt>
                <c:pt idx="267">
                  <c:v>45203</c:v>
                </c:pt>
                <c:pt idx="268">
                  <c:v>45203</c:v>
                </c:pt>
                <c:pt idx="269">
                  <c:v>45203</c:v>
                </c:pt>
                <c:pt idx="270">
                  <c:v>45203</c:v>
                </c:pt>
                <c:pt idx="271">
                  <c:v>45203</c:v>
                </c:pt>
                <c:pt idx="272">
                  <c:v>45204</c:v>
                </c:pt>
                <c:pt idx="273">
                  <c:v>45205</c:v>
                </c:pt>
                <c:pt idx="274">
                  <c:v>45205</c:v>
                </c:pt>
                <c:pt idx="275">
                  <c:v>45205</c:v>
                </c:pt>
                <c:pt idx="276">
                  <c:v>45208</c:v>
                </c:pt>
                <c:pt idx="277">
                  <c:v>45209</c:v>
                </c:pt>
                <c:pt idx="278">
                  <c:v>45211</c:v>
                </c:pt>
                <c:pt idx="279">
                  <c:v>45211</c:v>
                </c:pt>
                <c:pt idx="280">
                  <c:v>45211</c:v>
                </c:pt>
                <c:pt idx="281">
                  <c:v>45211</c:v>
                </c:pt>
                <c:pt idx="282">
                  <c:v>45211</c:v>
                </c:pt>
                <c:pt idx="283">
                  <c:v>45215</c:v>
                </c:pt>
                <c:pt idx="284">
                  <c:v>45217</c:v>
                </c:pt>
                <c:pt idx="285">
                  <c:v>45217</c:v>
                </c:pt>
                <c:pt idx="286">
                  <c:v>45217</c:v>
                </c:pt>
                <c:pt idx="287">
                  <c:v>45218</c:v>
                </c:pt>
                <c:pt idx="288">
                  <c:v>45219</c:v>
                </c:pt>
                <c:pt idx="289">
                  <c:v>45219</c:v>
                </c:pt>
                <c:pt idx="290">
                  <c:v>45219</c:v>
                </c:pt>
                <c:pt idx="291">
                  <c:v>45219</c:v>
                </c:pt>
                <c:pt idx="292">
                  <c:v>45219</c:v>
                </c:pt>
                <c:pt idx="293">
                  <c:v>45219</c:v>
                </c:pt>
                <c:pt idx="294">
                  <c:v>45219</c:v>
                </c:pt>
                <c:pt idx="295">
                  <c:v>45223</c:v>
                </c:pt>
                <c:pt idx="296">
                  <c:v>45224</c:v>
                </c:pt>
                <c:pt idx="297">
                  <c:v>45224</c:v>
                </c:pt>
                <c:pt idx="298">
                  <c:v>45225</c:v>
                </c:pt>
                <c:pt idx="299">
                  <c:v>45225</c:v>
                </c:pt>
                <c:pt idx="300">
                  <c:v>45225</c:v>
                </c:pt>
                <c:pt idx="301">
                  <c:v>45225</c:v>
                </c:pt>
                <c:pt idx="302">
                  <c:v>45225</c:v>
                </c:pt>
                <c:pt idx="303">
                  <c:v>45226</c:v>
                </c:pt>
                <c:pt idx="304">
                  <c:v>45229</c:v>
                </c:pt>
                <c:pt idx="305">
                  <c:v>45231</c:v>
                </c:pt>
                <c:pt idx="306">
                  <c:v>45232</c:v>
                </c:pt>
                <c:pt idx="307">
                  <c:v>45232</c:v>
                </c:pt>
                <c:pt idx="308">
                  <c:v>45233</c:v>
                </c:pt>
                <c:pt idx="309">
                  <c:v>45238</c:v>
                </c:pt>
                <c:pt idx="310">
                  <c:v>45239</c:v>
                </c:pt>
                <c:pt idx="311">
                  <c:v>45239</c:v>
                </c:pt>
                <c:pt idx="312">
                  <c:v>45239</c:v>
                </c:pt>
                <c:pt idx="313">
                  <c:v>45244</c:v>
                </c:pt>
                <c:pt idx="314">
                  <c:v>45245</c:v>
                </c:pt>
                <c:pt idx="315">
                  <c:v>45245</c:v>
                </c:pt>
                <c:pt idx="316">
                  <c:v>45245</c:v>
                </c:pt>
                <c:pt idx="317">
                  <c:v>45246</c:v>
                </c:pt>
                <c:pt idx="318">
                  <c:v>45246</c:v>
                </c:pt>
                <c:pt idx="319">
                  <c:v>45247</c:v>
                </c:pt>
                <c:pt idx="320">
                  <c:v>45247</c:v>
                </c:pt>
                <c:pt idx="321">
                  <c:v>45250</c:v>
                </c:pt>
                <c:pt idx="322">
                  <c:v>45250</c:v>
                </c:pt>
                <c:pt idx="323">
                  <c:v>45250</c:v>
                </c:pt>
                <c:pt idx="324">
                  <c:v>45251</c:v>
                </c:pt>
                <c:pt idx="325">
                  <c:v>45254</c:v>
                </c:pt>
                <c:pt idx="326">
                  <c:v>45254</c:v>
                </c:pt>
                <c:pt idx="327">
                  <c:v>45254</c:v>
                </c:pt>
                <c:pt idx="328">
                  <c:v>45254</c:v>
                </c:pt>
                <c:pt idx="329">
                  <c:v>45257</c:v>
                </c:pt>
                <c:pt idx="330">
                  <c:v>45258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45260</c:v>
                </c:pt>
                <c:pt idx="335">
                  <c:v>45261</c:v>
                </c:pt>
                <c:pt idx="336">
                  <c:v>45264</c:v>
                </c:pt>
                <c:pt idx="337">
                  <c:v>45264</c:v>
                </c:pt>
                <c:pt idx="338">
                  <c:v>45265</c:v>
                </c:pt>
                <c:pt idx="339">
                  <c:v>45265</c:v>
                </c:pt>
                <c:pt idx="340">
                  <c:v>45265</c:v>
                </c:pt>
                <c:pt idx="341">
                  <c:v>45266</c:v>
                </c:pt>
                <c:pt idx="342">
                  <c:v>45267</c:v>
                </c:pt>
                <c:pt idx="343">
                  <c:v>45268</c:v>
                </c:pt>
                <c:pt idx="344">
                  <c:v>45273</c:v>
                </c:pt>
                <c:pt idx="345">
                  <c:v>45273</c:v>
                </c:pt>
                <c:pt idx="346">
                  <c:v>45273</c:v>
                </c:pt>
                <c:pt idx="347">
                  <c:v>45274</c:v>
                </c:pt>
                <c:pt idx="348">
                  <c:v>45274</c:v>
                </c:pt>
                <c:pt idx="349">
                  <c:v>45274</c:v>
                </c:pt>
                <c:pt idx="350">
                  <c:v>45274</c:v>
                </c:pt>
                <c:pt idx="351">
                  <c:v>45275</c:v>
                </c:pt>
                <c:pt idx="352">
                  <c:v>45275</c:v>
                </c:pt>
                <c:pt idx="353">
                  <c:v>45276</c:v>
                </c:pt>
                <c:pt idx="354">
                  <c:v>45279</c:v>
                </c:pt>
                <c:pt idx="355">
                  <c:v>45281</c:v>
                </c:pt>
                <c:pt idx="356">
                  <c:v>45281</c:v>
                </c:pt>
                <c:pt idx="357">
                  <c:v>45282</c:v>
                </c:pt>
                <c:pt idx="358">
                  <c:v>45282</c:v>
                </c:pt>
                <c:pt idx="359">
                  <c:v>45287</c:v>
                </c:pt>
                <c:pt idx="360">
                  <c:v>45289</c:v>
                </c:pt>
                <c:pt idx="361">
                  <c:v>45289</c:v>
                </c:pt>
                <c:pt idx="362">
                  <c:v>45289</c:v>
                </c:pt>
                <c:pt idx="363">
                  <c:v>45289</c:v>
                </c:pt>
                <c:pt idx="364">
                  <c:v>45293</c:v>
                </c:pt>
                <c:pt idx="365">
                  <c:v>45293</c:v>
                </c:pt>
                <c:pt idx="366">
                  <c:v>45295</c:v>
                </c:pt>
                <c:pt idx="367">
                  <c:v>45295</c:v>
                </c:pt>
                <c:pt idx="368">
                  <c:v>45296</c:v>
                </c:pt>
                <c:pt idx="369">
                  <c:v>45296</c:v>
                </c:pt>
                <c:pt idx="370">
                  <c:v>45299</c:v>
                </c:pt>
                <c:pt idx="371">
                  <c:v>45300</c:v>
                </c:pt>
                <c:pt idx="372">
                  <c:v>45300</c:v>
                </c:pt>
                <c:pt idx="373">
                  <c:v>45301</c:v>
                </c:pt>
                <c:pt idx="374">
                  <c:v>45302</c:v>
                </c:pt>
                <c:pt idx="375">
                  <c:v>45302</c:v>
                </c:pt>
                <c:pt idx="376">
                  <c:v>45304</c:v>
                </c:pt>
                <c:pt idx="377">
                  <c:v>45307</c:v>
                </c:pt>
                <c:pt idx="378">
                  <c:v>45307</c:v>
                </c:pt>
                <c:pt idx="379">
                  <c:v>45308</c:v>
                </c:pt>
                <c:pt idx="380">
                  <c:v>45310</c:v>
                </c:pt>
                <c:pt idx="381">
                  <c:v>45310</c:v>
                </c:pt>
                <c:pt idx="382">
                  <c:v>45313</c:v>
                </c:pt>
                <c:pt idx="383">
                  <c:v>45313</c:v>
                </c:pt>
                <c:pt idx="384">
                  <c:v>45314</c:v>
                </c:pt>
                <c:pt idx="385">
                  <c:v>45314</c:v>
                </c:pt>
                <c:pt idx="386">
                  <c:v>45315</c:v>
                </c:pt>
                <c:pt idx="387">
                  <c:v>45316</c:v>
                </c:pt>
                <c:pt idx="388">
                  <c:v>45317</c:v>
                </c:pt>
                <c:pt idx="389">
                  <c:v>45320</c:v>
                </c:pt>
                <c:pt idx="390">
                  <c:v>45320</c:v>
                </c:pt>
                <c:pt idx="391">
                  <c:v>45320</c:v>
                </c:pt>
                <c:pt idx="392">
                  <c:v>45322</c:v>
                </c:pt>
                <c:pt idx="393">
                  <c:v>45322</c:v>
                </c:pt>
                <c:pt idx="394">
                  <c:v>45322</c:v>
                </c:pt>
                <c:pt idx="395">
                  <c:v>45323</c:v>
                </c:pt>
                <c:pt idx="396">
                  <c:v>45323</c:v>
                </c:pt>
                <c:pt idx="397">
                  <c:v>45323</c:v>
                </c:pt>
                <c:pt idx="398">
                  <c:v>45323</c:v>
                </c:pt>
                <c:pt idx="399">
                  <c:v>45323</c:v>
                </c:pt>
                <c:pt idx="400">
                  <c:v>45323</c:v>
                </c:pt>
                <c:pt idx="401">
                  <c:v>45323</c:v>
                </c:pt>
                <c:pt idx="402">
                  <c:v>45323</c:v>
                </c:pt>
                <c:pt idx="403">
                  <c:v>45324</c:v>
                </c:pt>
                <c:pt idx="404">
                  <c:v>45324</c:v>
                </c:pt>
                <c:pt idx="405">
                  <c:v>45327</c:v>
                </c:pt>
                <c:pt idx="406">
                  <c:v>45327</c:v>
                </c:pt>
                <c:pt idx="407">
                  <c:v>45328</c:v>
                </c:pt>
                <c:pt idx="408">
                  <c:v>45328</c:v>
                </c:pt>
                <c:pt idx="409">
                  <c:v>45328</c:v>
                </c:pt>
                <c:pt idx="410">
                  <c:v>45329</c:v>
                </c:pt>
                <c:pt idx="411">
                  <c:v>45330</c:v>
                </c:pt>
                <c:pt idx="412">
                  <c:v>45331</c:v>
                </c:pt>
                <c:pt idx="413">
                  <c:v>45334</c:v>
                </c:pt>
                <c:pt idx="414">
                  <c:v>45334</c:v>
                </c:pt>
                <c:pt idx="415">
                  <c:v>45335</c:v>
                </c:pt>
                <c:pt idx="416">
                  <c:v>45335</c:v>
                </c:pt>
                <c:pt idx="417">
                  <c:v>45335</c:v>
                </c:pt>
                <c:pt idx="418">
                  <c:v>45335</c:v>
                </c:pt>
                <c:pt idx="419">
                  <c:v>45337</c:v>
                </c:pt>
                <c:pt idx="420">
                  <c:v>45338</c:v>
                </c:pt>
                <c:pt idx="421">
                  <c:v>45338</c:v>
                </c:pt>
                <c:pt idx="422">
                  <c:v>45338</c:v>
                </c:pt>
                <c:pt idx="423">
                  <c:v>45338</c:v>
                </c:pt>
                <c:pt idx="424">
                  <c:v>45341</c:v>
                </c:pt>
                <c:pt idx="425">
                  <c:v>45342</c:v>
                </c:pt>
                <c:pt idx="426">
                  <c:v>45342</c:v>
                </c:pt>
                <c:pt idx="427">
                  <c:v>45342</c:v>
                </c:pt>
                <c:pt idx="428">
                  <c:v>45345</c:v>
                </c:pt>
                <c:pt idx="429">
                  <c:v>45345</c:v>
                </c:pt>
                <c:pt idx="430">
                  <c:v>45348</c:v>
                </c:pt>
                <c:pt idx="431">
                  <c:v>45349</c:v>
                </c:pt>
                <c:pt idx="432">
                  <c:v>45349</c:v>
                </c:pt>
                <c:pt idx="433">
                  <c:v>45349</c:v>
                </c:pt>
                <c:pt idx="434">
                  <c:v>45349</c:v>
                </c:pt>
                <c:pt idx="435">
                  <c:v>45349</c:v>
                </c:pt>
                <c:pt idx="436">
                  <c:v>45349</c:v>
                </c:pt>
                <c:pt idx="437">
                  <c:v>45350</c:v>
                </c:pt>
                <c:pt idx="438">
                  <c:v>45350</c:v>
                </c:pt>
                <c:pt idx="439">
                  <c:v>45350</c:v>
                </c:pt>
                <c:pt idx="440">
                  <c:v>45351</c:v>
                </c:pt>
                <c:pt idx="441">
                  <c:v>45351</c:v>
                </c:pt>
                <c:pt idx="442">
                  <c:v>45351</c:v>
                </c:pt>
                <c:pt idx="443">
                  <c:v>45351</c:v>
                </c:pt>
                <c:pt idx="444">
                  <c:v>45352</c:v>
                </c:pt>
                <c:pt idx="445">
                  <c:v>45352</c:v>
                </c:pt>
                <c:pt idx="446">
                  <c:v>45352</c:v>
                </c:pt>
                <c:pt idx="447">
                  <c:v>45352</c:v>
                </c:pt>
                <c:pt idx="448">
                  <c:v>45352</c:v>
                </c:pt>
                <c:pt idx="449">
                  <c:v>45355</c:v>
                </c:pt>
                <c:pt idx="450">
                  <c:v>45355</c:v>
                </c:pt>
                <c:pt idx="451">
                  <c:v>45356</c:v>
                </c:pt>
                <c:pt idx="452">
                  <c:v>45356</c:v>
                </c:pt>
                <c:pt idx="453">
                  <c:v>45356</c:v>
                </c:pt>
                <c:pt idx="454">
                  <c:v>45356</c:v>
                </c:pt>
                <c:pt idx="455">
                  <c:v>45357</c:v>
                </c:pt>
                <c:pt idx="456">
                  <c:v>45357</c:v>
                </c:pt>
                <c:pt idx="457">
                  <c:v>45357</c:v>
                </c:pt>
                <c:pt idx="458">
                  <c:v>45358</c:v>
                </c:pt>
                <c:pt idx="459">
                  <c:v>45358</c:v>
                </c:pt>
                <c:pt idx="460">
                  <c:v>45358</c:v>
                </c:pt>
                <c:pt idx="461">
                  <c:v>45359</c:v>
                </c:pt>
                <c:pt idx="462">
                  <c:v>45359</c:v>
                </c:pt>
                <c:pt idx="463">
                  <c:v>45359</c:v>
                </c:pt>
                <c:pt idx="464">
                  <c:v>45359</c:v>
                </c:pt>
                <c:pt idx="465">
                  <c:v>45359</c:v>
                </c:pt>
                <c:pt idx="466">
                  <c:v>45359</c:v>
                </c:pt>
                <c:pt idx="467">
                  <c:v>45359</c:v>
                </c:pt>
                <c:pt idx="468">
                  <c:v>45359</c:v>
                </c:pt>
                <c:pt idx="469">
                  <c:v>45359</c:v>
                </c:pt>
                <c:pt idx="470">
                  <c:v>45363</c:v>
                </c:pt>
                <c:pt idx="471">
                  <c:v>45363</c:v>
                </c:pt>
                <c:pt idx="472">
                  <c:v>45364</c:v>
                </c:pt>
                <c:pt idx="473">
                  <c:v>45364</c:v>
                </c:pt>
                <c:pt idx="474">
                  <c:v>45364</c:v>
                </c:pt>
                <c:pt idx="475">
                  <c:v>45365</c:v>
                </c:pt>
                <c:pt idx="476">
                  <c:v>45365</c:v>
                </c:pt>
                <c:pt idx="477">
                  <c:v>45365</c:v>
                </c:pt>
                <c:pt idx="478">
                  <c:v>45366</c:v>
                </c:pt>
                <c:pt idx="479">
                  <c:v>45366</c:v>
                </c:pt>
                <c:pt idx="480">
                  <c:v>45366</c:v>
                </c:pt>
                <c:pt idx="481">
                  <c:v>45366</c:v>
                </c:pt>
                <c:pt idx="482">
                  <c:v>45366</c:v>
                </c:pt>
                <c:pt idx="483">
                  <c:v>45366</c:v>
                </c:pt>
                <c:pt idx="484">
                  <c:v>45366</c:v>
                </c:pt>
                <c:pt idx="485">
                  <c:v>45366</c:v>
                </c:pt>
                <c:pt idx="486">
                  <c:v>45366</c:v>
                </c:pt>
                <c:pt idx="487">
                  <c:v>45369</c:v>
                </c:pt>
                <c:pt idx="488">
                  <c:v>45370</c:v>
                </c:pt>
                <c:pt idx="489">
                  <c:v>45370</c:v>
                </c:pt>
                <c:pt idx="490">
                  <c:v>45370</c:v>
                </c:pt>
                <c:pt idx="491">
                  <c:v>45370</c:v>
                </c:pt>
                <c:pt idx="492">
                  <c:v>45370</c:v>
                </c:pt>
                <c:pt idx="493">
                  <c:v>45370</c:v>
                </c:pt>
                <c:pt idx="494">
                  <c:v>45371</c:v>
                </c:pt>
                <c:pt idx="495">
                  <c:v>45371</c:v>
                </c:pt>
                <c:pt idx="496">
                  <c:v>45371</c:v>
                </c:pt>
                <c:pt idx="497">
                  <c:v>45371</c:v>
                </c:pt>
                <c:pt idx="498">
                  <c:v>45371</c:v>
                </c:pt>
                <c:pt idx="499">
                  <c:v>45372</c:v>
                </c:pt>
                <c:pt idx="500">
                  <c:v>45372</c:v>
                </c:pt>
                <c:pt idx="501">
                  <c:v>45372</c:v>
                </c:pt>
                <c:pt idx="502">
                  <c:v>45372</c:v>
                </c:pt>
                <c:pt idx="503">
                  <c:v>45373</c:v>
                </c:pt>
                <c:pt idx="504">
                  <c:v>45373</c:v>
                </c:pt>
                <c:pt idx="505">
                  <c:v>45375</c:v>
                </c:pt>
                <c:pt idx="506">
                  <c:v>45376</c:v>
                </c:pt>
                <c:pt idx="507">
                  <c:v>45376</c:v>
                </c:pt>
                <c:pt idx="508">
                  <c:v>45376</c:v>
                </c:pt>
                <c:pt idx="509">
                  <c:v>45376</c:v>
                </c:pt>
                <c:pt idx="510">
                  <c:v>45377</c:v>
                </c:pt>
                <c:pt idx="511">
                  <c:v>45378</c:v>
                </c:pt>
                <c:pt idx="512">
                  <c:v>45379</c:v>
                </c:pt>
                <c:pt idx="513">
                  <c:v>45379</c:v>
                </c:pt>
                <c:pt idx="514">
                  <c:v>45379</c:v>
                </c:pt>
                <c:pt idx="515">
                  <c:v>45383</c:v>
                </c:pt>
                <c:pt idx="516">
                  <c:v>45383</c:v>
                </c:pt>
                <c:pt idx="517">
                  <c:v>45383</c:v>
                </c:pt>
                <c:pt idx="518">
                  <c:v>45384</c:v>
                </c:pt>
                <c:pt idx="519">
                  <c:v>45384</c:v>
                </c:pt>
                <c:pt idx="520">
                  <c:v>45384</c:v>
                </c:pt>
                <c:pt idx="521">
                  <c:v>45384</c:v>
                </c:pt>
                <c:pt idx="522">
                  <c:v>45384</c:v>
                </c:pt>
                <c:pt idx="523">
                  <c:v>45386</c:v>
                </c:pt>
                <c:pt idx="524">
                  <c:v>45386</c:v>
                </c:pt>
                <c:pt idx="525">
                  <c:v>45386</c:v>
                </c:pt>
                <c:pt idx="526">
                  <c:v>45386</c:v>
                </c:pt>
                <c:pt idx="527">
                  <c:v>45386</c:v>
                </c:pt>
                <c:pt idx="528">
                  <c:v>45387</c:v>
                </c:pt>
                <c:pt idx="529">
                  <c:v>45387</c:v>
                </c:pt>
                <c:pt idx="530">
                  <c:v>45390</c:v>
                </c:pt>
                <c:pt idx="531">
                  <c:v>45391</c:v>
                </c:pt>
                <c:pt idx="532">
                  <c:v>45392</c:v>
                </c:pt>
                <c:pt idx="533">
                  <c:v>45392</c:v>
                </c:pt>
                <c:pt idx="534">
                  <c:v>45392</c:v>
                </c:pt>
                <c:pt idx="535">
                  <c:v>45393</c:v>
                </c:pt>
                <c:pt idx="536">
                  <c:v>45393</c:v>
                </c:pt>
                <c:pt idx="537">
                  <c:v>45393</c:v>
                </c:pt>
                <c:pt idx="538">
                  <c:v>45393</c:v>
                </c:pt>
                <c:pt idx="539">
                  <c:v>45394</c:v>
                </c:pt>
                <c:pt idx="540">
                  <c:v>45394</c:v>
                </c:pt>
                <c:pt idx="541">
                  <c:v>45397</c:v>
                </c:pt>
                <c:pt idx="542">
                  <c:v>45397</c:v>
                </c:pt>
                <c:pt idx="543">
                  <c:v>45397</c:v>
                </c:pt>
                <c:pt idx="544">
                  <c:v>45397</c:v>
                </c:pt>
                <c:pt idx="545">
                  <c:v>45398</c:v>
                </c:pt>
                <c:pt idx="546">
                  <c:v>45398</c:v>
                </c:pt>
                <c:pt idx="547">
                  <c:v>45400</c:v>
                </c:pt>
                <c:pt idx="548">
                  <c:v>45400</c:v>
                </c:pt>
                <c:pt idx="549">
                  <c:v>45401</c:v>
                </c:pt>
                <c:pt idx="550">
                  <c:v>45404</c:v>
                </c:pt>
                <c:pt idx="551">
                  <c:v>45405</c:v>
                </c:pt>
                <c:pt idx="552">
                  <c:v>45407</c:v>
                </c:pt>
                <c:pt idx="553">
                  <c:v>45407</c:v>
                </c:pt>
                <c:pt idx="554">
                  <c:v>45408</c:v>
                </c:pt>
                <c:pt idx="555">
                  <c:v>45408</c:v>
                </c:pt>
                <c:pt idx="556">
                  <c:v>45408</c:v>
                </c:pt>
                <c:pt idx="557">
                  <c:v>45411</c:v>
                </c:pt>
                <c:pt idx="558">
                  <c:v>45413</c:v>
                </c:pt>
                <c:pt idx="559">
                  <c:v>45413</c:v>
                </c:pt>
                <c:pt idx="560">
                  <c:v>45414</c:v>
                </c:pt>
                <c:pt idx="561">
                  <c:v>45415</c:v>
                </c:pt>
                <c:pt idx="562">
                  <c:v>45419</c:v>
                </c:pt>
                <c:pt idx="563">
                  <c:v>45419</c:v>
                </c:pt>
                <c:pt idx="564">
                  <c:v>45422</c:v>
                </c:pt>
                <c:pt idx="565">
                  <c:v>45422</c:v>
                </c:pt>
                <c:pt idx="566">
                  <c:v>45423</c:v>
                </c:pt>
                <c:pt idx="567">
                  <c:v>45425</c:v>
                </c:pt>
                <c:pt idx="568">
                  <c:v>45426</c:v>
                </c:pt>
                <c:pt idx="569">
                  <c:v>45428</c:v>
                </c:pt>
                <c:pt idx="570">
                  <c:v>45428</c:v>
                </c:pt>
                <c:pt idx="571">
                  <c:v>45429</c:v>
                </c:pt>
                <c:pt idx="572">
                  <c:v>45429</c:v>
                </c:pt>
                <c:pt idx="573">
                  <c:v>45430</c:v>
                </c:pt>
                <c:pt idx="574">
                  <c:v>45432</c:v>
                </c:pt>
                <c:pt idx="575">
                  <c:v>45432</c:v>
                </c:pt>
                <c:pt idx="576">
                  <c:v>45432</c:v>
                </c:pt>
                <c:pt idx="577">
                  <c:v>45432</c:v>
                </c:pt>
                <c:pt idx="578">
                  <c:v>45433</c:v>
                </c:pt>
                <c:pt idx="579">
                  <c:v>45433</c:v>
                </c:pt>
                <c:pt idx="580">
                  <c:v>45434</c:v>
                </c:pt>
                <c:pt idx="581">
                  <c:v>45435</c:v>
                </c:pt>
                <c:pt idx="582">
                  <c:v>45435</c:v>
                </c:pt>
                <c:pt idx="583">
                  <c:v>45436</c:v>
                </c:pt>
                <c:pt idx="584">
                  <c:v>45440</c:v>
                </c:pt>
                <c:pt idx="585">
                  <c:v>45440</c:v>
                </c:pt>
                <c:pt idx="586">
                  <c:v>45440</c:v>
                </c:pt>
                <c:pt idx="587">
                  <c:v>45440</c:v>
                </c:pt>
                <c:pt idx="588">
                  <c:v>45440</c:v>
                </c:pt>
                <c:pt idx="589">
                  <c:v>45442</c:v>
                </c:pt>
                <c:pt idx="590">
                  <c:v>45442</c:v>
                </c:pt>
                <c:pt idx="591">
                  <c:v>45443</c:v>
                </c:pt>
                <c:pt idx="592">
                  <c:v>45446</c:v>
                </c:pt>
                <c:pt idx="593">
                  <c:v>45448</c:v>
                </c:pt>
                <c:pt idx="594">
                  <c:v>45450</c:v>
                </c:pt>
                <c:pt idx="595">
                  <c:v>45450</c:v>
                </c:pt>
                <c:pt idx="596">
                  <c:v>45450</c:v>
                </c:pt>
                <c:pt idx="597">
                  <c:v>45450</c:v>
                </c:pt>
                <c:pt idx="598">
                  <c:v>45453</c:v>
                </c:pt>
                <c:pt idx="599">
                  <c:v>45454</c:v>
                </c:pt>
                <c:pt idx="600">
                  <c:v>45455</c:v>
                </c:pt>
                <c:pt idx="601">
                  <c:v>45456</c:v>
                </c:pt>
                <c:pt idx="602">
                  <c:v>45456</c:v>
                </c:pt>
                <c:pt idx="603">
                  <c:v>45457</c:v>
                </c:pt>
                <c:pt idx="604">
                  <c:v>45457</c:v>
                </c:pt>
                <c:pt idx="605">
                  <c:v>45457</c:v>
                </c:pt>
                <c:pt idx="606">
                  <c:v>45460</c:v>
                </c:pt>
                <c:pt idx="607">
                  <c:v>45460</c:v>
                </c:pt>
                <c:pt idx="608">
                  <c:v>45461</c:v>
                </c:pt>
                <c:pt idx="609">
                  <c:v>45461</c:v>
                </c:pt>
                <c:pt idx="610">
                  <c:v>45463</c:v>
                </c:pt>
                <c:pt idx="611">
                  <c:v>45463</c:v>
                </c:pt>
                <c:pt idx="612">
                  <c:v>45464</c:v>
                </c:pt>
                <c:pt idx="613">
                  <c:v>45464</c:v>
                </c:pt>
                <c:pt idx="614">
                  <c:v>45464</c:v>
                </c:pt>
                <c:pt idx="615">
                  <c:v>45467</c:v>
                </c:pt>
                <c:pt idx="616">
                  <c:v>45467</c:v>
                </c:pt>
                <c:pt idx="617">
                  <c:v>45467</c:v>
                </c:pt>
                <c:pt idx="618">
                  <c:v>45468</c:v>
                </c:pt>
                <c:pt idx="619">
                  <c:v>45468</c:v>
                </c:pt>
                <c:pt idx="620">
                  <c:v>45468</c:v>
                </c:pt>
                <c:pt idx="621">
                  <c:v>45469</c:v>
                </c:pt>
                <c:pt idx="622">
                  <c:v>45470</c:v>
                </c:pt>
                <c:pt idx="623">
                  <c:v>45470</c:v>
                </c:pt>
                <c:pt idx="624">
                  <c:v>45471</c:v>
                </c:pt>
                <c:pt idx="625">
                  <c:v>45471</c:v>
                </c:pt>
                <c:pt idx="626">
                  <c:v>45471</c:v>
                </c:pt>
                <c:pt idx="627">
                  <c:v>45471</c:v>
                </c:pt>
                <c:pt idx="628">
                  <c:v>45471</c:v>
                </c:pt>
                <c:pt idx="629">
                  <c:v>45473</c:v>
                </c:pt>
                <c:pt idx="630">
                  <c:v>45473</c:v>
                </c:pt>
                <c:pt idx="631">
                  <c:v>45474</c:v>
                </c:pt>
                <c:pt idx="632">
                  <c:v>45474</c:v>
                </c:pt>
                <c:pt idx="633">
                  <c:v>45474</c:v>
                </c:pt>
                <c:pt idx="634">
                  <c:v>45476</c:v>
                </c:pt>
                <c:pt idx="635">
                  <c:v>45478</c:v>
                </c:pt>
                <c:pt idx="636">
                  <c:v>45478</c:v>
                </c:pt>
                <c:pt idx="637">
                  <c:v>45483</c:v>
                </c:pt>
                <c:pt idx="638">
                  <c:v>45484</c:v>
                </c:pt>
                <c:pt idx="639">
                  <c:v>45485</c:v>
                </c:pt>
                <c:pt idx="640">
                  <c:v>45485</c:v>
                </c:pt>
                <c:pt idx="641">
                  <c:v>45485</c:v>
                </c:pt>
                <c:pt idx="642">
                  <c:v>45485</c:v>
                </c:pt>
                <c:pt idx="643">
                  <c:v>45489</c:v>
                </c:pt>
                <c:pt idx="644">
                  <c:v>45489</c:v>
                </c:pt>
                <c:pt idx="645">
                  <c:v>45490</c:v>
                </c:pt>
                <c:pt idx="646">
                  <c:v>45490</c:v>
                </c:pt>
                <c:pt idx="647">
                  <c:v>45490</c:v>
                </c:pt>
                <c:pt idx="648">
                  <c:v>45490</c:v>
                </c:pt>
                <c:pt idx="649">
                  <c:v>45490</c:v>
                </c:pt>
                <c:pt idx="650">
                  <c:v>45490</c:v>
                </c:pt>
                <c:pt idx="651">
                  <c:v>45491</c:v>
                </c:pt>
                <c:pt idx="652">
                  <c:v>45492</c:v>
                </c:pt>
                <c:pt idx="653">
                  <c:v>45492</c:v>
                </c:pt>
                <c:pt idx="654">
                  <c:v>45492</c:v>
                </c:pt>
                <c:pt idx="655">
                  <c:v>45492</c:v>
                </c:pt>
                <c:pt idx="656">
                  <c:v>45492</c:v>
                </c:pt>
                <c:pt idx="657">
                  <c:v>45492</c:v>
                </c:pt>
                <c:pt idx="658">
                  <c:v>45495</c:v>
                </c:pt>
                <c:pt idx="659">
                  <c:v>45495</c:v>
                </c:pt>
                <c:pt idx="660">
                  <c:v>45495</c:v>
                </c:pt>
                <c:pt idx="661">
                  <c:v>45497</c:v>
                </c:pt>
                <c:pt idx="662">
                  <c:v>45497</c:v>
                </c:pt>
                <c:pt idx="663">
                  <c:v>45497</c:v>
                </c:pt>
                <c:pt idx="664">
                  <c:v>45498</c:v>
                </c:pt>
                <c:pt idx="665">
                  <c:v>45498</c:v>
                </c:pt>
                <c:pt idx="666">
                  <c:v>45498</c:v>
                </c:pt>
                <c:pt idx="667">
                  <c:v>45498</c:v>
                </c:pt>
                <c:pt idx="668">
                  <c:v>45498</c:v>
                </c:pt>
                <c:pt idx="669">
                  <c:v>45503</c:v>
                </c:pt>
                <c:pt idx="670">
                  <c:v>45504</c:v>
                </c:pt>
                <c:pt idx="671">
                  <c:v>45504</c:v>
                </c:pt>
                <c:pt idx="672">
                  <c:v>45504</c:v>
                </c:pt>
                <c:pt idx="673">
                  <c:v>45504</c:v>
                </c:pt>
                <c:pt idx="674">
                  <c:v>45506</c:v>
                </c:pt>
                <c:pt idx="675">
                  <c:v>45509</c:v>
                </c:pt>
                <c:pt idx="676">
                  <c:v>45510</c:v>
                </c:pt>
                <c:pt idx="677">
                  <c:v>45511</c:v>
                </c:pt>
                <c:pt idx="678">
                  <c:v>45511</c:v>
                </c:pt>
                <c:pt idx="679">
                  <c:v>45520</c:v>
                </c:pt>
                <c:pt idx="680">
                  <c:v>45512</c:v>
                </c:pt>
                <c:pt idx="681">
                  <c:v>45518</c:v>
                </c:pt>
                <c:pt idx="688">
                  <c:v>45524</c:v>
                </c:pt>
                <c:pt idx="690">
                  <c:v>45512</c:v>
                </c:pt>
                <c:pt idx="691">
                  <c:v>45518</c:v>
                </c:pt>
                <c:pt idx="692">
                  <c:v>45524</c:v>
                </c:pt>
                <c:pt idx="696">
                  <c:v>45524</c:v>
                </c:pt>
                <c:pt idx="697">
                  <c:v>45524</c:v>
                </c:pt>
                <c:pt idx="698">
                  <c:v>45518</c:v>
                </c:pt>
                <c:pt idx="699">
                  <c:v>45524</c:v>
                </c:pt>
              </c:numCache>
            </c:numRef>
          </c:cat>
          <c:val>
            <c:numRef>
              <c:f>'All Trades'!$Q$2:$Q$703</c:f>
              <c:numCache>
                <c:formatCode>_("$"* #,##0.00_);_("$"* \(#,##0.00\);_("$"* "-"??_);_(@_)</c:formatCode>
                <c:ptCount val="702"/>
                <c:pt idx="0">
                  <c:v>-2307.4800000000005</c:v>
                </c:pt>
                <c:pt idx="1">
                  <c:v>9043.869999999999</c:v>
                </c:pt>
                <c:pt idx="2">
                  <c:v>7359.7999999999993</c:v>
                </c:pt>
                <c:pt idx="3">
                  <c:v>3837.9199999999992</c:v>
                </c:pt>
                <c:pt idx="4">
                  <c:v>10044.019999999999</c:v>
                </c:pt>
                <c:pt idx="5">
                  <c:v>14621.039999999999</c:v>
                </c:pt>
                <c:pt idx="6">
                  <c:v>17191.170000000006</c:v>
                </c:pt>
                <c:pt idx="7">
                  <c:v>17330.140000000007</c:v>
                </c:pt>
                <c:pt idx="8">
                  <c:v>16304.739999999983</c:v>
                </c:pt>
                <c:pt idx="9">
                  <c:v>18335.989999999983</c:v>
                </c:pt>
                <c:pt idx="10">
                  <c:v>16213.890000000007</c:v>
                </c:pt>
                <c:pt idx="11">
                  <c:v>19736.910000000007</c:v>
                </c:pt>
                <c:pt idx="12">
                  <c:v>26087.309999999914</c:v>
                </c:pt>
                <c:pt idx="13">
                  <c:v>24087.309999999914</c:v>
                </c:pt>
                <c:pt idx="14">
                  <c:v>24168.309999999914</c:v>
                </c:pt>
                <c:pt idx="15">
                  <c:v>24085.809999999914</c:v>
                </c:pt>
                <c:pt idx="16">
                  <c:v>27318.209999999937</c:v>
                </c:pt>
                <c:pt idx="17">
                  <c:v>25283.009999999984</c:v>
                </c:pt>
                <c:pt idx="18">
                  <c:v>22847.81000000003</c:v>
                </c:pt>
                <c:pt idx="19">
                  <c:v>21145.709999999937</c:v>
                </c:pt>
                <c:pt idx="20">
                  <c:v>26101.709999999937</c:v>
                </c:pt>
                <c:pt idx="21">
                  <c:v>24084.109999999844</c:v>
                </c:pt>
                <c:pt idx="22">
                  <c:v>23733.409999999891</c:v>
                </c:pt>
                <c:pt idx="23">
                  <c:v>36064.409999999887</c:v>
                </c:pt>
                <c:pt idx="24">
                  <c:v>37446.809999999794</c:v>
                </c:pt>
                <c:pt idx="25">
                  <c:v>41322.809999999794</c:v>
                </c:pt>
                <c:pt idx="26">
                  <c:v>59777.889999999868</c:v>
                </c:pt>
                <c:pt idx="27">
                  <c:v>53711.889999999868</c:v>
                </c:pt>
                <c:pt idx="28">
                  <c:v>47809.090000000055</c:v>
                </c:pt>
                <c:pt idx="29">
                  <c:v>43699.090000000055</c:v>
                </c:pt>
                <c:pt idx="30">
                  <c:v>39655.090000000055</c:v>
                </c:pt>
                <c:pt idx="31">
                  <c:v>35619.889999999868</c:v>
                </c:pt>
                <c:pt idx="32">
                  <c:v>31700.889999999868</c:v>
                </c:pt>
                <c:pt idx="33">
                  <c:v>29465.689999999682</c:v>
                </c:pt>
                <c:pt idx="34">
                  <c:v>27598.089999999589</c:v>
                </c:pt>
                <c:pt idx="35">
                  <c:v>26962.889999999403</c:v>
                </c:pt>
                <c:pt idx="36">
                  <c:v>23873.829999999405</c:v>
                </c:pt>
                <c:pt idx="37">
                  <c:v>25214.329999999405</c:v>
                </c:pt>
                <c:pt idx="38">
                  <c:v>24567.329999999405</c:v>
                </c:pt>
                <c:pt idx="39">
                  <c:v>46001.329999999405</c:v>
                </c:pt>
                <c:pt idx="40">
                  <c:v>52809.679999999411</c:v>
                </c:pt>
                <c:pt idx="41">
                  <c:v>56276.489999999409</c:v>
                </c:pt>
                <c:pt idx="42">
                  <c:v>59948.559999999408</c:v>
                </c:pt>
                <c:pt idx="43">
                  <c:v>64404.559999999408</c:v>
                </c:pt>
                <c:pt idx="44">
                  <c:v>61836.959999999315</c:v>
                </c:pt>
                <c:pt idx="45">
                  <c:v>59819.359999999222</c:v>
                </c:pt>
                <c:pt idx="46">
                  <c:v>66926.759999999136</c:v>
                </c:pt>
                <c:pt idx="47">
                  <c:v>62048.259999999136</c:v>
                </c:pt>
                <c:pt idx="48">
                  <c:v>79188.05999999895</c:v>
                </c:pt>
                <c:pt idx="49">
                  <c:v>73122.05999999895</c:v>
                </c:pt>
                <c:pt idx="50">
                  <c:v>67243.55999999895</c:v>
                </c:pt>
                <c:pt idx="51">
                  <c:v>68346.55999999895</c:v>
                </c:pt>
                <c:pt idx="52">
                  <c:v>70921.499999998952</c:v>
                </c:pt>
                <c:pt idx="53">
                  <c:v>64375.499999998952</c:v>
                </c:pt>
                <c:pt idx="54">
                  <c:v>61831.499999998952</c:v>
                </c:pt>
                <c:pt idx="55">
                  <c:v>59975.099999999045</c:v>
                </c:pt>
                <c:pt idx="56">
                  <c:v>53159.099999999045</c:v>
                </c:pt>
                <c:pt idx="57">
                  <c:v>52905.599999999045</c:v>
                </c:pt>
                <c:pt idx="58">
                  <c:v>49958.539999999048</c:v>
                </c:pt>
                <c:pt idx="59">
                  <c:v>60142.539999999048</c:v>
                </c:pt>
                <c:pt idx="60">
                  <c:v>51792.039999999048</c:v>
                </c:pt>
                <c:pt idx="61">
                  <c:v>47646.339999998861</c:v>
                </c:pt>
                <c:pt idx="62">
                  <c:v>53804.899999998859</c:v>
                </c:pt>
                <c:pt idx="63">
                  <c:v>53288.479999998846</c:v>
                </c:pt>
                <c:pt idx="64">
                  <c:v>49085.719999998844</c:v>
                </c:pt>
                <c:pt idx="65">
                  <c:v>64237.2799999989</c:v>
                </c:pt>
                <c:pt idx="66">
                  <c:v>60068.2799999989</c:v>
                </c:pt>
                <c:pt idx="67">
                  <c:v>58502.2799999989</c:v>
                </c:pt>
                <c:pt idx="68">
                  <c:v>64436.2799999989</c:v>
                </c:pt>
                <c:pt idx="69">
                  <c:v>58370.2799999989</c:v>
                </c:pt>
                <c:pt idx="70">
                  <c:v>54701.2799999989</c:v>
                </c:pt>
                <c:pt idx="71">
                  <c:v>51727.2799999989</c:v>
                </c:pt>
                <c:pt idx="72">
                  <c:v>53933.2799999989</c:v>
                </c:pt>
                <c:pt idx="73">
                  <c:v>49955.489999998899</c:v>
                </c:pt>
                <c:pt idx="74">
                  <c:v>43008.689999998154</c:v>
                </c:pt>
                <c:pt idx="75">
                  <c:v>40105.88999999834</c:v>
                </c:pt>
                <c:pt idx="76">
                  <c:v>33852.38999999834</c:v>
                </c:pt>
                <c:pt idx="77">
                  <c:v>41178.749999998327</c:v>
                </c:pt>
                <c:pt idx="78">
                  <c:v>35300.249999998327</c:v>
                </c:pt>
                <c:pt idx="79">
                  <c:v>31131.249999998327</c:v>
                </c:pt>
                <c:pt idx="80">
                  <c:v>29253.84999999842</c:v>
                </c:pt>
                <c:pt idx="81">
                  <c:v>23375.34999999842</c:v>
                </c:pt>
                <c:pt idx="82">
                  <c:v>19331.34999999842</c:v>
                </c:pt>
                <c:pt idx="83">
                  <c:v>16632.499999998414</c:v>
                </c:pt>
                <c:pt idx="84">
                  <c:v>14128.999999998414</c:v>
                </c:pt>
                <c:pt idx="85">
                  <c:v>20509.999999998414</c:v>
                </c:pt>
                <c:pt idx="86">
                  <c:v>28215.999999998414</c:v>
                </c:pt>
                <c:pt idx="87">
                  <c:v>24171.999999998414</c:v>
                </c:pt>
                <c:pt idx="88">
                  <c:v>20252.999999998414</c:v>
                </c:pt>
                <c:pt idx="89">
                  <c:v>16916.169999998398</c:v>
                </c:pt>
                <c:pt idx="90">
                  <c:v>17225.169999998398</c:v>
                </c:pt>
                <c:pt idx="91">
                  <c:v>13888.339999998381</c:v>
                </c:pt>
                <c:pt idx="92">
                  <c:v>8339.2399999983754</c:v>
                </c:pt>
                <c:pt idx="93">
                  <c:v>17889.179999998378</c:v>
                </c:pt>
                <c:pt idx="94">
                  <c:v>19635.679999998378</c:v>
                </c:pt>
                <c:pt idx="95">
                  <c:v>9525.6799999983778</c:v>
                </c:pt>
                <c:pt idx="96">
                  <c:v>3721.559999998377</c:v>
                </c:pt>
                <c:pt idx="97">
                  <c:v>18445.709999998377</c:v>
                </c:pt>
                <c:pt idx="98">
                  <c:v>43967.749999998377</c:v>
                </c:pt>
                <c:pt idx="99">
                  <c:v>56393.809999998375</c:v>
                </c:pt>
                <c:pt idx="100">
                  <c:v>54377.739999998375</c:v>
                </c:pt>
                <c:pt idx="101">
                  <c:v>54383.979999998599</c:v>
                </c:pt>
                <c:pt idx="102">
                  <c:v>80820.369999998584</c:v>
                </c:pt>
                <c:pt idx="103">
                  <c:v>85199.789999998582</c:v>
                </c:pt>
                <c:pt idx="104">
                  <c:v>74777.289999998582</c:v>
                </c:pt>
                <c:pt idx="105">
                  <c:v>64667.289999998582</c:v>
                </c:pt>
                <c:pt idx="106">
                  <c:v>60851.289999998582</c:v>
                </c:pt>
                <c:pt idx="107">
                  <c:v>125047.18999999855</c:v>
                </c:pt>
                <c:pt idx="108">
                  <c:v>120679.74999999854</c:v>
                </c:pt>
                <c:pt idx="109">
                  <c:v>114988.74999999854</c:v>
                </c:pt>
                <c:pt idx="110">
                  <c:v>102772.19999999856</c:v>
                </c:pt>
                <c:pt idx="111">
                  <c:v>97433.189999998547</c:v>
                </c:pt>
                <c:pt idx="112">
                  <c:v>87265.36999999854</c:v>
                </c:pt>
                <c:pt idx="113">
                  <c:v>76209.149999998568</c:v>
                </c:pt>
                <c:pt idx="114">
                  <c:v>70298.299999998562</c:v>
                </c:pt>
                <c:pt idx="115">
                  <c:v>67009.739999998565</c:v>
                </c:pt>
                <c:pt idx="116">
                  <c:v>74815.739999998565</c:v>
                </c:pt>
                <c:pt idx="117">
                  <c:v>70836.979999998555</c:v>
                </c:pt>
                <c:pt idx="118">
                  <c:v>73878.779999998544</c:v>
                </c:pt>
                <c:pt idx="119">
                  <c:v>67905.699999998469</c:v>
                </c:pt>
                <c:pt idx="120">
                  <c:v>59202.629999998469</c:v>
                </c:pt>
                <c:pt idx="121">
                  <c:v>52803.269999998469</c:v>
                </c:pt>
                <c:pt idx="122">
                  <c:v>45974.599999998485</c:v>
                </c:pt>
                <c:pt idx="123">
                  <c:v>39145.929999998501</c:v>
                </c:pt>
                <c:pt idx="124">
                  <c:v>34873.489999998499</c:v>
                </c:pt>
                <c:pt idx="125">
                  <c:v>34845.189999998496</c:v>
                </c:pt>
                <c:pt idx="126">
                  <c:v>31930.239999998485</c:v>
                </c:pt>
                <c:pt idx="127">
                  <c:v>27886.239999998485</c:v>
                </c:pt>
                <c:pt idx="128">
                  <c:v>23842.239999998485</c:v>
                </c:pt>
                <c:pt idx="129">
                  <c:v>19834.739999998485</c:v>
                </c:pt>
                <c:pt idx="130">
                  <c:v>15261.509999998474</c:v>
                </c:pt>
                <c:pt idx="131">
                  <c:v>17527.829999998481</c:v>
                </c:pt>
                <c:pt idx="132">
                  <c:v>11242.78999999848</c:v>
                </c:pt>
                <c:pt idx="133">
                  <c:v>7322.2099999984803</c:v>
                </c:pt>
                <c:pt idx="134">
                  <c:v>10293.709999998478</c:v>
                </c:pt>
                <c:pt idx="135">
                  <c:v>4044.9799999984789</c:v>
                </c:pt>
                <c:pt idx="136">
                  <c:v>20.919999998481217</c:v>
                </c:pt>
                <c:pt idx="137">
                  <c:v>1896.1799999984905</c:v>
                </c:pt>
                <c:pt idx="138">
                  <c:v>21848.379999998488</c:v>
                </c:pt>
                <c:pt idx="139">
                  <c:v>39665.92999999848</c:v>
                </c:pt>
                <c:pt idx="140">
                  <c:v>75710.909999998461</c:v>
                </c:pt>
                <c:pt idx="141">
                  <c:v>117508.47999999847</c:v>
                </c:pt>
                <c:pt idx="142">
                  <c:v>112259.43999999847</c:v>
                </c:pt>
                <c:pt idx="143">
                  <c:v>102263.13999999849</c:v>
                </c:pt>
                <c:pt idx="144">
                  <c:v>90933.939999998474</c:v>
                </c:pt>
                <c:pt idx="145">
                  <c:v>84160.239999998463</c:v>
                </c:pt>
                <c:pt idx="146">
                  <c:v>99217.149999998495</c:v>
                </c:pt>
                <c:pt idx="147">
                  <c:v>100394.38999999849</c:v>
                </c:pt>
                <c:pt idx="148">
                  <c:v>105791.5599999985</c:v>
                </c:pt>
                <c:pt idx="149">
                  <c:v>99765.109999998502</c:v>
                </c:pt>
                <c:pt idx="150">
                  <c:v>99595.599999998492</c:v>
                </c:pt>
                <c:pt idx="151">
                  <c:v>93345.72037036893</c:v>
                </c:pt>
                <c:pt idx="152">
                  <c:v>84440.178489158818</c:v>
                </c:pt>
                <c:pt idx="153">
                  <c:v>89380.738489158815</c:v>
                </c:pt>
                <c:pt idx="154">
                  <c:v>106260.77848915885</c:v>
                </c:pt>
                <c:pt idx="155">
                  <c:v>102216.77848915885</c:v>
                </c:pt>
                <c:pt idx="156">
                  <c:v>88726.81848915889</c:v>
                </c:pt>
                <c:pt idx="157">
                  <c:v>95591.848489158889</c:v>
                </c:pt>
                <c:pt idx="158">
                  <c:v>85765.608489158898</c:v>
                </c:pt>
                <c:pt idx="159">
                  <c:v>77594.558489158895</c:v>
                </c:pt>
                <c:pt idx="160">
                  <c:v>77743.92848915889</c:v>
                </c:pt>
                <c:pt idx="161">
                  <c:v>72168.528489158867</c:v>
                </c:pt>
                <c:pt idx="162">
                  <c:v>67969.288489158862</c:v>
                </c:pt>
                <c:pt idx="163">
                  <c:v>57830.378489158858</c:v>
                </c:pt>
                <c:pt idx="164">
                  <c:v>69063.258489158805</c:v>
                </c:pt>
                <c:pt idx="165">
                  <c:v>58767.698489158778</c:v>
                </c:pt>
                <c:pt idx="166">
                  <c:v>77142.388489158766</c:v>
                </c:pt>
                <c:pt idx="167">
                  <c:v>66792.368489158776</c:v>
                </c:pt>
                <c:pt idx="168">
                  <c:v>69841.898489158804</c:v>
                </c:pt>
                <c:pt idx="169">
                  <c:v>65087.248489158781</c:v>
                </c:pt>
                <c:pt idx="170">
                  <c:v>57282.938489158783</c:v>
                </c:pt>
                <c:pt idx="171">
                  <c:v>51153.938489158783</c:v>
                </c:pt>
                <c:pt idx="172">
                  <c:v>52829.79335436847</c:v>
                </c:pt>
                <c:pt idx="173">
                  <c:v>59993.049245296002</c:v>
                </c:pt>
                <c:pt idx="174">
                  <c:v>48116.079245296001</c:v>
                </c:pt>
                <c:pt idx="175">
                  <c:v>53073.549245296002</c:v>
                </c:pt>
                <c:pt idx="176">
                  <c:v>38034.299245295973</c:v>
                </c:pt>
                <c:pt idx="177">
                  <c:v>20151.459245295948</c:v>
                </c:pt>
                <c:pt idx="178">
                  <c:v>9567.6592452959303</c:v>
                </c:pt>
                <c:pt idx="179">
                  <c:v>-4450.5007547039859</c:v>
                </c:pt>
                <c:pt idx="180">
                  <c:v>12933.019245296033</c:v>
                </c:pt>
                <c:pt idx="181">
                  <c:v>3985.5354165346998</c:v>
                </c:pt>
                <c:pt idx="182">
                  <c:v>9327.3154165347278</c:v>
                </c:pt>
                <c:pt idx="183">
                  <c:v>18280.875416534727</c:v>
                </c:pt>
                <c:pt idx="184">
                  <c:v>246.14915036773527</c:v>
                </c:pt>
                <c:pt idx="185">
                  <c:v>-16385.99003374291</c:v>
                </c:pt>
                <c:pt idx="186">
                  <c:v>-32932.229499103341</c:v>
                </c:pt>
                <c:pt idx="187">
                  <c:v>-39054.906615650769</c:v>
                </c:pt>
                <c:pt idx="188">
                  <c:v>-39136.926615650758</c:v>
                </c:pt>
                <c:pt idx="189">
                  <c:v>-39859.296615650761</c:v>
                </c:pt>
                <c:pt idx="190">
                  <c:v>-50464.276615650771</c:v>
                </c:pt>
                <c:pt idx="191">
                  <c:v>-49903.196615650755</c:v>
                </c:pt>
                <c:pt idx="192">
                  <c:v>-81783.068390249653</c:v>
                </c:pt>
                <c:pt idx="193">
                  <c:v>-96926.16839024963</c:v>
                </c:pt>
                <c:pt idx="194">
                  <c:v>-110405.61851994296</c:v>
                </c:pt>
                <c:pt idx="195">
                  <c:v>-39531.1785199429</c:v>
                </c:pt>
                <c:pt idx="196">
                  <c:v>-49520.128519942911</c:v>
                </c:pt>
                <c:pt idx="197">
                  <c:v>-30553.338519942874</c:v>
                </c:pt>
                <c:pt idx="198">
                  <c:v>-38041.738519942781</c:v>
                </c:pt>
                <c:pt idx="199">
                  <c:v>-48064.838519942758</c:v>
                </c:pt>
                <c:pt idx="200">
                  <c:v>-52081.258519942756</c:v>
                </c:pt>
                <c:pt idx="201">
                  <c:v>19333.771480057156</c:v>
                </c:pt>
                <c:pt idx="202">
                  <c:v>101701.59233307003</c:v>
                </c:pt>
                <c:pt idx="203">
                  <c:v>106063.81233307003</c:v>
                </c:pt>
                <c:pt idx="204">
                  <c:v>121155.91233307001</c:v>
                </c:pt>
                <c:pt idx="205">
                  <c:v>111183.47233307007</c:v>
                </c:pt>
                <c:pt idx="206">
                  <c:v>105368.47233307007</c:v>
                </c:pt>
                <c:pt idx="207">
                  <c:v>95257.172333070077</c:v>
                </c:pt>
                <c:pt idx="208">
                  <c:v>85005.652333070058</c:v>
                </c:pt>
                <c:pt idx="209">
                  <c:v>109123.15233307006</c:v>
                </c:pt>
                <c:pt idx="210">
                  <c:v>94077.152333070058</c:v>
                </c:pt>
                <c:pt idx="211">
                  <c:v>79771.0723330701</c:v>
                </c:pt>
                <c:pt idx="212">
                  <c:v>71449.552333070082</c:v>
                </c:pt>
                <c:pt idx="213">
                  <c:v>54986.592333070119</c:v>
                </c:pt>
                <c:pt idx="214">
                  <c:v>41212.592333070119</c:v>
                </c:pt>
                <c:pt idx="215">
                  <c:v>48106.842333070119</c:v>
                </c:pt>
                <c:pt idx="216">
                  <c:v>33244.662333070119</c:v>
                </c:pt>
                <c:pt idx="217">
                  <c:v>37237.332333070117</c:v>
                </c:pt>
                <c:pt idx="218">
                  <c:v>61707.73233307014</c:v>
                </c:pt>
                <c:pt idx="219">
                  <c:v>55432.73233307014</c:v>
                </c:pt>
                <c:pt idx="220">
                  <c:v>58457.812333070142</c:v>
                </c:pt>
                <c:pt idx="221">
                  <c:v>43206.212333070165</c:v>
                </c:pt>
                <c:pt idx="222">
                  <c:v>36074.762333070154</c:v>
                </c:pt>
                <c:pt idx="223">
                  <c:v>29977.96233307034</c:v>
                </c:pt>
                <c:pt idx="224">
                  <c:v>20942.142333070333</c:v>
                </c:pt>
                <c:pt idx="225">
                  <c:v>11606.642333070333</c:v>
                </c:pt>
                <c:pt idx="226">
                  <c:v>12131.182333070341</c:v>
                </c:pt>
                <c:pt idx="227">
                  <c:v>2202.3923330703619</c:v>
                </c:pt>
                <c:pt idx="228">
                  <c:v>11542.392333070362</c:v>
                </c:pt>
                <c:pt idx="229">
                  <c:v>11477.70233307036</c:v>
                </c:pt>
                <c:pt idx="230">
                  <c:v>12630.20233307036</c:v>
                </c:pt>
                <c:pt idx="231">
                  <c:v>14282.19233307035</c:v>
                </c:pt>
                <c:pt idx="232">
                  <c:v>9799.4823330703293</c:v>
                </c:pt>
                <c:pt idx="233">
                  <c:v>9376.0823330703352</c:v>
                </c:pt>
                <c:pt idx="234">
                  <c:v>10476.902333070342</c:v>
                </c:pt>
                <c:pt idx="235">
                  <c:v>4511.5923330703445</c:v>
                </c:pt>
                <c:pt idx="236">
                  <c:v>4256.4123330703515</c:v>
                </c:pt>
                <c:pt idx="237">
                  <c:v>-1776.9876669296573</c:v>
                </c:pt>
                <c:pt idx="238">
                  <c:v>6626.4623330703398</c:v>
                </c:pt>
                <c:pt idx="239">
                  <c:v>1488.182333070341</c:v>
                </c:pt>
                <c:pt idx="240">
                  <c:v>-1141.747666929652</c:v>
                </c:pt>
                <c:pt idx="241">
                  <c:v>-2115.9076669295682</c:v>
                </c:pt>
                <c:pt idx="242">
                  <c:v>34251.995458070174</c:v>
                </c:pt>
                <c:pt idx="243">
                  <c:v>31505.19545807036</c:v>
                </c:pt>
                <c:pt idx="244">
                  <c:v>25816.44545807036</c:v>
                </c:pt>
                <c:pt idx="245">
                  <c:v>29111.44545807036</c:v>
                </c:pt>
                <c:pt idx="246">
                  <c:v>30492.345458070384</c:v>
                </c:pt>
                <c:pt idx="247">
                  <c:v>31221.95545807037</c:v>
                </c:pt>
                <c:pt idx="248">
                  <c:v>114377.95545807037</c:v>
                </c:pt>
                <c:pt idx="249">
                  <c:v>113825.23545807037</c:v>
                </c:pt>
                <c:pt idx="250">
                  <c:v>105474.61545807037</c:v>
                </c:pt>
                <c:pt idx="251">
                  <c:v>96429.783914070314</c:v>
                </c:pt>
                <c:pt idx="252">
                  <c:v>102987.25391407032</c:v>
                </c:pt>
                <c:pt idx="253">
                  <c:v>118814.0039140703</c:v>
                </c:pt>
                <c:pt idx="254">
                  <c:v>142316.53777164995</c:v>
                </c:pt>
                <c:pt idx="255">
                  <c:v>134999.47777164995</c:v>
                </c:pt>
                <c:pt idx="256">
                  <c:v>131524.22777164995</c:v>
                </c:pt>
                <c:pt idx="257">
                  <c:v>156914.44777165004</c:v>
                </c:pt>
                <c:pt idx="258">
                  <c:v>158889.44777165004</c:v>
                </c:pt>
                <c:pt idx="259">
                  <c:v>150416.42777165008</c:v>
                </c:pt>
                <c:pt idx="260">
                  <c:v>145013.61277165008</c:v>
                </c:pt>
                <c:pt idx="261">
                  <c:v>144925.61277165008</c:v>
                </c:pt>
                <c:pt idx="262">
                  <c:v>133818.50941594533</c:v>
                </c:pt>
                <c:pt idx="263">
                  <c:v>124684.7294159453</c:v>
                </c:pt>
                <c:pt idx="264">
                  <c:v>116399.16505352927</c:v>
                </c:pt>
                <c:pt idx="265">
                  <c:v>107224.32505352925</c:v>
                </c:pt>
                <c:pt idx="266">
                  <c:v>118294.53505352925</c:v>
                </c:pt>
                <c:pt idx="267">
                  <c:v>138050.01505352926</c:v>
                </c:pt>
                <c:pt idx="268">
                  <c:v>138886.18505352928</c:v>
                </c:pt>
                <c:pt idx="269">
                  <c:v>141054.06505352928</c:v>
                </c:pt>
                <c:pt idx="270">
                  <c:v>147672.48505352929</c:v>
                </c:pt>
                <c:pt idx="271">
                  <c:v>194474.04505352935</c:v>
                </c:pt>
                <c:pt idx="272">
                  <c:v>218214.12505352942</c:v>
                </c:pt>
                <c:pt idx="273">
                  <c:v>224680.44505352943</c:v>
                </c:pt>
                <c:pt idx="274">
                  <c:v>209054.44505352943</c:v>
                </c:pt>
                <c:pt idx="275">
                  <c:v>207032.44505352943</c:v>
                </c:pt>
                <c:pt idx="276">
                  <c:v>191981.58505352944</c:v>
                </c:pt>
                <c:pt idx="277">
                  <c:v>205506.40505352945</c:v>
                </c:pt>
                <c:pt idx="278">
                  <c:v>199311.40505352945</c:v>
                </c:pt>
                <c:pt idx="279">
                  <c:v>202622.80505352945</c:v>
                </c:pt>
                <c:pt idx="280">
                  <c:v>211902.55505352945</c:v>
                </c:pt>
                <c:pt idx="281">
                  <c:v>225229.05505352945</c:v>
                </c:pt>
                <c:pt idx="282">
                  <c:v>215566.10505352943</c:v>
                </c:pt>
                <c:pt idx="283">
                  <c:v>224481.41505352943</c:v>
                </c:pt>
                <c:pt idx="284">
                  <c:v>245870.57505352941</c:v>
                </c:pt>
                <c:pt idx="285">
                  <c:v>243678.21505352942</c:v>
                </c:pt>
                <c:pt idx="286">
                  <c:v>281047.7550535294</c:v>
                </c:pt>
                <c:pt idx="287">
                  <c:v>269616.35505352938</c:v>
                </c:pt>
                <c:pt idx="288">
                  <c:v>260882.35505352938</c:v>
                </c:pt>
                <c:pt idx="289">
                  <c:v>251908.65505352936</c:v>
                </c:pt>
                <c:pt idx="290">
                  <c:v>251319.68505352936</c:v>
                </c:pt>
                <c:pt idx="291">
                  <c:v>254019.68505352936</c:v>
                </c:pt>
                <c:pt idx="292">
                  <c:v>258690.80703833731</c:v>
                </c:pt>
                <c:pt idx="293">
                  <c:v>263872.36703833728</c:v>
                </c:pt>
                <c:pt idx="294">
                  <c:v>270382.36703833728</c:v>
                </c:pt>
                <c:pt idx="295">
                  <c:v>261955.72703833738</c:v>
                </c:pt>
                <c:pt idx="296">
                  <c:v>262100.06703833738</c:v>
                </c:pt>
                <c:pt idx="297">
                  <c:v>264583.16703833739</c:v>
                </c:pt>
                <c:pt idx="298">
                  <c:v>256973.6870383374</c:v>
                </c:pt>
                <c:pt idx="299">
                  <c:v>256195.6870383374</c:v>
                </c:pt>
                <c:pt idx="300">
                  <c:v>261976.8670383374</c:v>
                </c:pt>
                <c:pt idx="301">
                  <c:v>259813.8670383374</c:v>
                </c:pt>
                <c:pt idx="302">
                  <c:v>335124.2670383373</c:v>
                </c:pt>
                <c:pt idx="303">
                  <c:v>339845.2670383373</c:v>
                </c:pt>
                <c:pt idx="304">
                  <c:v>336346.8870383373</c:v>
                </c:pt>
                <c:pt idx="305">
                  <c:v>323262.8870383373</c:v>
                </c:pt>
                <c:pt idx="306">
                  <c:v>327272.8870383373</c:v>
                </c:pt>
                <c:pt idx="307">
                  <c:v>354210.8870383373</c:v>
                </c:pt>
                <c:pt idx="308">
                  <c:v>344742.8870383373</c:v>
                </c:pt>
                <c:pt idx="309">
                  <c:v>360468.75703833729</c:v>
                </c:pt>
                <c:pt idx="310">
                  <c:v>353881.67703833734</c:v>
                </c:pt>
                <c:pt idx="311">
                  <c:v>348944.82703833736</c:v>
                </c:pt>
                <c:pt idx="312">
                  <c:v>346856.82703833736</c:v>
                </c:pt>
                <c:pt idx="313">
                  <c:v>371299.82703833736</c:v>
                </c:pt>
                <c:pt idx="314">
                  <c:v>371406.97703833738</c:v>
                </c:pt>
                <c:pt idx="315">
                  <c:v>361272.97703833738</c:v>
                </c:pt>
                <c:pt idx="316">
                  <c:v>352998.97703833738</c:v>
                </c:pt>
                <c:pt idx="317">
                  <c:v>353944.34703833738</c:v>
                </c:pt>
                <c:pt idx="318">
                  <c:v>341417.75703833741</c:v>
                </c:pt>
                <c:pt idx="319">
                  <c:v>381874.69256349676</c:v>
                </c:pt>
                <c:pt idx="320">
                  <c:v>372560.17256349674</c:v>
                </c:pt>
                <c:pt idx="321">
                  <c:v>376924.11256349675</c:v>
                </c:pt>
                <c:pt idx="322">
                  <c:v>374013.61256349675</c:v>
                </c:pt>
                <c:pt idx="323">
                  <c:v>408279.66256349673</c:v>
                </c:pt>
                <c:pt idx="324">
                  <c:v>415542.56256349676</c:v>
                </c:pt>
                <c:pt idx="325">
                  <c:v>410913.87256349676</c:v>
                </c:pt>
                <c:pt idx="326">
                  <c:v>408341.6725634968</c:v>
                </c:pt>
                <c:pt idx="327">
                  <c:v>405957.5425634968</c:v>
                </c:pt>
                <c:pt idx="328">
                  <c:v>399521.76256349677</c:v>
                </c:pt>
                <c:pt idx="329">
                  <c:v>423603.16256349673</c:v>
                </c:pt>
                <c:pt idx="330">
                  <c:v>423725.30256349675</c:v>
                </c:pt>
                <c:pt idx="331">
                  <c:v>445061.55256349675</c:v>
                </c:pt>
                <c:pt idx="332">
                  <c:v>451669.34256349673</c:v>
                </c:pt>
                <c:pt idx="333">
                  <c:v>452231.38256349671</c:v>
                </c:pt>
                <c:pt idx="334">
                  <c:v>454291.38256349671</c:v>
                </c:pt>
                <c:pt idx="335">
                  <c:v>471274.9825634968</c:v>
                </c:pt>
                <c:pt idx="336">
                  <c:v>469769.59256349679</c:v>
                </c:pt>
                <c:pt idx="337">
                  <c:v>469484.09256349679</c:v>
                </c:pt>
                <c:pt idx="338">
                  <c:v>461884.27256349678</c:v>
                </c:pt>
                <c:pt idx="339">
                  <c:v>454647.13256349677</c:v>
                </c:pt>
                <c:pt idx="340">
                  <c:v>456013.51256349677</c:v>
                </c:pt>
                <c:pt idx="341">
                  <c:v>453502.11256349675</c:v>
                </c:pt>
                <c:pt idx="342">
                  <c:v>446049.72256349679</c:v>
                </c:pt>
                <c:pt idx="343">
                  <c:v>438180.63256349677</c:v>
                </c:pt>
                <c:pt idx="344">
                  <c:v>431563.75256349676</c:v>
                </c:pt>
                <c:pt idx="345">
                  <c:v>436684.79256349674</c:v>
                </c:pt>
                <c:pt idx="346">
                  <c:v>434076.79256349674</c:v>
                </c:pt>
                <c:pt idx="347">
                  <c:v>450034.63256349671</c:v>
                </c:pt>
                <c:pt idx="348">
                  <c:v>470872.89256349672</c:v>
                </c:pt>
                <c:pt idx="349">
                  <c:v>520834.39256349672</c:v>
                </c:pt>
                <c:pt idx="350">
                  <c:v>520717.5025634967</c:v>
                </c:pt>
                <c:pt idx="351">
                  <c:v>512891.80256349669</c:v>
                </c:pt>
                <c:pt idx="352">
                  <c:v>514568.5025634967</c:v>
                </c:pt>
                <c:pt idx="353">
                  <c:v>518136.97256349667</c:v>
                </c:pt>
                <c:pt idx="354">
                  <c:v>518129.65256349667</c:v>
                </c:pt>
                <c:pt idx="355">
                  <c:v>515650.65256349667</c:v>
                </c:pt>
                <c:pt idx="356">
                  <c:v>505498.65256349667</c:v>
                </c:pt>
                <c:pt idx="357">
                  <c:v>497233.49256349669</c:v>
                </c:pt>
                <c:pt idx="358">
                  <c:v>494422.39256349666</c:v>
                </c:pt>
                <c:pt idx="359">
                  <c:v>487007.39256349666</c:v>
                </c:pt>
                <c:pt idx="360">
                  <c:v>469623.87256349664</c:v>
                </c:pt>
                <c:pt idx="361">
                  <c:v>467763.30256349663</c:v>
                </c:pt>
                <c:pt idx="362">
                  <c:v>466183.99256349663</c:v>
                </c:pt>
                <c:pt idx="363">
                  <c:v>465898.70256349666</c:v>
                </c:pt>
                <c:pt idx="364">
                  <c:v>466763.01256349671</c:v>
                </c:pt>
                <c:pt idx="365">
                  <c:v>485511.68256349675</c:v>
                </c:pt>
                <c:pt idx="366">
                  <c:v>481895.93256349675</c:v>
                </c:pt>
                <c:pt idx="367">
                  <c:v>481062.84256349679</c:v>
                </c:pt>
                <c:pt idx="368">
                  <c:v>474409.24256349681</c:v>
                </c:pt>
                <c:pt idx="369">
                  <c:v>472445.04256349662</c:v>
                </c:pt>
                <c:pt idx="370">
                  <c:v>486651.75256349659</c:v>
                </c:pt>
                <c:pt idx="371">
                  <c:v>481325.69256349659</c:v>
                </c:pt>
                <c:pt idx="372">
                  <c:v>476303.28256349661</c:v>
                </c:pt>
                <c:pt idx="373">
                  <c:v>456294.35256349662</c:v>
                </c:pt>
                <c:pt idx="374">
                  <c:v>446861.29256349662</c:v>
                </c:pt>
                <c:pt idx="375">
                  <c:v>448977.19256349665</c:v>
                </c:pt>
                <c:pt idx="376">
                  <c:v>438816.19256349665</c:v>
                </c:pt>
                <c:pt idx="377">
                  <c:v>431212.53256349661</c:v>
                </c:pt>
                <c:pt idx="378">
                  <c:v>424849.5825634966</c:v>
                </c:pt>
                <c:pt idx="379">
                  <c:v>404840.65256349661</c:v>
                </c:pt>
                <c:pt idx="380">
                  <c:v>395056.83256349666</c:v>
                </c:pt>
                <c:pt idx="381">
                  <c:v>400556.96256349667</c:v>
                </c:pt>
                <c:pt idx="382">
                  <c:v>406291.32256349665</c:v>
                </c:pt>
                <c:pt idx="383">
                  <c:v>416468.54256349662</c:v>
                </c:pt>
                <c:pt idx="384">
                  <c:v>410441.70256349666</c:v>
                </c:pt>
                <c:pt idx="385">
                  <c:v>404751.36256349669</c:v>
                </c:pt>
                <c:pt idx="386">
                  <c:v>421967.1225634967</c:v>
                </c:pt>
                <c:pt idx="387">
                  <c:v>436540.47256349667</c:v>
                </c:pt>
                <c:pt idx="388">
                  <c:v>449278.5625634967</c:v>
                </c:pt>
                <c:pt idx="389">
                  <c:v>443958.71256349672</c:v>
                </c:pt>
                <c:pt idx="390">
                  <c:v>456502.1825634967</c:v>
                </c:pt>
                <c:pt idx="391">
                  <c:v>458124.1825634967</c:v>
                </c:pt>
                <c:pt idx="392">
                  <c:v>444108.78256349667</c:v>
                </c:pt>
                <c:pt idx="393">
                  <c:v>431013.53256349667</c:v>
                </c:pt>
                <c:pt idx="394">
                  <c:v>440925.65256349667</c:v>
                </c:pt>
                <c:pt idx="395">
                  <c:v>430517.85256349668</c:v>
                </c:pt>
                <c:pt idx="396">
                  <c:v>421452.72256349667</c:v>
                </c:pt>
                <c:pt idx="397">
                  <c:v>415176.46256349667</c:v>
                </c:pt>
                <c:pt idx="398">
                  <c:v>410547.71256349667</c:v>
                </c:pt>
                <c:pt idx="399">
                  <c:v>410744.02256349666</c:v>
                </c:pt>
                <c:pt idx="400">
                  <c:v>420485.70256349666</c:v>
                </c:pt>
                <c:pt idx="401">
                  <c:v>383958.70256349666</c:v>
                </c:pt>
                <c:pt idx="402">
                  <c:v>378634.48256349668</c:v>
                </c:pt>
                <c:pt idx="403">
                  <c:v>389439.1825634967</c:v>
                </c:pt>
                <c:pt idx="404">
                  <c:v>390426.1825634967</c:v>
                </c:pt>
                <c:pt idx="405">
                  <c:v>373276.1825634967</c:v>
                </c:pt>
                <c:pt idx="406">
                  <c:v>362320.1825634967</c:v>
                </c:pt>
                <c:pt idx="407">
                  <c:v>356138.1825634967</c:v>
                </c:pt>
                <c:pt idx="408">
                  <c:v>362153.86256349669</c:v>
                </c:pt>
                <c:pt idx="409">
                  <c:v>382755.24256349669</c:v>
                </c:pt>
                <c:pt idx="410">
                  <c:v>373547.77256349666</c:v>
                </c:pt>
                <c:pt idx="411">
                  <c:v>367673.68256349664</c:v>
                </c:pt>
                <c:pt idx="412">
                  <c:v>421161.3925634966</c:v>
                </c:pt>
                <c:pt idx="413">
                  <c:v>406267.5825634966</c:v>
                </c:pt>
                <c:pt idx="414">
                  <c:v>396211.7025634966</c:v>
                </c:pt>
                <c:pt idx="415">
                  <c:v>367004.30256349669</c:v>
                </c:pt>
                <c:pt idx="416">
                  <c:v>359113.99256349669</c:v>
                </c:pt>
                <c:pt idx="417">
                  <c:v>342070.99256349669</c:v>
                </c:pt>
                <c:pt idx="418">
                  <c:v>337885.99256349669</c:v>
                </c:pt>
                <c:pt idx="419">
                  <c:v>351873.03256349673</c:v>
                </c:pt>
                <c:pt idx="420">
                  <c:v>345263.34256349673</c:v>
                </c:pt>
                <c:pt idx="421">
                  <c:v>343259.33256349672</c:v>
                </c:pt>
                <c:pt idx="422">
                  <c:v>342916.37256349676</c:v>
                </c:pt>
                <c:pt idx="423">
                  <c:v>353832.91256349673</c:v>
                </c:pt>
                <c:pt idx="424">
                  <c:v>363138.49256349675</c:v>
                </c:pt>
                <c:pt idx="425">
                  <c:v>348065.31256349676</c:v>
                </c:pt>
                <c:pt idx="426">
                  <c:v>334427.31256349676</c:v>
                </c:pt>
                <c:pt idx="427">
                  <c:v>322832.31256349676</c:v>
                </c:pt>
                <c:pt idx="428">
                  <c:v>383059.79256349674</c:v>
                </c:pt>
                <c:pt idx="429">
                  <c:v>410974.8725634967</c:v>
                </c:pt>
                <c:pt idx="430">
                  <c:v>408423.16256349668</c:v>
                </c:pt>
                <c:pt idx="431">
                  <c:v>410571.35256349668</c:v>
                </c:pt>
                <c:pt idx="432">
                  <c:v>413912.84256349667</c:v>
                </c:pt>
                <c:pt idx="433">
                  <c:v>415265.40256349667</c:v>
                </c:pt>
                <c:pt idx="434">
                  <c:v>417209.96256349667</c:v>
                </c:pt>
                <c:pt idx="435">
                  <c:v>420215.96256349667</c:v>
                </c:pt>
                <c:pt idx="436">
                  <c:v>414006.96256349667</c:v>
                </c:pt>
                <c:pt idx="437">
                  <c:v>402652.21256349667</c:v>
                </c:pt>
                <c:pt idx="438">
                  <c:v>422198.13256349659</c:v>
                </c:pt>
                <c:pt idx="439">
                  <c:v>420127.68256349658</c:v>
                </c:pt>
                <c:pt idx="440">
                  <c:v>410209.59256349655</c:v>
                </c:pt>
                <c:pt idx="441">
                  <c:v>409599.59256349655</c:v>
                </c:pt>
                <c:pt idx="442">
                  <c:v>443602.07256349659</c:v>
                </c:pt>
                <c:pt idx="443">
                  <c:v>434547.07256349659</c:v>
                </c:pt>
                <c:pt idx="444">
                  <c:v>428572.25256349659</c:v>
                </c:pt>
                <c:pt idx="445">
                  <c:v>428565.25256349659</c:v>
                </c:pt>
                <c:pt idx="446">
                  <c:v>429613.24256349658</c:v>
                </c:pt>
                <c:pt idx="447">
                  <c:v>425674.05256349657</c:v>
                </c:pt>
                <c:pt idx="448">
                  <c:v>424502.36256349657</c:v>
                </c:pt>
                <c:pt idx="449">
                  <c:v>427878.66256349656</c:v>
                </c:pt>
                <c:pt idx="450">
                  <c:v>425378.47256349656</c:v>
                </c:pt>
                <c:pt idx="451">
                  <c:v>415190.90256349655</c:v>
                </c:pt>
                <c:pt idx="452">
                  <c:v>405636.02256349655</c:v>
                </c:pt>
                <c:pt idx="453">
                  <c:v>407433.59256349655</c:v>
                </c:pt>
                <c:pt idx="454">
                  <c:v>392744.21256349655</c:v>
                </c:pt>
                <c:pt idx="455">
                  <c:v>387681.21256349655</c:v>
                </c:pt>
                <c:pt idx="456">
                  <c:v>382618.21256349655</c:v>
                </c:pt>
                <c:pt idx="457">
                  <c:v>374904.81825814006</c:v>
                </c:pt>
                <c:pt idx="458">
                  <c:v>364110.64825814008</c:v>
                </c:pt>
                <c:pt idx="459">
                  <c:v>354564.95825814008</c:v>
                </c:pt>
                <c:pt idx="460">
                  <c:v>348462.95825814008</c:v>
                </c:pt>
                <c:pt idx="461">
                  <c:v>350731.47825814009</c:v>
                </c:pt>
                <c:pt idx="462">
                  <c:v>340321.07745814009</c:v>
                </c:pt>
                <c:pt idx="463">
                  <c:v>358954.50745814008</c:v>
                </c:pt>
                <c:pt idx="464">
                  <c:v>357515.50745814008</c:v>
                </c:pt>
                <c:pt idx="465">
                  <c:v>362630.50745814008</c:v>
                </c:pt>
                <c:pt idx="466">
                  <c:v>360503.50745814008</c:v>
                </c:pt>
                <c:pt idx="467">
                  <c:v>355694.65745814005</c:v>
                </c:pt>
                <c:pt idx="468">
                  <c:v>360740.65745814005</c:v>
                </c:pt>
                <c:pt idx="469">
                  <c:v>352377.61745814007</c:v>
                </c:pt>
                <c:pt idx="470">
                  <c:v>353062.35745814006</c:v>
                </c:pt>
                <c:pt idx="471">
                  <c:v>412711.82745814003</c:v>
                </c:pt>
                <c:pt idx="472">
                  <c:v>412527.48745814001</c:v>
                </c:pt>
                <c:pt idx="473">
                  <c:v>410931.98745814001</c:v>
                </c:pt>
                <c:pt idx="474">
                  <c:v>409289.43745814002</c:v>
                </c:pt>
                <c:pt idx="475">
                  <c:v>411869.43745814002</c:v>
                </c:pt>
                <c:pt idx="476">
                  <c:v>404854.63745814003</c:v>
                </c:pt>
                <c:pt idx="477">
                  <c:v>396054.63745814003</c:v>
                </c:pt>
                <c:pt idx="478">
                  <c:v>394134.74745814002</c:v>
                </c:pt>
                <c:pt idx="479">
                  <c:v>391024.34745813999</c:v>
                </c:pt>
                <c:pt idx="480">
                  <c:v>388238.91745814</c:v>
                </c:pt>
                <c:pt idx="481">
                  <c:v>390507.56745813997</c:v>
                </c:pt>
                <c:pt idx="482">
                  <c:v>385928.71745813999</c:v>
                </c:pt>
                <c:pt idx="483">
                  <c:v>373618.41745814</c:v>
                </c:pt>
                <c:pt idx="484">
                  <c:v>365911.54745814</c:v>
                </c:pt>
                <c:pt idx="485">
                  <c:v>359429.20745813998</c:v>
                </c:pt>
                <c:pt idx="486">
                  <c:v>349461.50745813997</c:v>
                </c:pt>
                <c:pt idx="487">
                  <c:v>350694.47745814</c:v>
                </c:pt>
                <c:pt idx="488">
                  <c:v>345490.57745813997</c:v>
                </c:pt>
                <c:pt idx="489">
                  <c:v>338031.03745814</c:v>
                </c:pt>
                <c:pt idx="490">
                  <c:v>330128.14745813998</c:v>
                </c:pt>
                <c:pt idx="491">
                  <c:v>324437.08745813998</c:v>
                </c:pt>
                <c:pt idx="492">
                  <c:v>318117.51745813998</c:v>
                </c:pt>
                <c:pt idx="493">
                  <c:v>300407.35845813999</c:v>
                </c:pt>
                <c:pt idx="494">
                  <c:v>287064.89845813997</c:v>
                </c:pt>
                <c:pt idx="495">
                  <c:v>285744.89845813997</c:v>
                </c:pt>
                <c:pt idx="496">
                  <c:v>322758.89845813997</c:v>
                </c:pt>
                <c:pt idx="497">
                  <c:v>327047.89845813997</c:v>
                </c:pt>
                <c:pt idx="498">
                  <c:v>338776.47845814005</c:v>
                </c:pt>
                <c:pt idx="499">
                  <c:v>337221.47845814005</c:v>
                </c:pt>
                <c:pt idx="500">
                  <c:v>333194.97845814005</c:v>
                </c:pt>
                <c:pt idx="501">
                  <c:v>331639.97845814005</c:v>
                </c:pt>
                <c:pt idx="502">
                  <c:v>328770.09845814016</c:v>
                </c:pt>
                <c:pt idx="503">
                  <c:v>327384.13845814014</c:v>
                </c:pt>
                <c:pt idx="504">
                  <c:v>335943.41845814011</c:v>
                </c:pt>
                <c:pt idx="505">
                  <c:v>325321.96845814009</c:v>
                </c:pt>
                <c:pt idx="506">
                  <c:v>324337.45845814008</c:v>
                </c:pt>
                <c:pt idx="507">
                  <c:v>319409.02845814009</c:v>
                </c:pt>
                <c:pt idx="508">
                  <c:v>289429.02845814009</c:v>
                </c:pt>
                <c:pt idx="509">
                  <c:v>269439.02845814009</c:v>
                </c:pt>
                <c:pt idx="510">
                  <c:v>272278.97845814005</c:v>
                </c:pt>
                <c:pt idx="511">
                  <c:v>263679.35845814005</c:v>
                </c:pt>
                <c:pt idx="512">
                  <c:v>278999.80845814006</c:v>
                </c:pt>
                <c:pt idx="513">
                  <c:v>280466.24845814006</c:v>
                </c:pt>
                <c:pt idx="514">
                  <c:v>276619.36845814006</c:v>
                </c:pt>
                <c:pt idx="515">
                  <c:v>268794.36845814006</c:v>
                </c:pt>
                <c:pt idx="516">
                  <c:v>262788.42845814006</c:v>
                </c:pt>
                <c:pt idx="517">
                  <c:v>260825.05845814006</c:v>
                </c:pt>
                <c:pt idx="518">
                  <c:v>254833.47845814005</c:v>
                </c:pt>
                <c:pt idx="519">
                  <c:v>250557.49845814003</c:v>
                </c:pt>
                <c:pt idx="520">
                  <c:v>246148.49845814003</c:v>
                </c:pt>
                <c:pt idx="521">
                  <c:v>242151.49845814003</c:v>
                </c:pt>
                <c:pt idx="522">
                  <c:v>294609.79845814011</c:v>
                </c:pt>
                <c:pt idx="523">
                  <c:v>337316.0984581401</c:v>
                </c:pt>
                <c:pt idx="524">
                  <c:v>333269.41845814011</c:v>
                </c:pt>
                <c:pt idx="525">
                  <c:v>323531.52845814009</c:v>
                </c:pt>
                <c:pt idx="526">
                  <c:v>318111.52845814009</c:v>
                </c:pt>
                <c:pt idx="527">
                  <c:v>310470.1584581401</c:v>
                </c:pt>
                <c:pt idx="528">
                  <c:v>347765.80845814012</c:v>
                </c:pt>
                <c:pt idx="529">
                  <c:v>344649.05845814012</c:v>
                </c:pt>
                <c:pt idx="530">
                  <c:v>339969.05845814012</c:v>
                </c:pt>
                <c:pt idx="531">
                  <c:v>346811.45845814014</c:v>
                </c:pt>
                <c:pt idx="532">
                  <c:v>341668.67845814012</c:v>
                </c:pt>
                <c:pt idx="533">
                  <c:v>335544.67845814012</c:v>
                </c:pt>
                <c:pt idx="534">
                  <c:v>328034.67845814012</c:v>
                </c:pt>
                <c:pt idx="535">
                  <c:v>328742.06845814013</c:v>
                </c:pt>
                <c:pt idx="536">
                  <c:v>330493.66845814011</c:v>
                </c:pt>
                <c:pt idx="537">
                  <c:v>324138.27845814009</c:v>
                </c:pt>
                <c:pt idx="538">
                  <c:v>317612.33845814009</c:v>
                </c:pt>
                <c:pt idx="539">
                  <c:v>308814.23845814005</c:v>
                </c:pt>
                <c:pt idx="540">
                  <c:v>333618.92845814006</c:v>
                </c:pt>
                <c:pt idx="541">
                  <c:v>308594.46845814009</c:v>
                </c:pt>
                <c:pt idx="542">
                  <c:v>305238.10845814011</c:v>
                </c:pt>
                <c:pt idx="543">
                  <c:v>301261.10845814011</c:v>
                </c:pt>
                <c:pt idx="544">
                  <c:v>296538.37845814013</c:v>
                </c:pt>
                <c:pt idx="545">
                  <c:v>301843.45845814014</c:v>
                </c:pt>
                <c:pt idx="546">
                  <c:v>297725.45845814014</c:v>
                </c:pt>
                <c:pt idx="547">
                  <c:v>291896.42845814012</c:v>
                </c:pt>
                <c:pt idx="548">
                  <c:v>287749.7284581401</c:v>
                </c:pt>
                <c:pt idx="549">
                  <c:v>270268.68845814012</c:v>
                </c:pt>
                <c:pt idx="550">
                  <c:v>270235.68845814012</c:v>
                </c:pt>
                <c:pt idx="551">
                  <c:v>282382.38845814014</c:v>
                </c:pt>
                <c:pt idx="552">
                  <c:v>279133.56845814013</c:v>
                </c:pt>
                <c:pt idx="553">
                  <c:v>290494.77845814015</c:v>
                </c:pt>
                <c:pt idx="554">
                  <c:v>285768.77845814015</c:v>
                </c:pt>
                <c:pt idx="555">
                  <c:v>285613.77845814015</c:v>
                </c:pt>
                <c:pt idx="556">
                  <c:v>277119.57845814014</c:v>
                </c:pt>
                <c:pt idx="557">
                  <c:v>286705.70845814014</c:v>
                </c:pt>
                <c:pt idx="558">
                  <c:v>281399.60845814017</c:v>
                </c:pt>
                <c:pt idx="559">
                  <c:v>283510.60845814017</c:v>
                </c:pt>
                <c:pt idx="560">
                  <c:v>298518.20845814014</c:v>
                </c:pt>
                <c:pt idx="561">
                  <c:v>296521.20845814014</c:v>
                </c:pt>
                <c:pt idx="562">
                  <c:v>291552.45845814014</c:v>
                </c:pt>
                <c:pt idx="563">
                  <c:v>323670.99845814012</c:v>
                </c:pt>
                <c:pt idx="564">
                  <c:v>316360.99845814012</c:v>
                </c:pt>
                <c:pt idx="565">
                  <c:v>302330.99845814012</c:v>
                </c:pt>
                <c:pt idx="566">
                  <c:v>291403.54845814011</c:v>
                </c:pt>
                <c:pt idx="567">
                  <c:v>271280.54845814011</c:v>
                </c:pt>
                <c:pt idx="568">
                  <c:v>308972.01845814008</c:v>
                </c:pt>
                <c:pt idx="569">
                  <c:v>309062.01845814008</c:v>
                </c:pt>
                <c:pt idx="570">
                  <c:v>303964.79845814011</c:v>
                </c:pt>
                <c:pt idx="571">
                  <c:v>316396.98845814011</c:v>
                </c:pt>
                <c:pt idx="572">
                  <c:v>311247.56845814013</c:v>
                </c:pt>
                <c:pt idx="573">
                  <c:v>305923.4084581401</c:v>
                </c:pt>
                <c:pt idx="574">
                  <c:v>298696.68845814012</c:v>
                </c:pt>
                <c:pt idx="575">
                  <c:v>287996.94845814013</c:v>
                </c:pt>
                <c:pt idx="576">
                  <c:v>283199.94845814013</c:v>
                </c:pt>
                <c:pt idx="577">
                  <c:v>277007.39845814015</c:v>
                </c:pt>
                <c:pt idx="578">
                  <c:v>294477.69845814013</c:v>
                </c:pt>
                <c:pt idx="579">
                  <c:v>286830.99845814012</c:v>
                </c:pt>
                <c:pt idx="580">
                  <c:v>282892.4784581401</c:v>
                </c:pt>
                <c:pt idx="581">
                  <c:v>280680.99845814012</c:v>
                </c:pt>
                <c:pt idx="582">
                  <c:v>278889.5984581401</c:v>
                </c:pt>
                <c:pt idx="583">
                  <c:v>281818.55845814012</c:v>
                </c:pt>
                <c:pt idx="584">
                  <c:v>285806.04845814011</c:v>
                </c:pt>
                <c:pt idx="585">
                  <c:v>297143.69845814013</c:v>
                </c:pt>
                <c:pt idx="586">
                  <c:v>289805.62845814013</c:v>
                </c:pt>
                <c:pt idx="587">
                  <c:v>284567.85845814011</c:v>
                </c:pt>
                <c:pt idx="588">
                  <c:v>273992.05845814012</c:v>
                </c:pt>
                <c:pt idx="589">
                  <c:v>264438.87845814007</c:v>
                </c:pt>
                <c:pt idx="590">
                  <c:v>254939.13845814008</c:v>
                </c:pt>
                <c:pt idx="591">
                  <c:v>249928.08845814009</c:v>
                </c:pt>
                <c:pt idx="592">
                  <c:v>245223.38845814008</c:v>
                </c:pt>
                <c:pt idx="593">
                  <c:v>236123.38845814008</c:v>
                </c:pt>
                <c:pt idx="594">
                  <c:v>232826.41845814008</c:v>
                </c:pt>
                <c:pt idx="595">
                  <c:v>222855.92845814006</c:v>
                </c:pt>
                <c:pt idx="596">
                  <c:v>228974.13845814005</c:v>
                </c:pt>
                <c:pt idx="597">
                  <c:v>203762.22845814005</c:v>
                </c:pt>
                <c:pt idx="598">
                  <c:v>214926.46845814004</c:v>
                </c:pt>
                <c:pt idx="599">
                  <c:v>230333.27845814003</c:v>
                </c:pt>
                <c:pt idx="600">
                  <c:v>231982.38845814002</c:v>
                </c:pt>
                <c:pt idx="601">
                  <c:v>226702.33845814003</c:v>
                </c:pt>
                <c:pt idx="602">
                  <c:v>223864.44845814002</c:v>
                </c:pt>
                <c:pt idx="603">
                  <c:v>222744.44845814002</c:v>
                </c:pt>
                <c:pt idx="604">
                  <c:v>220167.31845814001</c:v>
                </c:pt>
                <c:pt idx="605">
                  <c:v>219021.07845814002</c:v>
                </c:pt>
                <c:pt idx="606">
                  <c:v>223367.76845814002</c:v>
                </c:pt>
                <c:pt idx="607">
                  <c:v>239443.38845814002</c:v>
                </c:pt>
                <c:pt idx="608">
                  <c:v>239963.38845814002</c:v>
                </c:pt>
                <c:pt idx="609">
                  <c:v>234758.38845814002</c:v>
                </c:pt>
                <c:pt idx="610">
                  <c:v>238022.11845814003</c:v>
                </c:pt>
                <c:pt idx="611">
                  <c:v>235709.61845814003</c:v>
                </c:pt>
                <c:pt idx="612">
                  <c:v>232382.69845814002</c:v>
                </c:pt>
                <c:pt idx="613">
                  <c:v>259783.69845814002</c:v>
                </c:pt>
                <c:pt idx="614">
                  <c:v>257131.48845814003</c:v>
                </c:pt>
                <c:pt idx="615">
                  <c:v>254304.16845814002</c:v>
                </c:pt>
                <c:pt idx="616">
                  <c:v>224021.66845814002</c:v>
                </c:pt>
                <c:pt idx="617">
                  <c:v>193761.66845814002</c:v>
                </c:pt>
                <c:pt idx="618">
                  <c:v>194506.32845814002</c:v>
                </c:pt>
                <c:pt idx="619">
                  <c:v>189682.69845814002</c:v>
                </c:pt>
                <c:pt idx="620">
                  <c:v>184755.37845814001</c:v>
                </c:pt>
                <c:pt idx="621">
                  <c:v>187316.77845814</c:v>
                </c:pt>
                <c:pt idx="622">
                  <c:v>187513.34845814001</c:v>
                </c:pt>
                <c:pt idx="623">
                  <c:v>185716.38845814002</c:v>
                </c:pt>
                <c:pt idx="624">
                  <c:v>186182.86845814003</c:v>
                </c:pt>
                <c:pt idx="625">
                  <c:v>183722.86845814003</c:v>
                </c:pt>
                <c:pt idx="626">
                  <c:v>186760.11845814003</c:v>
                </c:pt>
                <c:pt idx="627">
                  <c:v>187226.59845814004</c:v>
                </c:pt>
                <c:pt idx="628">
                  <c:v>200682.47845814005</c:v>
                </c:pt>
                <c:pt idx="629">
                  <c:v>214143.98845814005</c:v>
                </c:pt>
                <c:pt idx="630">
                  <c:v>215758.98845814005</c:v>
                </c:pt>
                <c:pt idx="631">
                  <c:v>216214.98845814005</c:v>
                </c:pt>
                <c:pt idx="632">
                  <c:v>211715.46326376649</c:v>
                </c:pt>
                <c:pt idx="633">
                  <c:v>206918.89160139399</c:v>
                </c:pt>
                <c:pt idx="634">
                  <c:v>207263.52160139399</c:v>
                </c:pt>
                <c:pt idx="635">
                  <c:v>204956.05160139399</c:v>
                </c:pt>
                <c:pt idx="636">
                  <c:v>209954.961601394</c:v>
                </c:pt>
                <c:pt idx="637">
                  <c:v>212441.38160139401</c:v>
                </c:pt>
                <c:pt idx="638">
                  <c:v>202549.88160139401</c:v>
                </c:pt>
                <c:pt idx="639">
                  <c:v>197336.13160139401</c:v>
                </c:pt>
                <c:pt idx="640">
                  <c:v>177958.85160139401</c:v>
                </c:pt>
                <c:pt idx="641">
                  <c:v>172934.57160139401</c:v>
                </c:pt>
                <c:pt idx="642">
                  <c:v>170924.57160139401</c:v>
                </c:pt>
                <c:pt idx="643">
                  <c:v>170385.61160139402</c:v>
                </c:pt>
                <c:pt idx="644">
                  <c:v>170392.93160139403</c:v>
                </c:pt>
                <c:pt idx="645">
                  <c:v>167831.15160139403</c:v>
                </c:pt>
                <c:pt idx="646">
                  <c:v>171059.18160139403</c:v>
                </c:pt>
                <c:pt idx="647">
                  <c:v>187900.60160139401</c:v>
                </c:pt>
                <c:pt idx="648">
                  <c:v>190723.08160139402</c:v>
                </c:pt>
                <c:pt idx="649">
                  <c:v>184448.34160139403</c:v>
                </c:pt>
                <c:pt idx="650">
                  <c:v>198511.26160139404</c:v>
                </c:pt>
                <c:pt idx="651">
                  <c:v>207738.85160139404</c:v>
                </c:pt>
                <c:pt idx="652">
                  <c:v>202778.13160139404</c:v>
                </c:pt>
                <c:pt idx="653">
                  <c:v>197790.70160139404</c:v>
                </c:pt>
                <c:pt idx="654">
                  <c:v>191254.95160139404</c:v>
                </c:pt>
                <c:pt idx="655">
                  <c:v>199266.71160139405</c:v>
                </c:pt>
                <c:pt idx="656">
                  <c:v>201407.39160139405</c:v>
                </c:pt>
                <c:pt idx="657">
                  <c:v>203436.69160139404</c:v>
                </c:pt>
                <c:pt idx="658">
                  <c:v>212895.25160139403</c:v>
                </c:pt>
                <c:pt idx="659">
                  <c:v>203091.85160139404</c:v>
                </c:pt>
                <c:pt idx="660">
                  <c:v>186711.22581368216</c:v>
                </c:pt>
                <c:pt idx="686">
                  <c:v>0</c:v>
                </c:pt>
                <c:pt idx="687">
                  <c:v>0</c:v>
                </c:pt>
                <c:pt idx="688">
                  <c:v>-1624.26</c:v>
                </c:pt>
                <c:pt idx="689">
                  <c:v>-1624.26</c:v>
                </c:pt>
                <c:pt idx="690">
                  <c:v>2386.3500000000004</c:v>
                </c:pt>
                <c:pt idx="691">
                  <c:v>1061.9500000000007</c:v>
                </c:pt>
                <c:pt idx="692">
                  <c:v>-1373.9699999999993</c:v>
                </c:pt>
                <c:pt idx="693">
                  <c:v>-1373.9699999999993</c:v>
                </c:pt>
                <c:pt idx="694">
                  <c:v>-1373.9699999999993</c:v>
                </c:pt>
                <c:pt idx="695">
                  <c:v>-1373.9699999999993</c:v>
                </c:pt>
                <c:pt idx="696">
                  <c:v>-3464.079999999999</c:v>
                </c:pt>
                <c:pt idx="697">
                  <c:v>219.64000000000033</c:v>
                </c:pt>
                <c:pt idx="698">
                  <c:v>438.97000000000025</c:v>
                </c:pt>
                <c:pt idx="699">
                  <c:v>-891.86999999999966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30-4AAC-A3BA-858C172A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416831"/>
        <c:axId val="741714895"/>
      </c:lineChart>
      <c:dateAx>
        <c:axId val="54141683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14895"/>
        <c:crosses val="autoZero"/>
        <c:auto val="1"/>
        <c:lblOffset val="100"/>
        <c:baseTimeUnit val="days"/>
      </c:dateAx>
      <c:valAx>
        <c:axId val="74171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1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266699</xdr:colOff>
      <xdr:row>418</xdr:row>
      <xdr:rowOff>76199</xdr:rowOff>
    </xdr:from>
    <xdr:to>
      <xdr:col>34</xdr:col>
      <xdr:colOff>57149</xdr:colOff>
      <xdr:row>439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CCAFC3-A6CD-493D-9399-145E6E2962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266699</xdr:colOff>
      <xdr:row>418</xdr:row>
      <xdr:rowOff>76199</xdr:rowOff>
    </xdr:from>
    <xdr:to>
      <xdr:col>35</xdr:col>
      <xdr:colOff>57149</xdr:colOff>
      <xdr:row>439</xdr:row>
      <xdr:rowOff>66674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403F3D-FBEB-455B-BD0C-21278D642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E11374-4DD4-46EE-8668-DD07811CD752}" name="Table13" displayName="Table13" ref="A1:T695" totalsRowShown="0" dataDxfId="29" dataCellStyle="Currency">
  <autoFilter ref="A1:T695" xr:uid="{0321047A-259E-4994-BC3F-CB9C1AF5C84F}"/>
  <sortState xmlns:xlrd2="http://schemas.microsoft.com/office/spreadsheetml/2017/richdata2" ref="A2:T695">
    <sortCondition ref="F1:F695"/>
  </sortState>
  <tableColumns count="20">
    <tableColumn id="1" xr3:uid="{468FCD00-EE49-4C84-8564-01B4E649FA6C}" name="Type"/>
    <tableColumn id="2" xr3:uid="{0FB80934-0866-46DA-8E5B-32B23E93166A}" name="Kind"/>
    <tableColumn id="3" xr3:uid="{F8AFE744-C490-4BFD-B9E6-E4469C8C159F}" name="Instrument"/>
    <tableColumn id="4" xr3:uid="{53775EA6-54A9-49FA-B0A6-57964EBDE919}" name="Direction"/>
    <tableColumn id="17" xr3:uid="{3E6A1ECB-B4CC-414B-9146-98351F545A76}" name="Entry Date" dataDxfId="28" dataCellStyle="Currency"/>
    <tableColumn id="5" xr3:uid="{C5870440-06DE-41B2-AEEC-2D38CA6E405E}" name="Closing Date" dataDxfId="27"/>
    <tableColumn id="6" xr3:uid="{986F0EBE-8D16-45A2-BB35-D98B6D71DC55}" name="Ticker"/>
    <tableColumn id="7" xr3:uid="{76C80BC2-4855-41CA-89A9-4A80B81EFB14}" name="Shares"/>
    <tableColumn id="8" xr3:uid="{29F4B9B6-B366-4394-BAE7-688BFBE5E78D}" name="Open Value" dataDxfId="26" dataCellStyle="Currency"/>
    <tableColumn id="20" xr3:uid="{0CFDE31F-AE41-47D7-8763-F64C5DB23FC7}" name="Multiplier" dataDxfId="25" dataCellStyle="Currency"/>
    <tableColumn id="11" xr3:uid="{F6554748-03B1-40B5-9C7A-CB6A98A9A2E2}" name="Close Value" dataDxfId="24" dataCellStyle="Currency"/>
    <tableColumn id="9" xr3:uid="{B390A274-83E4-47DF-940A-C3B96ECD4F57}" name="Price" dataDxfId="23" dataCellStyle="Currency"/>
    <tableColumn id="12" xr3:uid="{E3050D62-4B36-46D9-80DD-4DFAD51C24FE}" name="Close Price" dataDxfId="22" dataCellStyle="Currency"/>
    <tableColumn id="13" xr3:uid="{B671D135-740F-4980-BF51-2F8C012A140E}" name="PnL" dataDxfId="21" dataCellStyle="Currency"/>
    <tableColumn id="14" xr3:uid="{B0AA16D6-19FD-462C-A120-4BFC09F58F8D}" name="PnL %" dataDxfId="20" dataCellStyle="Percent"/>
    <tableColumn id="15" xr3:uid="{C890DF47-021A-41ED-A979-7B1A016A8191}" name="Rolling PnL" dataDxfId="19">
      <calculatedColumnFormula>N2+P1</calculatedColumnFormula>
    </tableColumn>
    <tableColumn id="18" xr3:uid="{B584EE24-F384-4617-908D-997737B2B78E}" name="Year" dataDxfId="18" dataCellStyle="Currency">
      <calculatedColumnFormula>TEXT(Table13[[#This Row],[Closing Date]],"yyyy")</calculatedColumnFormula>
    </tableColumn>
    <tableColumn id="19" xr3:uid="{9D69110D-43A4-4475-88BC-C5ACA1132B9F}" name="Month" dataDxfId="17" dataCellStyle="Currency">
      <calculatedColumnFormula>TEXT(Table13[[#This Row],[Closing Date]],"mmmm")</calculatedColumnFormula>
    </tableColumn>
    <tableColumn id="16" xr3:uid="{C54D3AB8-EA31-47B0-A3B0-525345E4BD97}" name="ONH" dataDxfId="16" dataCellStyle="Currency"/>
    <tableColumn id="10" xr3:uid="{F20181C0-C72D-4E9C-808F-EF961E6C7558}" name="Account" dataDxfId="15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21047A-259E-4994-BC3F-CB9C1AF5C84F}" name="Table1" displayName="Table1" ref="B1:U701" totalsRowShown="0" dataDxfId="14" dataCellStyle="Currency">
  <autoFilter ref="B1:U701" xr:uid="{0321047A-259E-4994-BC3F-CB9C1AF5C84F}"/>
  <sortState xmlns:xlrd2="http://schemas.microsoft.com/office/spreadsheetml/2017/richdata2" ref="B2:U687">
    <sortCondition ref="G1:G687"/>
  </sortState>
  <tableColumns count="20">
    <tableColumn id="1" xr3:uid="{62F77266-DE4E-40FB-B2BA-8B3693DEDF69}" name="Type"/>
    <tableColumn id="2" xr3:uid="{960A786F-3972-447B-AC21-7DE62930B535}" name="Kind"/>
    <tableColumn id="3" xr3:uid="{1FD2AD63-DD2A-4F50-B302-B17A2A8974A0}" name="Instrument"/>
    <tableColumn id="4" xr3:uid="{84136E0C-34D9-4E43-B120-F48AB35A33D9}" name="Direction"/>
    <tableColumn id="17" xr3:uid="{6F6909C1-B0FD-4416-80CC-72056391224B}" name="Entry Date" dataDxfId="13" dataCellStyle="Currency"/>
    <tableColumn id="5" xr3:uid="{59CB2B49-D9AD-4172-BAE6-E0A2644B4F93}" name="Closing Date" dataDxfId="12"/>
    <tableColumn id="6" xr3:uid="{1658CD1A-38E1-4CDA-B4FE-2071B3B0E6E0}" name="Ticker"/>
    <tableColumn id="7" xr3:uid="{0426EE88-46CC-4B68-A1DD-4170243C8117}" name="Shares"/>
    <tableColumn id="8" xr3:uid="{C4DBF90E-4E10-4F66-B36F-5AC9D7E04CE6}" name="Open Value" dataDxfId="11" dataCellStyle="Currency"/>
    <tableColumn id="20" xr3:uid="{52228CF8-C92E-4177-970C-3AA0CF8370AC}" name="Multiplier" dataDxfId="10" dataCellStyle="Currency"/>
    <tableColumn id="11" xr3:uid="{5011ECDA-3B09-4088-8968-B5868A11A7A8}" name="Close Value" dataDxfId="9" dataCellStyle="Currency"/>
    <tableColumn id="9" xr3:uid="{E6076FC7-23E1-4B1E-A462-3959C3E1ACD5}" name="Price" dataDxfId="8" dataCellStyle="Currency"/>
    <tableColumn id="12" xr3:uid="{4DF03376-5DC8-4023-A9CA-7A5B870DC3C1}" name="Close Price" dataDxfId="7" dataCellStyle="Currency"/>
    <tableColumn id="13" xr3:uid="{9DAB774C-EA79-4F9F-BFDF-D150D5D567B4}" name="PnL" dataDxfId="6" dataCellStyle="Currency"/>
    <tableColumn id="14" xr3:uid="{1DD246CF-E95F-47D3-9C5E-2BD1A53CDBE2}" name="PnL %" dataDxfId="5" dataCellStyle="Percent"/>
    <tableColumn id="15" xr3:uid="{7EE8F9A3-1681-4DBC-B6E2-018EDEFBAFBA}" name="Rolling PnL" dataDxfId="4">
      <calculatedColumnFormula>O2+Q1</calculatedColumnFormula>
    </tableColumn>
    <tableColumn id="18" xr3:uid="{2A2A4645-9CA6-4F56-92D4-F4E60B2D28F9}" name="Year" dataDxfId="3" dataCellStyle="Currency">
      <calculatedColumnFormula>TEXT(Table1[[#This Row],[Closing Date]],"yyyy")</calculatedColumnFormula>
    </tableColumn>
    <tableColumn id="19" xr3:uid="{57C91844-55C6-4FDE-86B2-D3BEB61A54BE}" name="Month" dataDxfId="2" dataCellStyle="Currency">
      <calculatedColumnFormula>TEXT(Table1[[#This Row],[Closing Date]],"mmmm")</calculatedColumnFormula>
    </tableColumn>
    <tableColumn id="16" xr3:uid="{D48C620A-A514-4FE5-8A5C-971B574A96B4}" name="ONH" dataDxfId="1" dataCellStyle="Currency"/>
    <tableColumn id="10" xr3:uid="{E7BCFBBC-C95D-444A-BD1E-CCA8A1CC739D}" name="Account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543B7-2EB8-4B24-840D-A6C6945B9D4E}">
  <dimension ref="A1:T695"/>
  <sheetViews>
    <sheetView tabSelected="1" workbookViewId="0">
      <pane ySplit="1" topLeftCell="A637" activePane="bottomLeft" state="frozen"/>
      <selection pane="bottomLeft" activeCell="H639" sqref="H639"/>
    </sheetView>
  </sheetViews>
  <sheetFormatPr defaultRowHeight="15" x14ac:dyDescent="0.25"/>
  <cols>
    <col min="1" max="1" width="9.5703125" bestFit="1" customWidth="1"/>
    <col min="2" max="2" width="17" bestFit="1" customWidth="1"/>
    <col min="3" max="3" width="16" bestFit="1" customWidth="1"/>
    <col min="4" max="4" width="13.5703125" bestFit="1" customWidth="1"/>
    <col min="5" max="5" width="9.42578125" bestFit="1" customWidth="1"/>
    <col min="6" max="6" width="14.7109375" style="7" customWidth="1"/>
    <col min="7" max="7" width="10.85546875" bestFit="1" customWidth="1"/>
    <col min="8" max="8" width="14.28515625" bestFit="1" customWidth="1"/>
    <col min="9" max="9" width="17.140625" style="5" bestFit="1" customWidth="1"/>
    <col min="10" max="10" width="17.140625" style="13" customWidth="1"/>
    <col min="11" max="11" width="17.7109375" style="5" bestFit="1" customWidth="1"/>
    <col min="12" max="12" width="11.5703125" style="5" bestFit="1" customWidth="1"/>
    <col min="13" max="13" width="17.28515625" bestFit="1" customWidth="1"/>
    <col min="14" max="14" width="12.28515625" style="5" bestFit="1" customWidth="1"/>
    <col min="15" max="15" width="10.85546875" style="5" bestFit="1" customWidth="1"/>
    <col min="16" max="16" width="17" style="3" bestFit="1" customWidth="1"/>
    <col min="17" max="17" width="11" bestFit="1" customWidth="1"/>
    <col min="18" max="19" width="12.7109375" bestFit="1" customWidth="1"/>
  </cols>
  <sheetData>
    <row r="1" spans="1:20" x14ac:dyDescent="0.25">
      <c r="A1" s="1" t="s">
        <v>200</v>
      </c>
      <c r="B1" s="1" t="s">
        <v>202</v>
      </c>
      <c r="C1" s="1" t="s">
        <v>204</v>
      </c>
      <c r="D1" s="1" t="s">
        <v>108</v>
      </c>
      <c r="E1" t="s">
        <v>282</v>
      </c>
      <c r="F1" s="8" t="s">
        <v>93</v>
      </c>
      <c r="G1" s="1" t="s">
        <v>0</v>
      </c>
      <c r="H1" s="1" t="s">
        <v>1</v>
      </c>
      <c r="I1" s="4" t="s">
        <v>94</v>
      </c>
      <c r="J1" s="12" t="s">
        <v>290</v>
      </c>
      <c r="K1" s="4" t="s">
        <v>95</v>
      </c>
      <c r="L1" s="4" t="s">
        <v>2</v>
      </c>
      <c r="M1" s="4" t="s">
        <v>109</v>
      </c>
      <c r="N1" s="6" t="s">
        <v>3</v>
      </c>
      <c r="O1" s="2" t="s">
        <v>110</v>
      </c>
      <c r="P1" s="10" t="s">
        <v>216</v>
      </c>
      <c r="Q1" s="10" t="s">
        <v>225</v>
      </c>
      <c r="R1" s="10" t="s">
        <v>226</v>
      </c>
      <c r="S1" t="s">
        <v>239</v>
      </c>
      <c r="T1" t="s">
        <v>296</v>
      </c>
    </row>
    <row r="2" spans="1:20" x14ac:dyDescent="0.25">
      <c r="A2" t="s">
        <v>197</v>
      </c>
      <c r="B2" t="s">
        <v>302</v>
      </c>
      <c r="C2" t="s">
        <v>98</v>
      </c>
      <c r="D2" t="s">
        <v>7</v>
      </c>
      <c r="E2" s="5"/>
      <c r="F2" s="7">
        <v>44645</v>
      </c>
      <c r="G2" t="s">
        <v>10</v>
      </c>
      <c r="H2">
        <v>16</v>
      </c>
      <c r="I2" s="5">
        <v>3604.51</v>
      </c>
      <c r="J2" s="13">
        <v>100</v>
      </c>
      <c r="K2" s="5">
        <v>1297.03</v>
      </c>
      <c r="L2" s="5">
        <v>2.2528187500000003</v>
      </c>
      <c r="M2" s="5">
        <v>0.81064375</v>
      </c>
      <c r="N2" s="5">
        <v>-2307.4800000000005</v>
      </c>
      <c r="O2" s="3">
        <v>-0.64016468257821457</v>
      </c>
      <c r="P2" s="9">
        <f>N2</f>
        <v>-2307.4800000000005</v>
      </c>
      <c r="Q2" s="5" t="str">
        <f>TEXT(Table13[[#This Row],[Closing Date]],"yyyy")</f>
        <v>2022</v>
      </c>
      <c r="R2" s="5" t="str">
        <f>TEXT(Table13[[#This Row],[Closing Date]],"mmmm")</f>
        <v>March</v>
      </c>
      <c r="S2" s="5" t="s">
        <v>240</v>
      </c>
      <c r="T2" s="5" t="s">
        <v>301</v>
      </c>
    </row>
    <row r="3" spans="1:20" x14ac:dyDescent="0.25">
      <c r="A3" t="s">
        <v>197</v>
      </c>
      <c r="B3" t="s">
        <v>302</v>
      </c>
      <c r="C3" t="s">
        <v>98</v>
      </c>
      <c r="D3" t="s">
        <v>7</v>
      </c>
      <c r="E3" s="5"/>
      <c r="F3" s="7">
        <v>44679</v>
      </c>
      <c r="G3" t="s">
        <v>37</v>
      </c>
      <c r="H3">
        <v>25</v>
      </c>
      <c r="I3" s="5">
        <v>3752.06</v>
      </c>
      <c r="J3" s="13">
        <v>100</v>
      </c>
      <c r="K3" s="5">
        <v>15103.41</v>
      </c>
      <c r="L3" s="5">
        <v>1.5008240000000002</v>
      </c>
      <c r="M3" s="5">
        <v>6.0413639999999997</v>
      </c>
      <c r="N3" s="5">
        <v>11351.35</v>
      </c>
      <c r="O3" s="3">
        <v>3.0253647329733528</v>
      </c>
      <c r="P3" s="9">
        <f>N3+P2</f>
        <v>9043.869999999999</v>
      </c>
      <c r="Q3" s="5" t="str">
        <f>TEXT(Table13[[#This Row],[Closing Date]],"yyyy")</f>
        <v>2022</v>
      </c>
      <c r="R3" s="5" t="str">
        <f>TEXT(Table13[[#This Row],[Closing Date]],"mmmm")</f>
        <v>April</v>
      </c>
      <c r="S3" s="5" t="s">
        <v>240</v>
      </c>
      <c r="T3" s="5" t="s">
        <v>301</v>
      </c>
    </row>
    <row r="4" spans="1:20" x14ac:dyDescent="0.25">
      <c r="A4" t="s">
        <v>197</v>
      </c>
      <c r="B4" t="s">
        <v>302</v>
      </c>
      <c r="C4" t="s">
        <v>97</v>
      </c>
      <c r="D4" t="s">
        <v>7</v>
      </c>
      <c r="E4" s="5"/>
      <c r="F4" s="7">
        <v>44694</v>
      </c>
      <c r="G4" t="s">
        <v>10</v>
      </c>
      <c r="H4">
        <v>20</v>
      </c>
      <c r="I4" s="5">
        <v>3329.78</v>
      </c>
      <c r="J4" s="13">
        <v>100</v>
      </c>
      <c r="K4" s="5">
        <v>1645.71</v>
      </c>
      <c r="L4" s="5">
        <v>1.66489</v>
      </c>
      <c r="M4" s="5">
        <v>0.822855</v>
      </c>
      <c r="N4" s="5">
        <v>-1684.0700000000002</v>
      </c>
      <c r="O4" s="3">
        <v>-0.50576014030956995</v>
      </c>
      <c r="P4" s="9">
        <f>N4+P3</f>
        <v>7359.7999999999993</v>
      </c>
      <c r="Q4" s="5" t="str">
        <f>TEXT(Table13[[#This Row],[Closing Date]],"yyyy")</f>
        <v>2022</v>
      </c>
      <c r="R4" s="5" t="str">
        <f>TEXT(Table13[[#This Row],[Closing Date]],"mmmm")</f>
        <v>May</v>
      </c>
      <c r="S4" s="5" t="s">
        <v>240</v>
      </c>
      <c r="T4" s="5" t="s">
        <v>301</v>
      </c>
    </row>
    <row r="5" spans="1:20" x14ac:dyDescent="0.25">
      <c r="A5" t="s">
        <v>197</v>
      </c>
      <c r="B5" t="s">
        <v>302</v>
      </c>
      <c r="C5" t="s">
        <v>97</v>
      </c>
      <c r="D5" t="s">
        <v>7</v>
      </c>
      <c r="E5" s="5"/>
      <c r="F5" s="7">
        <v>44708</v>
      </c>
      <c r="G5" t="s">
        <v>96</v>
      </c>
      <c r="H5">
        <v>25</v>
      </c>
      <c r="I5" s="5">
        <v>3521.88</v>
      </c>
      <c r="J5" s="13">
        <v>100</v>
      </c>
      <c r="K5" s="5">
        <v>0</v>
      </c>
      <c r="L5" s="5">
        <v>1.408752</v>
      </c>
      <c r="M5" s="5">
        <v>0</v>
      </c>
      <c r="N5" s="5">
        <v>-3521.88</v>
      </c>
      <c r="O5" s="3">
        <v>-1</v>
      </c>
      <c r="P5" s="9">
        <f>N5+P4</f>
        <v>3837.9199999999992</v>
      </c>
      <c r="Q5" s="5" t="str">
        <f>TEXT(Table13[[#This Row],[Closing Date]],"yyyy")</f>
        <v>2022</v>
      </c>
      <c r="R5" s="5" t="str">
        <f>TEXT(Table13[[#This Row],[Closing Date]],"mmmm")</f>
        <v>May</v>
      </c>
      <c r="S5" s="5" t="s">
        <v>240</v>
      </c>
      <c r="T5" s="5" t="s">
        <v>301</v>
      </c>
    </row>
    <row r="6" spans="1:20" x14ac:dyDescent="0.25">
      <c r="A6" t="s">
        <v>197</v>
      </c>
      <c r="B6" t="s">
        <v>302</v>
      </c>
      <c r="C6" t="s">
        <v>99</v>
      </c>
      <c r="D6" t="s">
        <v>7</v>
      </c>
      <c r="E6" s="5"/>
      <c r="F6" s="7">
        <v>44844</v>
      </c>
      <c r="G6" t="s">
        <v>37</v>
      </c>
      <c r="H6">
        <v>5</v>
      </c>
      <c r="I6" s="5">
        <v>2278.4499999999998</v>
      </c>
      <c r="J6" s="13">
        <v>100</v>
      </c>
      <c r="K6" s="5">
        <v>8484.5499999999993</v>
      </c>
      <c r="L6" s="5">
        <v>4.5568999999999997</v>
      </c>
      <c r="M6" s="5">
        <v>16.969099999999997</v>
      </c>
      <c r="N6" s="5">
        <v>6206.0999999999995</v>
      </c>
      <c r="O6" s="3">
        <v>2.7238254076236035</v>
      </c>
      <c r="P6" s="9">
        <f>N6+P5</f>
        <v>10044.019999999999</v>
      </c>
      <c r="Q6" s="5" t="str">
        <f>TEXT(Table13[[#This Row],[Closing Date]],"yyyy")</f>
        <v>2022</v>
      </c>
      <c r="R6" s="5" t="str">
        <f>TEXT(Table13[[#This Row],[Closing Date]],"mmmm")</f>
        <v>October</v>
      </c>
      <c r="S6" s="5" t="s">
        <v>240</v>
      </c>
      <c r="T6" s="5" t="s">
        <v>301</v>
      </c>
    </row>
    <row r="7" spans="1:20" x14ac:dyDescent="0.25">
      <c r="A7" t="s">
        <v>197</v>
      </c>
      <c r="B7" t="s">
        <v>302</v>
      </c>
      <c r="C7" t="s">
        <v>98</v>
      </c>
      <c r="D7" t="s">
        <v>7</v>
      </c>
      <c r="E7" s="5"/>
      <c r="F7" s="7">
        <v>44925</v>
      </c>
      <c r="G7" t="s">
        <v>51</v>
      </c>
      <c r="H7">
        <v>5</v>
      </c>
      <c r="I7" s="5">
        <v>2451.3199999999997</v>
      </c>
      <c r="J7" s="13">
        <v>100</v>
      </c>
      <c r="K7" s="5">
        <v>7028.34</v>
      </c>
      <c r="L7" s="5">
        <v>4.9026399999999999</v>
      </c>
      <c r="M7" s="5">
        <v>14.056680000000002</v>
      </c>
      <c r="N7" s="5">
        <v>4577.0200000000004</v>
      </c>
      <c r="O7" s="3">
        <v>1.8671654455558642</v>
      </c>
      <c r="P7" s="9">
        <f>N7+P6</f>
        <v>14621.039999999999</v>
      </c>
      <c r="Q7" s="5" t="str">
        <f>TEXT(Table13[[#This Row],[Closing Date]],"yyyy")</f>
        <v>2022</v>
      </c>
      <c r="R7" s="5" t="str">
        <f>TEXT(Table13[[#This Row],[Closing Date]],"mmmm")</f>
        <v>December</v>
      </c>
      <c r="S7" s="5" t="s">
        <v>240</v>
      </c>
      <c r="T7" s="5" t="s">
        <v>301</v>
      </c>
    </row>
    <row r="8" spans="1:20" x14ac:dyDescent="0.25">
      <c r="A8" t="s">
        <v>201</v>
      </c>
      <c r="B8" t="s">
        <v>303</v>
      </c>
      <c r="C8" t="s">
        <v>16</v>
      </c>
      <c r="D8" t="s">
        <v>7</v>
      </c>
      <c r="E8" s="5"/>
      <c r="F8" s="7">
        <v>44934</v>
      </c>
      <c r="G8" t="s">
        <v>174</v>
      </c>
      <c r="H8">
        <v>12500</v>
      </c>
      <c r="I8" s="5">
        <v>422187.5</v>
      </c>
      <c r="K8" s="5">
        <v>424757.63</v>
      </c>
      <c r="L8" s="5">
        <v>33.774999999999999</v>
      </c>
      <c r="M8" s="5">
        <v>33.980610400000003</v>
      </c>
      <c r="N8" s="5">
        <v>2570.1300000000047</v>
      </c>
      <c r="O8" s="3">
        <v>6.0876506291635936E-3</v>
      </c>
      <c r="P8" s="9">
        <f>N8+P7</f>
        <v>17191.170000000006</v>
      </c>
      <c r="Q8" s="5" t="str">
        <f>TEXT(Table13[[#This Row],[Closing Date]],"yyyy")</f>
        <v>2023</v>
      </c>
      <c r="R8" s="5" t="str">
        <f>TEXT(Table13[[#This Row],[Closing Date]],"mmmm")</f>
        <v>January</v>
      </c>
      <c r="S8" s="5" t="s">
        <v>240</v>
      </c>
      <c r="T8" s="5" t="s">
        <v>301</v>
      </c>
    </row>
    <row r="9" spans="1:20" x14ac:dyDescent="0.25">
      <c r="A9" t="s">
        <v>197</v>
      </c>
      <c r="B9" t="s">
        <v>302</v>
      </c>
      <c r="C9" t="s">
        <v>98</v>
      </c>
      <c r="D9" t="s">
        <v>7</v>
      </c>
      <c r="E9" s="5"/>
      <c r="F9" s="7">
        <v>44946</v>
      </c>
      <c r="G9" t="s">
        <v>10</v>
      </c>
      <c r="H9">
        <v>14</v>
      </c>
      <c r="I9" s="5">
        <v>3435.77</v>
      </c>
      <c r="J9" s="13">
        <v>100</v>
      </c>
      <c r="K9" s="5">
        <v>3574.7400000000002</v>
      </c>
      <c r="L9" s="5">
        <v>2.4541214285714288</v>
      </c>
      <c r="M9" s="5">
        <v>2.5533857142857146</v>
      </c>
      <c r="N9" s="5">
        <v>138.97000000000025</v>
      </c>
      <c r="O9" s="3">
        <v>4.0447992735252979E-2</v>
      </c>
      <c r="P9" s="9">
        <f>N9+P8</f>
        <v>17330.140000000007</v>
      </c>
      <c r="Q9" s="5" t="str">
        <f>TEXT(Table13[[#This Row],[Closing Date]],"yyyy")</f>
        <v>2023</v>
      </c>
      <c r="R9" s="5" t="str">
        <f>TEXT(Table13[[#This Row],[Closing Date]],"mmmm")</f>
        <v>January</v>
      </c>
      <c r="S9" s="5" t="s">
        <v>240</v>
      </c>
      <c r="T9" s="5" t="s">
        <v>301</v>
      </c>
    </row>
    <row r="10" spans="1:20" x14ac:dyDescent="0.25">
      <c r="A10" t="s">
        <v>215</v>
      </c>
      <c r="B10" t="s">
        <v>304</v>
      </c>
      <c r="C10" t="s">
        <v>12</v>
      </c>
      <c r="D10" t="s">
        <v>7</v>
      </c>
      <c r="E10" s="5"/>
      <c r="F10" s="7">
        <v>44952</v>
      </c>
      <c r="G10" t="s">
        <v>82</v>
      </c>
      <c r="H10">
        <v>3</v>
      </c>
      <c r="I10" s="5">
        <v>608243.55000000005</v>
      </c>
      <c r="K10" s="5">
        <v>607218.15</v>
      </c>
      <c r="L10" s="5">
        <v>4054.9570000000003</v>
      </c>
      <c r="M10" s="5">
        <v>4048.1210000000005</v>
      </c>
      <c r="N10" s="5">
        <v>-1025.4000000000233</v>
      </c>
      <c r="O10" s="3">
        <v>-1.6858378522878997E-3</v>
      </c>
      <c r="P10" s="9">
        <f>N10+P9</f>
        <v>16304.739999999983</v>
      </c>
      <c r="Q10" s="5" t="str">
        <f>TEXT(Table13[[#This Row],[Closing Date]],"yyyy")</f>
        <v>2023</v>
      </c>
      <c r="R10" s="5" t="str">
        <f>TEXT(Table13[[#This Row],[Closing Date]],"mmmm")</f>
        <v>January</v>
      </c>
      <c r="S10" s="5" t="s">
        <v>240</v>
      </c>
      <c r="T10" s="5" t="s">
        <v>301</v>
      </c>
    </row>
    <row r="11" spans="1:20" x14ac:dyDescent="0.25">
      <c r="A11" t="s">
        <v>215</v>
      </c>
      <c r="B11" t="s">
        <v>304</v>
      </c>
      <c r="C11" t="s">
        <v>12</v>
      </c>
      <c r="D11" t="s">
        <v>5</v>
      </c>
      <c r="E11" s="5"/>
      <c r="F11" s="7">
        <v>44957</v>
      </c>
      <c r="G11" t="s">
        <v>184</v>
      </c>
      <c r="H11">
        <v>150</v>
      </c>
      <c r="I11" s="5">
        <v>3039531.25</v>
      </c>
      <c r="K11" s="5">
        <v>3041562.5</v>
      </c>
      <c r="L11" s="5">
        <v>4052.7083333333335</v>
      </c>
      <c r="M11" s="5">
        <v>4055.4166666666665</v>
      </c>
      <c r="N11" s="5">
        <v>2031.25</v>
      </c>
      <c r="O11" s="3">
        <v>6.6827738652128438E-4</v>
      </c>
      <c r="P11" s="9">
        <f>N11+P10</f>
        <v>18335.989999999983</v>
      </c>
      <c r="Q11" s="5" t="str">
        <f>TEXT(Table13[[#This Row],[Closing Date]],"yyyy")</f>
        <v>2023</v>
      </c>
      <c r="R11" s="5" t="str">
        <f>TEXT(Table13[[#This Row],[Closing Date]],"mmmm")</f>
        <v>January</v>
      </c>
      <c r="S11" s="5" t="s">
        <v>240</v>
      </c>
      <c r="T11" s="5" t="s">
        <v>301</v>
      </c>
    </row>
    <row r="12" spans="1:20" x14ac:dyDescent="0.25">
      <c r="A12" t="s">
        <v>215</v>
      </c>
      <c r="B12" t="s">
        <v>304</v>
      </c>
      <c r="C12" t="s">
        <v>12</v>
      </c>
      <c r="D12" t="s">
        <v>7</v>
      </c>
      <c r="E12" s="5"/>
      <c r="F12" s="7">
        <v>44966</v>
      </c>
      <c r="G12" t="s">
        <v>184</v>
      </c>
      <c r="H12">
        <v>40</v>
      </c>
      <c r="I12" s="5">
        <v>817000</v>
      </c>
      <c r="K12" s="5">
        <v>814877.9</v>
      </c>
      <c r="L12" s="5">
        <v>4085</v>
      </c>
      <c r="M12" s="5">
        <v>4074.3895000000002</v>
      </c>
      <c r="N12" s="5">
        <v>-2122.0999999999767</v>
      </c>
      <c r="O12" s="3">
        <v>-2.5974296205629804E-3</v>
      </c>
      <c r="P12" s="9">
        <f>N12+P11</f>
        <v>16213.890000000007</v>
      </c>
      <c r="Q12" s="5" t="str">
        <f>TEXT(Table13[[#This Row],[Closing Date]],"yyyy")</f>
        <v>2023</v>
      </c>
      <c r="R12" s="5" t="str">
        <f>TEXT(Table13[[#This Row],[Closing Date]],"mmmm")</f>
        <v>February</v>
      </c>
      <c r="S12" s="5" t="s">
        <v>240</v>
      </c>
      <c r="T12" s="5" t="s">
        <v>301</v>
      </c>
    </row>
    <row r="13" spans="1:20" x14ac:dyDescent="0.25">
      <c r="A13" t="s">
        <v>197</v>
      </c>
      <c r="B13" t="s">
        <v>302</v>
      </c>
      <c r="C13" t="s">
        <v>99</v>
      </c>
      <c r="D13" t="s">
        <v>7</v>
      </c>
      <c r="E13" s="5"/>
      <c r="F13" s="7">
        <v>44970</v>
      </c>
      <c r="G13" t="s">
        <v>100</v>
      </c>
      <c r="H13">
        <v>10</v>
      </c>
      <c r="I13" s="5">
        <v>1896.99</v>
      </c>
      <c r="J13" s="13">
        <v>100</v>
      </c>
      <c r="K13" s="5">
        <v>5420.01</v>
      </c>
      <c r="L13" s="5">
        <v>1.8969900000000002</v>
      </c>
      <c r="M13" s="5">
        <v>5.4200099999999996</v>
      </c>
      <c r="N13" s="5">
        <v>3523.0200000000004</v>
      </c>
      <c r="O13" s="3">
        <v>1.8571631901064312</v>
      </c>
      <c r="P13" s="9">
        <f>N13+P12</f>
        <v>19736.910000000007</v>
      </c>
      <c r="Q13" s="5" t="str">
        <f>TEXT(Table13[[#This Row],[Closing Date]],"yyyy")</f>
        <v>2023</v>
      </c>
      <c r="R13" s="5" t="str">
        <f>TEXT(Table13[[#This Row],[Closing Date]],"mmmm")</f>
        <v>February</v>
      </c>
      <c r="S13" s="5" t="s">
        <v>240</v>
      </c>
      <c r="T13" s="5" t="s">
        <v>301</v>
      </c>
    </row>
    <row r="14" spans="1:20" x14ac:dyDescent="0.25">
      <c r="A14" t="s">
        <v>215</v>
      </c>
      <c r="B14" t="s">
        <v>304</v>
      </c>
      <c r="C14" t="s">
        <v>12</v>
      </c>
      <c r="D14" t="s">
        <v>7</v>
      </c>
      <c r="E14" s="5"/>
      <c r="F14" s="7">
        <v>44973</v>
      </c>
      <c r="G14" t="s">
        <v>184</v>
      </c>
      <c r="H14">
        <v>40</v>
      </c>
      <c r="I14" s="5">
        <v>820424.8</v>
      </c>
      <c r="K14" s="5">
        <v>826775.2</v>
      </c>
      <c r="L14" s="5">
        <v>4102.1240000000007</v>
      </c>
      <c r="M14" s="5">
        <v>4133.8759999999993</v>
      </c>
      <c r="N14" s="5">
        <v>6350.3999999999069</v>
      </c>
      <c r="O14" s="3">
        <v>7.7403803493016256E-3</v>
      </c>
      <c r="P14" s="9">
        <f>N14+P13</f>
        <v>26087.309999999914</v>
      </c>
      <c r="Q14" s="5" t="str">
        <f>TEXT(Table13[[#This Row],[Closing Date]],"yyyy")</f>
        <v>2023</v>
      </c>
      <c r="R14" s="5" t="str">
        <f>TEXT(Table13[[#This Row],[Closing Date]],"mmmm")</f>
        <v>February</v>
      </c>
      <c r="S14" s="5" t="s">
        <v>240</v>
      </c>
      <c r="T14" s="5" t="s">
        <v>301</v>
      </c>
    </row>
    <row r="15" spans="1:20" x14ac:dyDescent="0.25">
      <c r="A15" t="s">
        <v>215</v>
      </c>
      <c r="B15" t="s">
        <v>304</v>
      </c>
      <c r="C15" t="s">
        <v>12</v>
      </c>
      <c r="D15" t="s">
        <v>7</v>
      </c>
      <c r="E15" s="5"/>
      <c r="F15" s="7">
        <v>44978</v>
      </c>
      <c r="G15" t="s">
        <v>82</v>
      </c>
      <c r="H15">
        <v>5</v>
      </c>
      <c r="I15" s="5">
        <v>1010000</v>
      </c>
      <c r="K15" s="5">
        <v>1008000</v>
      </c>
      <c r="L15" s="5">
        <v>4040</v>
      </c>
      <c r="M15" s="5">
        <v>4032</v>
      </c>
      <c r="N15" s="5">
        <v>-2000</v>
      </c>
      <c r="O15" s="3">
        <v>-1.9801980198019802E-3</v>
      </c>
      <c r="P15" s="9">
        <f>N15+P14</f>
        <v>24087.309999999914</v>
      </c>
      <c r="Q15" s="5" t="str">
        <f>TEXT(Table13[[#This Row],[Closing Date]],"yyyy")</f>
        <v>2023</v>
      </c>
      <c r="R15" s="5" t="str">
        <f>TEXT(Table13[[#This Row],[Closing Date]],"mmmm")</f>
        <v>February</v>
      </c>
      <c r="S15" s="5" t="s">
        <v>240</v>
      </c>
      <c r="T15" s="5" t="s">
        <v>301</v>
      </c>
    </row>
    <row r="16" spans="1:20" x14ac:dyDescent="0.25">
      <c r="A16" t="s">
        <v>215</v>
      </c>
      <c r="B16" t="s">
        <v>304</v>
      </c>
      <c r="C16" t="s">
        <v>12</v>
      </c>
      <c r="D16" t="s">
        <v>7</v>
      </c>
      <c r="E16" s="5"/>
      <c r="F16" s="7">
        <v>44978</v>
      </c>
      <c r="G16" t="s">
        <v>82</v>
      </c>
      <c r="H16">
        <v>5</v>
      </c>
      <c r="I16" s="5">
        <v>1001562.5</v>
      </c>
      <c r="K16" s="5">
        <v>1001643.5</v>
      </c>
      <c r="L16" s="5">
        <v>4006.25</v>
      </c>
      <c r="M16" s="5">
        <v>4006.5739999999996</v>
      </c>
      <c r="N16" s="5">
        <v>81</v>
      </c>
      <c r="O16" s="3">
        <v>8.087363494530156E-5</v>
      </c>
      <c r="P16" s="9">
        <f>N16+P15</f>
        <v>24168.309999999914</v>
      </c>
      <c r="Q16" s="5" t="str">
        <f>TEXT(Table13[[#This Row],[Closing Date]],"yyyy")</f>
        <v>2023</v>
      </c>
      <c r="R16" s="5" t="str">
        <f>TEXT(Table13[[#This Row],[Closing Date]],"mmmm")</f>
        <v>February</v>
      </c>
      <c r="S16" s="5" t="s">
        <v>240</v>
      </c>
      <c r="T16" s="5" t="s">
        <v>301</v>
      </c>
    </row>
    <row r="17" spans="1:20" x14ac:dyDescent="0.25">
      <c r="A17" t="s">
        <v>197</v>
      </c>
      <c r="B17" t="s">
        <v>302</v>
      </c>
      <c r="C17" t="s">
        <v>102</v>
      </c>
      <c r="D17" t="s">
        <v>7</v>
      </c>
      <c r="E17" s="5"/>
      <c r="F17" s="7">
        <v>44979</v>
      </c>
      <c r="G17" t="s">
        <v>101</v>
      </c>
      <c r="H17">
        <v>75</v>
      </c>
      <c r="I17" s="5">
        <v>3616.61</v>
      </c>
      <c r="J17" s="13">
        <v>100</v>
      </c>
      <c r="K17" s="5">
        <v>3534.1099999999997</v>
      </c>
      <c r="L17" s="5">
        <v>0.48221466666666674</v>
      </c>
      <c r="M17" s="5">
        <v>0.47121466666666662</v>
      </c>
      <c r="N17" s="5">
        <v>-82.500000000000455</v>
      </c>
      <c r="O17" s="3">
        <v>-2.2811417321746304E-2</v>
      </c>
      <c r="P17" s="9">
        <f>N17+P16</f>
        <v>24085.809999999914</v>
      </c>
      <c r="Q17" s="5" t="str">
        <f>TEXT(Table13[[#This Row],[Closing Date]],"yyyy")</f>
        <v>2023</v>
      </c>
      <c r="R17" s="5" t="str">
        <f>TEXT(Table13[[#This Row],[Closing Date]],"mmmm")</f>
        <v>February</v>
      </c>
      <c r="S17" s="5" t="s">
        <v>240</v>
      </c>
      <c r="T17" s="5" t="s">
        <v>301</v>
      </c>
    </row>
    <row r="18" spans="1:20" x14ac:dyDescent="0.25">
      <c r="A18" t="s">
        <v>215</v>
      </c>
      <c r="B18" t="s">
        <v>304</v>
      </c>
      <c r="C18" t="s">
        <v>12</v>
      </c>
      <c r="D18" t="s">
        <v>7</v>
      </c>
      <c r="E18" s="5"/>
      <c r="F18" s="7">
        <v>44979</v>
      </c>
      <c r="G18" t="s">
        <v>82</v>
      </c>
      <c r="H18">
        <v>4</v>
      </c>
      <c r="I18" s="5">
        <v>799117.6</v>
      </c>
      <c r="K18" s="5">
        <v>802350</v>
      </c>
      <c r="L18" s="5">
        <v>3995.5879999999997</v>
      </c>
      <c r="M18" s="5">
        <v>4011.75</v>
      </c>
      <c r="N18" s="5">
        <v>3232.4000000000233</v>
      </c>
      <c r="O18" s="3">
        <v>4.0449615926367441E-3</v>
      </c>
      <c r="P18" s="9">
        <f>N18+P17</f>
        <v>27318.209999999937</v>
      </c>
      <c r="Q18" s="5" t="str">
        <f>TEXT(Table13[[#This Row],[Closing Date]],"yyyy")</f>
        <v>2023</v>
      </c>
      <c r="R18" s="5" t="str">
        <f>TEXT(Table13[[#This Row],[Closing Date]],"mmmm")</f>
        <v>February</v>
      </c>
      <c r="S18" s="5" t="s">
        <v>240</v>
      </c>
      <c r="T18" s="5" t="s">
        <v>301</v>
      </c>
    </row>
    <row r="19" spans="1:20" x14ac:dyDescent="0.25">
      <c r="A19" t="s">
        <v>215</v>
      </c>
      <c r="B19" t="s">
        <v>304</v>
      </c>
      <c r="C19" t="s">
        <v>12</v>
      </c>
      <c r="D19" t="s">
        <v>7</v>
      </c>
      <c r="E19" s="5"/>
      <c r="F19" s="7">
        <v>44980</v>
      </c>
      <c r="G19" t="s">
        <v>82</v>
      </c>
      <c r="H19">
        <v>8</v>
      </c>
      <c r="I19" s="5">
        <v>1598000</v>
      </c>
      <c r="K19" s="5">
        <v>1595964.8</v>
      </c>
      <c r="L19" s="5">
        <v>3995</v>
      </c>
      <c r="M19" s="5">
        <v>3989.9120000000003</v>
      </c>
      <c r="N19" s="5">
        <v>-2035.1999999999534</v>
      </c>
      <c r="O19" s="3">
        <v>-1.2735919899874188E-3</v>
      </c>
      <c r="P19" s="9">
        <f>N19+P18</f>
        <v>25283.009999999984</v>
      </c>
      <c r="Q19" s="5" t="str">
        <f>TEXT(Table13[[#This Row],[Closing Date]],"yyyy")</f>
        <v>2023</v>
      </c>
      <c r="R19" s="5" t="str">
        <f>TEXT(Table13[[#This Row],[Closing Date]],"mmmm")</f>
        <v>February</v>
      </c>
      <c r="S19" s="5" t="s">
        <v>240</v>
      </c>
      <c r="T19" s="5" t="s">
        <v>301</v>
      </c>
    </row>
    <row r="20" spans="1:20" x14ac:dyDescent="0.25">
      <c r="A20" t="s">
        <v>215</v>
      </c>
      <c r="B20" t="s">
        <v>304</v>
      </c>
      <c r="C20" t="s">
        <v>12</v>
      </c>
      <c r="D20" t="s">
        <v>7</v>
      </c>
      <c r="E20" s="5"/>
      <c r="F20" s="7">
        <v>44981</v>
      </c>
      <c r="G20" t="s">
        <v>82</v>
      </c>
      <c r="H20">
        <v>8</v>
      </c>
      <c r="I20" s="5">
        <v>1584900</v>
      </c>
      <c r="K20" s="5">
        <v>1582464.8</v>
      </c>
      <c r="L20" s="5">
        <v>3962.25</v>
      </c>
      <c r="M20" s="5">
        <v>3956.1620000000003</v>
      </c>
      <c r="N20" s="5">
        <v>-2435.1999999999534</v>
      </c>
      <c r="O20" s="3">
        <v>-1.5365007255977634E-3</v>
      </c>
      <c r="P20" s="9">
        <f>N20+P19</f>
        <v>22847.81000000003</v>
      </c>
      <c r="Q20" s="5" t="str">
        <f>TEXT(Table13[[#This Row],[Closing Date]],"yyyy")</f>
        <v>2023</v>
      </c>
      <c r="R20" s="5" t="str">
        <f>TEXT(Table13[[#This Row],[Closing Date]],"mmmm")</f>
        <v>February</v>
      </c>
      <c r="S20" s="5" t="s">
        <v>240</v>
      </c>
      <c r="T20" s="5" t="s">
        <v>301</v>
      </c>
    </row>
    <row r="21" spans="1:20" x14ac:dyDescent="0.25">
      <c r="A21" t="s">
        <v>215</v>
      </c>
      <c r="B21" t="s">
        <v>304</v>
      </c>
      <c r="C21" t="s">
        <v>12</v>
      </c>
      <c r="D21" t="s">
        <v>5</v>
      </c>
      <c r="E21" s="5"/>
      <c r="F21" s="7">
        <v>44981</v>
      </c>
      <c r="G21" t="s">
        <v>82</v>
      </c>
      <c r="H21">
        <v>4</v>
      </c>
      <c r="I21" s="5">
        <v>795693.3</v>
      </c>
      <c r="K21" s="5">
        <v>793991.2</v>
      </c>
      <c r="L21" s="5">
        <v>3978.4665000000005</v>
      </c>
      <c r="M21" s="5">
        <v>3969.9559999999997</v>
      </c>
      <c r="N21" s="5">
        <v>-1702.1000000000931</v>
      </c>
      <c r="O21" s="3">
        <v>-2.1391407970887209E-3</v>
      </c>
      <c r="P21" s="9">
        <f>N21+P20</f>
        <v>21145.709999999937</v>
      </c>
      <c r="Q21" s="5" t="str">
        <f>TEXT(Table13[[#This Row],[Closing Date]],"yyyy")</f>
        <v>2023</v>
      </c>
      <c r="R21" s="5" t="str">
        <f>TEXT(Table13[[#This Row],[Closing Date]],"mmmm")</f>
        <v>February</v>
      </c>
      <c r="S21" s="5" t="s">
        <v>240</v>
      </c>
      <c r="T21" s="5" t="s">
        <v>301</v>
      </c>
    </row>
    <row r="22" spans="1:20" x14ac:dyDescent="0.25">
      <c r="A22" t="s">
        <v>215</v>
      </c>
      <c r="B22" t="s">
        <v>304</v>
      </c>
      <c r="C22" t="s">
        <v>12</v>
      </c>
      <c r="D22" t="s">
        <v>7</v>
      </c>
      <c r="E22" s="5"/>
      <c r="F22" s="7">
        <v>44981</v>
      </c>
      <c r="G22" t="s">
        <v>82</v>
      </c>
      <c r="H22">
        <v>10</v>
      </c>
      <c r="I22" s="5">
        <v>1974647</v>
      </c>
      <c r="K22" s="5">
        <v>1979603</v>
      </c>
      <c r="L22" s="5">
        <v>3949.2940000000003</v>
      </c>
      <c r="M22" s="5">
        <v>3959.2059999999997</v>
      </c>
      <c r="N22" s="5">
        <v>4956</v>
      </c>
      <c r="O22" s="3">
        <v>2.5098156784476799E-3</v>
      </c>
      <c r="P22" s="9">
        <f>N22+P21</f>
        <v>26101.709999999937</v>
      </c>
      <c r="Q22" s="5" t="str">
        <f>TEXT(Table13[[#This Row],[Closing Date]],"yyyy")</f>
        <v>2023</v>
      </c>
      <c r="R22" s="5" t="str">
        <f>TEXT(Table13[[#This Row],[Closing Date]],"mmmm")</f>
        <v>February</v>
      </c>
      <c r="S22" s="5" t="s">
        <v>240</v>
      </c>
      <c r="T22" s="5" t="s">
        <v>301</v>
      </c>
    </row>
    <row r="23" spans="1:20" x14ac:dyDescent="0.25">
      <c r="A23" t="s">
        <v>215</v>
      </c>
      <c r="B23" t="s">
        <v>304</v>
      </c>
      <c r="C23" t="s">
        <v>12</v>
      </c>
      <c r="D23" t="s">
        <v>5</v>
      </c>
      <c r="E23" s="5"/>
      <c r="F23" s="7">
        <v>44984</v>
      </c>
      <c r="G23" t="s">
        <v>82</v>
      </c>
      <c r="H23">
        <v>4</v>
      </c>
      <c r="I23" s="5">
        <v>804908.8</v>
      </c>
      <c r="K23" s="5">
        <v>802891.2</v>
      </c>
      <c r="L23" s="5">
        <v>4024.5440000000003</v>
      </c>
      <c r="M23" s="5">
        <v>4014.4559999999997</v>
      </c>
      <c r="N23" s="5">
        <v>-2017.6000000000931</v>
      </c>
      <c r="O23" s="3">
        <v>-2.5066193834632315E-3</v>
      </c>
      <c r="P23" s="9">
        <f>N23+P22</f>
        <v>24084.109999999844</v>
      </c>
      <c r="Q23" s="5" t="str">
        <f>TEXT(Table13[[#This Row],[Closing Date]],"yyyy")</f>
        <v>2023</v>
      </c>
      <c r="R23" s="5" t="str">
        <f>TEXT(Table13[[#This Row],[Closing Date]],"mmmm")</f>
        <v>February</v>
      </c>
      <c r="S23" s="5" t="s">
        <v>240</v>
      </c>
      <c r="T23" s="5" t="s">
        <v>301</v>
      </c>
    </row>
    <row r="24" spans="1:20" x14ac:dyDescent="0.25">
      <c r="A24" t="s">
        <v>215</v>
      </c>
      <c r="B24" t="s">
        <v>304</v>
      </c>
      <c r="C24" t="s">
        <v>12</v>
      </c>
      <c r="D24" t="s">
        <v>5</v>
      </c>
      <c r="E24" s="5"/>
      <c r="F24" s="7">
        <v>44984</v>
      </c>
      <c r="G24" t="s">
        <v>82</v>
      </c>
      <c r="H24">
        <v>3</v>
      </c>
      <c r="I24" s="5">
        <v>600531.6</v>
      </c>
      <c r="K24" s="5">
        <v>600180.9</v>
      </c>
      <c r="L24" s="5">
        <v>4003.5439999999999</v>
      </c>
      <c r="M24" s="5">
        <v>4001.2060000000001</v>
      </c>
      <c r="N24" s="5">
        <v>-350.69999999995343</v>
      </c>
      <c r="O24" s="3">
        <v>-5.8398259142393297E-4</v>
      </c>
      <c r="P24" s="9">
        <f>N24+P23</f>
        <v>23733.409999999891</v>
      </c>
      <c r="Q24" s="5" t="str">
        <f>TEXT(Table13[[#This Row],[Closing Date]],"yyyy")</f>
        <v>2023</v>
      </c>
      <c r="R24" s="5" t="str">
        <f>TEXT(Table13[[#This Row],[Closing Date]],"mmmm")</f>
        <v>February</v>
      </c>
      <c r="S24" s="5" t="s">
        <v>240</v>
      </c>
      <c r="T24" s="5" t="s">
        <v>301</v>
      </c>
    </row>
    <row r="25" spans="1:20" x14ac:dyDescent="0.25">
      <c r="A25" t="s">
        <v>215</v>
      </c>
      <c r="B25" t="s">
        <v>304</v>
      </c>
      <c r="C25" t="s">
        <v>12</v>
      </c>
      <c r="D25" t="s">
        <v>5</v>
      </c>
      <c r="E25" s="5"/>
      <c r="F25" s="7">
        <v>44984</v>
      </c>
      <c r="G25" t="s">
        <v>82</v>
      </c>
      <c r="H25">
        <v>10</v>
      </c>
      <c r="I25" s="5">
        <v>1999022</v>
      </c>
      <c r="K25" s="5">
        <v>2011353</v>
      </c>
      <c r="L25" s="5">
        <v>3998.0440000000003</v>
      </c>
      <c r="M25" s="5">
        <v>4022.7059999999997</v>
      </c>
      <c r="N25" s="5">
        <v>12331</v>
      </c>
      <c r="O25" s="3">
        <v>6.1685164045216486E-3</v>
      </c>
      <c r="P25" s="9">
        <f>N25+P24</f>
        <v>36064.409999999887</v>
      </c>
      <c r="Q25" s="5" t="str">
        <f>TEXT(Table13[[#This Row],[Closing Date]],"yyyy")</f>
        <v>2023</v>
      </c>
      <c r="R25" s="5" t="str">
        <f>TEXT(Table13[[#This Row],[Closing Date]],"mmmm")</f>
        <v>February</v>
      </c>
      <c r="S25" s="5" t="s">
        <v>240</v>
      </c>
      <c r="T25" s="5" t="s">
        <v>301</v>
      </c>
    </row>
    <row r="26" spans="1:20" x14ac:dyDescent="0.25">
      <c r="A26" t="s">
        <v>215</v>
      </c>
      <c r="B26" t="s">
        <v>304</v>
      </c>
      <c r="C26" t="s">
        <v>12</v>
      </c>
      <c r="D26" t="s">
        <v>5</v>
      </c>
      <c r="E26" s="5"/>
      <c r="F26" s="7">
        <v>44985</v>
      </c>
      <c r="G26" t="s">
        <v>82</v>
      </c>
      <c r="H26">
        <v>4</v>
      </c>
      <c r="I26" s="5">
        <v>798108.8</v>
      </c>
      <c r="K26" s="5">
        <v>799491.2</v>
      </c>
      <c r="L26" s="5">
        <v>3990.5440000000003</v>
      </c>
      <c r="M26" s="5">
        <v>3997.4559999999997</v>
      </c>
      <c r="N26" s="5">
        <v>1382.3999999999069</v>
      </c>
      <c r="O26" s="3">
        <v>1.7320946718039827E-3</v>
      </c>
      <c r="P26" s="9">
        <f>N26+P25</f>
        <v>37446.809999999794</v>
      </c>
      <c r="Q26" s="5" t="str">
        <f>TEXT(Table13[[#This Row],[Closing Date]],"yyyy")</f>
        <v>2023</v>
      </c>
      <c r="R26" s="5" t="str">
        <f>TEXT(Table13[[#This Row],[Closing Date]],"mmmm")</f>
        <v>February</v>
      </c>
      <c r="S26" s="5" t="s">
        <v>240</v>
      </c>
      <c r="T26" s="5" t="s">
        <v>301</v>
      </c>
    </row>
    <row r="27" spans="1:20" x14ac:dyDescent="0.25">
      <c r="A27" t="s">
        <v>215</v>
      </c>
      <c r="B27" t="s">
        <v>304</v>
      </c>
      <c r="C27" t="s">
        <v>12</v>
      </c>
      <c r="D27" t="s">
        <v>7</v>
      </c>
      <c r="E27" s="5"/>
      <c r="F27" s="7">
        <v>44986</v>
      </c>
      <c r="G27" t="s">
        <v>184</v>
      </c>
      <c r="H27">
        <v>100</v>
      </c>
      <c r="I27" s="5">
        <v>1976562</v>
      </c>
      <c r="K27" s="5">
        <v>1980438</v>
      </c>
      <c r="L27" s="5">
        <v>3953.1240000000003</v>
      </c>
      <c r="M27" s="5">
        <v>3960.8759999999997</v>
      </c>
      <c r="N27" s="5">
        <v>3876</v>
      </c>
      <c r="O27" s="3">
        <v>1.9609807332123903E-3</v>
      </c>
      <c r="P27" s="9">
        <f>N27+P26</f>
        <v>41322.809999999794</v>
      </c>
      <c r="Q27" s="5" t="str">
        <f>TEXT(Table13[[#This Row],[Closing Date]],"yyyy")</f>
        <v>2023</v>
      </c>
      <c r="R27" s="5" t="str">
        <f>TEXT(Table13[[#This Row],[Closing Date]],"mmmm")</f>
        <v>March</v>
      </c>
      <c r="S27" s="5" t="s">
        <v>240</v>
      </c>
      <c r="T27" s="5" t="s">
        <v>301</v>
      </c>
    </row>
    <row r="28" spans="1:20" x14ac:dyDescent="0.25">
      <c r="A28" t="s">
        <v>215</v>
      </c>
      <c r="B28" t="s">
        <v>304</v>
      </c>
      <c r="C28" t="s">
        <v>12</v>
      </c>
      <c r="D28" t="s">
        <v>7</v>
      </c>
      <c r="E28" s="5"/>
      <c r="F28" s="7">
        <v>44986</v>
      </c>
      <c r="G28" t="s">
        <v>184</v>
      </c>
      <c r="H28">
        <v>133</v>
      </c>
      <c r="I28" s="5">
        <v>2623507.46</v>
      </c>
      <c r="K28" s="5">
        <v>2641962.54</v>
      </c>
      <c r="L28" s="5">
        <v>3945.1239999999998</v>
      </c>
      <c r="M28" s="5">
        <v>3972.8760000000002</v>
      </c>
      <c r="N28" s="5">
        <v>18455.080000000075</v>
      </c>
      <c r="O28" s="3">
        <v>7.0345063932085302E-3</v>
      </c>
      <c r="P28" s="9">
        <f>N28+P27</f>
        <v>59777.889999999868</v>
      </c>
      <c r="Q28" s="5" t="str">
        <f>TEXT(Table13[[#This Row],[Closing Date]],"yyyy")</f>
        <v>2023</v>
      </c>
      <c r="R28" s="5" t="str">
        <f>TEXT(Table13[[#This Row],[Closing Date]],"mmmm")</f>
        <v>March</v>
      </c>
      <c r="S28" s="5" t="s">
        <v>240</v>
      </c>
      <c r="T28" s="5" t="s">
        <v>301</v>
      </c>
    </row>
    <row r="29" spans="1:20" x14ac:dyDescent="0.25">
      <c r="A29" t="s">
        <v>215</v>
      </c>
      <c r="B29" t="s">
        <v>304</v>
      </c>
      <c r="C29" t="s">
        <v>12</v>
      </c>
      <c r="D29" t="s">
        <v>5</v>
      </c>
      <c r="E29" s="5"/>
      <c r="F29" s="7">
        <v>44987</v>
      </c>
      <c r="G29" t="s">
        <v>82</v>
      </c>
      <c r="H29">
        <v>15</v>
      </c>
      <c r="I29" s="5">
        <v>2982033</v>
      </c>
      <c r="K29" s="5">
        <v>2975967</v>
      </c>
      <c r="L29" s="5">
        <v>3976.0440000000003</v>
      </c>
      <c r="M29" s="5">
        <v>3967.9559999999997</v>
      </c>
      <c r="N29" s="5">
        <v>-6066</v>
      </c>
      <c r="O29" s="3">
        <v>-2.034182720312111E-3</v>
      </c>
      <c r="P29" s="9">
        <f>N29+P28</f>
        <v>53711.889999999868</v>
      </c>
      <c r="Q29" s="5" t="str">
        <f>TEXT(Table13[[#This Row],[Closing Date]],"yyyy")</f>
        <v>2023</v>
      </c>
      <c r="R29" s="5" t="str">
        <f>TEXT(Table13[[#This Row],[Closing Date]],"mmmm")</f>
        <v>March</v>
      </c>
      <c r="S29" s="5" t="s">
        <v>240</v>
      </c>
      <c r="T29" s="5" t="s">
        <v>301</v>
      </c>
    </row>
    <row r="30" spans="1:20" x14ac:dyDescent="0.25">
      <c r="A30" t="s">
        <v>215</v>
      </c>
      <c r="B30" t="s">
        <v>304</v>
      </c>
      <c r="C30" t="s">
        <v>12</v>
      </c>
      <c r="D30" t="s">
        <v>5</v>
      </c>
      <c r="E30" s="5"/>
      <c r="F30" s="7">
        <v>44987</v>
      </c>
      <c r="G30" t="s">
        <v>82</v>
      </c>
      <c r="H30">
        <v>12</v>
      </c>
      <c r="I30" s="5">
        <v>2394626.4</v>
      </c>
      <c r="K30" s="5">
        <v>2388723.6</v>
      </c>
      <c r="L30" s="5">
        <v>3991.0439999999999</v>
      </c>
      <c r="M30" s="5">
        <v>3981.2060000000001</v>
      </c>
      <c r="N30" s="5">
        <v>-5902.7999999998137</v>
      </c>
      <c r="O30" s="3">
        <v>-2.4650191779393409E-3</v>
      </c>
      <c r="P30" s="9">
        <f>N30+P29</f>
        <v>47809.090000000055</v>
      </c>
      <c r="Q30" s="5" t="str">
        <f>TEXT(Table13[[#This Row],[Closing Date]],"yyyy")</f>
        <v>2023</v>
      </c>
      <c r="R30" s="5" t="str">
        <f>TEXT(Table13[[#This Row],[Closing Date]],"mmmm")</f>
        <v>March</v>
      </c>
      <c r="S30" s="5" t="s">
        <v>240</v>
      </c>
      <c r="T30" s="5" t="s">
        <v>301</v>
      </c>
    </row>
    <row r="31" spans="1:20" x14ac:dyDescent="0.25">
      <c r="A31" t="s">
        <v>215</v>
      </c>
      <c r="B31" t="s">
        <v>304</v>
      </c>
      <c r="C31" t="s">
        <v>12</v>
      </c>
      <c r="D31" t="s">
        <v>5</v>
      </c>
      <c r="E31" s="5"/>
      <c r="F31" s="7">
        <v>44988</v>
      </c>
      <c r="G31" t="s">
        <v>82</v>
      </c>
      <c r="H31">
        <v>25</v>
      </c>
      <c r="I31" s="5">
        <v>5020055</v>
      </c>
      <c r="K31" s="5">
        <v>5015945</v>
      </c>
      <c r="L31" s="5">
        <v>4016.0440000000003</v>
      </c>
      <c r="M31" s="5">
        <v>4012.7559999999999</v>
      </c>
      <c r="N31" s="5">
        <v>-4110</v>
      </c>
      <c r="O31" s="3">
        <v>-8.1871612960427364E-4</v>
      </c>
      <c r="P31" s="9">
        <f>N31+P30</f>
        <v>43699.090000000055</v>
      </c>
      <c r="Q31" s="5" t="str">
        <f>TEXT(Table13[[#This Row],[Closing Date]],"yyyy")</f>
        <v>2023</v>
      </c>
      <c r="R31" s="5" t="str">
        <f>TEXT(Table13[[#This Row],[Closing Date]],"mmmm")</f>
        <v>March</v>
      </c>
      <c r="S31" s="5" t="s">
        <v>240</v>
      </c>
      <c r="T31" s="5" t="s">
        <v>301</v>
      </c>
    </row>
    <row r="32" spans="1:20" x14ac:dyDescent="0.25">
      <c r="A32" t="s">
        <v>215</v>
      </c>
      <c r="B32" t="s">
        <v>304</v>
      </c>
      <c r="C32" t="s">
        <v>12</v>
      </c>
      <c r="D32" t="s">
        <v>5</v>
      </c>
      <c r="E32" s="5"/>
      <c r="F32" s="7">
        <v>44988</v>
      </c>
      <c r="G32" t="s">
        <v>82</v>
      </c>
      <c r="H32">
        <v>10</v>
      </c>
      <c r="I32" s="5">
        <v>2000772</v>
      </c>
      <c r="K32" s="5">
        <v>1996728</v>
      </c>
      <c r="L32" s="5">
        <v>4001.5440000000003</v>
      </c>
      <c r="M32" s="5">
        <v>3993.4559999999997</v>
      </c>
      <c r="N32" s="5">
        <v>-4044</v>
      </c>
      <c r="O32" s="3">
        <v>-2.0212198091538285E-3</v>
      </c>
      <c r="P32" s="9">
        <f>N32+P31</f>
        <v>39655.090000000055</v>
      </c>
      <c r="Q32" s="5" t="str">
        <f>TEXT(Table13[[#This Row],[Closing Date]],"yyyy")</f>
        <v>2023</v>
      </c>
      <c r="R32" s="5" t="str">
        <f>TEXT(Table13[[#This Row],[Closing Date]],"mmmm")</f>
        <v>March</v>
      </c>
      <c r="S32" s="5" t="s">
        <v>240</v>
      </c>
      <c r="T32" s="5" t="s">
        <v>301</v>
      </c>
    </row>
    <row r="33" spans="1:20" x14ac:dyDescent="0.25">
      <c r="A33" t="s">
        <v>215</v>
      </c>
      <c r="B33" t="s">
        <v>304</v>
      </c>
      <c r="C33" t="s">
        <v>12</v>
      </c>
      <c r="D33" t="s">
        <v>5</v>
      </c>
      <c r="E33" s="5"/>
      <c r="F33" s="7">
        <v>44988</v>
      </c>
      <c r="G33" t="s">
        <v>82</v>
      </c>
      <c r="H33">
        <v>8</v>
      </c>
      <c r="I33" s="5">
        <v>1599317.6</v>
      </c>
      <c r="K33" s="5">
        <v>1595282.4</v>
      </c>
      <c r="L33" s="5">
        <v>3998.2940000000003</v>
      </c>
      <c r="M33" s="5">
        <v>3988.2059999999997</v>
      </c>
      <c r="N33" s="5">
        <v>-4035.2000000001863</v>
      </c>
      <c r="O33" s="3">
        <v>-2.5230760919533798E-3</v>
      </c>
      <c r="P33" s="9">
        <f>N33+P32</f>
        <v>35619.889999999868</v>
      </c>
      <c r="Q33" s="5" t="str">
        <f>TEXT(Table13[[#This Row],[Closing Date]],"yyyy")</f>
        <v>2023</v>
      </c>
      <c r="R33" s="5" t="str">
        <f>TEXT(Table13[[#This Row],[Closing Date]],"mmmm")</f>
        <v>March</v>
      </c>
      <c r="S33" s="5" t="s">
        <v>240</v>
      </c>
      <c r="T33" s="5" t="s">
        <v>301</v>
      </c>
    </row>
    <row r="34" spans="1:20" x14ac:dyDescent="0.25">
      <c r="A34" t="s">
        <v>215</v>
      </c>
      <c r="B34" t="s">
        <v>304</v>
      </c>
      <c r="C34" t="s">
        <v>12</v>
      </c>
      <c r="D34" t="s">
        <v>5</v>
      </c>
      <c r="E34" s="5"/>
      <c r="F34" s="7">
        <v>44991</v>
      </c>
      <c r="G34" t="s">
        <v>82</v>
      </c>
      <c r="H34">
        <v>10</v>
      </c>
      <c r="I34" s="5">
        <v>2035897</v>
      </c>
      <c r="K34" s="5">
        <v>2031978</v>
      </c>
      <c r="L34" s="5">
        <v>4071.7940000000003</v>
      </c>
      <c r="M34" s="5">
        <v>4063.9559999999997</v>
      </c>
      <c r="N34" s="5">
        <v>-3919</v>
      </c>
      <c r="O34" s="3">
        <v>-1.9249500343093602E-3</v>
      </c>
      <c r="P34" s="9">
        <f>N34+P33</f>
        <v>31700.889999999868</v>
      </c>
      <c r="Q34" s="5" t="str">
        <f>TEXT(Table13[[#This Row],[Closing Date]],"yyyy")</f>
        <v>2023</v>
      </c>
      <c r="R34" s="5" t="str">
        <f>TEXT(Table13[[#This Row],[Closing Date]],"mmmm")</f>
        <v>March</v>
      </c>
      <c r="S34" s="5" t="s">
        <v>240</v>
      </c>
      <c r="T34" s="5" t="s">
        <v>301</v>
      </c>
    </row>
    <row r="35" spans="1:20" x14ac:dyDescent="0.25">
      <c r="A35" t="s">
        <v>215</v>
      </c>
      <c r="B35" t="s">
        <v>304</v>
      </c>
      <c r="C35" t="s">
        <v>12</v>
      </c>
      <c r="D35" t="s">
        <v>7</v>
      </c>
      <c r="E35" s="5"/>
      <c r="F35" s="7">
        <v>44992</v>
      </c>
      <c r="G35" t="s">
        <v>82</v>
      </c>
      <c r="H35">
        <v>8</v>
      </c>
      <c r="I35" s="5">
        <v>1620017.6</v>
      </c>
      <c r="K35" s="5">
        <v>1617782.4</v>
      </c>
      <c r="L35" s="5">
        <v>4050.0440000000003</v>
      </c>
      <c r="M35" s="5">
        <v>4044.4559999999997</v>
      </c>
      <c r="N35" s="5">
        <v>-2235.2000000001863</v>
      </c>
      <c r="O35" s="3">
        <v>-1.3797380966726897E-3</v>
      </c>
      <c r="P35" s="9">
        <f>N35+P34</f>
        <v>29465.689999999682</v>
      </c>
      <c r="Q35" s="5" t="str">
        <f>TEXT(Table13[[#This Row],[Closing Date]],"yyyy")</f>
        <v>2023</v>
      </c>
      <c r="R35" s="5" t="str">
        <f>TEXT(Table13[[#This Row],[Closing Date]],"mmmm")</f>
        <v>March</v>
      </c>
      <c r="S35" s="5" t="s">
        <v>240</v>
      </c>
      <c r="T35" s="5" t="s">
        <v>301</v>
      </c>
    </row>
    <row r="36" spans="1:20" x14ac:dyDescent="0.25">
      <c r="A36" t="s">
        <v>215</v>
      </c>
      <c r="B36" t="s">
        <v>304</v>
      </c>
      <c r="C36" t="s">
        <v>12</v>
      </c>
      <c r="D36" t="s">
        <v>7</v>
      </c>
      <c r="E36" s="5"/>
      <c r="F36" s="7">
        <v>44992</v>
      </c>
      <c r="G36" t="s">
        <v>82</v>
      </c>
      <c r="H36">
        <v>4</v>
      </c>
      <c r="I36" s="5">
        <v>800558.8</v>
      </c>
      <c r="K36" s="5">
        <v>798691.2</v>
      </c>
      <c r="L36" s="5">
        <v>4002.7940000000003</v>
      </c>
      <c r="M36" s="5">
        <v>3993.4559999999997</v>
      </c>
      <c r="N36" s="5">
        <v>-1867.6000000000931</v>
      </c>
      <c r="O36" s="3">
        <v>-2.3328704899629226E-3</v>
      </c>
      <c r="P36" s="9">
        <f>N36+P35</f>
        <v>27598.089999999589</v>
      </c>
      <c r="Q36" s="5" t="str">
        <f>TEXT(Table13[[#This Row],[Closing Date]],"yyyy")</f>
        <v>2023</v>
      </c>
      <c r="R36" s="5" t="str">
        <f>TEXT(Table13[[#This Row],[Closing Date]],"mmmm")</f>
        <v>March</v>
      </c>
      <c r="S36" s="5" t="s">
        <v>240</v>
      </c>
      <c r="T36" s="5" t="s">
        <v>301</v>
      </c>
    </row>
    <row r="37" spans="1:20" x14ac:dyDescent="0.25">
      <c r="A37" t="s">
        <v>215</v>
      </c>
      <c r="B37" t="s">
        <v>304</v>
      </c>
      <c r="C37" t="s">
        <v>12</v>
      </c>
      <c r="D37" t="s">
        <v>5</v>
      </c>
      <c r="E37" s="5"/>
      <c r="F37" s="7">
        <v>44992</v>
      </c>
      <c r="G37" t="s">
        <v>82</v>
      </c>
      <c r="H37">
        <v>8</v>
      </c>
      <c r="I37" s="5">
        <v>1598617.6000000001</v>
      </c>
      <c r="K37" s="5">
        <v>1597982.4</v>
      </c>
      <c r="L37" s="5">
        <v>3996.5440000000003</v>
      </c>
      <c r="M37" s="5">
        <v>3994.9559999999997</v>
      </c>
      <c r="N37" s="5">
        <v>-635.20000000018626</v>
      </c>
      <c r="O37" s="3">
        <v>-3.9734330461534953E-4</v>
      </c>
      <c r="P37" s="9">
        <f>N37+P36</f>
        <v>26962.889999999403</v>
      </c>
      <c r="Q37" s="5" t="str">
        <f>TEXT(Table13[[#This Row],[Closing Date]],"yyyy")</f>
        <v>2023</v>
      </c>
      <c r="R37" s="5" t="str">
        <f>TEXT(Table13[[#This Row],[Closing Date]],"mmmm")</f>
        <v>March</v>
      </c>
      <c r="S37" s="5" t="s">
        <v>240</v>
      </c>
      <c r="T37" s="5" t="s">
        <v>301</v>
      </c>
    </row>
    <row r="38" spans="1:20" x14ac:dyDescent="0.25">
      <c r="A38" t="s">
        <v>197</v>
      </c>
      <c r="B38" t="s">
        <v>302</v>
      </c>
      <c r="C38" t="s">
        <v>99</v>
      </c>
      <c r="D38" t="s">
        <v>7</v>
      </c>
      <c r="E38" s="5"/>
      <c r="F38" s="7">
        <v>44993</v>
      </c>
      <c r="G38" t="s">
        <v>103</v>
      </c>
      <c r="H38">
        <v>60</v>
      </c>
      <c r="I38" s="5">
        <v>6391.94</v>
      </c>
      <c r="J38" s="13">
        <v>100</v>
      </c>
      <c r="K38" s="5">
        <v>3302.88</v>
      </c>
      <c r="L38" s="5">
        <v>1.0653233333333332</v>
      </c>
      <c r="M38" s="5">
        <v>0.55047999999999997</v>
      </c>
      <c r="N38" s="5">
        <v>-3089.0599999999995</v>
      </c>
      <c r="O38" s="3">
        <v>-0.48327424850671308</v>
      </c>
      <c r="P38" s="9">
        <f>N38+P37</f>
        <v>23873.829999999405</v>
      </c>
      <c r="Q38" s="5" t="str">
        <f>TEXT(Table13[[#This Row],[Closing Date]],"yyyy")</f>
        <v>2023</v>
      </c>
      <c r="R38" s="5" t="str">
        <f>TEXT(Table13[[#This Row],[Closing Date]],"mmmm")</f>
        <v>March</v>
      </c>
      <c r="S38" s="5" t="s">
        <v>240</v>
      </c>
      <c r="T38" s="5" t="s">
        <v>301</v>
      </c>
    </row>
    <row r="39" spans="1:20" x14ac:dyDescent="0.25">
      <c r="A39" t="s">
        <v>215</v>
      </c>
      <c r="B39" t="s">
        <v>304</v>
      </c>
      <c r="C39" t="s">
        <v>12</v>
      </c>
      <c r="D39" t="s">
        <v>7</v>
      </c>
      <c r="E39" s="5"/>
      <c r="F39" s="7">
        <v>44993</v>
      </c>
      <c r="G39" t="s">
        <v>184</v>
      </c>
      <c r="H39">
        <v>50</v>
      </c>
      <c r="I39" s="5">
        <v>995253.5</v>
      </c>
      <c r="K39" s="5">
        <v>996594</v>
      </c>
      <c r="L39" s="5">
        <v>3981.0140000000001</v>
      </c>
      <c r="M39" s="5">
        <v>3986.3759999999997</v>
      </c>
      <c r="N39" s="5">
        <v>1340.5</v>
      </c>
      <c r="O39" s="3">
        <v>1.3468930277561509E-3</v>
      </c>
      <c r="P39" s="9">
        <f>N39+P38</f>
        <v>25214.329999999405</v>
      </c>
      <c r="Q39" s="5" t="str">
        <f>TEXT(Table13[[#This Row],[Closing Date]],"yyyy")</f>
        <v>2023</v>
      </c>
      <c r="R39" s="5" t="str">
        <f>TEXT(Table13[[#This Row],[Closing Date]],"mmmm")</f>
        <v>March</v>
      </c>
      <c r="S39" s="5" t="s">
        <v>240</v>
      </c>
      <c r="T39" s="5" t="s">
        <v>301</v>
      </c>
    </row>
    <row r="40" spans="1:20" x14ac:dyDescent="0.25">
      <c r="A40" t="s">
        <v>215</v>
      </c>
      <c r="B40" t="s">
        <v>304</v>
      </c>
      <c r="C40" t="s">
        <v>12</v>
      </c>
      <c r="D40" t="s">
        <v>7</v>
      </c>
      <c r="E40" s="5"/>
      <c r="F40" s="7">
        <v>44994</v>
      </c>
      <c r="G40" t="s">
        <v>82</v>
      </c>
      <c r="H40">
        <v>5</v>
      </c>
      <c r="I40" s="5">
        <v>987323.5</v>
      </c>
      <c r="K40" s="5">
        <v>986676.5</v>
      </c>
      <c r="L40" s="5">
        <v>3949.2940000000003</v>
      </c>
      <c r="M40" s="5">
        <v>3946.7059999999997</v>
      </c>
      <c r="N40" s="5">
        <v>-647</v>
      </c>
      <c r="O40" s="3">
        <v>-6.5530699917520636E-4</v>
      </c>
      <c r="P40" s="9">
        <f>N40+P39</f>
        <v>24567.329999999405</v>
      </c>
      <c r="Q40" s="5" t="str">
        <f>TEXT(Table13[[#This Row],[Closing Date]],"yyyy")</f>
        <v>2023</v>
      </c>
      <c r="R40" s="5" t="str">
        <f>TEXT(Table13[[#This Row],[Closing Date]],"mmmm")</f>
        <v>March</v>
      </c>
      <c r="S40" s="5" t="s">
        <v>240</v>
      </c>
      <c r="T40" s="5" t="s">
        <v>301</v>
      </c>
    </row>
    <row r="41" spans="1:20" x14ac:dyDescent="0.25">
      <c r="A41" t="s">
        <v>215</v>
      </c>
      <c r="B41" t="s">
        <v>304</v>
      </c>
      <c r="C41" t="s">
        <v>12</v>
      </c>
      <c r="D41" t="s">
        <v>5</v>
      </c>
      <c r="E41" s="5"/>
      <c r="F41" s="7">
        <v>44994</v>
      </c>
      <c r="G41" t="s">
        <v>82</v>
      </c>
      <c r="H41">
        <v>15</v>
      </c>
      <c r="I41" s="5">
        <v>2987908</v>
      </c>
      <c r="K41" s="5">
        <v>3009342</v>
      </c>
      <c r="L41" s="5">
        <v>3983.8773333333334</v>
      </c>
      <c r="M41" s="5">
        <v>4012.4559999999997</v>
      </c>
      <c r="N41" s="5">
        <v>21434</v>
      </c>
      <c r="O41" s="3">
        <v>7.1735809804049323E-3</v>
      </c>
      <c r="P41" s="9">
        <f>N41+P40</f>
        <v>46001.329999999405</v>
      </c>
      <c r="Q41" s="5" t="str">
        <f>TEXT(Table13[[#This Row],[Closing Date]],"yyyy")</f>
        <v>2023</v>
      </c>
      <c r="R41" s="5" t="str">
        <f>TEXT(Table13[[#This Row],[Closing Date]],"mmmm")</f>
        <v>March</v>
      </c>
      <c r="S41" s="5" t="s">
        <v>240</v>
      </c>
      <c r="T41" s="5" t="s">
        <v>301</v>
      </c>
    </row>
    <row r="42" spans="1:20" x14ac:dyDescent="0.25">
      <c r="A42" t="s">
        <v>201</v>
      </c>
      <c r="B42" t="s">
        <v>305</v>
      </c>
      <c r="C42" t="s">
        <v>16</v>
      </c>
      <c r="D42" t="s">
        <v>7</v>
      </c>
      <c r="E42" s="5"/>
      <c r="F42" s="7">
        <v>44994</v>
      </c>
      <c r="G42" t="s">
        <v>159</v>
      </c>
      <c r="H42">
        <v>333</v>
      </c>
      <c r="I42" s="5">
        <v>99733.5</v>
      </c>
      <c r="K42" s="5">
        <v>106541.85</v>
      </c>
      <c r="L42" s="5">
        <v>299.5</v>
      </c>
      <c r="M42" s="5">
        <v>319.94549549549549</v>
      </c>
      <c r="N42" s="5">
        <v>6808.3500000000058</v>
      </c>
      <c r="O42" s="3">
        <v>6.8265427363924921E-2</v>
      </c>
      <c r="P42" s="9">
        <f>N42+P41</f>
        <v>52809.679999999411</v>
      </c>
      <c r="Q42" s="5" t="str">
        <f>TEXT(Table13[[#This Row],[Closing Date]],"yyyy")</f>
        <v>2023</v>
      </c>
      <c r="R42" s="5" t="str">
        <f>TEXT(Table13[[#This Row],[Closing Date]],"mmmm")</f>
        <v>March</v>
      </c>
      <c r="S42" s="5" t="s">
        <v>240</v>
      </c>
      <c r="T42" s="5" t="s">
        <v>203</v>
      </c>
    </row>
    <row r="43" spans="1:20" x14ac:dyDescent="0.25">
      <c r="A43" t="s">
        <v>197</v>
      </c>
      <c r="B43" t="s">
        <v>302</v>
      </c>
      <c r="C43" t="s">
        <v>98</v>
      </c>
      <c r="D43" t="s">
        <v>7</v>
      </c>
      <c r="E43" s="5"/>
      <c r="F43" s="7">
        <v>44995</v>
      </c>
      <c r="G43" t="s">
        <v>51</v>
      </c>
      <c r="H43">
        <v>9</v>
      </c>
      <c r="I43" s="5">
        <v>3147.38</v>
      </c>
      <c r="J43" s="13">
        <v>100</v>
      </c>
      <c r="K43" s="5">
        <v>6614.1900000000005</v>
      </c>
      <c r="L43" s="5">
        <v>3.4970888888888889</v>
      </c>
      <c r="M43" s="5">
        <v>7.3491000000000009</v>
      </c>
      <c r="N43" s="5">
        <v>3466.8100000000004</v>
      </c>
      <c r="O43" s="3">
        <v>1.1014907637463542</v>
      </c>
      <c r="P43" s="9">
        <f>N43+P42</f>
        <v>56276.489999999409</v>
      </c>
      <c r="Q43" s="5" t="str">
        <f>TEXT(Table13[[#This Row],[Closing Date]],"yyyy")</f>
        <v>2023</v>
      </c>
      <c r="R43" s="5" t="str">
        <f>TEXT(Table13[[#This Row],[Closing Date]],"mmmm")</f>
        <v>March</v>
      </c>
      <c r="S43" s="5" t="s">
        <v>240</v>
      </c>
      <c r="T43" s="5" t="s">
        <v>301</v>
      </c>
    </row>
    <row r="44" spans="1:20" x14ac:dyDescent="0.25">
      <c r="A44" t="s">
        <v>197</v>
      </c>
      <c r="B44" t="s">
        <v>302</v>
      </c>
      <c r="C44" t="s">
        <v>99</v>
      </c>
      <c r="D44" t="s">
        <v>7</v>
      </c>
      <c r="E44" s="5"/>
      <c r="F44" s="7">
        <v>44995</v>
      </c>
      <c r="G44" t="s">
        <v>39</v>
      </c>
      <c r="H44">
        <v>150</v>
      </c>
      <c r="I44" s="5">
        <v>2278.16</v>
      </c>
      <c r="J44" s="13">
        <v>100</v>
      </c>
      <c r="K44" s="5">
        <v>5950.2300000000014</v>
      </c>
      <c r="L44" s="5">
        <v>0.15187733333333331</v>
      </c>
      <c r="M44" s="5">
        <v>0.39668200000000003</v>
      </c>
      <c r="N44" s="5">
        <v>3672.0700000000015</v>
      </c>
      <c r="O44" s="3">
        <v>1.6118578150788363</v>
      </c>
      <c r="P44" s="9">
        <f>N44+P43</f>
        <v>59948.559999999408</v>
      </c>
      <c r="Q44" s="5" t="str">
        <f>TEXT(Table13[[#This Row],[Closing Date]],"yyyy")</f>
        <v>2023</v>
      </c>
      <c r="R44" s="5" t="str">
        <f>TEXT(Table13[[#This Row],[Closing Date]],"mmmm")</f>
        <v>March</v>
      </c>
      <c r="S44" s="5" t="s">
        <v>240</v>
      </c>
      <c r="T44" s="5" t="s">
        <v>301</v>
      </c>
    </row>
    <row r="45" spans="1:20" x14ac:dyDescent="0.25">
      <c r="A45" t="s">
        <v>215</v>
      </c>
      <c r="B45" t="s">
        <v>304</v>
      </c>
      <c r="C45" t="s">
        <v>12</v>
      </c>
      <c r="D45" t="s">
        <v>7</v>
      </c>
      <c r="E45" s="5"/>
      <c r="F45" s="7">
        <v>44995</v>
      </c>
      <c r="G45" t="s">
        <v>82</v>
      </c>
      <c r="H45">
        <v>10</v>
      </c>
      <c r="I45" s="5">
        <v>1941522</v>
      </c>
      <c r="K45" s="5">
        <v>1945978</v>
      </c>
      <c r="L45" s="5">
        <v>3883.0440000000003</v>
      </c>
      <c r="M45" s="5">
        <v>3891.9559999999997</v>
      </c>
      <c r="N45" s="5">
        <v>4456</v>
      </c>
      <c r="O45" s="3">
        <v>2.2951066225361731E-3</v>
      </c>
      <c r="P45" s="9">
        <f>N45+P44</f>
        <v>64404.559999999408</v>
      </c>
      <c r="Q45" s="5" t="str">
        <f>TEXT(Table13[[#This Row],[Closing Date]],"yyyy")</f>
        <v>2023</v>
      </c>
      <c r="R45" s="5" t="str">
        <f>TEXT(Table13[[#This Row],[Closing Date]],"mmmm")</f>
        <v>March</v>
      </c>
      <c r="S45" s="5" t="s">
        <v>240</v>
      </c>
      <c r="T45" s="5" t="s">
        <v>301</v>
      </c>
    </row>
    <row r="46" spans="1:20" x14ac:dyDescent="0.25">
      <c r="A46" t="s">
        <v>215</v>
      </c>
      <c r="B46" t="s">
        <v>304</v>
      </c>
      <c r="C46" t="s">
        <v>12</v>
      </c>
      <c r="D46" t="s">
        <v>5</v>
      </c>
      <c r="E46" s="5"/>
      <c r="F46" s="7">
        <v>44998</v>
      </c>
      <c r="G46" t="s">
        <v>82</v>
      </c>
      <c r="H46">
        <v>4</v>
      </c>
      <c r="I46" s="5">
        <v>784458.8</v>
      </c>
      <c r="K46" s="5">
        <v>781891.2</v>
      </c>
      <c r="L46" s="5">
        <v>3922.2940000000003</v>
      </c>
      <c r="M46" s="5">
        <v>3909.4559999999997</v>
      </c>
      <c r="N46" s="5">
        <v>-2567.6000000000931</v>
      </c>
      <c r="O46" s="3">
        <v>-3.2730845775458561E-3</v>
      </c>
      <c r="P46" s="9">
        <f>N46+P45</f>
        <v>61836.959999999315</v>
      </c>
      <c r="Q46" s="5" t="str">
        <f>TEXT(Table13[[#This Row],[Closing Date]],"yyyy")</f>
        <v>2023</v>
      </c>
      <c r="R46" s="5" t="str">
        <f>TEXT(Table13[[#This Row],[Closing Date]],"mmmm")</f>
        <v>March</v>
      </c>
      <c r="S46" s="5" t="s">
        <v>240</v>
      </c>
      <c r="T46" s="5" t="s">
        <v>301</v>
      </c>
    </row>
    <row r="47" spans="1:20" x14ac:dyDescent="0.25">
      <c r="A47" t="s">
        <v>215</v>
      </c>
      <c r="B47" t="s">
        <v>304</v>
      </c>
      <c r="C47" t="s">
        <v>12</v>
      </c>
      <c r="D47" t="s">
        <v>5</v>
      </c>
      <c r="E47" s="5"/>
      <c r="F47" s="7">
        <v>44998</v>
      </c>
      <c r="G47" t="s">
        <v>82</v>
      </c>
      <c r="H47">
        <v>4</v>
      </c>
      <c r="I47" s="5">
        <v>783608.8</v>
      </c>
      <c r="K47" s="5">
        <v>781591.2</v>
      </c>
      <c r="L47" s="5">
        <v>3918.0440000000003</v>
      </c>
      <c r="M47" s="5">
        <v>3907.9559999999997</v>
      </c>
      <c r="N47" s="5">
        <v>-2017.6000000000931</v>
      </c>
      <c r="O47" s="3">
        <v>-2.5747541375238888E-3</v>
      </c>
      <c r="P47" s="9">
        <f>N47+P46</f>
        <v>59819.359999999222</v>
      </c>
      <c r="Q47" s="5" t="str">
        <f>TEXT(Table13[[#This Row],[Closing Date]],"yyyy")</f>
        <v>2023</v>
      </c>
      <c r="R47" s="5" t="str">
        <f>TEXT(Table13[[#This Row],[Closing Date]],"mmmm")</f>
        <v>March</v>
      </c>
      <c r="S47" s="5" t="s">
        <v>240</v>
      </c>
      <c r="T47" s="5" t="s">
        <v>301</v>
      </c>
    </row>
    <row r="48" spans="1:20" x14ac:dyDescent="0.25">
      <c r="A48" t="s">
        <v>215</v>
      </c>
      <c r="B48" t="s">
        <v>304</v>
      </c>
      <c r="C48" t="s">
        <v>12</v>
      </c>
      <c r="D48" t="s">
        <v>5</v>
      </c>
      <c r="E48" s="5"/>
      <c r="F48" s="7">
        <v>44998</v>
      </c>
      <c r="G48" t="s">
        <v>82</v>
      </c>
      <c r="H48">
        <v>4</v>
      </c>
      <c r="I48" s="5">
        <v>777883.8</v>
      </c>
      <c r="K48" s="5">
        <v>784991.2</v>
      </c>
      <c r="L48" s="5">
        <v>3889.4190000000003</v>
      </c>
      <c r="M48" s="5">
        <v>3924.9559999999997</v>
      </c>
      <c r="N48" s="5">
        <v>7107.3999999999069</v>
      </c>
      <c r="O48" s="3">
        <v>9.1368402324355762E-3</v>
      </c>
      <c r="P48" s="9">
        <f>N48+P47</f>
        <v>66926.759999999136</v>
      </c>
      <c r="Q48" s="5" t="str">
        <f>TEXT(Table13[[#This Row],[Closing Date]],"yyyy")</f>
        <v>2023</v>
      </c>
      <c r="R48" s="5" t="str">
        <f>TEXT(Table13[[#This Row],[Closing Date]],"mmmm")</f>
        <v>March</v>
      </c>
      <c r="S48" s="5" t="s">
        <v>240</v>
      </c>
      <c r="T48" s="5" t="s">
        <v>301</v>
      </c>
    </row>
    <row r="49" spans="1:20" x14ac:dyDescent="0.25">
      <c r="A49" t="s">
        <v>215</v>
      </c>
      <c r="B49" t="s">
        <v>304</v>
      </c>
      <c r="C49" t="s">
        <v>12</v>
      </c>
      <c r="D49" t="s">
        <v>5</v>
      </c>
      <c r="E49" s="5"/>
      <c r="F49" s="7">
        <v>44999</v>
      </c>
      <c r="G49" t="s">
        <v>82</v>
      </c>
      <c r="H49">
        <v>15</v>
      </c>
      <c r="I49" s="5">
        <v>2963845.5</v>
      </c>
      <c r="K49" s="5">
        <v>2958967</v>
      </c>
      <c r="L49" s="5">
        <v>3951.7940000000003</v>
      </c>
      <c r="M49" s="5">
        <v>3945.2893333333332</v>
      </c>
      <c r="N49" s="5">
        <v>-4878.5</v>
      </c>
      <c r="O49" s="3">
        <v>-1.6460034775768074E-3</v>
      </c>
      <c r="P49" s="9">
        <f>N49+P48</f>
        <v>62048.259999999136</v>
      </c>
      <c r="Q49" s="5" t="str">
        <f>TEXT(Table13[[#This Row],[Closing Date]],"yyyy")</f>
        <v>2023</v>
      </c>
      <c r="R49" s="5" t="str">
        <f>TEXT(Table13[[#This Row],[Closing Date]],"mmmm")</f>
        <v>March</v>
      </c>
      <c r="S49" s="5" t="s">
        <v>240</v>
      </c>
      <c r="T49" s="5" t="s">
        <v>301</v>
      </c>
    </row>
    <row r="50" spans="1:20" x14ac:dyDescent="0.25">
      <c r="A50" t="s">
        <v>215</v>
      </c>
      <c r="B50" t="s">
        <v>304</v>
      </c>
      <c r="C50" t="s">
        <v>12</v>
      </c>
      <c r="D50" t="s">
        <v>5</v>
      </c>
      <c r="E50" s="5"/>
      <c r="F50" s="7">
        <v>44999</v>
      </c>
      <c r="G50" t="s">
        <v>82</v>
      </c>
      <c r="H50">
        <v>8</v>
      </c>
      <c r="I50" s="5">
        <v>1570442.6</v>
      </c>
      <c r="K50" s="5">
        <v>1587582.4</v>
      </c>
      <c r="L50" s="5">
        <v>3926.1065000000003</v>
      </c>
      <c r="M50" s="5">
        <v>3968.9559999999997</v>
      </c>
      <c r="N50" s="5">
        <v>17139.799999999814</v>
      </c>
      <c r="O50" s="3">
        <v>1.0913993290808425E-2</v>
      </c>
      <c r="P50" s="9">
        <f>N50+P49</f>
        <v>79188.05999999895</v>
      </c>
      <c r="Q50" s="5" t="str">
        <f>TEXT(Table13[[#This Row],[Closing Date]],"yyyy")</f>
        <v>2023</v>
      </c>
      <c r="R50" s="5" t="str">
        <f>TEXT(Table13[[#This Row],[Closing Date]],"mmmm")</f>
        <v>March</v>
      </c>
      <c r="S50" s="5" t="s">
        <v>240</v>
      </c>
      <c r="T50" s="5" t="s">
        <v>301</v>
      </c>
    </row>
    <row r="51" spans="1:20" x14ac:dyDescent="0.25">
      <c r="A51" t="s">
        <v>215</v>
      </c>
      <c r="B51" t="s">
        <v>304</v>
      </c>
      <c r="C51" t="s">
        <v>12</v>
      </c>
      <c r="D51" t="s">
        <v>5</v>
      </c>
      <c r="E51" s="5"/>
      <c r="F51" s="7">
        <v>45001</v>
      </c>
      <c r="G51" t="s">
        <v>82</v>
      </c>
      <c r="H51">
        <v>15</v>
      </c>
      <c r="I51" s="5">
        <v>2994783</v>
      </c>
      <c r="K51" s="5">
        <v>2988717</v>
      </c>
      <c r="L51" s="5">
        <v>3993.0440000000003</v>
      </c>
      <c r="M51" s="5">
        <v>3984.9559999999997</v>
      </c>
      <c r="N51" s="5">
        <v>-6066</v>
      </c>
      <c r="O51" s="3">
        <v>-2.0255223834249377E-3</v>
      </c>
      <c r="P51" s="9">
        <f>N51+P50</f>
        <v>73122.05999999895</v>
      </c>
      <c r="Q51" s="5" t="str">
        <f>TEXT(Table13[[#This Row],[Closing Date]],"yyyy")</f>
        <v>2023</v>
      </c>
      <c r="R51" s="5" t="str">
        <f>TEXT(Table13[[#This Row],[Closing Date]],"mmmm")</f>
        <v>March</v>
      </c>
      <c r="S51" s="5" t="s">
        <v>240</v>
      </c>
      <c r="T51" s="5" t="s">
        <v>301</v>
      </c>
    </row>
    <row r="52" spans="1:20" x14ac:dyDescent="0.25">
      <c r="A52" t="s">
        <v>215</v>
      </c>
      <c r="B52" t="s">
        <v>304</v>
      </c>
      <c r="C52" t="s">
        <v>12</v>
      </c>
      <c r="D52" t="s">
        <v>5</v>
      </c>
      <c r="E52" s="5"/>
      <c r="F52" s="7">
        <v>45001</v>
      </c>
      <c r="G52" t="s">
        <v>82</v>
      </c>
      <c r="H52">
        <v>15</v>
      </c>
      <c r="I52" s="5">
        <v>2978095.5</v>
      </c>
      <c r="K52" s="5">
        <v>2972217</v>
      </c>
      <c r="L52" s="5">
        <v>3970.7940000000003</v>
      </c>
      <c r="M52" s="5">
        <v>3962.9559999999997</v>
      </c>
      <c r="N52" s="5">
        <v>-5878.5</v>
      </c>
      <c r="O52" s="3">
        <v>-1.9739125222816008E-3</v>
      </c>
      <c r="P52" s="9">
        <f>N52+P51</f>
        <v>67243.55999999895</v>
      </c>
      <c r="Q52" s="5" t="str">
        <f>TEXT(Table13[[#This Row],[Closing Date]],"yyyy")</f>
        <v>2023</v>
      </c>
      <c r="R52" s="5" t="str">
        <f>TEXT(Table13[[#This Row],[Closing Date]],"mmmm")</f>
        <v>March</v>
      </c>
      <c r="S52" s="5" t="s">
        <v>240</v>
      </c>
      <c r="T52" s="5" t="s">
        <v>301</v>
      </c>
    </row>
    <row r="53" spans="1:20" x14ac:dyDescent="0.25">
      <c r="A53" t="s">
        <v>215</v>
      </c>
      <c r="B53" t="s">
        <v>304</v>
      </c>
      <c r="C53" t="s">
        <v>12</v>
      </c>
      <c r="D53" t="s">
        <v>7</v>
      </c>
      <c r="E53" s="5"/>
      <c r="F53" s="7">
        <v>45001</v>
      </c>
      <c r="G53" t="s">
        <v>82</v>
      </c>
      <c r="H53">
        <v>5</v>
      </c>
      <c r="I53" s="5">
        <v>973948.5</v>
      </c>
      <c r="K53" s="5">
        <v>975051.5</v>
      </c>
      <c r="L53" s="5">
        <v>3895.7940000000003</v>
      </c>
      <c r="M53" s="5">
        <v>3900.2059999999997</v>
      </c>
      <c r="N53" s="5">
        <v>1103</v>
      </c>
      <c r="O53" s="3">
        <v>1.1325034126546097E-3</v>
      </c>
      <c r="P53" s="9">
        <f>N53+P52</f>
        <v>68346.55999999895</v>
      </c>
      <c r="Q53" s="5" t="str">
        <f>TEXT(Table13[[#This Row],[Closing Date]],"yyyy")</f>
        <v>2023</v>
      </c>
      <c r="R53" s="5" t="str">
        <f>TEXT(Table13[[#This Row],[Closing Date]],"mmmm")</f>
        <v>March</v>
      </c>
      <c r="S53" s="5" t="s">
        <v>240</v>
      </c>
      <c r="T53" s="5" t="s">
        <v>301</v>
      </c>
    </row>
    <row r="54" spans="1:20" x14ac:dyDescent="0.25">
      <c r="A54" t="s">
        <v>197</v>
      </c>
      <c r="B54" t="s">
        <v>303</v>
      </c>
      <c r="C54" t="s">
        <v>99</v>
      </c>
      <c r="D54" t="s">
        <v>7</v>
      </c>
      <c r="E54" s="5"/>
      <c r="F54" s="7">
        <v>45002</v>
      </c>
      <c r="G54" t="s">
        <v>10</v>
      </c>
      <c r="H54">
        <v>55</v>
      </c>
      <c r="I54" s="5">
        <v>4404.13</v>
      </c>
      <c r="J54" s="13">
        <v>100</v>
      </c>
      <c r="K54" s="5">
        <v>6979.07</v>
      </c>
      <c r="L54" s="5">
        <v>0.80075090909090918</v>
      </c>
      <c r="M54" s="5">
        <v>1.268921818181818</v>
      </c>
      <c r="N54" s="5">
        <v>2574.9399999999996</v>
      </c>
      <c r="O54" s="3">
        <v>0.58466484867612867</v>
      </c>
      <c r="P54" s="9">
        <f>N54+P53</f>
        <v>70921.499999998952</v>
      </c>
      <c r="Q54" s="5" t="str">
        <f>TEXT(Table13[[#This Row],[Closing Date]],"yyyy")</f>
        <v>2023</v>
      </c>
      <c r="R54" s="5" t="str">
        <f>TEXT(Table13[[#This Row],[Closing Date]],"mmmm")</f>
        <v>March</v>
      </c>
      <c r="S54" s="5" t="s">
        <v>240</v>
      </c>
      <c r="T54" s="5" t="s">
        <v>301</v>
      </c>
    </row>
    <row r="55" spans="1:20" x14ac:dyDescent="0.25">
      <c r="A55" t="s">
        <v>215</v>
      </c>
      <c r="B55" t="s">
        <v>304</v>
      </c>
      <c r="C55" t="s">
        <v>12</v>
      </c>
      <c r="D55" t="s">
        <v>7</v>
      </c>
      <c r="E55" s="5"/>
      <c r="F55" s="7">
        <v>45002</v>
      </c>
      <c r="G55" t="s">
        <v>184</v>
      </c>
      <c r="H55">
        <v>150</v>
      </c>
      <c r="I55" s="5">
        <v>2967655.5</v>
      </c>
      <c r="K55" s="5">
        <v>2961109.5</v>
      </c>
      <c r="L55" s="5">
        <v>3956.8739999999998</v>
      </c>
      <c r="M55" s="5">
        <v>3948.1460000000002</v>
      </c>
      <c r="N55" s="5">
        <v>-6546</v>
      </c>
      <c r="O55" s="3">
        <v>-2.20578163469436E-3</v>
      </c>
      <c r="P55" s="9">
        <f>N55+P54</f>
        <v>64375.499999998952</v>
      </c>
      <c r="Q55" s="5" t="str">
        <f>TEXT(Table13[[#This Row],[Closing Date]],"yyyy")</f>
        <v>2023</v>
      </c>
      <c r="R55" s="5" t="str">
        <f>TEXT(Table13[[#This Row],[Closing Date]],"mmmm")</f>
        <v>March</v>
      </c>
      <c r="S55" s="5" t="s">
        <v>240</v>
      </c>
      <c r="T55" s="5" t="s">
        <v>301</v>
      </c>
    </row>
    <row r="56" spans="1:20" x14ac:dyDescent="0.25">
      <c r="A56" t="s">
        <v>215</v>
      </c>
      <c r="B56" t="s">
        <v>304</v>
      </c>
      <c r="C56" t="s">
        <v>12</v>
      </c>
      <c r="D56" t="s">
        <v>7</v>
      </c>
      <c r="E56" s="5"/>
      <c r="F56" s="7">
        <v>45002</v>
      </c>
      <c r="G56" t="s">
        <v>82</v>
      </c>
      <c r="H56">
        <v>10</v>
      </c>
      <c r="I56" s="5">
        <v>1972522</v>
      </c>
      <c r="K56" s="5">
        <v>1969978</v>
      </c>
      <c r="L56" s="5">
        <v>3945.0440000000003</v>
      </c>
      <c r="M56" s="5">
        <v>3939.9559999999997</v>
      </c>
      <c r="N56" s="5">
        <v>-2544</v>
      </c>
      <c r="O56" s="3">
        <v>-1.2897194556006593E-3</v>
      </c>
      <c r="P56" s="9">
        <f>N56+P55</f>
        <v>61831.499999998952</v>
      </c>
      <c r="Q56" s="5" t="str">
        <f>TEXT(Table13[[#This Row],[Closing Date]],"yyyy")</f>
        <v>2023</v>
      </c>
      <c r="R56" s="5" t="str">
        <f>TEXT(Table13[[#This Row],[Closing Date]],"mmmm")</f>
        <v>March</v>
      </c>
      <c r="S56" s="5" t="s">
        <v>240</v>
      </c>
      <c r="T56" s="5" t="s">
        <v>301</v>
      </c>
    </row>
    <row r="57" spans="1:20" x14ac:dyDescent="0.25">
      <c r="A57" t="s">
        <v>215</v>
      </c>
      <c r="B57" t="s">
        <v>304</v>
      </c>
      <c r="C57" t="s">
        <v>12</v>
      </c>
      <c r="D57" t="s">
        <v>7</v>
      </c>
      <c r="E57" s="5"/>
      <c r="F57" s="7">
        <v>45002</v>
      </c>
      <c r="G57" t="s">
        <v>89</v>
      </c>
      <c r="H57">
        <v>6</v>
      </c>
      <c r="I57" s="5">
        <v>526663.19999999995</v>
      </c>
      <c r="K57" s="5">
        <v>524806.80000000005</v>
      </c>
      <c r="L57" s="5">
        <v>1755.5439999999999</v>
      </c>
      <c r="M57" s="5">
        <v>1749.356</v>
      </c>
      <c r="N57" s="5">
        <v>-1856.3999999999069</v>
      </c>
      <c r="O57" s="3">
        <v>-3.5248333280167715E-3</v>
      </c>
      <c r="P57" s="9">
        <f>N57+P56</f>
        <v>59975.099999999045</v>
      </c>
      <c r="Q57" s="5" t="str">
        <f>TEXT(Table13[[#This Row],[Closing Date]],"yyyy")</f>
        <v>2023</v>
      </c>
      <c r="R57" s="5" t="str">
        <f>TEXT(Table13[[#This Row],[Closing Date]],"mmmm")</f>
        <v>March</v>
      </c>
      <c r="S57" s="5" t="s">
        <v>240</v>
      </c>
      <c r="T57" s="5" t="s">
        <v>301</v>
      </c>
    </row>
    <row r="58" spans="1:20" x14ac:dyDescent="0.25">
      <c r="A58" t="s">
        <v>215</v>
      </c>
      <c r="B58" t="s">
        <v>304</v>
      </c>
      <c r="C58" t="s">
        <v>12</v>
      </c>
      <c r="D58" t="s">
        <v>5</v>
      </c>
      <c r="E58" s="5"/>
      <c r="F58" s="7">
        <v>45005</v>
      </c>
      <c r="G58" t="s">
        <v>82</v>
      </c>
      <c r="H58">
        <v>15</v>
      </c>
      <c r="I58" s="5">
        <v>2990470.5</v>
      </c>
      <c r="K58" s="5">
        <v>2983654.5</v>
      </c>
      <c r="L58" s="5">
        <v>3987.2940000000003</v>
      </c>
      <c r="M58" s="5">
        <v>3978.2059999999997</v>
      </c>
      <c r="N58" s="5">
        <v>-6816</v>
      </c>
      <c r="O58" s="3">
        <v>-2.2792400058788357E-3</v>
      </c>
      <c r="P58" s="9">
        <f>N58+P57</f>
        <v>53159.099999999045</v>
      </c>
      <c r="Q58" s="5" t="str">
        <f>TEXT(Table13[[#This Row],[Closing Date]],"yyyy")</f>
        <v>2023</v>
      </c>
      <c r="R58" s="5" t="str">
        <f>TEXT(Table13[[#This Row],[Closing Date]],"mmmm")</f>
        <v>March</v>
      </c>
      <c r="S58" s="5" t="s">
        <v>240</v>
      </c>
      <c r="T58" s="5" t="s">
        <v>301</v>
      </c>
    </row>
    <row r="59" spans="1:20" x14ac:dyDescent="0.25">
      <c r="A59" t="s">
        <v>215</v>
      </c>
      <c r="B59" t="s">
        <v>304</v>
      </c>
      <c r="C59" t="s">
        <v>12</v>
      </c>
      <c r="D59" t="s">
        <v>5</v>
      </c>
      <c r="E59" s="5"/>
      <c r="F59" s="7">
        <v>45006</v>
      </c>
      <c r="G59" t="s">
        <v>82</v>
      </c>
      <c r="H59">
        <v>15</v>
      </c>
      <c r="I59" s="5">
        <v>3022720.5</v>
      </c>
      <c r="K59" s="5">
        <v>3022467</v>
      </c>
      <c r="L59" s="5">
        <v>4030.2940000000003</v>
      </c>
      <c r="M59" s="5">
        <v>4029.9559999999997</v>
      </c>
      <c r="N59" s="5">
        <v>-253.5</v>
      </c>
      <c r="O59" s="3">
        <v>-8.3864849562004048E-5</v>
      </c>
      <c r="P59" s="9">
        <f>N59+P58</f>
        <v>52905.599999999045</v>
      </c>
      <c r="Q59" s="5" t="str">
        <f>TEXT(Table13[[#This Row],[Closing Date]],"yyyy")</f>
        <v>2023</v>
      </c>
      <c r="R59" s="5" t="str">
        <f>TEXT(Table13[[#This Row],[Closing Date]],"mmmm")</f>
        <v>March</v>
      </c>
      <c r="S59" s="5" t="s">
        <v>240</v>
      </c>
      <c r="T59" s="5" t="s">
        <v>301</v>
      </c>
    </row>
    <row r="60" spans="1:20" x14ac:dyDescent="0.25">
      <c r="A60" t="s">
        <v>201</v>
      </c>
      <c r="B60" t="s">
        <v>306</v>
      </c>
      <c r="C60" t="s">
        <v>16</v>
      </c>
      <c r="D60" t="s">
        <v>5</v>
      </c>
      <c r="E60" s="5"/>
      <c r="F60" s="7">
        <v>45007</v>
      </c>
      <c r="G60" t="s">
        <v>14</v>
      </c>
      <c r="H60">
        <v>1300</v>
      </c>
      <c r="I60" s="5">
        <v>139714.20000000001</v>
      </c>
      <c r="K60" s="5">
        <v>136767.14000000001</v>
      </c>
      <c r="L60" s="5">
        <v>107.47246153846154</v>
      </c>
      <c r="M60" s="5">
        <v>105.20549230769232</v>
      </c>
      <c r="N60" s="5">
        <v>-2947.0599999999977</v>
      </c>
      <c r="O60" s="3">
        <v>-2.1093489423408544E-2</v>
      </c>
      <c r="P60" s="9">
        <f>N60+P59</f>
        <v>49958.539999999048</v>
      </c>
      <c r="Q60" s="5" t="str">
        <f>TEXT(Table13[[#This Row],[Closing Date]],"yyyy")</f>
        <v>2023</v>
      </c>
      <c r="R60" s="5" t="str">
        <f>TEXT(Table13[[#This Row],[Closing Date]],"mmmm")</f>
        <v>March</v>
      </c>
      <c r="S60" s="5" t="s">
        <v>240</v>
      </c>
      <c r="T60" s="5" t="s">
        <v>301</v>
      </c>
    </row>
    <row r="61" spans="1:20" x14ac:dyDescent="0.25">
      <c r="A61" t="s">
        <v>215</v>
      </c>
      <c r="B61" t="s">
        <v>304</v>
      </c>
      <c r="C61" t="s">
        <v>12</v>
      </c>
      <c r="D61" t="s">
        <v>5</v>
      </c>
      <c r="E61" s="5"/>
      <c r="F61" s="7">
        <v>45007</v>
      </c>
      <c r="G61" t="s">
        <v>82</v>
      </c>
      <c r="H61">
        <v>15</v>
      </c>
      <c r="I61" s="5">
        <v>3022033</v>
      </c>
      <c r="K61" s="5">
        <v>3032217</v>
      </c>
      <c r="L61" s="5">
        <v>4029.3773333333334</v>
      </c>
      <c r="M61" s="5">
        <v>4042.9559999999997</v>
      </c>
      <c r="N61" s="5">
        <v>10184</v>
      </c>
      <c r="O61" s="3">
        <v>3.3699168738394788E-3</v>
      </c>
      <c r="P61" s="9">
        <f>N61+P60</f>
        <v>60142.539999999048</v>
      </c>
      <c r="Q61" s="5" t="str">
        <f>TEXT(Table13[[#This Row],[Closing Date]],"yyyy")</f>
        <v>2023</v>
      </c>
      <c r="R61" s="5" t="str">
        <f>TEXT(Table13[[#This Row],[Closing Date]],"mmmm")</f>
        <v>March</v>
      </c>
      <c r="S61" s="5" t="s">
        <v>240</v>
      </c>
      <c r="T61" s="5" t="s">
        <v>301</v>
      </c>
    </row>
    <row r="62" spans="1:20" x14ac:dyDescent="0.25">
      <c r="A62" t="s">
        <v>215</v>
      </c>
      <c r="B62" t="s">
        <v>304</v>
      </c>
      <c r="C62" t="s">
        <v>12</v>
      </c>
      <c r="D62" t="s">
        <v>5</v>
      </c>
      <c r="E62" s="5"/>
      <c r="F62" s="7">
        <v>45008</v>
      </c>
      <c r="G62" t="s">
        <v>82</v>
      </c>
      <c r="H62">
        <v>20</v>
      </c>
      <c r="I62" s="5">
        <v>4016181.5</v>
      </c>
      <c r="K62" s="5">
        <v>4007831</v>
      </c>
      <c r="L62" s="5">
        <v>4016.1815000000001</v>
      </c>
      <c r="M62" s="5">
        <v>4007.8309999999997</v>
      </c>
      <c r="N62" s="5">
        <v>-8350.5</v>
      </c>
      <c r="O62" s="3">
        <v>-2.0792138004720319E-3</v>
      </c>
      <c r="P62" s="9">
        <f>N62+P61</f>
        <v>51792.039999999048</v>
      </c>
      <c r="Q62" s="5" t="str">
        <f>TEXT(Table13[[#This Row],[Closing Date]],"yyyy")</f>
        <v>2023</v>
      </c>
      <c r="R62" s="5" t="str">
        <f>TEXT(Table13[[#This Row],[Closing Date]],"mmmm")</f>
        <v>March</v>
      </c>
      <c r="S62" s="5" t="s">
        <v>240</v>
      </c>
      <c r="T62" s="5" t="s">
        <v>301</v>
      </c>
    </row>
    <row r="63" spans="1:20" x14ac:dyDescent="0.25">
      <c r="A63" t="s">
        <v>215</v>
      </c>
      <c r="B63" t="s">
        <v>304</v>
      </c>
      <c r="C63" t="s">
        <v>12</v>
      </c>
      <c r="D63" t="s">
        <v>5</v>
      </c>
      <c r="E63" s="5"/>
      <c r="F63" s="7">
        <v>45008</v>
      </c>
      <c r="G63" t="s">
        <v>89</v>
      </c>
      <c r="H63">
        <v>13</v>
      </c>
      <c r="I63" s="5">
        <v>1150977.1000000001</v>
      </c>
      <c r="K63" s="5">
        <v>1146831.3999999999</v>
      </c>
      <c r="L63" s="5">
        <v>1770.7340000000002</v>
      </c>
      <c r="M63" s="5">
        <v>1764.3559999999998</v>
      </c>
      <c r="N63" s="5">
        <v>-4145.7000000001863</v>
      </c>
      <c r="O63" s="3">
        <v>-3.6018961628343856E-3</v>
      </c>
      <c r="P63" s="9">
        <f>N63+P62</f>
        <v>47646.339999998861</v>
      </c>
      <c r="Q63" s="5" t="str">
        <f>TEXT(Table13[[#This Row],[Closing Date]],"yyyy")</f>
        <v>2023</v>
      </c>
      <c r="R63" s="5" t="str">
        <f>TEXT(Table13[[#This Row],[Closing Date]],"mmmm")</f>
        <v>March</v>
      </c>
      <c r="S63" s="5" t="s">
        <v>240</v>
      </c>
      <c r="T63" s="5" t="s">
        <v>301</v>
      </c>
    </row>
    <row r="64" spans="1:20" x14ac:dyDescent="0.25">
      <c r="A64" t="s">
        <v>201</v>
      </c>
      <c r="B64" t="s">
        <v>305</v>
      </c>
      <c r="C64" t="s">
        <v>16</v>
      </c>
      <c r="D64" t="s">
        <v>5</v>
      </c>
      <c r="E64" s="5"/>
      <c r="F64" s="7">
        <v>45008</v>
      </c>
      <c r="G64" t="s">
        <v>11</v>
      </c>
      <c r="H64">
        <v>1800</v>
      </c>
      <c r="I64" s="5">
        <v>489596.08</v>
      </c>
      <c r="K64" s="5">
        <v>483437.52</v>
      </c>
      <c r="L64" s="5">
        <v>271.99782222222223</v>
      </c>
      <c r="M64" s="5">
        <v>268.57640000000004</v>
      </c>
      <c r="N64" s="5">
        <v>6158.5599999999977</v>
      </c>
      <c r="O64" s="3">
        <v>1.2578858883020464E-2</v>
      </c>
      <c r="P64" s="9">
        <f>N64+P63</f>
        <v>53804.899999998859</v>
      </c>
      <c r="Q64" s="5" t="str">
        <f>TEXT(Table13[[#This Row],[Closing Date]],"yyyy")</f>
        <v>2023</v>
      </c>
      <c r="R64" s="5" t="str">
        <f>TEXT(Table13[[#This Row],[Closing Date]],"mmmm")</f>
        <v>March</v>
      </c>
      <c r="S64" s="5" t="s">
        <v>240</v>
      </c>
      <c r="T64" s="5" t="s">
        <v>203</v>
      </c>
    </row>
    <row r="65" spans="1:20" x14ac:dyDescent="0.25">
      <c r="A65" t="s">
        <v>201</v>
      </c>
      <c r="B65" t="s">
        <v>302</v>
      </c>
      <c r="C65" t="s">
        <v>16</v>
      </c>
      <c r="D65" t="s">
        <v>5</v>
      </c>
      <c r="E65" s="5"/>
      <c r="F65" s="7">
        <v>45009</v>
      </c>
      <c r="G65" t="s">
        <v>17</v>
      </c>
      <c r="H65">
        <v>1000</v>
      </c>
      <c r="I65" s="5">
        <v>160170</v>
      </c>
      <c r="K65" s="5">
        <v>159653.57999999999</v>
      </c>
      <c r="L65" s="5">
        <v>160.16999999999999</v>
      </c>
      <c r="M65" s="5">
        <v>159.65357999999998</v>
      </c>
      <c r="N65" s="5">
        <v>-516.42000000001281</v>
      </c>
      <c r="O65" s="3">
        <v>-3.2241992882562952E-3</v>
      </c>
      <c r="P65" s="9">
        <f>N65+P64</f>
        <v>53288.479999998846</v>
      </c>
      <c r="Q65" s="5" t="str">
        <f>TEXT(Table13[[#This Row],[Closing Date]],"yyyy")</f>
        <v>2023</v>
      </c>
      <c r="R65" s="5" t="str">
        <f>TEXT(Table13[[#This Row],[Closing Date]],"mmmm")</f>
        <v>March</v>
      </c>
      <c r="S65" s="5" t="s">
        <v>240</v>
      </c>
      <c r="T65" s="5" t="s">
        <v>301</v>
      </c>
    </row>
    <row r="66" spans="1:20" x14ac:dyDescent="0.25">
      <c r="A66" t="s">
        <v>197</v>
      </c>
      <c r="B66" t="s">
        <v>303</v>
      </c>
      <c r="C66" t="s">
        <v>99</v>
      </c>
      <c r="D66" t="s">
        <v>7</v>
      </c>
      <c r="E66" s="5"/>
      <c r="F66" s="7">
        <v>45009</v>
      </c>
      <c r="G66" t="s">
        <v>10</v>
      </c>
      <c r="H66">
        <v>40</v>
      </c>
      <c r="I66" s="5">
        <v>4202.76</v>
      </c>
      <c r="J66" s="13">
        <v>100</v>
      </c>
      <c r="K66" s="5">
        <v>0</v>
      </c>
      <c r="L66" s="5">
        <v>1.0506900000000001</v>
      </c>
      <c r="M66" s="5">
        <v>0</v>
      </c>
      <c r="N66" s="5">
        <v>-4202.76</v>
      </c>
      <c r="O66" s="3">
        <v>-1</v>
      </c>
      <c r="P66" s="9">
        <f>N66+P65</f>
        <v>49085.719999998844</v>
      </c>
      <c r="Q66" s="5" t="str">
        <f>TEXT(Table13[[#This Row],[Closing Date]],"yyyy")</f>
        <v>2023</v>
      </c>
      <c r="R66" s="5" t="str">
        <f>TEXT(Table13[[#This Row],[Closing Date]],"mmmm")</f>
        <v>March</v>
      </c>
      <c r="S66" s="5" t="s">
        <v>240</v>
      </c>
      <c r="T66" s="5" t="s">
        <v>301</v>
      </c>
    </row>
    <row r="67" spans="1:20" x14ac:dyDescent="0.25">
      <c r="A67" t="s">
        <v>201</v>
      </c>
      <c r="B67" t="s">
        <v>305</v>
      </c>
      <c r="C67" t="s">
        <v>12</v>
      </c>
      <c r="D67" t="s">
        <v>7</v>
      </c>
      <c r="E67" s="5"/>
      <c r="F67" s="7">
        <v>45009</v>
      </c>
      <c r="G67" t="s">
        <v>13</v>
      </c>
      <c r="H67">
        <v>6</v>
      </c>
      <c r="I67" s="5">
        <v>389954.22</v>
      </c>
      <c r="K67" s="5">
        <v>405105.78</v>
      </c>
      <c r="L67" s="5">
        <v>64.992369999999994</v>
      </c>
      <c r="M67" s="5">
        <v>67.517630000000011</v>
      </c>
      <c r="N67" s="5">
        <v>15151.560000000056</v>
      </c>
      <c r="O67" s="3">
        <v>3.885471479190572E-2</v>
      </c>
      <c r="P67" s="9">
        <f>N67+P66</f>
        <v>64237.2799999989</v>
      </c>
      <c r="Q67" s="5" t="str">
        <f>TEXT(Table13[[#This Row],[Closing Date]],"yyyy")</f>
        <v>2023</v>
      </c>
      <c r="R67" s="5" t="str">
        <f>TEXT(Table13[[#This Row],[Closing Date]],"mmmm")</f>
        <v>March</v>
      </c>
      <c r="S67" s="5" t="s">
        <v>240</v>
      </c>
      <c r="T67" s="5" t="s">
        <v>301</v>
      </c>
    </row>
    <row r="68" spans="1:20" x14ac:dyDescent="0.25">
      <c r="A68" t="s">
        <v>215</v>
      </c>
      <c r="B68" t="s">
        <v>304</v>
      </c>
      <c r="C68" t="s">
        <v>12</v>
      </c>
      <c r="D68" t="s">
        <v>5</v>
      </c>
      <c r="E68" s="5"/>
      <c r="F68" s="7">
        <v>45009</v>
      </c>
      <c r="G68" t="s">
        <v>82</v>
      </c>
      <c r="H68">
        <v>10</v>
      </c>
      <c r="I68" s="5">
        <v>2003147</v>
      </c>
      <c r="K68" s="5">
        <v>1998978</v>
      </c>
      <c r="L68" s="5">
        <v>4006.2940000000003</v>
      </c>
      <c r="M68" s="5">
        <v>3997.9559999999997</v>
      </c>
      <c r="N68" s="5">
        <v>-4169</v>
      </c>
      <c r="O68" s="3">
        <v>-2.0812251921602976E-3</v>
      </c>
      <c r="P68" s="9">
        <f>N68+P67</f>
        <v>60068.2799999989</v>
      </c>
      <c r="Q68" s="5" t="str">
        <f>TEXT(Table13[[#This Row],[Closing Date]],"yyyy")</f>
        <v>2023</v>
      </c>
      <c r="R68" s="5" t="str">
        <f>TEXT(Table13[[#This Row],[Closing Date]],"mmmm")</f>
        <v>March</v>
      </c>
      <c r="S68" s="5" t="s">
        <v>240</v>
      </c>
      <c r="T68" s="5" t="s">
        <v>301</v>
      </c>
    </row>
    <row r="69" spans="1:20" x14ac:dyDescent="0.25">
      <c r="A69" t="s">
        <v>215</v>
      </c>
      <c r="B69" t="s">
        <v>304</v>
      </c>
      <c r="C69" t="s">
        <v>12</v>
      </c>
      <c r="D69" t="s">
        <v>7</v>
      </c>
      <c r="E69" s="5"/>
      <c r="F69" s="7">
        <v>45013</v>
      </c>
      <c r="G69" t="s">
        <v>82</v>
      </c>
      <c r="H69">
        <v>15</v>
      </c>
      <c r="I69" s="5">
        <v>2997783</v>
      </c>
      <c r="K69" s="5">
        <v>2996217</v>
      </c>
      <c r="L69" s="5">
        <v>3997.0440000000003</v>
      </c>
      <c r="M69" s="5">
        <v>3994.9559999999997</v>
      </c>
      <c r="N69" s="5">
        <v>-1566</v>
      </c>
      <c r="O69" s="3">
        <v>-5.2238604328615028E-4</v>
      </c>
      <c r="P69" s="9">
        <f>N69+P68</f>
        <v>58502.2799999989</v>
      </c>
      <c r="Q69" s="5" t="str">
        <f>TEXT(Table13[[#This Row],[Closing Date]],"yyyy")</f>
        <v>2023</v>
      </c>
      <c r="R69" s="5" t="str">
        <f>TEXT(Table13[[#This Row],[Closing Date]],"mmmm")</f>
        <v>March</v>
      </c>
      <c r="S69" s="5" t="s">
        <v>240</v>
      </c>
      <c r="T69" s="5" t="s">
        <v>301</v>
      </c>
    </row>
    <row r="70" spans="1:20" x14ac:dyDescent="0.25">
      <c r="A70" t="s">
        <v>215</v>
      </c>
      <c r="B70" t="s">
        <v>304</v>
      </c>
      <c r="C70" t="s">
        <v>12</v>
      </c>
      <c r="D70" t="s">
        <v>7</v>
      </c>
      <c r="E70" s="5"/>
      <c r="F70" s="7">
        <v>45013</v>
      </c>
      <c r="G70" t="s">
        <v>82</v>
      </c>
      <c r="H70">
        <v>15</v>
      </c>
      <c r="I70" s="5">
        <v>2993283</v>
      </c>
      <c r="K70" s="5">
        <v>2999217</v>
      </c>
      <c r="L70" s="5">
        <v>3991.0440000000003</v>
      </c>
      <c r="M70" s="5">
        <v>3998.9559999999997</v>
      </c>
      <c r="N70" s="5">
        <v>5934</v>
      </c>
      <c r="O70" s="3">
        <v>1.9824386802048165E-3</v>
      </c>
      <c r="P70" s="9">
        <f>N70+P69</f>
        <v>64436.2799999989</v>
      </c>
      <c r="Q70" s="5" t="str">
        <f>TEXT(Table13[[#This Row],[Closing Date]],"yyyy")</f>
        <v>2023</v>
      </c>
      <c r="R70" s="5" t="str">
        <f>TEXT(Table13[[#This Row],[Closing Date]],"mmmm")</f>
        <v>March</v>
      </c>
      <c r="S70" s="5" t="s">
        <v>240</v>
      </c>
      <c r="T70" s="5" t="s">
        <v>301</v>
      </c>
    </row>
    <row r="71" spans="1:20" x14ac:dyDescent="0.25">
      <c r="A71" t="s">
        <v>215</v>
      </c>
      <c r="B71" t="s">
        <v>304</v>
      </c>
      <c r="C71" t="s">
        <v>12</v>
      </c>
      <c r="D71" t="s">
        <v>5</v>
      </c>
      <c r="E71" s="5"/>
      <c r="F71" s="7">
        <v>45014</v>
      </c>
      <c r="G71" t="s">
        <v>82</v>
      </c>
      <c r="H71">
        <v>15</v>
      </c>
      <c r="I71" s="5">
        <v>3022908</v>
      </c>
      <c r="K71" s="5">
        <v>3016842</v>
      </c>
      <c r="L71" s="5">
        <v>4030.5440000000003</v>
      </c>
      <c r="M71" s="5">
        <v>4022.4559999999997</v>
      </c>
      <c r="N71" s="5">
        <v>-6066</v>
      </c>
      <c r="O71" s="3">
        <v>-2.0066770143188232E-3</v>
      </c>
      <c r="P71" s="9">
        <f>N71+P70</f>
        <v>58370.2799999989</v>
      </c>
      <c r="Q71" s="5" t="str">
        <f>TEXT(Table13[[#This Row],[Closing Date]],"yyyy")</f>
        <v>2023</v>
      </c>
      <c r="R71" s="5" t="str">
        <f>TEXT(Table13[[#This Row],[Closing Date]],"mmmm")</f>
        <v>March</v>
      </c>
      <c r="S71" s="5" t="s">
        <v>240</v>
      </c>
      <c r="T71" s="5" t="s">
        <v>301</v>
      </c>
    </row>
    <row r="72" spans="1:20" x14ac:dyDescent="0.25">
      <c r="A72" t="s">
        <v>215</v>
      </c>
      <c r="B72" t="s">
        <v>304</v>
      </c>
      <c r="C72" t="s">
        <v>12</v>
      </c>
      <c r="D72" t="s">
        <v>5</v>
      </c>
      <c r="E72" s="5"/>
      <c r="F72" s="7">
        <v>45015</v>
      </c>
      <c r="G72" t="s">
        <v>82</v>
      </c>
      <c r="H72">
        <v>10</v>
      </c>
      <c r="I72" s="5">
        <v>2040522</v>
      </c>
      <c r="K72" s="5">
        <v>2036853</v>
      </c>
      <c r="L72" s="5">
        <v>4081.0440000000003</v>
      </c>
      <c r="M72" s="5">
        <v>4073.7059999999997</v>
      </c>
      <c r="N72" s="5">
        <v>-3669</v>
      </c>
      <c r="O72" s="3">
        <v>-1.7980693175571366E-3</v>
      </c>
      <c r="P72" s="9">
        <f>N72+P71</f>
        <v>54701.2799999989</v>
      </c>
      <c r="Q72" s="5" t="str">
        <f>TEXT(Table13[[#This Row],[Closing Date]],"yyyy")</f>
        <v>2023</v>
      </c>
      <c r="R72" s="5" t="str">
        <f>TEXT(Table13[[#This Row],[Closing Date]],"mmmm")</f>
        <v>March</v>
      </c>
      <c r="S72" s="5" t="s">
        <v>240</v>
      </c>
      <c r="T72" s="5" t="s">
        <v>301</v>
      </c>
    </row>
    <row r="73" spans="1:20" x14ac:dyDescent="0.25">
      <c r="A73" t="s">
        <v>215</v>
      </c>
      <c r="B73" t="s">
        <v>304</v>
      </c>
      <c r="C73" t="s">
        <v>12</v>
      </c>
      <c r="D73" t="s">
        <v>5</v>
      </c>
      <c r="E73" s="5"/>
      <c r="F73" s="7">
        <v>45015</v>
      </c>
      <c r="G73" t="s">
        <v>90</v>
      </c>
      <c r="H73">
        <v>10</v>
      </c>
      <c r="I73" s="5">
        <v>2619352</v>
      </c>
      <c r="K73" s="5">
        <v>2616378</v>
      </c>
      <c r="L73" s="5">
        <v>13096.76</v>
      </c>
      <c r="M73" s="5">
        <v>13081.89</v>
      </c>
      <c r="N73" s="5">
        <v>-2974</v>
      </c>
      <c r="O73" s="3">
        <v>-1.1353953191476976E-3</v>
      </c>
      <c r="P73" s="9">
        <f>N73+P72</f>
        <v>51727.2799999989</v>
      </c>
      <c r="Q73" s="5" t="str">
        <f>TEXT(Table13[[#This Row],[Closing Date]],"yyyy")</f>
        <v>2023</v>
      </c>
      <c r="R73" s="5" t="str">
        <f>TEXT(Table13[[#This Row],[Closing Date]],"mmmm")</f>
        <v>March</v>
      </c>
      <c r="S73" s="5" t="s">
        <v>240</v>
      </c>
      <c r="T73" s="5" t="s">
        <v>301</v>
      </c>
    </row>
    <row r="74" spans="1:20" x14ac:dyDescent="0.25">
      <c r="A74" t="s">
        <v>215</v>
      </c>
      <c r="B74" t="s">
        <v>304</v>
      </c>
      <c r="C74" t="s">
        <v>12</v>
      </c>
      <c r="D74" t="s">
        <v>5</v>
      </c>
      <c r="E74" s="5"/>
      <c r="F74" s="7">
        <v>45015</v>
      </c>
      <c r="G74" t="s">
        <v>82</v>
      </c>
      <c r="H74">
        <v>10</v>
      </c>
      <c r="I74" s="5">
        <v>2038522</v>
      </c>
      <c r="K74" s="5">
        <v>2040728</v>
      </c>
      <c r="L74" s="5">
        <v>4077.0440000000003</v>
      </c>
      <c r="M74" s="5">
        <v>4081.4559999999997</v>
      </c>
      <c r="N74" s="5">
        <v>2206</v>
      </c>
      <c r="O74" s="3">
        <v>1.082156582072539E-3</v>
      </c>
      <c r="P74" s="9">
        <f>N74+P73</f>
        <v>53933.2799999989</v>
      </c>
      <c r="Q74" s="5" t="str">
        <f>TEXT(Table13[[#This Row],[Closing Date]],"yyyy")</f>
        <v>2023</v>
      </c>
      <c r="R74" s="5" t="str">
        <f>TEXT(Table13[[#This Row],[Closing Date]],"mmmm")</f>
        <v>March</v>
      </c>
      <c r="S74" s="5" t="s">
        <v>240</v>
      </c>
      <c r="T74" s="5" t="s">
        <v>301</v>
      </c>
    </row>
    <row r="75" spans="1:20" x14ac:dyDescent="0.25">
      <c r="A75" t="s">
        <v>197</v>
      </c>
      <c r="B75" t="s">
        <v>303</v>
      </c>
      <c r="C75" t="s">
        <v>99</v>
      </c>
      <c r="D75" t="s">
        <v>7</v>
      </c>
      <c r="E75" s="5"/>
      <c r="F75" s="7">
        <v>45016</v>
      </c>
      <c r="G75" t="s">
        <v>10</v>
      </c>
      <c r="H75">
        <v>65</v>
      </c>
      <c r="I75" s="5">
        <v>3977.79</v>
      </c>
      <c r="J75" s="13">
        <v>100</v>
      </c>
      <c r="K75" s="5">
        <v>0</v>
      </c>
      <c r="L75" s="5">
        <v>0.61196769230769232</v>
      </c>
      <c r="M75" s="5">
        <v>0</v>
      </c>
      <c r="N75" s="5">
        <v>-3977.79</v>
      </c>
      <c r="O75" s="3">
        <v>-1</v>
      </c>
      <c r="P75" s="9">
        <f>N75+P74</f>
        <v>49955.489999998899</v>
      </c>
      <c r="Q75" s="5" t="str">
        <f>TEXT(Table13[[#This Row],[Closing Date]],"yyyy")</f>
        <v>2023</v>
      </c>
      <c r="R75" s="5" t="str">
        <f>TEXT(Table13[[#This Row],[Closing Date]],"mmmm")</f>
        <v>March</v>
      </c>
      <c r="S75" s="5" t="s">
        <v>240</v>
      </c>
      <c r="T75" s="5" t="s">
        <v>301</v>
      </c>
    </row>
    <row r="76" spans="1:20" x14ac:dyDescent="0.25">
      <c r="A76" t="s">
        <v>215</v>
      </c>
      <c r="B76" t="s">
        <v>304</v>
      </c>
      <c r="C76" t="s">
        <v>12</v>
      </c>
      <c r="D76" t="s">
        <v>5</v>
      </c>
      <c r="E76" s="5"/>
      <c r="F76" s="7">
        <v>45016</v>
      </c>
      <c r="G76" t="s">
        <v>82</v>
      </c>
      <c r="H76">
        <v>22</v>
      </c>
      <c r="I76" s="5">
        <v>4520948.4000000004</v>
      </c>
      <c r="K76" s="5">
        <v>4514001.5999999996</v>
      </c>
      <c r="L76" s="5">
        <v>4109.9530909090909</v>
      </c>
      <c r="M76" s="5">
        <v>4103.6378181818181</v>
      </c>
      <c r="N76" s="5">
        <v>-6946.8000000007451</v>
      </c>
      <c r="O76" s="3">
        <v>-1.5365802449769134E-3</v>
      </c>
      <c r="P76" s="9">
        <f>N76+P75</f>
        <v>43008.689999998154</v>
      </c>
      <c r="Q76" s="5" t="str">
        <f>TEXT(Table13[[#This Row],[Closing Date]],"yyyy")</f>
        <v>2023</v>
      </c>
      <c r="R76" s="5" t="str">
        <f>TEXT(Table13[[#This Row],[Closing Date]],"mmmm")</f>
        <v>March</v>
      </c>
      <c r="S76" s="5" t="s">
        <v>240</v>
      </c>
      <c r="T76" s="5" t="s">
        <v>301</v>
      </c>
    </row>
    <row r="77" spans="1:20" x14ac:dyDescent="0.25">
      <c r="A77" t="s">
        <v>215</v>
      </c>
      <c r="B77" t="s">
        <v>304</v>
      </c>
      <c r="C77" t="s">
        <v>12</v>
      </c>
      <c r="D77" t="s">
        <v>5</v>
      </c>
      <c r="E77" s="5"/>
      <c r="F77" s="7">
        <v>45016</v>
      </c>
      <c r="G77" t="s">
        <v>82</v>
      </c>
      <c r="H77">
        <v>12</v>
      </c>
      <c r="I77" s="5">
        <v>2473676.4</v>
      </c>
      <c r="K77" s="5">
        <v>2470773.6</v>
      </c>
      <c r="L77" s="5">
        <v>4122.7939999999999</v>
      </c>
      <c r="M77" s="5">
        <v>4117.9560000000001</v>
      </c>
      <c r="N77" s="5">
        <v>-2902.7999999998137</v>
      </c>
      <c r="O77" s="3">
        <v>-1.1734760456136636E-3</v>
      </c>
      <c r="P77" s="9">
        <f>N77+P76</f>
        <v>40105.88999999834</v>
      </c>
      <c r="Q77" s="5" t="str">
        <f>TEXT(Table13[[#This Row],[Closing Date]],"yyyy")</f>
        <v>2023</v>
      </c>
      <c r="R77" s="5" t="str">
        <f>TEXT(Table13[[#This Row],[Closing Date]],"mmmm")</f>
        <v>March</v>
      </c>
      <c r="S77" s="5" t="s">
        <v>240</v>
      </c>
      <c r="T77" s="5" t="s">
        <v>301</v>
      </c>
    </row>
    <row r="78" spans="1:20" x14ac:dyDescent="0.25">
      <c r="A78" t="s">
        <v>215</v>
      </c>
      <c r="B78" t="s">
        <v>304</v>
      </c>
      <c r="C78" t="s">
        <v>12</v>
      </c>
      <c r="D78" t="s">
        <v>5</v>
      </c>
      <c r="E78" s="5"/>
      <c r="F78" s="7">
        <v>45019</v>
      </c>
      <c r="G78" t="s">
        <v>82</v>
      </c>
      <c r="H78">
        <v>15</v>
      </c>
      <c r="I78" s="5">
        <v>3113845.5</v>
      </c>
      <c r="K78" s="5">
        <v>3107592</v>
      </c>
      <c r="L78" s="5">
        <v>4151.7939999999999</v>
      </c>
      <c r="M78" s="5">
        <v>4143.4560000000001</v>
      </c>
      <c r="N78" s="5">
        <v>-6253.5</v>
      </c>
      <c r="O78" s="3">
        <v>-2.0082884651790862E-3</v>
      </c>
      <c r="P78" s="9">
        <f>N78+P77</f>
        <v>33852.38999999834</v>
      </c>
      <c r="Q78" s="5" t="str">
        <f>TEXT(Table13[[#This Row],[Closing Date]],"yyyy")</f>
        <v>2023</v>
      </c>
      <c r="R78" s="5" t="str">
        <f>TEXT(Table13[[#This Row],[Closing Date]],"mmmm")</f>
        <v>April</v>
      </c>
      <c r="S78" s="5" t="s">
        <v>240</v>
      </c>
      <c r="T78" s="5" t="s">
        <v>301</v>
      </c>
    </row>
    <row r="79" spans="1:20" x14ac:dyDescent="0.25">
      <c r="A79" t="s">
        <v>201</v>
      </c>
      <c r="B79" t="s">
        <v>305</v>
      </c>
      <c r="C79" t="s">
        <v>16</v>
      </c>
      <c r="D79" t="s">
        <v>7</v>
      </c>
      <c r="E79" s="5"/>
      <c r="F79" s="7">
        <v>45019</v>
      </c>
      <c r="G79" t="s">
        <v>18</v>
      </c>
      <c r="H79">
        <v>1154</v>
      </c>
      <c r="I79" s="5">
        <v>149922.29</v>
      </c>
      <c r="K79" s="5">
        <v>157248.65</v>
      </c>
      <c r="L79" s="5">
        <v>129.91532928942809</v>
      </c>
      <c r="M79" s="5">
        <v>136.26399480069324</v>
      </c>
      <c r="N79" s="5">
        <v>7326.359999999986</v>
      </c>
      <c r="O79" s="3">
        <v>4.886771673511648E-2</v>
      </c>
      <c r="P79" s="9">
        <f>N79+P78</f>
        <v>41178.749999998327</v>
      </c>
      <c r="Q79" s="5" t="str">
        <f>TEXT(Table13[[#This Row],[Closing Date]],"yyyy")</f>
        <v>2023</v>
      </c>
      <c r="R79" s="5" t="str">
        <f>TEXT(Table13[[#This Row],[Closing Date]],"mmmm")</f>
        <v>April</v>
      </c>
      <c r="S79" s="5" t="s">
        <v>240</v>
      </c>
      <c r="T79" s="5" t="s">
        <v>203</v>
      </c>
    </row>
    <row r="80" spans="1:20" x14ac:dyDescent="0.25">
      <c r="A80" t="s">
        <v>215</v>
      </c>
      <c r="B80" t="s">
        <v>304</v>
      </c>
      <c r="C80" t="s">
        <v>12</v>
      </c>
      <c r="D80" t="s">
        <v>7</v>
      </c>
      <c r="E80" s="5"/>
      <c r="F80" s="7">
        <v>45020</v>
      </c>
      <c r="G80" t="s">
        <v>82</v>
      </c>
      <c r="H80">
        <v>15</v>
      </c>
      <c r="I80" s="5">
        <v>3097908</v>
      </c>
      <c r="K80" s="5">
        <v>3092029.5</v>
      </c>
      <c r="L80" s="5">
        <v>4130.5439999999999</v>
      </c>
      <c r="M80" s="5">
        <v>4122.7060000000001</v>
      </c>
      <c r="N80" s="5">
        <v>-5878.5</v>
      </c>
      <c r="O80" s="3">
        <v>-1.8975708768626453E-3</v>
      </c>
      <c r="P80" s="9">
        <f>N80+P79</f>
        <v>35300.249999998327</v>
      </c>
      <c r="Q80" s="5" t="str">
        <f>TEXT(Table13[[#This Row],[Closing Date]],"yyyy")</f>
        <v>2023</v>
      </c>
      <c r="R80" s="5" t="str">
        <f>TEXT(Table13[[#This Row],[Closing Date]],"mmmm")</f>
        <v>April</v>
      </c>
      <c r="S80" s="5" t="s">
        <v>240</v>
      </c>
      <c r="T80" s="5" t="s">
        <v>301</v>
      </c>
    </row>
    <row r="81" spans="1:20" x14ac:dyDescent="0.25">
      <c r="A81" t="s">
        <v>215</v>
      </c>
      <c r="B81" t="s">
        <v>304</v>
      </c>
      <c r="C81" t="s">
        <v>12</v>
      </c>
      <c r="D81" t="s">
        <v>7</v>
      </c>
      <c r="E81" s="5"/>
      <c r="F81" s="7">
        <v>45020</v>
      </c>
      <c r="G81" t="s">
        <v>82</v>
      </c>
      <c r="H81">
        <v>10</v>
      </c>
      <c r="I81" s="5">
        <v>2073772</v>
      </c>
      <c r="K81" s="5">
        <v>2069603</v>
      </c>
      <c r="L81" s="5">
        <v>4147.5439999999999</v>
      </c>
      <c r="M81" s="5">
        <v>4139.2060000000001</v>
      </c>
      <c r="N81" s="5">
        <v>-4169</v>
      </c>
      <c r="O81" s="3">
        <v>-2.0103463640168107E-3</v>
      </c>
      <c r="P81" s="9">
        <f>N81+P80</f>
        <v>31131.249999998327</v>
      </c>
      <c r="Q81" s="5" t="str">
        <f>TEXT(Table13[[#This Row],[Closing Date]],"yyyy")</f>
        <v>2023</v>
      </c>
      <c r="R81" s="5" t="str">
        <f>TEXT(Table13[[#This Row],[Closing Date]],"mmmm")</f>
        <v>April</v>
      </c>
      <c r="S81" s="5" t="s">
        <v>240</v>
      </c>
      <c r="T81" s="5" t="s">
        <v>301</v>
      </c>
    </row>
    <row r="82" spans="1:20" x14ac:dyDescent="0.25">
      <c r="A82" t="s">
        <v>215</v>
      </c>
      <c r="B82" t="s">
        <v>304</v>
      </c>
      <c r="C82" t="s">
        <v>12</v>
      </c>
      <c r="D82" t="s">
        <v>7</v>
      </c>
      <c r="E82" s="5"/>
      <c r="F82" s="7">
        <v>45020</v>
      </c>
      <c r="G82" t="s">
        <v>89</v>
      </c>
      <c r="H82">
        <v>6</v>
      </c>
      <c r="I82" s="5">
        <v>539563.19999999995</v>
      </c>
      <c r="K82" s="5">
        <v>537685.80000000005</v>
      </c>
      <c r="L82" s="5">
        <v>1798.5439999999999</v>
      </c>
      <c r="M82" s="5">
        <v>1792.2860000000001</v>
      </c>
      <c r="N82" s="5">
        <v>-1877.3999999999069</v>
      </c>
      <c r="O82" s="3">
        <v>-3.4794811803324308E-3</v>
      </c>
      <c r="P82" s="9">
        <f>N82+P81</f>
        <v>29253.84999999842</v>
      </c>
      <c r="Q82" s="5" t="str">
        <f>TEXT(Table13[[#This Row],[Closing Date]],"yyyy")</f>
        <v>2023</v>
      </c>
      <c r="R82" s="5" t="str">
        <f>TEXT(Table13[[#This Row],[Closing Date]],"mmmm")</f>
        <v>April</v>
      </c>
      <c r="S82" s="5" t="s">
        <v>240</v>
      </c>
      <c r="T82" s="5" t="s">
        <v>301</v>
      </c>
    </row>
    <row r="83" spans="1:20" x14ac:dyDescent="0.25">
      <c r="A83" t="s">
        <v>215</v>
      </c>
      <c r="B83" t="s">
        <v>304</v>
      </c>
      <c r="C83" t="s">
        <v>12</v>
      </c>
      <c r="D83" t="s">
        <v>7</v>
      </c>
      <c r="E83" s="5"/>
      <c r="F83" s="7">
        <v>45021</v>
      </c>
      <c r="G83" t="s">
        <v>82</v>
      </c>
      <c r="H83">
        <v>15</v>
      </c>
      <c r="I83" s="5">
        <v>3082533</v>
      </c>
      <c r="K83" s="5">
        <v>3076654.5</v>
      </c>
      <c r="L83" s="5">
        <v>4110.0439999999999</v>
      </c>
      <c r="M83" s="5">
        <v>4102.2060000000001</v>
      </c>
      <c r="N83" s="5">
        <v>-5878.5</v>
      </c>
      <c r="O83" s="3">
        <v>-1.9070355451181881E-3</v>
      </c>
      <c r="P83" s="9">
        <f>N83+P82</f>
        <v>23375.34999999842</v>
      </c>
      <c r="Q83" s="5" t="str">
        <f>TEXT(Table13[[#This Row],[Closing Date]],"yyyy")</f>
        <v>2023</v>
      </c>
      <c r="R83" s="5" t="str">
        <f>TEXT(Table13[[#This Row],[Closing Date]],"mmmm")</f>
        <v>April</v>
      </c>
      <c r="S83" s="5" t="s">
        <v>240</v>
      </c>
      <c r="T83" s="5" t="s">
        <v>301</v>
      </c>
    </row>
    <row r="84" spans="1:20" x14ac:dyDescent="0.25">
      <c r="A84" t="s">
        <v>215</v>
      </c>
      <c r="B84" t="s">
        <v>304</v>
      </c>
      <c r="C84" t="s">
        <v>12</v>
      </c>
      <c r="D84" t="s">
        <v>7</v>
      </c>
      <c r="E84" s="5"/>
      <c r="F84" s="7">
        <v>45022</v>
      </c>
      <c r="G84" t="s">
        <v>82</v>
      </c>
      <c r="H84">
        <v>10</v>
      </c>
      <c r="I84" s="5">
        <v>2052522</v>
      </c>
      <c r="K84" s="5">
        <v>2048478</v>
      </c>
      <c r="L84" s="5">
        <v>4105.0439999999999</v>
      </c>
      <c r="M84" s="5">
        <v>4096.9560000000001</v>
      </c>
      <c r="N84" s="5">
        <v>-4044</v>
      </c>
      <c r="O84" s="3">
        <v>-1.9702590276741831E-3</v>
      </c>
      <c r="P84" s="9">
        <f>N84+P83</f>
        <v>19331.34999999842</v>
      </c>
      <c r="Q84" s="5" t="str">
        <f>TEXT(Table13[[#This Row],[Closing Date]],"yyyy")</f>
        <v>2023</v>
      </c>
      <c r="R84" s="5" t="str">
        <f>TEXT(Table13[[#This Row],[Closing Date]],"mmmm")</f>
        <v>April</v>
      </c>
      <c r="S84" s="5" t="s">
        <v>240</v>
      </c>
      <c r="T84" s="5" t="s">
        <v>301</v>
      </c>
    </row>
    <row r="85" spans="1:20" x14ac:dyDescent="0.25">
      <c r="A85" t="s">
        <v>201</v>
      </c>
      <c r="B85" t="s">
        <v>305</v>
      </c>
      <c r="C85" t="s">
        <v>16</v>
      </c>
      <c r="D85" t="s">
        <v>7</v>
      </c>
      <c r="E85" s="5"/>
      <c r="F85" s="7">
        <v>45022</v>
      </c>
      <c r="G85" t="s">
        <v>186</v>
      </c>
      <c r="H85">
        <v>345</v>
      </c>
      <c r="I85" s="5">
        <v>99937.88</v>
      </c>
      <c r="K85" s="5">
        <v>97239.03</v>
      </c>
      <c r="L85" s="5">
        <v>289.67501449275363</v>
      </c>
      <c r="M85" s="5">
        <v>281.85226086956521</v>
      </c>
      <c r="N85" s="5">
        <v>-2698.8500000000058</v>
      </c>
      <c r="O85" s="3">
        <v>-2.7005275677250765E-2</v>
      </c>
      <c r="P85" s="9">
        <f>N85+P84</f>
        <v>16632.499999998414</v>
      </c>
      <c r="Q85" s="5" t="str">
        <f>TEXT(Table13[[#This Row],[Closing Date]],"yyyy")</f>
        <v>2023</v>
      </c>
      <c r="R85" s="5" t="str">
        <f>TEXT(Table13[[#This Row],[Closing Date]],"mmmm")</f>
        <v>April</v>
      </c>
      <c r="S85" s="5" t="s">
        <v>240</v>
      </c>
      <c r="T85" s="5" t="s">
        <v>203</v>
      </c>
    </row>
    <row r="86" spans="1:20" x14ac:dyDescent="0.25">
      <c r="A86" t="s">
        <v>215</v>
      </c>
      <c r="B86" t="s">
        <v>304</v>
      </c>
      <c r="C86" t="s">
        <v>12</v>
      </c>
      <c r="D86" t="s">
        <v>5</v>
      </c>
      <c r="E86" s="5"/>
      <c r="F86" s="7">
        <v>45027</v>
      </c>
      <c r="G86" t="s">
        <v>82</v>
      </c>
      <c r="H86">
        <v>15</v>
      </c>
      <c r="I86" s="5">
        <v>3111408</v>
      </c>
      <c r="K86" s="5">
        <v>3108904.5</v>
      </c>
      <c r="L86" s="5">
        <v>4148.5439999999999</v>
      </c>
      <c r="M86" s="5">
        <v>4145.2060000000001</v>
      </c>
      <c r="N86" s="5">
        <v>-2503.5</v>
      </c>
      <c r="O86" s="3">
        <v>-8.0461964486811238E-4</v>
      </c>
      <c r="P86" s="9">
        <f>N86+P85</f>
        <v>14128.999999998414</v>
      </c>
      <c r="Q86" s="5" t="str">
        <f>TEXT(Table13[[#This Row],[Closing Date]],"yyyy")</f>
        <v>2023</v>
      </c>
      <c r="R86" s="5" t="str">
        <f>TEXT(Table13[[#This Row],[Closing Date]],"mmmm")</f>
        <v>April</v>
      </c>
      <c r="S86" s="5" t="s">
        <v>240</v>
      </c>
      <c r="T86" s="5" t="s">
        <v>301</v>
      </c>
    </row>
    <row r="87" spans="1:20" x14ac:dyDescent="0.25">
      <c r="A87" t="s">
        <v>215</v>
      </c>
      <c r="B87" t="s">
        <v>304</v>
      </c>
      <c r="C87" t="s">
        <v>12</v>
      </c>
      <c r="D87" t="s">
        <v>7</v>
      </c>
      <c r="E87" s="5"/>
      <c r="F87" s="7">
        <v>45027</v>
      </c>
      <c r="G87" t="s">
        <v>82</v>
      </c>
      <c r="H87">
        <v>10</v>
      </c>
      <c r="I87" s="5">
        <v>2066147</v>
      </c>
      <c r="K87" s="5">
        <v>2072528</v>
      </c>
      <c r="L87" s="5">
        <v>4132.2939999999999</v>
      </c>
      <c r="M87" s="5">
        <v>4145.0559999999996</v>
      </c>
      <c r="N87" s="5">
        <v>6381</v>
      </c>
      <c r="O87" s="3">
        <v>3.0883572175647999E-3</v>
      </c>
      <c r="P87" s="9">
        <f>N87+P86</f>
        <v>20509.999999998414</v>
      </c>
      <c r="Q87" s="5" t="str">
        <f>TEXT(Table13[[#This Row],[Closing Date]],"yyyy")</f>
        <v>2023</v>
      </c>
      <c r="R87" s="5" t="str">
        <f>TEXT(Table13[[#This Row],[Closing Date]],"mmmm")</f>
        <v>April</v>
      </c>
      <c r="S87" s="5" t="s">
        <v>240</v>
      </c>
      <c r="T87" s="5" t="s">
        <v>301</v>
      </c>
    </row>
    <row r="88" spans="1:20" x14ac:dyDescent="0.25">
      <c r="A88" t="s">
        <v>215</v>
      </c>
      <c r="B88" t="s">
        <v>304</v>
      </c>
      <c r="C88" t="s">
        <v>12</v>
      </c>
      <c r="D88" t="s">
        <v>7</v>
      </c>
      <c r="E88" s="5"/>
      <c r="F88" s="7">
        <v>45028</v>
      </c>
      <c r="G88" t="s">
        <v>82</v>
      </c>
      <c r="H88">
        <v>10</v>
      </c>
      <c r="I88" s="5">
        <v>2063022</v>
      </c>
      <c r="K88" s="5">
        <v>2070728</v>
      </c>
      <c r="L88" s="5">
        <v>4126.0439999999999</v>
      </c>
      <c r="M88" s="5">
        <v>4141.4560000000001</v>
      </c>
      <c r="N88" s="5">
        <v>7706</v>
      </c>
      <c r="O88" s="3">
        <v>3.7352970545152359E-3</v>
      </c>
      <c r="P88" s="9">
        <f>N88+P87</f>
        <v>28215.999999998414</v>
      </c>
      <c r="Q88" s="5" t="str">
        <f>TEXT(Table13[[#This Row],[Closing Date]],"yyyy")</f>
        <v>2023</v>
      </c>
      <c r="R88" s="5" t="str">
        <f>TEXT(Table13[[#This Row],[Closing Date]],"mmmm")</f>
        <v>April</v>
      </c>
      <c r="S88" s="5" t="s">
        <v>240</v>
      </c>
      <c r="T88" s="5" t="s">
        <v>301</v>
      </c>
    </row>
    <row r="89" spans="1:20" x14ac:dyDescent="0.25">
      <c r="A89" t="s">
        <v>215</v>
      </c>
      <c r="B89" t="s">
        <v>304</v>
      </c>
      <c r="C89" t="s">
        <v>12</v>
      </c>
      <c r="D89" t="s">
        <v>5</v>
      </c>
      <c r="E89" s="5"/>
      <c r="F89" s="7">
        <v>45029</v>
      </c>
      <c r="G89" t="s">
        <v>82</v>
      </c>
      <c r="H89">
        <v>10</v>
      </c>
      <c r="I89" s="5">
        <v>2077022</v>
      </c>
      <c r="K89" s="5">
        <v>2072978</v>
      </c>
      <c r="L89" s="5">
        <v>4154.0439999999999</v>
      </c>
      <c r="M89" s="5">
        <v>4145.9560000000001</v>
      </c>
      <c r="N89" s="5">
        <v>-4044</v>
      </c>
      <c r="O89" s="3">
        <v>-1.9470183753469482E-3</v>
      </c>
      <c r="P89" s="9">
        <f>N89+P88</f>
        <v>24171.999999998414</v>
      </c>
      <c r="Q89" s="5" t="str">
        <f>TEXT(Table13[[#This Row],[Closing Date]],"yyyy")</f>
        <v>2023</v>
      </c>
      <c r="R89" s="5" t="str">
        <f>TEXT(Table13[[#This Row],[Closing Date]],"mmmm")</f>
        <v>April</v>
      </c>
      <c r="S89" s="5" t="s">
        <v>240</v>
      </c>
      <c r="T89" s="5" t="s">
        <v>301</v>
      </c>
    </row>
    <row r="90" spans="1:20" x14ac:dyDescent="0.25">
      <c r="A90" t="s">
        <v>215</v>
      </c>
      <c r="B90" t="s">
        <v>304</v>
      </c>
      <c r="C90" t="s">
        <v>12</v>
      </c>
      <c r="D90" t="s">
        <v>5</v>
      </c>
      <c r="E90" s="5"/>
      <c r="F90" s="7">
        <v>45030</v>
      </c>
      <c r="G90" t="s">
        <v>82</v>
      </c>
      <c r="H90">
        <v>10</v>
      </c>
      <c r="I90" s="5">
        <v>2092897</v>
      </c>
      <c r="K90" s="5">
        <v>2088978</v>
      </c>
      <c r="L90" s="5">
        <v>4185.7939999999999</v>
      </c>
      <c r="M90" s="5">
        <v>4177.9560000000001</v>
      </c>
      <c r="N90" s="5">
        <v>-3919</v>
      </c>
      <c r="O90" s="3">
        <v>-1.8725240659238696E-3</v>
      </c>
      <c r="P90" s="9">
        <f>N90+P89</f>
        <v>20252.999999998414</v>
      </c>
      <c r="Q90" s="5" t="str">
        <f>TEXT(Table13[[#This Row],[Closing Date]],"yyyy")</f>
        <v>2023</v>
      </c>
      <c r="R90" s="5" t="str">
        <f>TEXT(Table13[[#This Row],[Closing Date]],"mmmm")</f>
        <v>April</v>
      </c>
      <c r="S90" s="5" t="s">
        <v>240</v>
      </c>
      <c r="T90" s="5" t="s">
        <v>301</v>
      </c>
    </row>
    <row r="91" spans="1:20" x14ac:dyDescent="0.25">
      <c r="A91" t="s">
        <v>201</v>
      </c>
      <c r="B91" t="s">
        <v>306</v>
      </c>
      <c r="C91" t="s">
        <v>16</v>
      </c>
      <c r="D91" t="s">
        <v>5</v>
      </c>
      <c r="E91" s="5"/>
      <c r="F91" s="7">
        <v>45033</v>
      </c>
      <c r="G91" t="s">
        <v>22</v>
      </c>
      <c r="H91">
        <v>1500</v>
      </c>
      <c r="I91" s="5">
        <v>142365.6</v>
      </c>
      <c r="K91" s="5">
        <v>139028.76999999999</v>
      </c>
      <c r="L91" s="5">
        <v>94.91040000000001</v>
      </c>
      <c r="M91" s="5">
        <v>92.685846666666663</v>
      </c>
      <c r="N91" s="5">
        <v>-3336.8300000000163</v>
      </c>
      <c r="O91" s="3">
        <v>-2.3438457042993674E-2</v>
      </c>
      <c r="P91" s="9">
        <f>N91+P90</f>
        <v>16916.169999998398</v>
      </c>
      <c r="Q91" s="5" t="str">
        <f>TEXT(Table13[[#This Row],[Closing Date]],"yyyy")</f>
        <v>2023</v>
      </c>
      <c r="R91" s="5" t="str">
        <f>TEXT(Table13[[#This Row],[Closing Date]],"mmmm")</f>
        <v>April</v>
      </c>
      <c r="S91" s="5" t="s">
        <v>240</v>
      </c>
      <c r="T91" s="5" t="s">
        <v>301</v>
      </c>
    </row>
    <row r="92" spans="1:20" x14ac:dyDescent="0.25">
      <c r="A92" t="s">
        <v>215</v>
      </c>
      <c r="B92" t="s">
        <v>304</v>
      </c>
      <c r="C92" t="s">
        <v>12</v>
      </c>
      <c r="D92" t="s">
        <v>7</v>
      </c>
      <c r="E92" s="5"/>
      <c r="F92" s="7">
        <v>45033</v>
      </c>
      <c r="G92" t="s">
        <v>82</v>
      </c>
      <c r="H92">
        <v>15</v>
      </c>
      <c r="I92" s="5">
        <v>3112533</v>
      </c>
      <c r="K92" s="5">
        <v>3112842</v>
      </c>
      <c r="L92" s="5">
        <v>4150.0439999999999</v>
      </c>
      <c r="M92" s="5">
        <v>4150.4560000000001</v>
      </c>
      <c r="N92" s="5">
        <v>309</v>
      </c>
      <c r="O92" s="3">
        <v>9.9276055868386445E-5</v>
      </c>
      <c r="P92" s="9">
        <f>N92+P91</f>
        <v>17225.169999998398</v>
      </c>
      <c r="Q92" s="5" t="str">
        <f>TEXT(Table13[[#This Row],[Closing Date]],"yyyy")</f>
        <v>2023</v>
      </c>
      <c r="R92" s="5" t="str">
        <f>TEXT(Table13[[#This Row],[Closing Date]],"mmmm")</f>
        <v>April</v>
      </c>
      <c r="S92" s="5" t="s">
        <v>240</v>
      </c>
      <c r="T92" s="5" t="s">
        <v>301</v>
      </c>
    </row>
    <row r="93" spans="1:20" x14ac:dyDescent="0.25">
      <c r="A93" t="s">
        <v>201</v>
      </c>
      <c r="B93" t="s">
        <v>302</v>
      </c>
      <c r="C93" t="s">
        <v>16</v>
      </c>
      <c r="D93" t="s">
        <v>5</v>
      </c>
      <c r="E93" s="5"/>
      <c r="F93" s="7">
        <v>45033</v>
      </c>
      <c r="G93" t="s">
        <v>22</v>
      </c>
      <c r="H93">
        <v>1500</v>
      </c>
      <c r="I93" s="5">
        <v>142365.6</v>
      </c>
      <c r="K93" s="5">
        <v>139028.76999999999</v>
      </c>
      <c r="L93" s="5">
        <v>94.91040000000001</v>
      </c>
      <c r="M93" s="5">
        <v>92.685846666666663</v>
      </c>
      <c r="N93" s="5">
        <v>-3336.8300000000163</v>
      </c>
      <c r="O93" s="3">
        <v>-2.3438457042993674E-2</v>
      </c>
      <c r="P93" s="9">
        <f>N93+P92</f>
        <v>13888.339999998381</v>
      </c>
      <c r="Q93" s="5" t="str">
        <f>TEXT(Table13[[#This Row],[Closing Date]],"yyyy")</f>
        <v>2023</v>
      </c>
      <c r="R93" s="5" t="str">
        <f>TEXT(Table13[[#This Row],[Closing Date]],"mmmm")</f>
        <v>April</v>
      </c>
      <c r="S93" s="5" t="s">
        <v>240</v>
      </c>
      <c r="T93" s="5" t="s">
        <v>301</v>
      </c>
    </row>
    <row r="94" spans="1:20" x14ac:dyDescent="0.25">
      <c r="A94" t="s">
        <v>201</v>
      </c>
      <c r="B94" t="s">
        <v>305</v>
      </c>
      <c r="C94" t="s">
        <v>28</v>
      </c>
      <c r="D94" t="s">
        <v>7</v>
      </c>
      <c r="E94" s="5"/>
      <c r="F94" s="7">
        <v>45033</v>
      </c>
      <c r="G94" t="s">
        <v>111</v>
      </c>
      <c r="H94">
        <v>2361</v>
      </c>
      <c r="I94" s="5">
        <v>99870.3</v>
      </c>
      <c r="K94" s="5">
        <v>94321.2</v>
      </c>
      <c r="L94" s="5">
        <v>42.300000000000004</v>
      </c>
      <c r="M94" s="5">
        <v>39.949682337992378</v>
      </c>
      <c r="N94" s="5">
        <v>-5549.1000000000058</v>
      </c>
      <c r="O94" s="3">
        <v>-5.5563065295688566E-2</v>
      </c>
      <c r="P94" s="9">
        <f>N94+P93</f>
        <v>8339.2399999983754</v>
      </c>
      <c r="Q94" s="5" t="str">
        <f>TEXT(Table13[[#This Row],[Closing Date]],"yyyy")</f>
        <v>2023</v>
      </c>
      <c r="R94" s="5" t="str">
        <f>TEXT(Table13[[#This Row],[Closing Date]],"mmmm")</f>
        <v>April</v>
      </c>
      <c r="S94" s="5" t="s">
        <v>240</v>
      </c>
      <c r="T94" s="5" t="s">
        <v>203</v>
      </c>
    </row>
    <row r="95" spans="1:20" x14ac:dyDescent="0.25">
      <c r="A95" t="s">
        <v>201</v>
      </c>
      <c r="B95" t="s">
        <v>305</v>
      </c>
      <c r="C95" t="s">
        <v>16</v>
      </c>
      <c r="D95" t="s">
        <v>7</v>
      </c>
      <c r="E95" s="5"/>
      <c r="F95" s="7">
        <v>45033</v>
      </c>
      <c r="G95" t="s">
        <v>24</v>
      </c>
      <c r="H95">
        <v>157</v>
      </c>
      <c r="I95" s="5">
        <v>99716.479999999996</v>
      </c>
      <c r="K95" s="5">
        <v>109266.42</v>
      </c>
      <c r="L95" s="5">
        <v>635.13681528662414</v>
      </c>
      <c r="M95" s="5">
        <v>695.96445859872608</v>
      </c>
      <c r="N95" s="5">
        <v>9549.9400000000023</v>
      </c>
      <c r="O95" s="3">
        <v>9.5770929739998872E-2</v>
      </c>
      <c r="P95" s="9">
        <f>N95+P94</f>
        <v>17889.179999998378</v>
      </c>
      <c r="Q95" s="5" t="str">
        <f>TEXT(Table13[[#This Row],[Closing Date]],"yyyy")</f>
        <v>2023</v>
      </c>
      <c r="R95" s="5" t="str">
        <f>TEXT(Table13[[#This Row],[Closing Date]],"mmmm")</f>
        <v>April</v>
      </c>
      <c r="S95" s="5" t="s">
        <v>240</v>
      </c>
      <c r="T95" s="5" t="s">
        <v>203</v>
      </c>
    </row>
    <row r="96" spans="1:20" x14ac:dyDescent="0.25">
      <c r="A96" t="s">
        <v>215</v>
      </c>
      <c r="B96" t="s">
        <v>304</v>
      </c>
      <c r="C96" t="s">
        <v>12</v>
      </c>
      <c r="D96" t="s">
        <v>7</v>
      </c>
      <c r="E96" s="5"/>
      <c r="F96" s="7">
        <v>45034</v>
      </c>
      <c r="G96" t="s">
        <v>82</v>
      </c>
      <c r="H96">
        <v>15</v>
      </c>
      <c r="I96" s="5">
        <v>3129220.5</v>
      </c>
      <c r="K96" s="5">
        <v>3130967</v>
      </c>
      <c r="L96" s="5">
        <v>4172.2939999999999</v>
      </c>
      <c r="M96" s="5">
        <v>4174.6226666666662</v>
      </c>
      <c r="N96" s="5">
        <v>1746.5</v>
      </c>
      <c r="O96" s="3">
        <v>5.5812621705620996E-4</v>
      </c>
      <c r="P96" s="9">
        <f>N96+P95</f>
        <v>19635.679999998378</v>
      </c>
      <c r="Q96" s="5" t="str">
        <f>TEXT(Table13[[#This Row],[Closing Date]],"yyyy")</f>
        <v>2023</v>
      </c>
      <c r="R96" s="5" t="str">
        <f>TEXT(Table13[[#This Row],[Closing Date]],"mmmm")</f>
        <v>April</v>
      </c>
      <c r="S96" s="5" t="s">
        <v>240</v>
      </c>
      <c r="T96" s="5" t="s">
        <v>301</v>
      </c>
    </row>
    <row r="97" spans="1:20" x14ac:dyDescent="0.25">
      <c r="A97" t="s">
        <v>201</v>
      </c>
      <c r="B97" t="s">
        <v>306</v>
      </c>
      <c r="C97" t="s">
        <v>12</v>
      </c>
      <c r="D97" t="s">
        <v>7</v>
      </c>
      <c r="E97" s="5"/>
      <c r="F97" s="7">
        <v>45036</v>
      </c>
      <c r="G97" t="s">
        <v>82</v>
      </c>
      <c r="H97">
        <v>25</v>
      </c>
      <c r="I97" s="5">
        <v>5181305</v>
      </c>
      <c r="K97" s="5">
        <v>5171195</v>
      </c>
      <c r="L97" s="5">
        <v>4145.0439999999999</v>
      </c>
      <c r="M97" s="5">
        <v>4136.9560000000001</v>
      </c>
      <c r="N97" s="5">
        <v>-10110</v>
      </c>
      <c r="O97" s="3">
        <v>-1.95124587338518E-3</v>
      </c>
      <c r="P97" s="9">
        <f>N97+P96</f>
        <v>9525.6799999983778</v>
      </c>
      <c r="Q97" s="5" t="str">
        <f>TEXT(Table13[[#This Row],[Closing Date]],"yyyy")</f>
        <v>2023</v>
      </c>
      <c r="R97" s="5" t="str">
        <f>TEXT(Table13[[#This Row],[Closing Date]],"mmmm")</f>
        <v>April</v>
      </c>
      <c r="S97" s="5" t="s">
        <v>240</v>
      </c>
      <c r="T97" s="5" t="s">
        <v>301</v>
      </c>
    </row>
    <row r="98" spans="1:20" x14ac:dyDescent="0.25">
      <c r="A98" t="s">
        <v>197</v>
      </c>
      <c r="B98" t="s">
        <v>305</v>
      </c>
      <c r="C98" t="s">
        <v>102</v>
      </c>
      <c r="D98" t="s">
        <v>7</v>
      </c>
      <c r="E98" s="5"/>
      <c r="F98" s="7">
        <v>45037</v>
      </c>
      <c r="G98" t="s">
        <v>15</v>
      </c>
      <c r="H98">
        <v>35</v>
      </c>
      <c r="I98" s="5">
        <v>5804.1200000000008</v>
      </c>
      <c r="J98" s="13">
        <v>100</v>
      </c>
      <c r="K98" s="5">
        <v>0</v>
      </c>
      <c r="L98" s="5">
        <v>1.6583200000000002</v>
      </c>
      <c r="M98" s="5">
        <v>0</v>
      </c>
      <c r="N98" s="5">
        <v>-5804.1200000000008</v>
      </c>
      <c r="O98" s="3">
        <v>-1</v>
      </c>
      <c r="P98" s="9">
        <f>N98+P97</f>
        <v>3721.559999998377</v>
      </c>
      <c r="Q98" s="5" t="str">
        <f>TEXT(Table13[[#This Row],[Closing Date]],"yyyy")</f>
        <v>2023</v>
      </c>
      <c r="R98" s="5" t="str">
        <f>TEXT(Table13[[#This Row],[Closing Date]],"mmmm")</f>
        <v>April</v>
      </c>
      <c r="S98" s="5" t="s">
        <v>240</v>
      </c>
      <c r="T98" s="5" t="s">
        <v>301</v>
      </c>
    </row>
    <row r="99" spans="1:20" x14ac:dyDescent="0.25">
      <c r="A99" t="s">
        <v>197</v>
      </c>
      <c r="B99" t="s">
        <v>305</v>
      </c>
      <c r="C99" t="s">
        <v>102</v>
      </c>
      <c r="D99" t="s">
        <v>7</v>
      </c>
      <c r="E99" s="5"/>
      <c r="F99" s="7">
        <v>45037</v>
      </c>
      <c r="G99" t="s">
        <v>9</v>
      </c>
      <c r="H99">
        <v>30</v>
      </c>
      <c r="I99" s="5">
        <v>5684.32</v>
      </c>
      <c r="J99" s="13">
        <v>100</v>
      </c>
      <c r="K99" s="5">
        <v>20408.47</v>
      </c>
      <c r="L99" s="5">
        <v>1.8947733333333332</v>
      </c>
      <c r="M99" s="5">
        <v>6.8028233333333334</v>
      </c>
      <c r="N99" s="5">
        <v>14724.150000000001</v>
      </c>
      <c r="O99" s="3">
        <v>2.5903098347735529</v>
      </c>
      <c r="P99" s="9">
        <f>N99+P98</f>
        <v>18445.709999998377</v>
      </c>
      <c r="Q99" s="5" t="str">
        <f>TEXT(Table13[[#This Row],[Closing Date]],"yyyy")</f>
        <v>2023</v>
      </c>
      <c r="R99" s="5" t="str">
        <f>TEXT(Table13[[#This Row],[Closing Date]],"mmmm")</f>
        <v>April</v>
      </c>
      <c r="S99" s="5" t="s">
        <v>240</v>
      </c>
      <c r="T99" s="5" t="s">
        <v>301</v>
      </c>
    </row>
    <row r="100" spans="1:20" x14ac:dyDescent="0.25">
      <c r="A100" t="s">
        <v>197</v>
      </c>
      <c r="B100" t="s">
        <v>305</v>
      </c>
      <c r="C100" t="s">
        <v>102</v>
      </c>
      <c r="D100" t="s">
        <v>7</v>
      </c>
      <c r="E100" s="5"/>
      <c r="F100" s="7">
        <v>45037</v>
      </c>
      <c r="G100" t="s">
        <v>18</v>
      </c>
      <c r="H100">
        <v>70</v>
      </c>
      <c r="I100" s="5">
        <v>6381.34</v>
      </c>
      <c r="J100" s="13">
        <v>100</v>
      </c>
      <c r="K100" s="5">
        <v>31903.38</v>
      </c>
      <c r="L100" s="5">
        <v>0.9116200000000001</v>
      </c>
      <c r="M100" s="5">
        <v>4.5576257142857148</v>
      </c>
      <c r="N100" s="5">
        <v>25522.04</v>
      </c>
      <c r="O100" s="3">
        <v>3.9994797330968104</v>
      </c>
      <c r="P100" s="9">
        <f>N100+P99</f>
        <v>43967.749999998377</v>
      </c>
      <c r="Q100" s="5" t="str">
        <f>TEXT(Table13[[#This Row],[Closing Date]],"yyyy")</f>
        <v>2023</v>
      </c>
      <c r="R100" s="5" t="str">
        <f>TEXT(Table13[[#This Row],[Closing Date]],"mmmm")</f>
        <v>April</v>
      </c>
      <c r="S100" s="5" t="s">
        <v>240</v>
      </c>
      <c r="T100" s="5" t="s">
        <v>301</v>
      </c>
    </row>
    <row r="101" spans="1:20" x14ac:dyDescent="0.25">
      <c r="A101" t="s">
        <v>201</v>
      </c>
      <c r="B101" t="s">
        <v>305</v>
      </c>
      <c r="C101" t="s">
        <v>16</v>
      </c>
      <c r="D101" t="s">
        <v>7</v>
      </c>
      <c r="E101" s="5"/>
      <c r="F101" s="7">
        <v>45037</v>
      </c>
      <c r="G101" t="s">
        <v>19</v>
      </c>
      <c r="H101">
        <v>4000</v>
      </c>
      <c r="I101" s="5">
        <v>132020</v>
      </c>
      <c r="K101" s="5">
        <v>144446.06</v>
      </c>
      <c r="L101" s="5">
        <v>33.005000000000003</v>
      </c>
      <c r="M101" s="5">
        <v>36.111514999999997</v>
      </c>
      <c r="N101" s="5">
        <v>12426.059999999998</v>
      </c>
      <c r="O101" s="3">
        <v>9.4122557188304631E-2</v>
      </c>
      <c r="P101" s="9">
        <f>N101+P100</f>
        <v>56393.809999998375</v>
      </c>
      <c r="Q101" s="5" t="str">
        <f>TEXT(Table13[[#This Row],[Closing Date]],"yyyy")</f>
        <v>2023</v>
      </c>
      <c r="R101" s="5" t="str">
        <f>TEXT(Table13[[#This Row],[Closing Date]],"mmmm")</f>
        <v>April</v>
      </c>
      <c r="S101" s="5" t="s">
        <v>240</v>
      </c>
      <c r="T101" s="5" t="s">
        <v>301</v>
      </c>
    </row>
    <row r="102" spans="1:20" x14ac:dyDescent="0.25">
      <c r="A102" t="s">
        <v>197</v>
      </c>
      <c r="B102" t="s">
        <v>306</v>
      </c>
      <c r="C102" t="s">
        <v>99</v>
      </c>
      <c r="D102" t="s">
        <v>7</v>
      </c>
      <c r="E102" s="5"/>
      <c r="F102" s="7">
        <v>45037</v>
      </c>
      <c r="G102" t="s">
        <v>14</v>
      </c>
      <c r="H102">
        <v>11</v>
      </c>
      <c r="I102" s="5">
        <v>2016.07</v>
      </c>
      <c r="J102" s="13">
        <v>100</v>
      </c>
      <c r="K102" s="5">
        <v>0</v>
      </c>
      <c r="L102" s="5">
        <v>1.8327909090909091</v>
      </c>
      <c r="M102" s="5">
        <v>0</v>
      </c>
      <c r="N102" s="5">
        <v>-2016.07</v>
      </c>
      <c r="O102" s="3">
        <v>-1</v>
      </c>
      <c r="P102" s="9">
        <f>N102+P101</f>
        <v>54377.739999998375</v>
      </c>
      <c r="Q102" s="5" t="str">
        <f>TEXT(Table13[[#This Row],[Closing Date]],"yyyy")</f>
        <v>2023</v>
      </c>
      <c r="R102" s="5" t="str">
        <f>TEXT(Table13[[#This Row],[Closing Date]],"mmmm")</f>
        <v>April</v>
      </c>
      <c r="S102" s="5" t="s">
        <v>240</v>
      </c>
      <c r="T102" s="5" t="s">
        <v>301</v>
      </c>
    </row>
    <row r="103" spans="1:20" x14ac:dyDescent="0.25">
      <c r="A103" t="s">
        <v>201</v>
      </c>
      <c r="B103" t="s">
        <v>305</v>
      </c>
      <c r="C103" t="s">
        <v>4</v>
      </c>
      <c r="D103" t="s">
        <v>5</v>
      </c>
      <c r="E103" s="5"/>
      <c r="F103" s="7">
        <v>45040</v>
      </c>
      <c r="G103" t="s">
        <v>21</v>
      </c>
      <c r="H103">
        <v>1000000</v>
      </c>
      <c r="I103" s="5">
        <v>1243848.8799999999</v>
      </c>
      <c r="K103" s="5">
        <v>1243855.1200000001</v>
      </c>
      <c r="L103" s="5">
        <v>1.2438488799999998</v>
      </c>
      <c r="M103" s="5">
        <v>1.2438551200000001</v>
      </c>
      <c r="N103" s="5">
        <v>6.2400000002235174</v>
      </c>
      <c r="O103" s="3">
        <v>5.0166614261502715E-6</v>
      </c>
      <c r="P103" s="9">
        <f>N103+P102</f>
        <v>54383.979999998599</v>
      </c>
      <c r="Q103" s="5" t="str">
        <f>TEXT(Table13[[#This Row],[Closing Date]],"yyyy")</f>
        <v>2023</v>
      </c>
      <c r="R103" s="5" t="str">
        <f>TEXT(Table13[[#This Row],[Closing Date]],"mmmm")</f>
        <v>April</v>
      </c>
      <c r="S103" s="5" t="s">
        <v>240</v>
      </c>
      <c r="T103" s="5" t="s">
        <v>301</v>
      </c>
    </row>
    <row r="104" spans="1:20" x14ac:dyDescent="0.25">
      <c r="A104" t="s">
        <v>201</v>
      </c>
      <c r="B104" t="s">
        <v>305</v>
      </c>
      <c r="C104" t="s">
        <v>16</v>
      </c>
      <c r="D104" t="s">
        <v>5</v>
      </c>
      <c r="E104" s="5"/>
      <c r="F104" s="7">
        <v>45040</v>
      </c>
      <c r="G104" t="s">
        <v>27</v>
      </c>
      <c r="H104">
        <v>10685</v>
      </c>
      <c r="I104" s="5">
        <v>151859.99</v>
      </c>
      <c r="K104" s="5">
        <v>125423.6</v>
      </c>
      <c r="L104" s="5">
        <v>14.212446420215255</v>
      </c>
      <c r="M104" s="5">
        <v>11.738287318671034</v>
      </c>
      <c r="N104" s="5">
        <v>26436.389999999985</v>
      </c>
      <c r="O104" s="3">
        <v>0.17408397037297307</v>
      </c>
      <c r="P104" s="9">
        <f>N104+P103</f>
        <v>80820.369999998584</v>
      </c>
      <c r="Q104" s="5" t="str">
        <f>TEXT(Table13[[#This Row],[Closing Date]],"yyyy")</f>
        <v>2023</v>
      </c>
      <c r="R104" s="5" t="str">
        <f>TEXT(Table13[[#This Row],[Closing Date]],"mmmm")</f>
        <v>April</v>
      </c>
      <c r="S104" s="5" t="s">
        <v>240</v>
      </c>
      <c r="T104" s="5" t="s">
        <v>203</v>
      </c>
    </row>
    <row r="105" spans="1:20" x14ac:dyDescent="0.25">
      <c r="A105" t="s">
        <v>201</v>
      </c>
      <c r="B105" t="s">
        <v>305</v>
      </c>
      <c r="C105" t="s">
        <v>16</v>
      </c>
      <c r="D105" t="s">
        <v>7</v>
      </c>
      <c r="E105" s="5"/>
      <c r="F105" s="7">
        <v>45041</v>
      </c>
      <c r="G105" t="s">
        <v>20</v>
      </c>
      <c r="H105">
        <v>2700</v>
      </c>
      <c r="I105" s="5">
        <v>125883.44</v>
      </c>
      <c r="K105" s="5">
        <v>130262.86</v>
      </c>
      <c r="L105" s="5">
        <v>46.623496296296295</v>
      </c>
      <c r="M105" s="5">
        <v>48.245503703703704</v>
      </c>
      <c r="N105" s="5">
        <v>4379.4199999999983</v>
      </c>
      <c r="O105" s="3">
        <v>3.4789484621646855E-2</v>
      </c>
      <c r="P105" s="9">
        <f>N105+P104</f>
        <v>85199.789999998582</v>
      </c>
      <c r="Q105" s="5" t="str">
        <f>TEXT(Table13[[#This Row],[Closing Date]],"yyyy")</f>
        <v>2023</v>
      </c>
      <c r="R105" s="5" t="str">
        <f>TEXT(Table13[[#This Row],[Closing Date]],"mmmm")</f>
        <v>April</v>
      </c>
      <c r="S105" s="5" t="s">
        <v>240</v>
      </c>
      <c r="T105" s="5" t="s">
        <v>301</v>
      </c>
    </row>
    <row r="106" spans="1:20" x14ac:dyDescent="0.25">
      <c r="A106" t="s">
        <v>215</v>
      </c>
      <c r="B106" t="s">
        <v>304</v>
      </c>
      <c r="C106" t="s">
        <v>12</v>
      </c>
      <c r="D106" t="s">
        <v>7</v>
      </c>
      <c r="E106" s="5"/>
      <c r="F106" s="7">
        <v>45041</v>
      </c>
      <c r="G106" t="s">
        <v>82</v>
      </c>
      <c r="H106">
        <v>25</v>
      </c>
      <c r="I106" s="5">
        <v>5162555</v>
      </c>
      <c r="K106" s="5">
        <v>5152132.5</v>
      </c>
      <c r="L106" s="5">
        <v>4130.0439999999999</v>
      </c>
      <c r="M106" s="5">
        <v>4121.7060000000001</v>
      </c>
      <c r="N106" s="5">
        <v>-10422.5</v>
      </c>
      <c r="O106" s="3">
        <v>-2.0188646900613501E-3</v>
      </c>
      <c r="P106" s="9">
        <f>N106+P105</f>
        <v>74777.289999998582</v>
      </c>
      <c r="Q106" s="5" t="str">
        <f>TEXT(Table13[[#This Row],[Closing Date]],"yyyy")</f>
        <v>2023</v>
      </c>
      <c r="R106" s="5" t="str">
        <f>TEXT(Table13[[#This Row],[Closing Date]],"mmmm")</f>
        <v>April</v>
      </c>
      <c r="S106" s="5" t="s">
        <v>240</v>
      </c>
      <c r="T106" s="5" t="s">
        <v>301</v>
      </c>
    </row>
    <row r="107" spans="1:20" x14ac:dyDescent="0.25">
      <c r="A107" t="s">
        <v>215</v>
      </c>
      <c r="B107" t="s">
        <v>304</v>
      </c>
      <c r="C107" t="s">
        <v>12</v>
      </c>
      <c r="D107" t="s">
        <v>7</v>
      </c>
      <c r="E107" s="5"/>
      <c r="F107" s="7">
        <v>45041</v>
      </c>
      <c r="G107" t="s">
        <v>82</v>
      </c>
      <c r="H107">
        <v>25</v>
      </c>
      <c r="I107" s="5">
        <v>5137555</v>
      </c>
      <c r="K107" s="5">
        <v>5127445</v>
      </c>
      <c r="L107" s="5">
        <v>4110.0439999999999</v>
      </c>
      <c r="M107" s="5">
        <v>4101.9560000000001</v>
      </c>
      <c r="N107" s="5">
        <v>-10110</v>
      </c>
      <c r="O107" s="3">
        <v>-1.9678621445414547E-3</v>
      </c>
      <c r="P107" s="9">
        <f>N107+P106</f>
        <v>64667.289999998582</v>
      </c>
      <c r="Q107" s="5" t="str">
        <f>TEXT(Table13[[#This Row],[Closing Date]],"yyyy")</f>
        <v>2023</v>
      </c>
      <c r="R107" s="5" t="str">
        <f>TEXT(Table13[[#This Row],[Closing Date]],"mmmm")</f>
        <v>April</v>
      </c>
      <c r="S107" s="5" t="s">
        <v>240</v>
      </c>
      <c r="T107" s="5" t="s">
        <v>301</v>
      </c>
    </row>
    <row r="108" spans="1:20" x14ac:dyDescent="0.25">
      <c r="A108" t="s">
        <v>215</v>
      </c>
      <c r="B108" t="s">
        <v>304</v>
      </c>
      <c r="C108" t="s">
        <v>12</v>
      </c>
      <c r="D108" t="s">
        <v>5</v>
      </c>
      <c r="E108" s="5"/>
      <c r="F108" s="7">
        <v>45043</v>
      </c>
      <c r="G108" t="s">
        <v>82</v>
      </c>
      <c r="H108">
        <v>15</v>
      </c>
      <c r="I108" s="5">
        <v>3093783</v>
      </c>
      <c r="K108" s="5">
        <v>3089967</v>
      </c>
      <c r="L108" s="5">
        <v>4125.0439999999999</v>
      </c>
      <c r="M108" s="5">
        <v>4119.9560000000001</v>
      </c>
      <c r="N108" s="5">
        <v>-3816</v>
      </c>
      <c r="O108" s="3">
        <v>-1.2334413887463353E-3</v>
      </c>
      <c r="P108" s="9">
        <f>N108+P107</f>
        <v>60851.289999998582</v>
      </c>
      <c r="Q108" s="5" t="str">
        <f>TEXT(Table13[[#This Row],[Closing Date]],"yyyy")</f>
        <v>2023</v>
      </c>
      <c r="R108" s="5" t="str">
        <f>TEXT(Table13[[#This Row],[Closing Date]],"mmmm")</f>
        <v>April</v>
      </c>
      <c r="S108" s="5" t="s">
        <v>240</v>
      </c>
      <c r="T108" s="5" t="s">
        <v>301</v>
      </c>
    </row>
    <row r="109" spans="1:20" x14ac:dyDescent="0.25">
      <c r="A109" t="s">
        <v>201</v>
      </c>
      <c r="B109" t="s">
        <v>305</v>
      </c>
      <c r="C109" t="s">
        <v>16</v>
      </c>
      <c r="D109" t="s">
        <v>7</v>
      </c>
      <c r="E109" s="5"/>
      <c r="F109" s="7">
        <v>45043</v>
      </c>
      <c r="G109" t="s">
        <v>179</v>
      </c>
      <c r="H109">
        <v>5555</v>
      </c>
      <c r="I109" s="5">
        <v>459740.33</v>
      </c>
      <c r="K109" s="5">
        <v>523936.23</v>
      </c>
      <c r="L109" s="5">
        <v>82.761535553555362</v>
      </c>
      <c r="M109" s="5">
        <v>94.317953195319532</v>
      </c>
      <c r="N109" s="5">
        <v>64195.899999999965</v>
      </c>
      <c r="O109" s="3">
        <v>0.13963512837779526</v>
      </c>
      <c r="P109" s="9">
        <f>N109+P108</f>
        <v>125047.18999999855</v>
      </c>
      <c r="Q109" s="5" t="str">
        <f>TEXT(Table13[[#This Row],[Closing Date]],"yyyy")</f>
        <v>2023</v>
      </c>
      <c r="R109" s="5" t="str">
        <f>TEXT(Table13[[#This Row],[Closing Date]],"mmmm")</f>
        <v>April</v>
      </c>
      <c r="S109" s="5" t="s">
        <v>240</v>
      </c>
      <c r="T109" s="5" t="s">
        <v>203</v>
      </c>
    </row>
    <row r="110" spans="1:20" x14ac:dyDescent="0.25">
      <c r="A110" t="s">
        <v>197</v>
      </c>
      <c r="B110" t="s">
        <v>305</v>
      </c>
      <c r="C110" t="s">
        <v>102</v>
      </c>
      <c r="D110" t="s">
        <v>7</v>
      </c>
      <c r="E110" s="5"/>
      <c r="F110" s="7">
        <v>45044</v>
      </c>
      <c r="G110" t="s">
        <v>130</v>
      </c>
      <c r="H110">
        <v>100</v>
      </c>
      <c r="I110" s="5">
        <v>4367.4399999999996</v>
      </c>
      <c r="J110" s="13">
        <v>100</v>
      </c>
      <c r="K110" s="5">
        <v>0</v>
      </c>
      <c r="L110" s="5">
        <v>0.43674399999999997</v>
      </c>
      <c r="M110" s="5">
        <v>0</v>
      </c>
      <c r="N110" s="5">
        <v>-4367.4399999999996</v>
      </c>
      <c r="O110" s="3">
        <v>-1</v>
      </c>
      <c r="P110" s="9">
        <f>N110+P109</f>
        <v>120679.74999999854</v>
      </c>
      <c r="Q110" s="5" t="str">
        <f>TEXT(Table13[[#This Row],[Closing Date]],"yyyy")</f>
        <v>2023</v>
      </c>
      <c r="R110" s="5" t="str">
        <f>TEXT(Table13[[#This Row],[Closing Date]],"mmmm")</f>
        <v>April</v>
      </c>
      <c r="S110" s="5" t="s">
        <v>240</v>
      </c>
      <c r="T110" s="5" t="s">
        <v>301</v>
      </c>
    </row>
    <row r="111" spans="1:20" x14ac:dyDescent="0.25">
      <c r="A111" t="s">
        <v>215</v>
      </c>
      <c r="B111" t="s">
        <v>304</v>
      </c>
      <c r="C111" t="s">
        <v>12</v>
      </c>
      <c r="D111" t="s">
        <v>5</v>
      </c>
      <c r="E111" s="5"/>
      <c r="F111" s="7">
        <v>45044</v>
      </c>
      <c r="G111" t="s">
        <v>82</v>
      </c>
      <c r="H111">
        <v>15</v>
      </c>
      <c r="I111" s="5">
        <v>3129408</v>
      </c>
      <c r="K111" s="5">
        <v>3123717</v>
      </c>
      <c r="L111" s="5">
        <v>4172.5439999999999</v>
      </c>
      <c r="M111" s="5">
        <v>4164.9560000000001</v>
      </c>
      <c r="N111" s="5">
        <v>-5691</v>
      </c>
      <c r="O111" s="3">
        <v>-1.8185548193140055E-3</v>
      </c>
      <c r="P111" s="9">
        <f>N111+P110</f>
        <v>114988.74999999854</v>
      </c>
      <c r="Q111" s="5" t="str">
        <f>TEXT(Table13[[#This Row],[Closing Date]],"yyyy")</f>
        <v>2023</v>
      </c>
      <c r="R111" s="5" t="str">
        <f>TEXT(Table13[[#This Row],[Closing Date]],"mmmm")</f>
        <v>April</v>
      </c>
      <c r="S111" s="5" t="s">
        <v>240</v>
      </c>
      <c r="T111" s="5" t="s">
        <v>301</v>
      </c>
    </row>
    <row r="112" spans="1:20" x14ac:dyDescent="0.25">
      <c r="A112" t="s">
        <v>201</v>
      </c>
      <c r="B112" t="s">
        <v>305</v>
      </c>
      <c r="C112" t="s">
        <v>16</v>
      </c>
      <c r="D112" t="s">
        <v>7</v>
      </c>
      <c r="E112" s="5"/>
      <c r="F112" s="7">
        <v>45044</v>
      </c>
      <c r="G112" t="s">
        <v>185</v>
      </c>
      <c r="H112">
        <v>3500</v>
      </c>
      <c r="I112" s="5">
        <v>256479.65</v>
      </c>
      <c r="K112" s="5">
        <v>244263.1</v>
      </c>
      <c r="L112" s="5">
        <v>73.279899999999998</v>
      </c>
      <c r="M112" s="5">
        <v>69.789457142857145</v>
      </c>
      <c r="N112" s="5">
        <v>-12216.549999999988</v>
      </c>
      <c r="O112" s="3">
        <v>-4.763165420726357E-2</v>
      </c>
      <c r="P112" s="9">
        <f>N112+P111</f>
        <v>102772.19999999856</v>
      </c>
      <c r="Q112" s="5" t="str">
        <f>TEXT(Table13[[#This Row],[Closing Date]],"yyyy")</f>
        <v>2023</v>
      </c>
      <c r="R112" s="5" t="str">
        <f>TEXT(Table13[[#This Row],[Closing Date]],"mmmm")</f>
        <v>April</v>
      </c>
      <c r="S112" s="5" t="s">
        <v>240</v>
      </c>
      <c r="T112" s="5" t="s">
        <v>203</v>
      </c>
    </row>
    <row r="113" spans="1:20" x14ac:dyDescent="0.25">
      <c r="A113" t="s">
        <v>201</v>
      </c>
      <c r="B113" t="s">
        <v>302</v>
      </c>
      <c r="C113" t="s">
        <v>28</v>
      </c>
      <c r="D113" t="s">
        <v>7</v>
      </c>
      <c r="E113" s="5"/>
      <c r="F113" s="7">
        <v>45047</v>
      </c>
      <c r="G113" t="s">
        <v>29</v>
      </c>
      <c r="H113">
        <v>1500</v>
      </c>
      <c r="I113" s="5">
        <v>160461.22</v>
      </c>
      <c r="K113" s="5">
        <v>155122.21</v>
      </c>
      <c r="L113" s="5">
        <v>106.97414666666667</v>
      </c>
      <c r="M113" s="5">
        <v>103.41480666666666</v>
      </c>
      <c r="N113" s="5">
        <v>-5339.0100000000093</v>
      </c>
      <c r="O113" s="3">
        <v>-3.3272899208917947E-2</v>
      </c>
      <c r="P113" s="9">
        <f>N113+P112</f>
        <v>97433.189999998547</v>
      </c>
      <c r="Q113" s="5" t="str">
        <f>TEXT(Table13[[#This Row],[Closing Date]],"yyyy")</f>
        <v>2023</v>
      </c>
      <c r="R113" s="5" t="str">
        <f>TEXT(Table13[[#This Row],[Closing Date]],"mmmm")</f>
        <v>May</v>
      </c>
      <c r="S113" s="5" t="s">
        <v>240</v>
      </c>
      <c r="T113" s="5" t="s">
        <v>301</v>
      </c>
    </row>
    <row r="114" spans="1:20" x14ac:dyDescent="0.25">
      <c r="A114" t="s">
        <v>201</v>
      </c>
      <c r="B114" t="s">
        <v>305</v>
      </c>
      <c r="C114" t="s">
        <v>16</v>
      </c>
      <c r="D114" t="s">
        <v>7</v>
      </c>
      <c r="E114" s="5"/>
      <c r="F114" s="7">
        <v>45048</v>
      </c>
      <c r="G114" t="s">
        <v>30</v>
      </c>
      <c r="H114">
        <v>16666</v>
      </c>
      <c r="I114" s="5">
        <v>179076.17</v>
      </c>
      <c r="K114" s="5">
        <v>168908.35</v>
      </c>
      <c r="L114" s="5">
        <v>10.745000000000001</v>
      </c>
      <c r="M114" s="5">
        <v>10.13490639625585</v>
      </c>
      <c r="N114" s="5">
        <v>-10167.820000000007</v>
      </c>
      <c r="O114" s="3">
        <v>-5.6779302349385816E-2</v>
      </c>
      <c r="P114" s="9">
        <f>N114+P113</f>
        <v>87265.36999999854</v>
      </c>
      <c r="Q114" s="5" t="str">
        <f>TEXT(Table13[[#This Row],[Closing Date]],"yyyy")</f>
        <v>2023</v>
      </c>
      <c r="R114" s="5" t="str">
        <f>TEXT(Table13[[#This Row],[Closing Date]],"mmmm")</f>
        <v>May</v>
      </c>
      <c r="S114" s="5" t="s">
        <v>240</v>
      </c>
      <c r="T114" s="5" t="s">
        <v>301</v>
      </c>
    </row>
    <row r="115" spans="1:20" x14ac:dyDescent="0.25">
      <c r="A115" t="s">
        <v>201</v>
      </c>
      <c r="B115" t="s">
        <v>306</v>
      </c>
      <c r="C115" t="s">
        <v>16</v>
      </c>
      <c r="D115" t="s">
        <v>7</v>
      </c>
      <c r="E115" s="5"/>
      <c r="F115" s="7">
        <v>45048</v>
      </c>
      <c r="G115" t="s">
        <v>34</v>
      </c>
      <c r="H115">
        <v>4000</v>
      </c>
      <c r="I115" s="5">
        <v>335600</v>
      </c>
      <c r="K115" s="5">
        <v>324543.78000000003</v>
      </c>
      <c r="L115" s="5">
        <v>83.9</v>
      </c>
      <c r="M115" s="5">
        <v>81.135945000000007</v>
      </c>
      <c r="N115" s="5">
        <v>-11056.219999999972</v>
      </c>
      <c r="O115" s="3">
        <v>-3.2944636471990453E-2</v>
      </c>
      <c r="P115" s="9">
        <f>N115+P114</f>
        <v>76209.149999998568</v>
      </c>
      <c r="Q115" s="5" t="str">
        <f>TEXT(Table13[[#This Row],[Closing Date]],"yyyy")</f>
        <v>2023</v>
      </c>
      <c r="R115" s="5" t="str">
        <f>TEXT(Table13[[#This Row],[Closing Date]],"mmmm")</f>
        <v>May</v>
      </c>
      <c r="S115" s="5" t="s">
        <v>240</v>
      </c>
      <c r="T115" s="5" t="s">
        <v>301</v>
      </c>
    </row>
    <row r="116" spans="1:20" x14ac:dyDescent="0.25">
      <c r="A116" t="s">
        <v>201</v>
      </c>
      <c r="B116" t="s">
        <v>306</v>
      </c>
      <c r="C116" t="s">
        <v>16</v>
      </c>
      <c r="D116" t="s">
        <v>7</v>
      </c>
      <c r="E116" s="5"/>
      <c r="F116" s="7">
        <v>45048</v>
      </c>
      <c r="G116" t="s">
        <v>31</v>
      </c>
      <c r="H116">
        <v>13000</v>
      </c>
      <c r="I116" s="5">
        <v>95193.13</v>
      </c>
      <c r="K116" s="5">
        <v>89282.28</v>
      </c>
      <c r="L116" s="5">
        <v>7.322548461538462</v>
      </c>
      <c r="M116" s="5">
        <v>6.8678676923076925</v>
      </c>
      <c r="N116" s="5">
        <v>-5910.8500000000058</v>
      </c>
      <c r="O116" s="3">
        <v>-6.2093241392524895E-2</v>
      </c>
      <c r="P116" s="9">
        <f>N116+P115</f>
        <v>70298.299999998562</v>
      </c>
      <c r="Q116" s="5" t="str">
        <f>TEXT(Table13[[#This Row],[Closing Date]],"yyyy")</f>
        <v>2023</v>
      </c>
      <c r="R116" s="5" t="str">
        <f>TEXT(Table13[[#This Row],[Closing Date]],"mmmm")</f>
        <v>May</v>
      </c>
      <c r="S116" s="5" t="s">
        <v>240</v>
      </c>
      <c r="T116" s="5" t="s">
        <v>301</v>
      </c>
    </row>
    <row r="117" spans="1:20" x14ac:dyDescent="0.25">
      <c r="A117" t="s">
        <v>197</v>
      </c>
      <c r="B117" t="s">
        <v>306</v>
      </c>
      <c r="C117" t="s">
        <v>99</v>
      </c>
      <c r="D117" t="s">
        <v>7</v>
      </c>
      <c r="E117" s="5"/>
      <c r="F117" s="7">
        <v>45049</v>
      </c>
      <c r="G117" t="s">
        <v>183</v>
      </c>
      <c r="H117">
        <v>9</v>
      </c>
      <c r="I117" s="5">
        <v>9138.56</v>
      </c>
      <c r="J117" s="13">
        <v>100</v>
      </c>
      <c r="K117" s="5">
        <v>5850</v>
      </c>
      <c r="L117" s="5">
        <v>10.153955555555555</v>
      </c>
      <c r="M117" s="5">
        <v>6.5</v>
      </c>
      <c r="N117" s="5">
        <v>-3288.5599999999995</v>
      </c>
      <c r="O117" s="3">
        <v>-0.35985538202955386</v>
      </c>
      <c r="P117" s="9">
        <f>N117+P116</f>
        <v>67009.739999998565</v>
      </c>
      <c r="Q117" s="5" t="str">
        <f>TEXT(Table13[[#This Row],[Closing Date]],"yyyy")</f>
        <v>2023</v>
      </c>
      <c r="R117" s="5" t="str">
        <f>TEXT(Table13[[#This Row],[Closing Date]],"mmmm")</f>
        <v>May</v>
      </c>
      <c r="S117" s="5" t="s">
        <v>240</v>
      </c>
      <c r="T117" s="5" t="s">
        <v>301</v>
      </c>
    </row>
    <row r="118" spans="1:20" x14ac:dyDescent="0.25">
      <c r="A118" t="s">
        <v>215</v>
      </c>
      <c r="B118" t="s">
        <v>304</v>
      </c>
      <c r="C118" t="s">
        <v>12</v>
      </c>
      <c r="D118" t="s">
        <v>5</v>
      </c>
      <c r="E118" s="5"/>
      <c r="F118" s="7">
        <v>45049</v>
      </c>
      <c r="G118" t="s">
        <v>82</v>
      </c>
      <c r="H118">
        <v>10</v>
      </c>
      <c r="I118" s="5">
        <v>2067172</v>
      </c>
      <c r="K118" s="5">
        <v>2074978</v>
      </c>
      <c r="L118" s="5">
        <v>4134.3440000000001</v>
      </c>
      <c r="M118" s="5">
        <v>4149.9560000000001</v>
      </c>
      <c r="N118" s="5">
        <v>7806</v>
      </c>
      <c r="O118" s="3">
        <v>3.7761734388817381E-3</v>
      </c>
      <c r="P118" s="9">
        <f>N118+P117</f>
        <v>74815.739999998565</v>
      </c>
      <c r="Q118" s="5" t="str">
        <f>TEXT(Table13[[#This Row],[Closing Date]],"yyyy")</f>
        <v>2023</v>
      </c>
      <c r="R118" s="5" t="str">
        <f>TEXT(Table13[[#This Row],[Closing Date]],"mmmm")</f>
        <v>May</v>
      </c>
      <c r="S118" s="5" t="s">
        <v>240</v>
      </c>
      <c r="T118" s="5" t="s">
        <v>301</v>
      </c>
    </row>
    <row r="119" spans="1:20" x14ac:dyDescent="0.25">
      <c r="A119" t="s">
        <v>201</v>
      </c>
      <c r="B119" t="s">
        <v>303</v>
      </c>
      <c r="C119" t="s">
        <v>16</v>
      </c>
      <c r="D119" t="s">
        <v>5</v>
      </c>
      <c r="E119" s="5"/>
      <c r="F119" s="7">
        <v>45051</v>
      </c>
      <c r="G119" t="s">
        <v>37</v>
      </c>
      <c r="H119">
        <v>2666</v>
      </c>
      <c r="I119" s="5">
        <v>439890</v>
      </c>
      <c r="K119" s="5">
        <v>443868.76</v>
      </c>
      <c r="L119" s="5">
        <v>165</v>
      </c>
      <c r="M119" s="5">
        <v>166.49240810202551</v>
      </c>
      <c r="N119" s="5">
        <v>-3978.7600000000093</v>
      </c>
      <c r="O119" s="3">
        <v>9.0448975880333786E-3</v>
      </c>
      <c r="P119" s="9">
        <f>N119+P118</f>
        <v>70836.979999998555</v>
      </c>
      <c r="Q119" s="5" t="str">
        <f>TEXT(Table13[[#This Row],[Closing Date]],"yyyy")</f>
        <v>2023</v>
      </c>
      <c r="R119" s="5" t="str">
        <f>TEXT(Table13[[#This Row],[Closing Date]],"mmmm")</f>
        <v>May</v>
      </c>
      <c r="S119" s="5" t="s">
        <v>240</v>
      </c>
      <c r="T119" s="5" t="s">
        <v>301</v>
      </c>
    </row>
    <row r="120" spans="1:20" x14ac:dyDescent="0.25">
      <c r="A120" t="s">
        <v>201</v>
      </c>
      <c r="B120" t="s">
        <v>305</v>
      </c>
      <c r="C120" t="s">
        <v>16</v>
      </c>
      <c r="D120" t="s">
        <v>7</v>
      </c>
      <c r="E120" s="5"/>
      <c r="F120" s="7">
        <v>45055</v>
      </c>
      <c r="G120" t="s">
        <v>33</v>
      </c>
      <c r="H120">
        <v>3000</v>
      </c>
      <c r="I120" s="5">
        <v>155715</v>
      </c>
      <c r="K120" s="5">
        <v>158756.79999999999</v>
      </c>
      <c r="L120" s="5">
        <v>51.905000000000001</v>
      </c>
      <c r="M120" s="5">
        <v>52.918933333333328</v>
      </c>
      <c r="N120" s="5">
        <v>3041.7999999999884</v>
      </c>
      <c r="O120" s="3">
        <v>1.9534405805477831E-2</v>
      </c>
      <c r="P120" s="9">
        <f>N120+P119</f>
        <v>73878.779999998544</v>
      </c>
      <c r="Q120" s="5" t="str">
        <f>TEXT(Table13[[#This Row],[Closing Date]],"yyyy")</f>
        <v>2023</v>
      </c>
      <c r="R120" s="5" t="str">
        <f>TEXT(Table13[[#This Row],[Closing Date]],"mmmm")</f>
        <v>May</v>
      </c>
      <c r="S120" s="5" t="s">
        <v>240</v>
      </c>
      <c r="T120" s="5" t="s">
        <v>301</v>
      </c>
    </row>
    <row r="121" spans="1:20" x14ac:dyDescent="0.25">
      <c r="A121" t="s">
        <v>201</v>
      </c>
      <c r="B121" t="s">
        <v>306</v>
      </c>
      <c r="C121" t="s">
        <v>4</v>
      </c>
      <c r="D121" t="s">
        <v>7</v>
      </c>
      <c r="E121" s="5"/>
      <c r="F121" s="7">
        <v>45056</v>
      </c>
      <c r="G121" t="s">
        <v>205</v>
      </c>
      <c r="H121">
        <v>75000</v>
      </c>
      <c r="I121" s="5">
        <v>789954.04</v>
      </c>
      <c r="K121" s="5">
        <v>783980.96</v>
      </c>
      <c r="L121" s="5">
        <v>10.532720533333334</v>
      </c>
      <c r="M121" s="5">
        <v>10.453079466666667</v>
      </c>
      <c r="N121" s="5">
        <v>-5973.0800000000745</v>
      </c>
      <c r="O121" s="3">
        <v>-7.6189095204557966E-3</v>
      </c>
      <c r="P121" s="9">
        <f>N121+P120</f>
        <v>67905.699999998469</v>
      </c>
      <c r="Q121" s="5" t="str">
        <f>TEXT(Table13[[#This Row],[Closing Date]],"yyyy")</f>
        <v>2023</v>
      </c>
      <c r="R121" s="5" t="str">
        <f>TEXT(Table13[[#This Row],[Closing Date]],"mmmm")</f>
        <v>May</v>
      </c>
      <c r="S121" s="5" t="s">
        <v>240</v>
      </c>
      <c r="T121" s="5" t="s">
        <v>301</v>
      </c>
    </row>
    <row r="122" spans="1:20" x14ac:dyDescent="0.25">
      <c r="A122" t="s">
        <v>197</v>
      </c>
      <c r="B122" t="s">
        <v>305</v>
      </c>
      <c r="C122" t="s">
        <v>99</v>
      </c>
      <c r="D122" t="s">
        <v>7</v>
      </c>
      <c r="E122" s="5"/>
      <c r="F122" s="7">
        <v>45058</v>
      </c>
      <c r="G122" t="s">
        <v>26</v>
      </c>
      <c r="H122">
        <v>80</v>
      </c>
      <c r="I122" s="5">
        <v>8703.07</v>
      </c>
      <c r="J122" s="13">
        <v>100</v>
      </c>
      <c r="K122" s="5">
        <v>0</v>
      </c>
      <c r="L122" s="5">
        <v>1.08788375</v>
      </c>
      <c r="M122" s="5">
        <v>0</v>
      </c>
      <c r="N122" s="5">
        <v>-8703.07</v>
      </c>
      <c r="O122" s="3">
        <v>-1</v>
      </c>
      <c r="P122" s="9">
        <f>N122+P121</f>
        <v>59202.629999998469</v>
      </c>
      <c r="Q122" s="5" t="str">
        <f>TEXT(Table13[[#This Row],[Closing Date]],"yyyy")</f>
        <v>2023</v>
      </c>
      <c r="R122" s="5" t="str">
        <f>TEXT(Table13[[#This Row],[Closing Date]],"mmmm")</f>
        <v>May</v>
      </c>
      <c r="S122" s="5" t="s">
        <v>240</v>
      </c>
      <c r="T122" s="5" t="s">
        <v>301</v>
      </c>
    </row>
    <row r="123" spans="1:20" x14ac:dyDescent="0.25">
      <c r="A123" t="s">
        <v>197</v>
      </c>
      <c r="B123" t="s">
        <v>305</v>
      </c>
      <c r="C123" t="s">
        <v>102</v>
      </c>
      <c r="D123" t="s">
        <v>7</v>
      </c>
      <c r="E123" s="5"/>
      <c r="F123" s="7">
        <v>45058</v>
      </c>
      <c r="G123" t="s">
        <v>24</v>
      </c>
      <c r="H123">
        <v>4</v>
      </c>
      <c r="I123" s="5">
        <v>6399.36</v>
      </c>
      <c r="J123" s="13">
        <v>100</v>
      </c>
      <c r="K123" s="5">
        <v>0</v>
      </c>
      <c r="L123" s="5">
        <v>15.998399999999998</v>
      </c>
      <c r="M123" s="5">
        <v>0</v>
      </c>
      <c r="N123" s="5">
        <v>-6399.36</v>
      </c>
      <c r="O123" s="3">
        <v>-1</v>
      </c>
      <c r="P123" s="9">
        <f>N123+P122</f>
        <v>52803.269999998469</v>
      </c>
      <c r="Q123" s="5" t="str">
        <f>TEXT(Table13[[#This Row],[Closing Date]],"yyyy")</f>
        <v>2023</v>
      </c>
      <c r="R123" s="5" t="str">
        <f>TEXT(Table13[[#This Row],[Closing Date]],"mmmm")</f>
        <v>May</v>
      </c>
      <c r="S123" s="5" t="s">
        <v>240</v>
      </c>
      <c r="T123" s="5" t="s">
        <v>301</v>
      </c>
    </row>
    <row r="124" spans="1:20" x14ac:dyDescent="0.25">
      <c r="A124" t="s">
        <v>201</v>
      </c>
      <c r="B124" t="s">
        <v>305</v>
      </c>
      <c r="C124" t="s">
        <v>16</v>
      </c>
      <c r="D124" t="s">
        <v>5</v>
      </c>
      <c r="E124" s="5"/>
      <c r="F124" s="7">
        <v>45058</v>
      </c>
      <c r="G124" t="s">
        <v>22</v>
      </c>
      <c r="H124">
        <v>3000</v>
      </c>
      <c r="I124" s="5">
        <v>354859.7</v>
      </c>
      <c r="K124" s="5">
        <v>348031.03</v>
      </c>
      <c r="L124" s="5">
        <v>118.28656666666667</v>
      </c>
      <c r="M124" s="5">
        <v>116.01034333333334</v>
      </c>
      <c r="N124" s="5">
        <v>-6828.6699999999837</v>
      </c>
      <c r="O124" s="3">
        <v>-1.9243295307976652E-2</v>
      </c>
      <c r="P124" s="9">
        <f>N124+P123</f>
        <v>45974.599999998485</v>
      </c>
      <c r="Q124" s="5" t="str">
        <f>TEXT(Table13[[#This Row],[Closing Date]],"yyyy")</f>
        <v>2023</v>
      </c>
      <c r="R124" s="5" t="str">
        <f>TEXT(Table13[[#This Row],[Closing Date]],"mmmm")</f>
        <v>May</v>
      </c>
      <c r="S124" s="5" t="s">
        <v>240</v>
      </c>
      <c r="T124" s="5" t="s">
        <v>301</v>
      </c>
    </row>
    <row r="125" spans="1:20" x14ac:dyDescent="0.25">
      <c r="A125" t="s">
        <v>201</v>
      </c>
      <c r="B125" t="s">
        <v>306</v>
      </c>
      <c r="C125" t="s">
        <v>16</v>
      </c>
      <c r="D125" t="s">
        <v>5</v>
      </c>
      <c r="E125" s="5"/>
      <c r="F125" s="7">
        <v>45058</v>
      </c>
      <c r="G125" t="s">
        <v>22</v>
      </c>
      <c r="H125">
        <v>3000</v>
      </c>
      <c r="I125" s="5">
        <v>354859.7</v>
      </c>
      <c r="K125" s="5">
        <v>348031.03</v>
      </c>
      <c r="L125" s="5">
        <v>118.28656666666667</v>
      </c>
      <c r="M125" s="5">
        <v>116.01034333333334</v>
      </c>
      <c r="N125" s="5">
        <v>-6828.6699999999837</v>
      </c>
      <c r="O125" s="3">
        <v>-1.9243295307976652E-2</v>
      </c>
      <c r="P125" s="9">
        <f>N125+P124</f>
        <v>39145.929999998501</v>
      </c>
      <c r="Q125" s="5" t="str">
        <f>TEXT(Table13[[#This Row],[Closing Date]],"yyyy")</f>
        <v>2023</v>
      </c>
      <c r="R125" s="5" t="str">
        <f>TEXT(Table13[[#This Row],[Closing Date]],"mmmm")</f>
        <v>May</v>
      </c>
      <c r="S125" s="5" t="s">
        <v>240</v>
      </c>
      <c r="T125" s="5" t="s">
        <v>301</v>
      </c>
    </row>
    <row r="126" spans="1:20" x14ac:dyDescent="0.25">
      <c r="A126" t="s">
        <v>201</v>
      </c>
      <c r="B126" t="s">
        <v>305</v>
      </c>
      <c r="C126" t="s">
        <v>16</v>
      </c>
      <c r="D126" t="s">
        <v>7</v>
      </c>
      <c r="E126" s="5"/>
      <c r="F126" s="7">
        <v>45058</v>
      </c>
      <c r="G126" t="s">
        <v>187</v>
      </c>
      <c r="H126">
        <v>1500</v>
      </c>
      <c r="I126" s="5">
        <v>129630</v>
      </c>
      <c r="K126" s="5">
        <v>125357.56</v>
      </c>
      <c r="L126" s="5">
        <v>86.42</v>
      </c>
      <c r="M126" s="5">
        <v>83.571706666666671</v>
      </c>
      <c r="N126" s="5">
        <v>-4272.4400000000023</v>
      </c>
      <c r="O126" s="3">
        <v>-3.2958728689346621E-2</v>
      </c>
      <c r="P126" s="9">
        <f>N126+P125</f>
        <v>34873.489999998499</v>
      </c>
      <c r="Q126" s="5" t="str">
        <f>TEXT(Table13[[#This Row],[Closing Date]],"yyyy")</f>
        <v>2023</v>
      </c>
      <c r="R126" s="5" t="str">
        <f>TEXT(Table13[[#This Row],[Closing Date]],"mmmm")</f>
        <v>May</v>
      </c>
      <c r="S126" s="5" t="s">
        <v>240</v>
      </c>
      <c r="T126" s="5" t="s">
        <v>203</v>
      </c>
    </row>
    <row r="127" spans="1:20" x14ac:dyDescent="0.25">
      <c r="A127" t="s">
        <v>201</v>
      </c>
      <c r="B127" t="s">
        <v>305</v>
      </c>
      <c r="C127" t="s">
        <v>16</v>
      </c>
      <c r="D127" t="s">
        <v>7</v>
      </c>
      <c r="E127" s="5"/>
      <c r="F127" s="7">
        <v>45062</v>
      </c>
      <c r="G127" t="s">
        <v>78</v>
      </c>
      <c r="H127">
        <v>550</v>
      </c>
      <c r="I127" s="5">
        <v>99990</v>
      </c>
      <c r="K127" s="5">
        <v>99961.7</v>
      </c>
      <c r="L127" s="5">
        <v>181.8</v>
      </c>
      <c r="M127" s="5">
        <v>181.74854545454545</v>
      </c>
      <c r="N127" s="5">
        <v>-28.30000000000291</v>
      </c>
      <c r="O127" s="3">
        <v>-2.8302830283031215E-4</v>
      </c>
      <c r="P127" s="9">
        <f>N127+P126</f>
        <v>34845.189999998496</v>
      </c>
      <c r="Q127" s="5" t="str">
        <f>TEXT(Table13[[#This Row],[Closing Date]],"yyyy")</f>
        <v>2023</v>
      </c>
      <c r="R127" s="5" t="str">
        <f>TEXT(Table13[[#This Row],[Closing Date]],"mmmm")</f>
        <v>May</v>
      </c>
      <c r="S127" s="5" t="s">
        <v>240</v>
      </c>
      <c r="T127" s="5" t="s">
        <v>203</v>
      </c>
    </row>
    <row r="128" spans="1:20" x14ac:dyDescent="0.25">
      <c r="A128" t="s">
        <v>201</v>
      </c>
      <c r="B128" t="s">
        <v>305</v>
      </c>
      <c r="C128" t="s">
        <v>16</v>
      </c>
      <c r="D128" t="s">
        <v>7</v>
      </c>
      <c r="E128" s="5"/>
      <c r="F128" s="7">
        <v>45063</v>
      </c>
      <c r="G128" t="s">
        <v>39</v>
      </c>
      <c r="H128">
        <v>21400</v>
      </c>
      <c r="I128" s="5">
        <v>136425</v>
      </c>
      <c r="K128" s="5">
        <v>133510.04999999999</v>
      </c>
      <c r="L128" s="5">
        <v>6.375</v>
      </c>
      <c r="M128" s="5">
        <v>6.23878738317757</v>
      </c>
      <c r="N128" s="5">
        <v>-2914.9500000000116</v>
      </c>
      <c r="O128" s="3">
        <v>-2.1366684991753728E-2</v>
      </c>
      <c r="P128" s="9">
        <f>N128+P127</f>
        <v>31930.239999998485</v>
      </c>
      <c r="Q128" s="5" t="str">
        <f>TEXT(Table13[[#This Row],[Closing Date]],"yyyy")</f>
        <v>2023</v>
      </c>
      <c r="R128" s="5" t="str">
        <f>TEXT(Table13[[#This Row],[Closing Date]],"mmmm")</f>
        <v>May</v>
      </c>
      <c r="S128" s="5" t="s">
        <v>240</v>
      </c>
      <c r="T128" s="5" t="s">
        <v>301</v>
      </c>
    </row>
    <row r="129" spans="1:20" x14ac:dyDescent="0.25">
      <c r="A129" t="s">
        <v>215</v>
      </c>
      <c r="B129" t="s">
        <v>304</v>
      </c>
      <c r="C129" t="s">
        <v>12</v>
      </c>
      <c r="D129" t="s">
        <v>5</v>
      </c>
      <c r="E129" s="5"/>
      <c r="F129" s="7">
        <v>45063</v>
      </c>
      <c r="G129" t="s">
        <v>82</v>
      </c>
      <c r="H129">
        <v>10</v>
      </c>
      <c r="I129" s="5">
        <v>2081500</v>
      </c>
      <c r="K129" s="5">
        <v>2077500</v>
      </c>
      <c r="L129" s="5">
        <v>4163</v>
      </c>
      <c r="M129" s="5">
        <v>4155</v>
      </c>
      <c r="N129" s="5">
        <v>-4044</v>
      </c>
      <c r="O129" s="3">
        <v>-1.9216910881575786E-3</v>
      </c>
      <c r="P129" s="9">
        <f>N129+P128</f>
        <v>27886.239999998485</v>
      </c>
      <c r="Q129" s="5" t="str">
        <f>TEXT(Table13[[#This Row],[Closing Date]],"yyyy")</f>
        <v>2023</v>
      </c>
      <c r="R129" s="5" t="str">
        <f>TEXT(Table13[[#This Row],[Closing Date]],"mmmm")</f>
        <v>May</v>
      </c>
      <c r="S129" s="5" t="s">
        <v>240</v>
      </c>
      <c r="T129" s="5" t="s">
        <v>301</v>
      </c>
    </row>
    <row r="130" spans="1:20" x14ac:dyDescent="0.25">
      <c r="A130" t="s">
        <v>215</v>
      </c>
      <c r="B130" t="s">
        <v>304</v>
      </c>
      <c r="C130" t="s">
        <v>12</v>
      </c>
      <c r="D130" t="s">
        <v>7</v>
      </c>
      <c r="E130" s="5"/>
      <c r="F130" s="7">
        <v>45063</v>
      </c>
      <c r="G130" t="s">
        <v>82</v>
      </c>
      <c r="H130">
        <v>10</v>
      </c>
      <c r="I130" s="5">
        <v>2106000</v>
      </c>
      <c r="K130" s="5">
        <v>2102000</v>
      </c>
      <c r="L130" s="5">
        <v>4212</v>
      </c>
      <c r="M130" s="5">
        <v>4204</v>
      </c>
      <c r="N130" s="5">
        <v>-4044</v>
      </c>
      <c r="O130" s="3">
        <v>-1.8993352326685661E-3</v>
      </c>
      <c r="P130" s="9">
        <f>N130+P129</f>
        <v>23842.239999998485</v>
      </c>
      <c r="Q130" s="5" t="str">
        <f>TEXT(Table13[[#This Row],[Closing Date]],"yyyy")</f>
        <v>2023</v>
      </c>
      <c r="R130" s="5" t="str">
        <f>TEXT(Table13[[#This Row],[Closing Date]],"mmmm")</f>
        <v>May</v>
      </c>
      <c r="S130" s="5" t="s">
        <v>240</v>
      </c>
      <c r="T130" s="5" t="s">
        <v>301</v>
      </c>
    </row>
    <row r="131" spans="1:20" x14ac:dyDescent="0.25">
      <c r="A131" t="s">
        <v>201</v>
      </c>
      <c r="B131" t="s">
        <v>302</v>
      </c>
      <c r="C131" t="s">
        <v>16</v>
      </c>
      <c r="D131" t="s">
        <v>5</v>
      </c>
      <c r="E131" s="5"/>
      <c r="F131" s="7">
        <v>45063</v>
      </c>
      <c r="G131" t="s">
        <v>41</v>
      </c>
      <c r="H131">
        <v>1000</v>
      </c>
      <c r="I131" s="5">
        <v>309772.51</v>
      </c>
      <c r="K131" s="5">
        <v>313780.01</v>
      </c>
      <c r="L131" s="5">
        <v>309.77251000000001</v>
      </c>
      <c r="M131" s="5">
        <v>313.78001</v>
      </c>
      <c r="N131" s="5">
        <v>-4007.5</v>
      </c>
      <c r="O131" s="3">
        <v>1.2936912962354189E-2</v>
      </c>
      <c r="P131" s="9">
        <f>N131+P130</f>
        <v>19834.739999998485</v>
      </c>
      <c r="Q131" s="5" t="str">
        <f>TEXT(Table13[[#This Row],[Closing Date]],"yyyy")</f>
        <v>2023</v>
      </c>
      <c r="R131" s="5" t="str">
        <f>TEXT(Table13[[#This Row],[Closing Date]],"mmmm")</f>
        <v>May</v>
      </c>
      <c r="S131" s="5" t="s">
        <v>240</v>
      </c>
      <c r="T131" s="5" t="s">
        <v>301</v>
      </c>
    </row>
    <row r="132" spans="1:20" x14ac:dyDescent="0.25">
      <c r="A132" t="s">
        <v>201</v>
      </c>
      <c r="B132" t="s">
        <v>305</v>
      </c>
      <c r="C132" t="s">
        <v>16</v>
      </c>
      <c r="D132" t="s">
        <v>7</v>
      </c>
      <c r="E132" s="5"/>
      <c r="F132" s="7">
        <v>45064</v>
      </c>
      <c r="G132" t="s">
        <v>40</v>
      </c>
      <c r="H132">
        <v>1200</v>
      </c>
      <c r="I132" s="5">
        <v>80734.820000000007</v>
      </c>
      <c r="K132" s="5">
        <v>76161.59</v>
      </c>
      <c r="L132" s="5">
        <v>67.279016666666678</v>
      </c>
      <c r="M132" s="5">
        <v>63.467991666666663</v>
      </c>
      <c r="N132" s="5">
        <v>-4573.2300000000105</v>
      </c>
      <c r="O132" s="3">
        <v>-5.6645075817348914E-2</v>
      </c>
      <c r="P132" s="9">
        <f>N132+P131</f>
        <v>15261.509999998474</v>
      </c>
      <c r="Q132" s="5" t="str">
        <f>TEXT(Table13[[#This Row],[Closing Date]],"yyyy")</f>
        <v>2023</v>
      </c>
      <c r="R132" s="5" t="str">
        <f>TEXT(Table13[[#This Row],[Closing Date]],"mmmm")</f>
        <v>May</v>
      </c>
      <c r="S132" s="5" t="s">
        <v>240</v>
      </c>
      <c r="T132" s="5" t="s">
        <v>301</v>
      </c>
    </row>
    <row r="133" spans="1:20" x14ac:dyDescent="0.25">
      <c r="A133" t="s">
        <v>201</v>
      </c>
      <c r="B133" t="s">
        <v>306</v>
      </c>
      <c r="C133" t="s">
        <v>16</v>
      </c>
      <c r="D133" t="s">
        <v>7</v>
      </c>
      <c r="E133" s="5"/>
      <c r="F133" s="7">
        <v>45064</v>
      </c>
      <c r="G133" t="s">
        <v>38</v>
      </c>
      <c r="H133">
        <v>7400</v>
      </c>
      <c r="I133" s="5">
        <v>495762.3</v>
      </c>
      <c r="K133" s="5">
        <v>498028.62</v>
      </c>
      <c r="L133" s="5">
        <v>66.994905405405405</v>
      </c>
      <c r="M133" s="5">
        <v>67.301164864864859</v>
      </c>
      <c r="N133" s="5">
        <v>2266.320000000007</v>
      </c>
      <c r="O133" s="3">
        <v>4.5713843105858638E-3</v>
      </c>
      <c r="P133" s="9">
        <f>N133+P132</f>
        <v>17527.829999998481</v>
      </c>
      <c r="Q133" s="5" t="str">
        <f>TEXT(Table13[[#This Row],[Closing Date]],"yyyy")</f>
        <v>2023</v>
      </c>
      <c r="R133" s="5" t="str">
        <f>TEXT(Table13[[#This Row],[Closing Date]],"mmmm")</f>
        <v>May</v>
      </c>
      <c r="S133" s="5" t="s">
        <v>240</v>
      </c>
      <c r="T133" s="5" t="s">
        <v>301</v>
      </c>
    </row>
    <row r="134" spans="1:20" x14ac:dyDescent="0.25">
      <c r="A134" t="s">
        <v>197</v>
      </c>
      <c r="B134" t="s">
        <v>302</v>
      </c>
      <c r="C134" t="s">
        <v>98</v>
      </c>
      <c r="D134" t="s">
        <v>7</v>
      </c>
      <c r="E134" s="5"/>
      <c r="F134" s="7">
        <v>45065</v>
      </c>
      <c r="G134" t="s">
        <v>22</v>
      </c>
      <c r="H134">
        <v>25</v>
      </c>
      <c r="I134" s="5">
        <v>6285.04</v>
      </c>
      <c r="J134" s="13">
        <v>100</v>
      </c>
      <c r="K134" s="5">
        <v>0</v>
      </c>
      <c r="L134" s="5">
        <v>2.5140159999999998</v>
      </c>
      <c r="M134" s="5">
        <v>0</v>
      </c>
      <c r="N134" s="5">
        <v>-6285.04</v>
      </c>
      <c r="O134" s="3">
        <v>-1</v>
      </c>
      <c r="P134" s="9">
        <f>N134+P133</f>
        <v>11242.78999999848</v>
      </c>
      <c r="Q134" s="5" t="str">
        <f>TEXT(Table13[[#This Row],[Closing Date]],"yyyy")</f>
        <v>2023</v>
      </c>
      <c r="R134" s="5" t="str">
        <f>TEXT(Table13[[#This Row],[Closing Date]],"mmmm")</f>
        <v>May</v>
      </c>
      <c r="S134" s="5" t="s">
        <v>240</v>
      </c>
      <c r="T134" s="5" t="s">
        <v>301</v>
      </c>
    </row>
    <row r="135" spans="1:20" x14ac:dyDescent="0.25">
      <c r="A135" t="s">
        <v>197</v>
      </c>
      <c r="B135" t="s">
        <v>302</v>
      </c>
      <c r="C135" t="s">
        <v>99</v>
      </c>
      <c r="D135" t="s">
        <v>7</v>
      </c>
      <c r="E135" s="5"/>
      <c r="F135" s="7">
        <v>45065</v>
      </c>
      <c r="G135" t="s">
        <v>10</v>
      </c>
      <c r="H135">
        <v>20</v>
      </c>
      <c r="I135" s="5">
        <v>3920.58</v>
      </c>
      <c r="J135" s="13">
        <v>100</v>
      </c>
      <c r="K135" s="5">
        <v>0</v>
      </c>
      <c r="L135" s="5">
        <v>1.9602899999999999</v>
      </c>
      <c r="M135" s="5">
        <v>0</v>
      </c>
      <c r="N135" s="5">
        <v>-3920.58</v>
      </c>
      <c r="O135" s="3">
        <v>-1</v>
      </c>
      <c r="P135" s="9">
        <f>N135+P134</f>
        <v>7322.2099999984803</v>
      </c>
      <c r="Q135" s="5" t="str">
        <f>TEXT(Table13[[#This Row],[Closing Date]],"yyyy")</f>
        <v>2023</v>
      </c>
      <c r="R135" s="5" t="str">
        <f>TEXT(Table13[[#This Row],[Closing Date]],"mmmm")</f>
        <v>May</v>
      </c>
      <c r="S135" s="5" t="s">
        <v>240</v>
      </c>
      <c r="T135" s="5" t="s">
        <v>301</v>
      </c>
    </row>
    <row r="136" spans="1:20" x14ac:dyDescent="0.25">
      <c r="A136" t="s">
        <v>197</v>
      </c>
      <c r="B136" t="s">
        <v>305</v>
      </c>
      <c r="C136" t="s">
        <v>99</v>
      </c>
      <c r="D136" t="s">
        <v>7</v>
      </c>
      <c r="E136" s="5"/>
      <c r="F136" s="7">
        <v>45065</v>
      </c>
      <c r="G136" t="s">
        <v>35</v>
      </c>
      <c r="H136">
        <v>40</v>
      </c>
      <c r="I136" s="5">
        <v>6627.56</v>
      </c>
      <c r="J136" s="13">
        <v>100</v>
      </c>
      <c r="K136" s="5">
        <v>9599.06</v>
      </c>
      <c r="L136" s="5">
        <v>1.6568900000000002</v>
      </c>
      <c r="M136" s="5">
        <v>2.3997649999999999</v>
      </c>
      <c r="N136" s="5">
        <v>2971.4999999999991</v>
      </c>
      <c r="O136" s="3">
        <v>0.44835505072756771</v>
      </c>
      <c r="P136" s="9">
        <f>N136+P135</f>
        <v>10293.709999998478</v>
      </c>
      <c r="Q136" s="5" t="str">
        <f>TEXT(Table13[[#This Row],[Closing Date]],"yyyy")</f>
        <v>2023</v>
      </c>
      <c r="R136" s="5" t="str">
        <f>TEXT(Table13[[#This Row],[Closing Date]],"mmmm")</f>
        <v>May</v>
      </c>
      <c r="S136" s="5" t="s">
        <v>240</v>
      </c>
      <c r="T136" s="5" t="s">
        <v>301</v>
      </c>
    </row>
    <row r="137" spans="1:20" x14ac:dyDescent="0.25">
      <c r="A137" t="s">
        <v>197</v>
      </c>
      <c r="B137" t="s">
        <v>306</v>
      </c>
      <c r="C137" t="s">
        <v>99</v>
      </c>
      <c r="D137" t="s">
        <v>7</v>
      </c>
      <c r="E137" s="5"/>
      <c r="F137" s="7">
        <v>45065</v>
      </c>
      <c r="G137" t="s">
        <v>25</v>
      </c>
      <c r="H137">
        <v>25</v>
      </c>
      <c r="I137" s="5">
        <v>6248.73</v>
      </c>
      <c r="J137" s="13">
        <v>100</v>
      </c>
      <c r="K137" s="5">
        <v>0</v>
      </c>
      <c r="L137" s="5">
        <v>2.499492</v>
      </c>
      <c r="M137" s="5">
        <v>0</v>
      </c>
      <c r="N137" s="5">
        <v>-6248.73</v>
      </c>
      <c r="O137" s="3">
        <v>-1</v>
      </c>
      <c r="P137" s="9">
        <f>N137+P136</f>
        <v>4044.9799999984789</v>
      </c>
      <c r="Q137" s="5" t="str">
        <f>TEXT(Table13[[#This Row],[Closing Date]],"yyyy")</f>
        <v>2023</v>
      </c>
      <c r="R137" s="5" t="str">
        <f>TEXT(Table13[[#This Row],[Closing Date]],"mmmm")</f>
        <v>May</v>
      </c>
      <c r="S137" s="5" t="s">
        <v>240</v>
      </c>
      <c r="T137" s="5" t="s">
        <v>301</v>
      </c>
    </row>
    <row r="138" spans="1:20" x14ac:dyDescent="0.25">
      <c r="A138" t="s">
        <v>201</v>
      </c>
      <c r="B138" t="s">
        <v>303</v>
      </c>
      <c r="C138" t="s">
        <v>16</v>
      </c>
      <c r="D138" t="s">
        <v>5</v>
      </c>
      <c r="E138" s="5"/>
      <c r="F138" s="7">
        <v>45069</v>
      </c>
      <c r="G138" t="s">
        <v>37</v>
      </c>
      <c r="H138">
        <v>350</v>
      </c>
      <c r="I138" s="5">
        <v>63172.69</v>
      </c>
      <c r="K138" s="5">
        <v>67196.75</v>
      </c>
      <c r="L138" s="5">
        <v>180.49340000000001</v>
      </c>
      <c r="M138" s="5">
        <v>191.99071428571429</v>
      </c>
      <c r="N138" s="5">
        <v>-4024.0599999999977</v>
      </c>
      <c r="O138" s="3">
        <v>6.3699361227137846E-2</v>
      </c>
      <c r="P138" s="9">
        <f>N138+P137</f>
        <v>20.919999998481217</v>
      </c>
      <c r="Q138" s="5" t="str">
        <f>TEXT(Table13[[#This Row],[Closing Date]],"yyyy")</f>
        <v>2023</v>
      </c>
      <c r="R138" s="5" t="str">
        <f>TEXT(Table13[[#This Row],[Closing Date]],"mmmm")</f>
        <v>May</v>
      </c>
      <c r="S138" s="5" t="s">
        <v>240</v>
      </c>
      <c r="T138" s="5" t="s">
        <v>301</v>
      </c>
    </row>
    <row r="139" spans="1:20" x14ac:dyDescent="0.25">
      <c r="A139" t="s">
        <v>201</v>
      </c>
      <c r="B139" t="s">
        <v>305</v>
      </c>
      <c r="C139" t="s">
        <v>16</v>
      </c>
      <c r="D139" t="s">
        <v>7</v>
      </c>
      <c r="E139" s="5"/>
      <c r="F139" s="7">
        <v>45069</v>
      </c>
      <c r="G139" t="s">
        <v>36</v>
      </c>
      <c r="H139">
        <v>1800</v>
      </c>
      <c r="I139" s="5">
        <v>209221.07</v>
      </c>
      <c r="K139" s="5">
        <v>207345.81</v>
      </c>
      <c r="L139" s="5">
        <v>116.23392777777778</v>
      </c>
      <c r="M139" s="5">
        <v>115.19211666666666</v>
      </c>
      <c r="N139" s="5">
        <v>1875.2600000000093</v>
      </c>
      <c r="O139" s="3">
        <v>-8.9630552028053794E-3</v>
      </c>
      <c r="P139" s="9">
        <f>N139+P138</f>
        <v>1896.1799999984905</v>
      </c>
      <c r="Q139" s="5" t="str">
        <f>TEXT(Table13[[#This Row],[Closing Date]],"yyyy")</f>
        <v>2023</v>
      </c>
      <c r="R139" s="5" t="str">
        <f>TEXT(Table13[[#This Row],[Closing Date]],"mmmm")</f>
        <v>May</v>
      </c>
      <c r="S139" s="5" t="s">
        <v>240</v>
      </c>
      <c r="T139" s="5" t="s">
        <v>301</v>
      </c>
    </row>
    <row r="140" spans="1:20" x14ac:dyDescent="0.25">
      <c r="A140" t="s">
        <v>201</v>
      </c>
      <c r="B140" t="s">
        <v>306</v>
      </c>
      <c r="C140" t="s">
        <v>16</v>
      </c>
      <c r="D140" t="s">
        <v>7</v>
      </c>
      <c r="E140" s="5"/>
      <c r="F140" s="7">
        <v>45069</v>
      </c>
      <c r="G140" t="s">
        <v>159</v>
      </c>
      <c r="H140">
        <v>246</v>
      </c>
      <c r="I140" s="5">
        <v>87728.52</v>
      </c>
      <c r="K140" s="5">
        <v>107680.72</v>
      </c>
      <c r="L140" s="5">
        <v>356.62</v>
      </c>
      <c r="M140" s="5">
        <v>437.72650406504067</v>
      </c>
      <c r="N140" s="5">
        <v>19952.199999999997</v>
      </c>
      <c r="O140" s="3">
        <v>0.22743117061589546</v>
      </c>
      <c r="P140" s="9">
        <f>N140+P139</f>
        <v>21848.379999998488</v>
      </c>
      <c r="Q140" s="5" t="str">
        <f>TEXT(Table13[[#This Row],[Closing Date]],"yyyy")</f>
        <v>2023</v>
      </c>
      <c r="R140" s="5" t="str">
        <f>TEXT(Table13[[#This Row],[Closing Date]],"mmmm")</f>
        <v>May</v>
      </c>
      <c r="S140" s="5" t="s">
        <v>240</v>
      </c>
      <c r="T140" s="5" t="s">
        <v>203</v>
      </c>
    </row>
    <row r="141" spans="1:20" x14ac:dyDescent="0.25">
      <c r="A141" t="s">
        <v>197</v>
      </c>
      <c r="B141" t="s">
        <v>305</v>
      </c>
      <c r="C141" t="s">
        <v>102</v>
      </c>
      <c r="D141" t="s">
        <v>7</v>
      </c>
      <c r="E141" s="5"/>
      <c r="F141" s="7">
        <v>45070</v>
      </c>
      <c r="G141" t="s">
        <v>27</v>
      </c>
      <c r="H141">
        <v>105</v>
      </c>
      <c r="I141" s="5">
        <v>6043.4</v>
      </c>
      <c r="J141" s="13">
        <v>100</v>
      </c>
      <c r="K141" s="5">
        <v>23860.949999999997</v>
      </c>
      <c r="L141" s="5">
        <v>0.57556190476190472</v>
      </c>
      <c r="M141" s="5">
        <v>2.184533476190476</v>
      </c>
      <c r="N141" s="5">
        <v>17817.549999999996</v>
      </c>
      <c r="O141" s="3">
        <v>2.7954796141244995</v>
      </c>
      <c r="P141" s="9">
        <f>N141+P140</f>
        <v>39665.92999999848</v>
      </c>
      <c r="Q141" s="5" t="str">
        <f>TEXT(Table13[[#This Row],[Closing Date]],"yyyy")</f>
        <v>2023</v>
      </c>
      <c r="R141" s="5" t="str">
        <f>TEXT(Table13[[#This Row],[Closing Date]],"mmmm")</f>
        <v>May</v>
      </c>
      <c r="S141" s="5" t="s">
        <v>240</v>
      </c>
      <c r="T141" s="5" t="s">
        <v>301</v>
      </c>
    </row>
    <row r="142" spans="1:20" x14ac:dyDescent="0.25">
      <c r="A142" t="s">
        <v>201</v>
      </c>
      <c r="B142" t="s">
        <v>305</v>
      </c>
      <c r="C142" t="s">
        <v>4</v>
      </c>
      <c r="D142" t="s">
        <v>5</v>
      </c>
      <c r="E142" s="5"/>
      <c r="F142" s="7">
        <v>45071</v>
      </c>
      <c r="G142" t="s">
        <v>8</v>
      </c>
      <c r="H142">
        <v>1500000</v>
      </c>
      <c r="I142" s="5">
        <v>1655321.89</v>
      </c>
      <c r="K142" s="5">
        <v>1619276.91</v>
      </c>
      <c r="L142" s="5">
        <v>1.1035479266666666</v>
      </c>
      <c r="M142" s="5">
        <v>1.0795179399999999</v>
      </c>
      <c r="N142" s="5">
        <v>36044.979999999981</v>
      </c>
      <c r="O142" s="3">
        <v>2.1775208929303763E-2</v>
      </c>
      <c r="P142" s="9">
        <f>N142+P141</f>
        <v>75710.909999998461</v>
      </c>
      <c r="Q142" s="5" t="str">
        <f>TEXT(Table13[[#This Row],[Closing Date]],"yyyy")</f>
        <v>2023</v>
      </c>
      <c r="R142" s="5" t="str">
        <f>TEXT(Table13[[#This Row],[Closing Date]],"mmmm")</f>
        <v>May</v>
      </c>
      <c r="S142" s="5" t="s">
        <v>240</v>
      </c>
      <c r="T142" s="5" t="s">
        <v>301</v>
      </c>
    </row>
    <row r="143" spans="1:20" x14ac:dyDescent="0.25">
      <c r="A143" t="s">
        <v>201</v>
      </c>
      <c r="B143" t="s">
        <v>305</v>
      </c>
      <c r="C143" t="s">
        <v>16</v>
      </c>
      <c r="D143" t="s">
        <v>5</v>
      </c>
      <c r="E143" s="5"/>
      <c r="F143" s="7">
        <v>45071</v>
      </c>
      <c r="G143" t="s">
        <v>32</v>
      </c>
      <c r="H143">
        <v>5000</v>
      </c>
      <c r="I143" s="5">
        <v>225682.47</v>
      </c>
      <c r="K143" s="5">
        <v>183884.9</v>
      </c>
      <c r="L143" s="5">
        <v>45.136493999999999</v>
      </c>
      <c r="M143" s="5">
        <v>36.776980000000002</v>
      </c>
      <c r="N143" s="5">
        <v>41797.570000000007</v>
      </c>
      <c r="O143" s="3">
        <v>0.18520521332472117</v>
      </c>
      <c r="P143" s="9">
        <f>N143+P142</f>
        <v>117508.47999999847</v>
      </c>
      <c r="Q143" s="5" t="str">
        <f>TEXT(Table13[[#This Row],[Closing Date]],"yyyy")</f>
        <v>2023</v>
      </c>
      <c r="R143" s="5" t="str">
        <f>TEXT(Table13[[#This Row],[Closing Date]],"mmmm")</f>
        <v>May</v>
      </c>
      <c r="S143" s="5" t="s">
        <v>240</v>
      </c>
      <c r="T143" s="5" t="s">
        <v>301</v>
      </c>
    </row>
    <row r="144" spans="1:20" x14ac:dyDescent="0.25">
      <c r="A144" t="s">
        <v>197</v>
      </c>
      <c r="B144" t="s">
        <v>302</v>
      </c>
      <c r="C144" t="s">
        <v>98</v>
      </c>
      <c r="D144" t="s">
        <v>7</v>
      </c>
      <c r="E144" s="5"/>
      <c r="F144" s="7">
        <v>45072</v>
      </c>
      <c r="G144" t="s">
        <v>51</v>
      </c>
      <c r="H144">
        <v>50</v>
      </c>
      <c r="I144" s="5">
        <v>5249.04</v>
      </c>
      <c r="J144" s="13">
        <v>100</v>
      </c>
      <c r="K144" s="5">
        <v>0</v>
      </c>
      <c r="L144" s="5">
        <v>1.0498080000000001</v>
      </c>
      <c r="M144" s="5">
        <v>0</v>
      </c>
      <c r="N144" s="5">
        <v>-5249.04</v>
      </c>
      <c r="O144" s="3">
        <v>-1</v>
      </c>
      <c r="P144" s="9">
        <f>N144+P143</f>
        <v>112259.43999999847</v>
      </c>
      <c r="Q144" s="5" t="str">
        <f>TEXT(Table13[[#This Row],[Closing Date]],"yyyy")</f>
        <v>2023</v>
      </c>
      <c r="R144" s="5" t="str">
        <f>TEXT(Table13[[#This Row],[Closing Date]],"mmmm")</f>
        <v>May</v>
      </c>
      <c r="S144" s="5" t="s">
        <v>240</v>
      </c>
      <c r="T144" s="5" t="s">
        <v>301</v>
      </c>
    </row>
    <row r="145" spans="1:20" x14ac:dyDescent="0.25">
      <c r="A145" t="s">
        <v>201</v>
      </c>
      <c r="B145" t="s">
        <v>305</v>
      </c>
      <c r="C145" t="s">
        <v>12</v>
      </c>
      <c r="D145" t="s">
        <v>7</v>
      </c>
      <c r="E145" s="5"/>
      <c r="F145" s="7">
        <v>45076</v>
      </c>
      <c r="G145" t="s">
        <v>42</v>
      </c>
      <c r="H145">
        <v>42</v>
      </c>
      <c r="I145" s="5">
        <v>257299</v>
      </c>
      <c r="K145" s="5">
        <v>247302.7</v>
      </c>
      <c r="L145" s="5">
        <v>612.61666666666667</v>
      </c>
      <c r="M145" s="5">
        <v>588.81595238095235</v>
      </c>
      <c r="N145" s="5">
        <v>-9996.2999999999884</v>
      </c>
      <c r="O145" s="3">
        <v>-3.8850908864783727E-2</v>
      </c>
      <c r="P145" s="9">
        <f>N145+P144</f>
        <v>102263.13999999849</v>
      </c>
      <c r="Q145" s="5" t="str">
        <f>TEXT(Table13[[#This Row],[Closing Date]],"yyyy")</f>
        <v>2023</v>
      </c>
      <c r="R145" s="5" t="str">
        <f>TEXT(Table13[[#This Row],[Closing Date]],"mmmm")</f>
        <v>May</v>
      </c>
      <c r="S145" s="5" t="s">
        <v>240</v>
      </c>
      <c r="T145" s="5" t="s">
        <v>301</v>
      </c>
    </row>
    <row r="146" spans="1:20" x14ac:dyDescent="0.25">
      <c r="A146" t="s">
        <v>201</v>
      </c>
      <c r="B146" t="s">
        <v>306</v>
      </c>
      <c r="C146" t="s">
        <v>16</v>
      </c>
      <c r="D146" t="s">
        <v>7</v>
      </c>
      <c r="E146" s="5"/>
      <c r="F146" s="7">
        <v>45077</v>
      </c>
      <c r="G146" t="s">
        <v>38</v>
      </c>
      <c r="H146">
        <v>5900</v>
      </c>
      <c r="I146" s="5">
        <v>387659.5</v>
      </c>
      <c r="K146" s="5">
        <v>376330.3</v>
      </c>
      <c r="L146" s="5">
        <v>65.704999999999998</v>
      </c>
      <c r="M146" s="5">
        <v>63.784796610169487</v>
      </c>
      <c r="N146" s="5">
        <v>-11329.200000000012</v>
      </c>
      <c r="O146" s="3">
        <v>-2.9224615932280828E-2</v>
      </c>
      <c r="P146" s="9">
        <f>N146+P145</f>
        <v>90933.939999998474</v>
      </c>
      <c r="Q146" s="5" t="str">
        <f>TEXT(Table13[[#This Row],[Closing Date]],"yyyy")</f>
        <v>2023</v>
      </c>
      <c r="R146" s="5" t="str">
        <f>TEXT(Table13[[#This Row],[Closing Date]],"mmmm")</f>
        <v>May</v>
      </c>
      <c r="S146" s="5" t="s">
        <v>240</v>
      </c>
      <c r="T146" s="5" t="s">
        <v>301</v>
      </c>
    </row>
    <row r="147" spans="1:20" x14ac:dyDescent="0.25">
      <c r="A147" t="s">
        <v>201</v>
      </c>
      <c r="B147" t="s">
        <v>306</v>
      </c>
      <c r="C147" t="s">
        <v>12</v>
      </c>
      <c r="D147" t="s">
        <v>7</v>
      </c>
      <c r="E147" s="5"/>
      <c r="F147" s="7">
        <v>45078</v>
      </c>
      <c r="G147" t="s">
        <v>43</v>
      </c>
      <c r="H147">
        <v>5</v>
      </c>
      <c r="I147" s="5">
        <v>174761.85</v>
      </c>
      <c r="K147" s="5">
        <v>167988.15</v>
      </c>
      <c r="L147" s="5">
        <v>3.4952370000000004</v>
      </c>
      <c r="M147" s="5">
        <v>3.3597630000000001</v>
      </c>
      <c r="N147" s="5">
        <v>-6773.7000000000116</v>
      </c>
      <c r="O147" s="3">
        <v>-3.8759603426033837E-2</v>
      </c>
      <c r="P147" s="9">
        <f>N147+P146</f>
        <v>84160.239999998463</v>
      </c>
      <c r="Q147" s="5" t="str">
        <f>TEXT(Table13[[#This Row],[Closing Date]],"yyyy")</f>
        <v>2023</v>
      </c>
      <c r="R147" s="5" t="str">
        <f>TEXT(Table13[[#This Row],[Closing Date]],"mmmm")</f>
        <v>June</v>
      </c>
      <c r="S147" s="5" t="s">
        <v>240</v>
      </c>
      <c r="T147" s="5" t="s">
        <v>301</v>
      </c>
    </row>
    <row r="148" spans="1:20" x14ac:dyDescent="0.25">
      <c r="A148" t="s">
        <v>201</v>
      </c>
      <c r="B148" t="s">
        <v>303</v>
      </c>
      <c r="C148" t="s">
        <v>12</v>
      </c>
      <c r="D148" t="s">
        <v>7</v>
      </c>
      <c r="E148" s="5"/>
      <c r="F148" s="7">
        <v>45079</v>
      </c>
      <c r="G148" t="s">
        <v>44</v>
      </c>
      <c r="H148">
        <v>3</v>
      </c>
      <c r="I148" s="5">
        <v>463409.04</v>
      </c>
      <c r="K148" s="5">
        <v>478465.95</v>
      </c>
      <c r="L148" s="5">
        <v>30893.935999999998</v>
      </c>
      <c r="M148" s="5">
        <v>31897.73</v>
      </c>
      <c r="N148" s="5">
        <v>15056.910000000033</v>
      </c>
      <c r="O148" s="3">
        <v>3.2491619067250031E-2</v>
      </c>
      <c r="P148" s="9">
        <f>N148+P147</f>
        <v>99217.149999998495</v>
      </c>
      <c r="Q148" s="5" t="str">
        <f>TEXT(Table13[[#This Row],[Closing Date]],"yyyy")</f>
        <v>2023</v>
      </c>
      <c r="R148" s="5" t="str">
        <f>TEXT(Table13[[#This Row],[Closing Date]],"mmmm")</f>
        <v>June</v>
      </c>
      <c r="S148" s="5" t="s">
        <v>240</v>
      </c>
      <c r="T148" s="5" t="s">
        <v>301</v>
      </c>
    </row>
    <row r="149" spans="1:20" x14ac:dyDescent="0.25">
      <c r="A149" t="s">
        <v>201</v>
      </c>
      <c r="B149" t="s">
        <v>305</v>
      </c>
      <c r="C149" t="s">
        <v>4</v>
      </c>
      <c r="D149" t="s">
        <v>7</v>
      </c>
      <c r="E149" s="5"/>
      <c r="F149" s="7">
        <v>45082</v>
      </c>
      <c r="G149" t="s">
        <v>8</v>
      </c>
      <c r="H149">
        <v>685000</v>
      </c>
      <c r="I149" s="5">
        <v>732807.11</v>
      </c>
      <c r="K149" s="5">
        <v>733984.35</v>
      </c>
      <c r="L149" s="5">
        <v>1.069791401459854</v>
      </c>
      <c r="M149" s="5">
        <v>1.07151</v>
      </c>
      <c r="N149" s="5">
        <v>1177.2399999999907</v>
      </c>
      <c r="O149" s="3">
        <v>1.603903407477272E-3</v>
      </c>
      <c r="P149" s="9">
        <f>N149+P148</f>
        <v>100394.38999999849</v>
      </c>
      <c r="Q149" s="5" t="str">
        <f>TEXT(Table13[[#This Row],[Closing Date]],"yyyy")</f>
        <v>2023</v>
      </c>
      <c r="R149" s="5" t="str">
        <f>TEXT(Table13[[#This Row],[Closing Date]],"mmmm")</f>
        <v>June</v>
      </c>
      <c r="S149" s="5" t="s">
        <v>240</v>
      </c>
      <c r="T149" s="5" t="s">
        <v>301</v>
      </c>
    </row>
    <row r="150" spans="1:20" x14ac:dyDescent="0.25">
      <c r="A150" t="s">
        <v>201</v>
      </c>
      <c r="B150" t="s">
        <v>302</v>
      </c>
      <c r="C150" t="s">
        <v>16</v>
      </c>
      <c r="D150" t="s">
        <v>5</v>
      </c>
      <c r="E150" s="5"/>
      <c r="F150" s="7">
        <v>45084</v>
      </c>
      <c r="G150" t="s">
        <v>46</v>
      </c>
      <c r="H150">
        <v>9400</v>
      </c>
      <c r="I150" s="5">
        <v>176095.57</v>
      </c>
      <c r="K150" s="5">
        <v>170698.4</v>
      </c>
      <c r="L150" s="5">
        <v>18.733571276595747</v>
      </c>
      <c r="M150" s="5">
        <v>18.159404255319149</v>
      </c>
      <c r="N150" s="5">
        <v>5397.1700000000128</v>
      </c>
      <c r="O150" s="3">
        <v>3.0649095829043356E-2</v>
      </c>
      <c r="P150" s="9">
        <f>N150+P149</f>
        <v>105791.5599999985</v>
      </c>
      <c r="Q150" s="5" t="str">
        <f>TEXT(Table13[[#This Row],[Closing Date]],"yyyy")</f>
        <v>2023</v>
      </c>
      <c r="R150" s="5" t="str">
        <f>TEXT(Table13[[#This Row],[Closing Date]],"mmmm")</f>
        <v>June</v>
      </c>
      <c r="S150" s="5" t="s">
        <v>240</v>
      </c>
      <c r="T150" s="5" t="s">
        <v>301</v>
      </c>
    </row>
    <row r="151" spans="1:20" x14ac:dyDescent="0.25">
      <c r="A151" t="s">
        <v>201</v>
      </c>
      <c r="B151" t="s">
        <v>303</v>
      </c>
      <c r="C151" t="s">
        <v>16</v>
      </c>
      <c r="D151" t="s">
        <v>5</v>
      </c>
      <c r="E151" s="5"/>
      <c r="F151" s="7">
        <v>45084</v>
      </c>
      <c r="G151" t="s">
        <v>37</v>
      </c>
      <c r="H151">
        <v>580</v>
      </c>
      <c r="I151" s="5">
        <v>127408.33</v>
      </c>
      <c r="K151" s="5">
        <v>133434.78</v>
      </c>
      <c r="L151" s="5">
        <v>219.66953448275862</v>
      </c>
      <c r="M151" s="5">
        <v>230.05996551724138</v>
      </c>
      <c r="N151" s="5">
        <v>-6026.4499999999971</v>
      </c>
      <c r="O151" s="3">
        <v>-4.7300282485454447E-2</v>
      </c>
      <c r="P151" s="9">
        <f>N151+P150</f>
        <v>99765.109999998502</v>
      </c>
      <c r="Q151" s="5" t="str">
        <f>TEXT(Table13[[#This Row],[Closing Date]],"yyyy")</f>
        <v>2023</v>
      </c>
      <c r="R151" s="5" t="str">
        <f>TEXT(Table13[[#This Row],[Closing Date]],"mmmm")</f>
        <v>June</v>
      </c>
      <c r="S151" s="5" t="s">
        <v>240</v>
      </c>
      <c r="T151" s="5" t="s">
        <v>301</v>
      </c>
    </row>
    <row r="152" spans="1:20" x14ac:dyDescent="0.25">
      <c r="A152" t="s">
        <v>201</v>
      </c>
      <c r="B152" t="s">
        <v>305</v>
      </c>
      <c r="C152" t="s">
        <v>16</v>
      </c>
      <c r="D152" t="s">
        <v>7</v>
      </c>
      <c r="E152" s="5"/>
      <c r="F152" s="7">
        <v>45085</v>
      </c>
      <c r="G152" t="s">
        <v>45</v>
      </c>
      <c r="H152">
        <v>2500</v>
      </c>
      <c r="I152" s="5">
        <v>243462.5</v>
      </c>
      <c r="K152" s="5">
        <v>243292.99</v>
      </c>
      <c r="L152" s="5">
        <v>97.385000000000005</v>
      </c>
      <c r="M152" s="5">
        <v>97.317195999999996</v>
      </c>
      <c r="N152" s="5">
        <v>-169.51000000000931</v>
      </c>
      <c r="O152" s="3">
        <v>-6.9624685526528229E-4</v>
      </c>
      <c r="P152" s="9">
        <f>N152+P151</f>
        <v>99595.599999998492</v>
      </c>
      <c r="Q152" s="5" t="str">
        <f>TEXT(Table13[[#This Row],[Closing Date]],"yyyy")</f>
        <v>2023</v>
      </c>
      <c r="R152" s="5" t="str">
        <f>TEXT(Table13[[#This Row],[Closing Date]],"mmmm")</f>
        <v>June</v>
      </c>
      <c r="S152" s="5" t="s">
        <v>240</v>
      </c>
      <c r="T152" s="5" t="s">
        <v>301</v>
      </c>
    </row>
    <row r="153" spans="1:20" x14ac:dyDescent="0.25">
      <c r="A153" t="s">
        <v>201</v>
      </c>
      <c r="B153" t="s">
        <v>303</v>
      </c>
      <c r="C153" t="s">
        <v>4</v>
      </c>
      <c r="D153" t="s">
        <v>7</v>
      </c>
      <c r="E153" s="5"/>
      <c r="F153" s="7">
        <v>45086</v>
      </c>
      <c r="G153" t="s">
        <v>47</v>
      </c>
      <c r="H153">
        <v>780000</v>
      </c>
      <c r="I153" s="5">
        <v>9137713.3300000001</v>
      </c>
      <c r="K153" s="5">
        <v>9070214.6300000008</v>
      </c>
      <c r="L153" s="5">
        <v>11.71501708974359</v>
      </c>
      <c r="M153" s="5">
        <v>11.628480294871796</v>
      </c>
      <c r="N153" s="5">
        <v>-6249.8796296295604</v>
      </c>
      <c r="O153" s="3">
        <v>-6.8905531837779228E-4</v>
      </c>
      <c r="P153" s="9">
        <f>N153+P152</f>
        <v>93345.72037036893</v>
      </c>
      <c r="Q153" s="5" t="str">
        <f>TEXT(Table13[[#This Row],[Closing Date]],"yyyy")</f>
        <v>2023</v>
      </c>
      <c r="R153" s="5" t="str">
        <f>TEXT(Table13[[#This Row],[Closing Date]],"mmmm")</f>
        <v>June</v>
      </c>
      <c r="S153" s="5" t="s">
        <v>240</v>
      </c>
      <c r="T153" s="5" t="s">
        <v>301</v>
      </c>
    </row>
    <row r="154" spans="1:20" x14ac:dyDescent="0.25">
      <c r="A154" t="s">
        <v>201</v>
      </c>
      <c r="B154" t="s">
        <v>306</v>
      </c>
      <c r="C154" t="s">
        <v>4</v>
      </c>
      <c r="D154" t="s">
        <v>7</v>
      </c>
      <c r="E154" s="5"/>
      <c r="F154" s="7">
        <v>45086</v>
      </c>
      <c r="G154" t="s">
        <v>48</v>
      </c>
      <c r="H154">
        <v>660000</v>
      </c>
      <c r="I154" s="5">
        <v>7199361.46</v>
      </c>
      <c r="K154" s="5">
        <v>7102218.71</v>
      </c>
      <c r="L154" s="5">
        <v>10.908123424242424</v>
      </c>
      <c r="M154" s="5">
        <v>10.76093743939394</v>
      </c>
      <c r="N154" s="5">
        <v>-8905.5418812101143</v>
      </c>
      <c r="O154" s="3">
        <v>-1.25390983365114E-3</v>
      </c>
      <c r="P154" s="9">
        <f>N154+P153</f>
        <v>84440.178489158818</v>
      </c>
      <c r="Q154" s="5" t="str">
        <f>TEXT(Table13[[#This Row],[Closing Date]],"yyyy")</f>
        <v>2023</v>
      </c>
      <c r="R154" s="5" t="str">
        <f>TEXT(Table13[[#This Row],[Closing Date]],"mmmm")</f>
        <v>June</v>
      </c>
      <c r="S154" s="5" t="s">
        <v>240</v>
      </c>
      <c r="T154" s="5" t="s">
        <v>301</v>
      </c>
    </row>
    <row r="155" spans="1:20" x14ac:dyDescent="0.25">
      <c r="A155" t="s">
        <v>201</v>
      </c>
      <c r="B155" t="s">
        <v>305</v>
      </c>
      <c r="C155" t="s">
        <v>16</v>
      </c>
      <c r="D155" t="s">
        <v>5</v>
      </c>
      <c r="E155" s="5"/>
      <c r="F155" s="7">
        <v>45089</v>
      </c>
      <c r="G155" t="s">
        <v>49</v>
      </c>
      <c r="H155">
        <v>82</v>
      </c>
      <c r="I155" s="5">
        <v>106393.14</v>
      </c>
      <c r="K155" s="5">
        <v>101452.58</v>
      </c>
      <c r="L155" s="5">
        <v>1297.4773170731708</v>
      </c>
      <c r="M155" s="5">
        <v>1237.2265853658537</v>
      </c>
      <c r="N155" s="5">
        <v>4940.5599999999977</v>
      </c>
      <c r="O155" s="3">
        <v>-4.6436828539885185E-2</v>
      </c>
      <c r="P155" s="9">
        <f>N155+P154</f>
        <v>89380.738489158815</v>
      </c>
      <c r="Q155" s="5" t="str">
        <f>TEXT(Table13[[#This Row],[Closing Date]],"yyyy")</f>
        <v>2023</v>
      </c>
      <c r="R155" s="5" t="str">
        <f>TEXT(Table13[[#This Row],[Closing Date]],"mmmm")</f>
        <v>June</v>
      </c>
      <c r="S155" s="5" t="s">
        <v>240</v>
      </c>
      <c r="T155" s="5" t="s">
        <v>301</v>
      </c>
    </row>
    <row r="156" spans="1:20" x14ac:dyDescent="0.25">
      <c r="A156" t="s">
        <v>201</v>
      </c>
      <c r="B156" t="s">
        <v>305</v>
      </c>
      <c r="C156" t="s">
        <v>12</v>
      </c>
      <c r="D156" t="s">
        <v>7</v>
      </c>
      <c r="E156" s="5"/>
      <c r="F156" s="7">
        <v>45090</v>
      </c>
      <c r="G156" t="s">
        <v>50</v>
      </c>
      <c r="H156">
        <v>9</v>
      </c>
      <c r="I156" s="5">
        <v>913429.98</v>
      </c>
      <c r="K156" s="5">
        <v>930310.02</v>
      </c>
      <c r="L156" s="5">
        <v>101.49222</v>
      </c>
      <c r="M156" s="5">
        <v>103.36778</v>
      </c>
      <c r="N156" s="5">
        <v>16880.040000000037</v>
      </c>
      <c r="O156" s="3">
        <v>1.8479840129617859E-2</v>
      </c>
      <c r="P156" s="9">
        <f>N156+P155</f>
        <v>106260.77848915885</v>
      </c>
      <c r="Q156" s="5" t="str">
        <f>TEXT(Table13[[#This Row],[Closing Date]],"yyyy")</f>
        <v>2023</v>
      </c>
      <c r="R156" s="5" t="str">
        <f>TEXT(Table13[[#This Row],[Closing Date]],"mmmm")</f>
        <v>June</v>
      </c>
      <c r="S156" s="5" t="s">
        <v>240</v>
      </c>
      <c r="T156" s="5" t="s">
        <v>301</v>
      </c>
    </row>
    <row r="157" spans="1:20" x14ac:dyDescent="0.25">
      <c r="A157" t="s">
        <v>215</v>
      </c>
      <c r="B157" t="s">
        <v>304</v>
      </c>
      <c r="C157" t="s">
        <v>12</v>
      </c>
      <c r="D157" t="s">
        <v>5</v>
      </c>
      <c r="E157" s="5"/>
      <c r="F157" s="7">
        <v>45091</v>
      </c>
      <c r="G157" t="s">
        <v>82</v>
      </c>
      <c r="H157">
        <v>10</v>
      </c>
      <c r="I157" s="5">
        <v>2106000</v>
      </c>
      <c r="K157" s="5">
        <v>2102000</v>
      </c>
      <c r="L157" s="5">
        <v>4212</v>
      </c>
      <c r="M157" s="5">
        <v>4204</v>
      </c>
      <c r="N157" s="5">
        <v>-4044</v>
      </c>
      <c r="O157" s="3">
        <v>-1.8993352326685661E-3</v>
      </c>
      <c r="P157" s="9">
        <f>N157+P156</f>
        <v>102216.77848915885</v>
      </c>
      <c r="Q157" s="5" t="str">
        <f>TEXT(Table13[[#This Row],[Closing Date]],"yyyy")</f>
        <v>2023</v>
      </c>
      <c r="R157" s="5" t="str">
        <f>TEXT(Table13[[#This Row],[Closing Date]],"mmmm")</f>
        <v>June</v>
      </c>
      <c r="S157" s="5" t="s">
        <v>240</v>
      </c>
      <c r="T157" s="5" t="s">
        <v>301</v>
      </c>
    </row>
    <row r="158" spans="1:20" x14ac:dyDescent="0.25">
      <c r="A158" t="s">
        <v>201</v>
      </c>
      <c r="B158" t="s">
        <v>305</v>
      </c>
      <c r="C158" t="s">
        <v>12</v>
      </c>
      <c r="D158" t="s">
        <v>7</v>
      </c>
      <c r="E158" s="5"/>
      <c r="F158" s="7">
        <v>45092</v>
      </c>
      <c r="G158" t="s">
        <v>50</v>
      </c>
      <c r="H158">
        <v>9</v>
      </c>
      <c r="I158" s="5">
        <v>928999.98</v>
      </c>
      <c r="K158" s="5">
        <v>915510.02</v>
      </c>
      <c r="L158" s="5">
        <v>103.22221999999999</v>
      </c>
      <c r="M158" s="5">
        <v>101.72333555555556</v>
      </c>
      <c r="N158" s="5">
        <v>-13489.959999999963</v>
      </c>
      <c r="O158" s="3">
        <v>-1.4520947567727573E-2</v>
      </c>
      <c r="P158" s="9">
        <f>N158+P157</f>
        <v>88726.81848915889</v>
      </c>
      <c r="Q158" s="5" t="str">
        <f>TEXT(Table13[[#This Row],[Closing Date]],"yyyy")</f>
        <v>2023</v>
      </c>
      <c r="R158" s="5" t="str">
        <f>TEXT(Table13[[#This Row],[Closing Date]],"mmmm")</f>
        <v>June</v>
      </c>
      <c r="S158" s="5" t="s">
        <v>240</v>
      </c>
      <c r="T158" s="5" t="s">
        <v>301</v>
      </c>
    </row>
    <row r="159" spans="1:20" x14ac:dyDescent="0.25">
      <c r="A159" t="s">
        <v>201</v>
      </c>
      <c r="B159" t="s">
        <v>302</v>
      </c>
      <c r="C159" t="s">
        <v>16</v>
      </c>
      <c r="D159" t="s">
        <v>5</v>
      </c>
      <c r="E159" s="5"/>
      <c r="F159" s="7">
        <v>45092</v>
      </c>
      <c r="G159" t="s">
        <v>23</v>
      </c>
      <c r="H159">
        <v>3000</v>
      </c>
      <c r="I159" s="5">
        <v>49674.3</v>
      </c>
      <c r="K159" s="5">
        <v>56539.33</v>
      </c>
      <c r="L159" s="5">
        <v>16.5581</v>
      </c>
      <c r="M159" s="5">
        <v>18.846443333333333</v>
      </c>
      <c r="N159" s="5">
        <v>6865.0299999999988</v>
      </c>
      <c r="O159" s="3">
        <v>0.13820084027354188</v>
      </c>
      <c r="P159" s="9">
        <f>N159+P158</f>
        <v>95591.848489158889</v>
      </c>
      <c r="Q159" s="5" t="str">
        <f>TEXT(Table13[[#This Row],[Closing Date]],"yyyy")</f>
        <v>2023</v>
      </c>
      <c r="R159" s="5" t="str">
        <f>TEXT(Table13[[#This Row],[Closing Date]],"mmmm")</f>
        <v>June</v>
      </c>
      <c r="S159" s="5" t="s">
        <v>240</v>
      </c>
      <c r="T159" s="5" t="s">
        <v>301</v>
      </c>
    </row>
    <row r="160" spans="1:20" x14ac:dyDescent="0.25">
      <c r="A160" t="s">
        <v>201</v>
      </c>
      <c r="B160" t="s">
        <v>303</v>
      </c>
      <c r="C160" t="s">
        <v>12</v>
      </c>
      <c r="D160" t="s">
        <v>5</v>
      </c>
      <c r="E160" s="5"/>
      <c r="F160" s="7">
        <v>45093</v>
      </c>
      <c r="G160" t="s">
        <v>184</v>
      </c>
      <c r="H160">
        <v>26</v>
      </c>
      <c r="I160" s="5">
        <v>573283.88</v>
      </c>
      <c r="K160" s="5">
        <v>583066.12</v>
      </c>
      <c r="L160" s="5">
        <v>4409.8760000000002</v>
      </c>
      <c r="M160" s="5">
        <v>4485.1239999999998</v>
      </c>
      <c r="N160" s="5">
        <v>-9826.2399999999907</v>
      </c>
      <c r="O160" s="3">
        <v>-1.7140269145540933E-2</v>
      </c>
      <c r="P160" s="9">
        <f>N160+P159</f>
        <v>85765.608489158898</v>
      </c>
      <c r="Q160" s="5" t="str">
        <f>TEXT(Table13[[#This Row],[Closing Date]],"yyyy")</f>
        <v>2023</v>
      </c>
      <c r="R160" s="5" t="str">
        <f>TEXT(Table13[[#This Row],[Closing Date]],"mmmm")</f>
        <v>June</v>
      </c>
      <c r="S160" s="5" t="s">
        <v>240</v>
      </c>
      <c r="T160" s="5" t="s">
        <v>301</v>
      </c>
    </row>
    <row r="161" spans="1:20" x14ac:dyDescent="0.25">
      <c r="A161" t="s">
        <v>197</v>
      </c>
      <c r="B161" t="s">
        <v>305</v>
      </c>
      <c r="C161" t="s">
        <v>102</v>
      </c>
      <c r="D161" t="s">
        <v>7</v>
      </c>
      <c r="E161" s="5"/>
      <c r="F161" s="7">
        <v>45093</v>
      </c>
      <c r="G161" t="s">
        <v>54</v>
      </c>
      <c r="H161">
        <v>75</v>
      </c>
      <c r="I161" s="5">
        <v>8171.05</v>
      </c>
      <c r="J161" s="13">
        <v>100</v>
      </c>
      <c r="K161" s="5">
        <v>0</v>
      </c>
      <c r="L161" s="5">
        <v>1.0894733333333333</v>
      </c>
      <c r="M161" s="5">
        <v>0</v>
      </c>
      <c r="N161" s="5">
        <v>-8171.05</v>
      </c>
      <c r="O161" s="3">
        <v>-1</v>
      </c>
      <c r="P161" s="9">
        <f>N161+P160</f>
        <v>77594.558489158895</v>
      </c>
      <c r="Q161" s="5" t="str">
        <f>TEXT(Table13[[#This Row],[Closing Date]],"yyyy")</f>
        <v>2023</v>
      </c>
      <c r="R161" s="5" t="str">
        <f>TEXT(Table13[[#This Row],[Closing Date]],"mmmm")</f>
        <v>June</v>
      </c>
      <c r="S161" s="5" t="s">
        <v>240</v>
      </c>
      <c r="T161" s="5" t="s">
        <v>301</v>
      </c>
    </row>
    <row r="162" spans="1:20" x14ac:dyDescent="0.25">
      <c r="A162" t="s">
        <v>197</v>
      </c>
      <c r="B162" t="s">
        <v>305</v>
      </c>
      <c r="C162" t="s">
        <v>99</v>
      </c>
      <c r="D162" t="s">
        <v>7</v>
      </c>
      <c r="E162" s="5"/>
      <c r="F162" s="7">
        <v>45093</v>
      </c>
      <c r="G162" t="s">
        <v>52</v>
      </c>
      <c r="H162">
        <v>180</v>
      </c>
      <c r="I162" s="5">
        <v>7960.02</v>
      </c>
      <c r="J162" s="13">
        <v>100</v>
      </c>
      <c r="K162" s="5">
        <v>8109.39</v>
      </c>
      <c r="L162" s="5">
        <v>0.44222333333333341</v>
      </c>
      <c r="M162" s="5">
        <v>0.45052166666666671</v>
      </c>
      <c r="N162" s="5">
        <v>149.36999999999989</v>
      </c>
      <c r="O162" s="3">
        <v>1.8765028228572202E-2</v>
      </c>
      <c r="P162" s="9">
        <f>N162+P161</f>
        <v>77743.92848915889</v>
      </c>
      <c r="Q162" s="5" t="str">
        <f>TEXT(Table13[[#This Row],[Closing Date]],"yyyy")</f>
        <v>2023</v>
      </c>
      <c r="R162" s="5" t="str">
        <f>TEXT(Table13[[#This Row],[Closing Date]],"mmmm")</f>
        <v>June</v>
      </c>
      <c r="S162" s="5" t="s">
        <v>240</v>
      </c>
      <c r="T162" s="5" t="s">
        <v>301</v>
      </c>
    </row>
    <row r="163" spans="1:20" x14ac:dyDescent="0.25">
      <c r="A163" t="s">
        <v>201</v>
      </c>
      <c r="B163" t="s">
        <v>305</v>
      </c>
      <c r="C163" t="s">
        <v>16</v>
      </c>
      <c r="D163" t="s">
        <v>7</v>
      </c>
      <c r="E163" s="5"/>
      <c r="F163" s="7">
        <v>45093</v>
      </c>
      <c r="G163" t="s">
        <v>53</v>
      </c>
      <c r="H163">
        <v>9000</v>
      </c>
      <c r="I163" s="5">
        <v>512049.6</v>
      </c>
      <c r="K163" s="5">
        <v>517625</v>
      </c>
      <c r="L163" s="5">
        <v>56.894399999999997</v>
      </c>
      <c r="M163" s="5">
        <v>57.513888888888886</v>
      </c>
      <c r="N163" s="5">
        <v>-5575.4000000000233</v>
      </c>
      <c r="O163" s="3">
        <v>-1.0888398311413573E-2</v>
      </c>
      <c r="P163" s="9">
        <f>N163+P162</f>
        <v>72168.528489158867</v>
      </c>
      <c r="Q163" s="5" t="str">
        <f>TEXT(Table13[[#This Row],[Closing Date]],"yyyy")</f>
        <v>2023</v>
      </c>
      <c r="R163" s="5" t="str">
        <f>TEXT(Table13[[#This Row],[Closing Date]],"mmmm")</f>
        <v>June</v>
      </c>
      <c r="S163" s="5" t="s">
        <v>240</v>
      </c>
      <c r="T163" s="5" t="s">
        <v>301</v>
      </c>
    </row>
    <row r="164" spans="1:20" x14ac:dyDescent="0.25">
      <c r="A164" t="s">
        <v>197</v>
      </c>
      <c r="B164" t="s">
        <v>306</v>
      </c>
      <c r="C164" t="s">
        <v>99</v>
      </c>
      <c r="D164" t="s">
        <v>7</v>
      </c>
      <c r="E164" s="5"/>
      <c r="F164" s="7">
        <v>45093</v>
      </c>
      <c r="G164" t="s">
        <v>22</v>
      </c>
      <c r="H164">
        <v>15</v>
      </c>
      <c r="I164" s="5">
        <v>4199.24</v>
      </c>
      <c r="J164" s="13">
        <v>100</v>
      </c>
      <c r="K164" s="5">
        <v>0</v>
      </c>
      <c r="L164" s="5">
        <v>2.7994933333333329</v>
      </c>
      <c r="M164" s="5">
        <v>0</v>
      </c>
      <c r="N164" s="5">
        <v>-4199.24</v>
      </c>
      <c r="O164" s="3">
        <v>-1</v>
      </c>
      <c r="P164" s="9">
        <f>N164+P163</f>
        <v>67969.288489158862</v>
      </c>
      <c r="Q164" s="5" t="str">
        <f>TEXT(Table13[[#This Row],[Closing Date]],"yyyy")</f>
        <v>2023</v>
      </c>
      <c r="R164" s="5" t="str">
        <f>TEXT(Table13[[#This Row],[Closing Date]],"mmmm")</f>
        <v>June</v>
      </c>
      <c r="S164" s="5" t="s">
        <v>240</v>
      </c>
      <c r="T164" s="5" t="s">
        <v>301</v>
      </c>
    </row>
    <row r="165" spans="1:20" x14ac:dyDescent="0.25">
      <c r="A165" t="s">
        <v>201</v>
      </c>
      <c r="B165" t="s">
        <v>305</v>
      </c>
      <c r="C165" t="s">
        <v>16</v>
      </c>
      <c r="D165" t="s">
        <v>7</v>
      </c>
      <c r="E165" s="5"/>
      <c r="F165" s="7">
        <v>45097</v>
      </c>
      <c r="G165" t="s">
        <v>56</v>
      </c>
      <c r="H165">
        <v>13333</v>
      </c>
      <c r="I165" s="5">
        <v>226767.67</v>
      </c>
      <c r="K165" s="5">
        <v>216628.76</v>
      </c>
      <c r="L165" s="5">
        <v>17.008000450011252</v>
      </c>
      <c r="M165" s="5">
        <v>16.247563189079727</v>
      </c>
      <c r="N165" s="5">
        <v>-10138.910000000003</v>
      </c>
      <c r="O165" s="3">
        <v>-4.4710562136128222E-2</v>
      </c>
      <c r="P165" s="9">
        <f>N165+P164</f>
        <v>57830.378489158858</v>
      </c>
      <c r="Q165" s="5" t="str">
        <f>TEXT(Table13[[#This Row],[Closing Date]],"yyyy")</f>
        <v>2023</v>
      </c>
      <c r="R165" s="5" t="str">
        <f>TEXT(Table13[[#This Row],[Closing Date]],"mmmm")</f>
        <v>June</v>
      </c>
      <c r="S165" s="5" t="s">
        <v>240</v>
      </c>
      <c r="T165" s="5" t="s">
        <v>301</v>
      </c>
    </row>
    <row r="166" spans="1:20" x14ac:dyDescent="0.25">
      <c r="A166" t="s">
        <v>201</v>
      </c>
      <c r="B166" t="s">
        <v>305</v>
      </c>
      <c r="C166" t="s">
        <v>16</v>
      </c>
      <c r="D166" t="s">
        <v>7</v>
      </c>
      <c r="E166" s="5"/>
      <c r="F166" s="7">
        <v>45097</v>
      </c>
      <c r="G166" t="s">
        <v>55</v>
      </c>
      <c r="H166">
        <v>1300</v>
      </c>
      <c r="I166" s="5">
        <v>295157.91000000003</v>
      </c>
      <c r="K166" s="5">
        <v>306390.78999999998</v>
      </c>
      <c r="L166" s="5">
        <v>227.04454615384617</v>
      </c>
      <c r="M166" s="5">
        <v>510.65131666666662</v>
      </c>
      <c r="N166" s="5">
        <v>11232.879999999946</v>
      </c>
      <c r="O166" s="3">
        <v>1.2491239068153943</v>
      </c>
      <c r="P166" s="9">
        <f>N166+P165</f>
        <v>69063.258489158805</v>
      </c>
      <c r="Q166" s="5" t="str">
        <f>TEXT(Table13[[#This Row],[Closing Date]],"yyyy")</f>
        <v>2023</v>
      </c>
      <c r="R166" s="5" t="str">
        <f>TEXT(Table13[[#This Row],[Closing Date]],"mmmm")</f>
        <v>June</v>
      </c>
      <c r="S166" s="5" t="s">
        <v>240</v>
      </c>
      <c r="T166" s="5" t="s">
        <v>301</v>
      </c>
    </row>
    <row r="167" spans="1:20" x14ac:dyDescent="0.25">
      <c r="A167" t="s">
        <v>201</v>
      </c>
      <c r="B167" t="s">
        <v>303</v>
      </c>
      <c r="C167" t="s">
        <v>16</v>
      </c>
      <c r="D167" t="s">
        <v>7</v>
      </c>
      <c r="E167" s="5"/>
      <c r="F167" s="7">
        <v>45097</v>
      </c>
      <c r="G167" t="s">
        <v>188</v>
      </c>
      <c r="H167">
        <v>4761</v>
      </c>
      <c r="I167" s="5">
        <v>159415.42000000001</v>
      </c>
      <c r="K167" s="5">
        <v>149119.85999999999</v>
      </c>
      <c r="L167" s="5">
        <v>33.483600084015968</v>
      </c>
      <c r="M167" s="5">
        <v>31.321121613106488</v>
      </c>
      <c r="N167" s="5">
        <v>-10295.560000000027</v>
      </c>
      <c r="O167" s="3">
        <v>-6.4583212841016424E-2</v>
      </c>
      <c r="P167" s="9">
        <f>N167+P166</f>
        <v>58767.698489158778</v>
      </c>
      <c r="Q167" s="5" t="str">
        <f>TEXT(Table13[[#This Row],[Closing Date]],"yyyy")</f>
        <v>2023</v>
      </c>
      <c r="R167" s="5" t="str">
        <f>TEXT(Table13[[#This Row],[Closing Date]],"mmmm")</f>
        <v>June</v>
      </c>
      <c r="S167" s="5" t="s">
        <v>240</v>
      </c>
      <c r="T167" s="5" t="s">
        <v>203</v>
      </c>
    </row>
    <row r="168" spans="1:20" x14ac:dyDescent="0.25">
      <c r="A168" t="s">
        <v>197</v>
      </c>
      <c r="B168" t="s">
        <v>303</v>
      </c>
      <c r="C168" t="s">
        <v>102</v>
      </c>
      <c r="D168" t="s">
        <v>7</v>
      </c>
      <c r="E168" s="5"/>
      <c r="F168" s="7">
        <v>45097</v>
      </c>
      <c r="G168" t="s">
        <v>198</v>
      </c>
      <c r="H168">
        <v>50</v>
      </c>
      <c r="I168" s="5">
        <v>20032.5</v>
      </c>
      <c r="J168" s="13">
        <v>100</v>
      </c>
      <c r="K168" s="5">
        <v>38407.189999999995</v>
      </c>
      <c r="L168" s="5">
        <v>4.0065</v>
      </c>
      <c r="M168" s="5">
        <v>7.6814379999999991</v>
      </c>
      <c r="N168" s="5">
        <v>18374.689999999995</v>
      </c>
      <c r="O168" s="3">
        <v>0.9172439785348806</v>
      </c>
      <c r="P168" s="9">
        <f>N168+P167</f>
        <v>77142.388489158766</v>
      </c>
      <c r="Q168" s="5" t="str">
        <f>TEXT(Table13[[#This Row],[Closing Date]],"yyyy")</f>
        <v>2023</v>
      </c>
      <c r="R168" s="5" t="str">
        <f>TEXT(Table13[[#This Row],[Closing Date]],"mmmm")</f>
        <v>June</v>
      </c>
      <c r="S168" s="5" t="s">
        <v>240</v>
      </c>
      <c r="T168" s="5" t="s">
        <v>203</v>
      </c>
    </row>
    <row r="169" spans="1:20" x14ac:dyDescent="0.25">
      <c r="A169" t="s">
        <v>201</v>
      </c>
      <c r="B169" t="s">
        <v>305</v>
      </c>
      <c r="C169" t="s">
        <v>16</v>
      </c>
      <c r="D169" t="s">
        <v>7</v>
      </c>
      <c r="E169" s="5"/>
      <c r="F169" s="7">
        <v>45103</v>
      </c>
      <c r="G169" t="s">
        <v>57</v>
      </c>
      <c r="H169">
        <v>4500</v>
      </c>
      <c r="I169" s="5">
        <v>170975.48</v>
      </c>
      <c r="K169" s="5">
        <v>181325.5</v>
      </c>
      <c r="L169" s="5">
        <v>37.994551111111114</v>
      </c>
      <c r="M169" s="5">
        <v>40.294555555555554</v>
      </c>
      <c r="N169" s="5">
        <v>-10350.01999999999</v>
      </c>
      <c r="O169" s="3">
        <v>-6.0535112988131273E-2</v>
      </c>
      <c r="P169" s="9">
        <f>N169+P168</f>
        <v>66792.368489158776</v>
      </c>
      <c r="Q169" s="5" t="str">
        <f>TEXT(Table13[[#This Row],[Closing Date]],"yyyy")</f>
        <v>2023</v>
      </c>
      <c r="R169" s="5" t="str">
        <f>TEXT(Table13[[#This Row],[Closing Date]],"mmmm")</f>
        <v>June</v>
      </c>
      <c r="S169" s="5" t="s">
        <v>240</v>
      </c>
      <c r="T169" s="5" t="s">
        <v>301</v>
      </c>
    </row>
    <row r="170" spans="1:20" x14ac:dyDescent="0.25">
      <c r="A170" t="s">
        <v>201</v>
      </c>
      <c r="B170" t="s">
        <v>303</v>
      </c>
      <c r="C170" t="s">
        <v>16</v>
      </c>
      <c r="D170" t="s">
        <v>7</v>
      </c>
      <c r="E170" s="5"/>
      <c r="F170" s="7">
        <v>45104</v>
      </c>
      <c r="G170" t="s">
        <v>189</v>
      </c>
      <c r="H170">
        <v>5600</v>
      </c>
      <c r="I170" s="5">
        <v>305480</v>
      </c>
      <c r="K170" s="5">
        <v>308529.53000000003</v>
      </c>
      <c r="L170" s="5">
        <v>54.55</v>
      </c>
      <c r="M170" s="5">
        <v>85.702647222222225</v>
      </c>
      <c r="N170" s="5">
        <v>3049.5300000000279</v>
      </c>
      <c r="O170" s="3">
        <v>9.9827484614378285E-3</v>
      </c>
      <c r="P170" s="9">
        <f>N170+P169</f>
        <v>69841.898489158804</v>
      </c>
      <c r="Q170" s="5" t="str">
        <f>TEXT(Table13[[#This Row],[Closing Date]],"yyyy")</f>
        <v>2023</v>
      </c>
      <c r="R170" s="5" t="str">
        <f>TEXT(Table13[[#This Row],[Closing Date]],"mmmm")</f>
        <v>June</v>
      </c>
      <c r="S170" s="5" t="s">
        <v>240</v>
      </c>
      <c r="T170" s="5" t="s">
        <v>203</v>
      </c>
    </row>
    <row r="171" spans="1:20" x14ac:dyDescent="0.25">
      <c r="A171" t="s">
        <v>201</v>
      </c>
      <c r="B171" t="s">
        <v>305</v>
      </c>
      <c r="C171" t="s">
        <v>16</v>
      </c>
      <c r="D171" t="s">
        <v>5</v>
      </c>
      <c r="E171" s="5"/>
      <c r="F171" s="7">
        <v>45105</v>
      </c>
      <c r="G171" t="s">
        <v>58</v>
      </c>
      <c r="H171">
        <v>384</v>
      </c>
      <c r="I171" s="5">
        <v>145532.85999999999</v>
      </c>
      <c r="K171" s="5">
        <v>150287.51</v>
      </c>
      <c r="L171" s="5">
        <v>378.99182291666665</v>
      </c>
      <c r="M171" s="5">
        <v>391.37372395833336</v>
      </c>
      <c r="N171" s="5">
        <v>-4754.6500000000233</v>
      </c>
      <c r="O171" s="3">
        <v>-3.2670628475246183E-2</v>
      </c>
      <c r="P171" s="9">
        <f>N171+P170</f>
        <v>65087.248489158781</v>
      </c>
      <c r="Q171" s="5" t="str">
        <f>TEXT(Table13[[#This Row],[Closing Date]],"yyyy")</f>
        <v>2023</v>
      </c>
      <c r="R171" s="5" t="str">
        <f>TEXT(Table13[[#This Row],[Closing Date]],"mmmm")</f>
        <v>June</v>
      </c>
      <c r="S171" s="5" t="s">
        <v>240</v>
      </c>
      <c r="T171" s="5" t="s">
        <v>301</v>
      </c>
    </row>
    <row r="172" spans="1:20" x14ac:dyDescent="0.25">
      <c r="A172" t="s">
        <v>201</v>
      </c>
      <c r="B172" t="s">
        <v>305</v>
      </c>
      <c r="C172" t="s">
        <v>16</v>
      </c>
      <c r="D172" t="s">
        <v>5</v>
      </c>
      <c r="E172" s="5"/>
      <c r="F172" s="7">
        <v>45106</v>
      </c>
      <c r="G172" t="s">
        <v>59</v>
      </c>
      <c r="H172">
        <v>11350</v>
      </c>
      <c r="I172" s="5">
        <v>365862.68</v>
      </c>
      <c r="K172" s="5">
        <v>373666.99</v>
      </c>
      <c r="L172" s="5">
        <v>32.234597356828196</v>
      </c>
      <c r="M172" s="5">
        <v>32.92220176211454</v>
      </c>
      <c r="N172" s="5">
        <v>-7804.3099999999977</v>
      </c>
      <c r="O172" s="3">
        <v>-2.133125466636826E-2</v>
      </c>
      <c r="P172" s="9">
        <f>N172+P171</f>
        <v>57282.938489158783</v>
      </c>
      <c r="Q172" s="5" t="str">
        <f>TEXT(Table13[[#This Row],[Closing Date]],"yyyy")</f>
        <v>2023</v>
      </c>
      <c r="R172" s="5" t="str">
        <f>TEXT(Table13[[#This Row],[Closing Date]],"mmmm")</f>
        <v>June</v>
      </c>
      <c r="S172" s="5" t="s">
        <v>240</v>
      </c>
      <c r="T172" s="5" t="s">
        <v>301</v>
      </c>
    </row>
    <row r="173" spans="1:20" x14ac:dyDescent="0.25">
      <c r="A173" t="s">
        <v>201</v>
      </c>
      <c r="B173" t="s">
        <v>303</v>
      </c>
      <c r="C173" t="s">
        <v>4</v>
      </c>
      <c r="D173" t="s">
        <v>7</v>
      </c>
      <c r="E173" s="5"/>
      <c r="F173" s="7">
        <v>45107</v>
      </c>
      <c r="G173" t="s">
        <v>60</v>
      </c>
      <c r="H173">
        <v>1000000</v>
      </c>
      <c r="I173" s="5">
        <v>681553.63</v>
      </c>
      <c r="K173" s="5">
        <v>676070</v>
      </c>
      <c r="L173" s="5">
        <v>0.68155363000000002</v>
      </c>
      <c r="M173" s="5">
        <v>0.67606999999999995</v>
      </c>
      <c r="N173" s="5">
        <v>-6129</v>
      </c>
      <c r="O173" s="3">
        <v>-9.0656292987412544E-3</v>
      </c>
      <c r="P173" s="9">
        <f>N173+P172</f>
        <v>51153.938489158783</v>
      </c>
      <c r="Q173" s="5" t="str">
        <f>TEXT(Table13[[#This Row],[Closing Date]],"yyyy")</f>
        <v>2023</v>
      </c>
      <c r="R173" s="5" t="str">
        <f>TEXT(Table13[[#This Row],[Closing Date]],"mmmm")</f>
        <v>June</v>
      </c>
      <c r="S173" s="5" t="s">
        <v>240</v>
      </c>
      <c r="T173" s="5" t="s">
        <v>301</v>
      </c>
    </row>
    <row r="174" spans="1:20" x14ac:dyDescent="0.25">
      <c r="A174" t="s">
        <v>201</v>
      </c>
      <c r="B174" t="s">
        <v>303</v>
      </c>
      <c r="C174" t="s">
        <v>4</v>
      </c>
      <c r="D174" t="s">
        <v>7</v>
      </c>
      <c r="E174" s="5"/>
      <c r="F174" s="7">
        <v>45107</v>
      </c>
      <c r="G174" t="s">
        <v>116</v>
      </c>
      <c r="H174">
        <v>700000</v>
      </c>
      <c r="I174" s="5">
        <v>76080320.640000001</v>
      </c>
      <c r="K174" s="5">
        <v>76262900</v>
      </c>
      <c r="L174" s="5">
        <v>108.68617234285715</v>
      </c>
      <c r="M174" s="5">
        <v>108.947</v>
      </c>
      <c r="N174" s="5">
        <v>1675.8548652096836</v>
      </c>
      <c r="O174" s="3">
        <v>2.1974706773669551E-5</v>
      </c>
      <c r="P174" s="9">
        <f>N174+P173</f>
        <v>52829.79335436847</v>
      </c>
      <c r="Q174" s="5" t="str">
        <f>TEXT(Table13[[#This Row],[Closing Date]],"yyyy")</f>
        <v>2023</v>
      </c>
      <c r="R174" s="5" t="str">
        <f>TEXT(Table13[[#This Row],[Closing Date]],"mmmm")</f>
        <v>June</v>
      </c>
      <c r="S174" s="5" t="s">
        <v>240</v>
      </c>
      <c r="T174" s="5" t="s">
        <v>301</v>
      </c>
    </row>
    <row r="175" spans="1:20" x14ac:dyDescent="0.25">
      <c r="A175" t="s">
        <v>201</v>
      </c>
      <c r="B175" t="s">
        <v>303</v>
      </c>
      <c r="C175" t="s">
        <v>4</v>
      </c>
      <c r="D175" t="s">
        <v>7</v>
      </c>
      <c r="E175" s="5"/>
      <c r="F175" s="7">
        <v>45107</v>
      </c>
      <c r="G175" t="s">
        <v>79</v>
      </c>
      <c r="H175">
        <v>230000</v>
      </c>
      <c r="I175" s="5">
        <v>36524040.020000003</v>
      </c>
      <c r="K175" s="5">
        <v>37535242.109999999</v>
      </c>
      <c r="L175" s="5">
        <v>158.80017400000003</v>
      </c>
      <c r="M175" s="5">
        <v>163.19670482608694</v>
      </c>
      <c r="N175" s="5">
        <v>7163.2558909275331</v>
      </c>
      <c r="O175" s="3">
        <v>1.9084080688583398E-4</v>
      </c>
      <c r="P175" s="9">
        <f>N175+P174</f>
        <v>59993.049245296002</v>
      </c>
      <c r="Q175" s="5" t="str">
        <f>TEXT(Table13[[#This Row],[Closing Date]],"yyyy")</f>
        <v>2023</v>
      </c>
      <c r="R175" s="5" t="str">
        <f>TEXT(Table13[[#This Row],[Closing Date]],"mmmm")</f>
        <v>June</v>
      </c>
      <c r="S175" s="5" t="s">
        <v>240</v>
      </c>
      <c r="T175" s="5" t="s">
        <v>301</v>
      </c>
    </row>
    <row r="176" spans="1:20" x14ac:dyDescent="0.25">
      <c r="A176" t="s">
        <v>201</v>
      </c>
      <c r="B176" t="s">
        <v>305</v>
      </c>
      <c r="C176" t="s">
        <v>16</v>
      </c>
      <c r="D176" t="s">
        <v>7</v>
      </c>
      <c r="E176" s="5"/>
      <c r="F176" s="7">
        <v>45107</v>
      </c>
      <c r="G176" t="s">
        <v>61</v>
      </c>
      <c r="H176">
        <v>17440</v>
      </c>
      <c r="I176" s="5">
        <v>201358.3</v>
      </c>
      <c r="K176" s="5">
        <v>213235.27</v>
      </c>
      <c r="L176" s="5">
        <v>11.545774082568807</v>
      </c>
      <c r="M176" s="5">
        <v>12.226793004587156</v>
      </c>
      <c r="N176" s="5">
        <v>-11876.970000000001</v>
      </c>
      <c r="O176" s="3">
        <v>-5.8984258409015257E-2</v>
      </c>
      <c r="P176" s="9">
        <f>N176+P175</f>
        <v>48116.079245296001</v>
      </c>
      <c r="Q176" s="5" t="str">
        <f>TEXT(Table13[[#This Row],[Closing Date]],"yyyy")</f>
        <v>2023</v>
      </c>
      <c r="R176" s="5" t="str">
        <f>TEXT(Table13[[#This Row],[Closing Date]],"mmmm")</f>
        <v>June</v>
      </c>
      <c r="S176" s="5" t="s">
        <v>240</v>
      </c>
      <c r="T176" s="5" t="s">
        <v>301</v>
      </c>
    </row>
    <row r="177" spans="1:20" x14ac:dyDescent="0.25">
      <c r="A177" t="s">
        <v>201</v>
      </c>
      <c r="B177" t="s">
        <v>305</v>
      </c>
      <c r="C177" t="s">
        <v>16</v>
      </c>
      <c r="D177" t="s">
        <v>5</v>
      </c>
      <c r="E177" s="5"/>
      <c r="F177" s="7">
        <v>45107</v>
      </c>
      <c r="G177" t="s">
        <v>62</v>
      </c>
      <c r="H177">
        <v>11500</v>
      </c>
      <c r="I177" s="5">
        <v>163584.51999999999</v>
      </c>
      <c r="K177" s="5">
        <v>158627.04999999999</v>
      </c>
      <c r="L177" s="5">
        <v>14.224740869565217</v>
      </c>
      <c r="M177" s="5">
        <v>13.793656521739129</v>
      </c>
      <c r="N177" s="5">
        <v>4957.4700000000012</v>
      </c>
      <c r="O177" s="3">
        <v>3.0305251377086378E-2</v>
      </c>
      <c r="P177" s="9">
        <f>N177+P176</f>
        <v>53073.549245296002</v>
      </c>
      <c r="Q177" s="5" t="str">
        <f>TEXT(Table13[[#This Row],[Closing Date]],"yyyy")</f>
        <v>2023</v>
      </c>
      <c r="R177" s="5" t="str">
        <f>TEXT(Table13[[#This Row],[Closing Date]],"mmmm")</f>
        <v>June</v>
      </c>
      <c r="S177" s="5" t="s">
        <v>240</v>
      </c>
      <c r="T177" s="5" t="s">
        <v>301</v>
      </c>
    </row>
    <row r="178" spans="1:20" x14ac:dyDescent="0.25">
      <c r="A178" t="s">
        <v>201</v>
      </c>
      <c r="B178" t="s">
        <v>305</v>
      </c>
      <c r="C178" t="s">
        <v>16</v>
      </c>
      <c r="D178" t="s">
        <v>5</v>
      </c>
      <c r="E178" s="5"/>
      <c r="F178" s="7">
        <v>45112</v>
      </c>
      <c r="G178" t="s">
        <v>63</v>
      </c>
      <c r="H178">
        <v>7000</v>
      </c>
      <c r="I178" s="5">
        <v>252731.96</v>
      </c>
      <c r="K178" s="5">
        <v>267771.21000000002</v>
      </c>
      <c r="L178" s="5">
        <v>36.104565714285712</v>
      </c>
      <c r="M178" s="5">
        <v>38.253030000000003</v>
      </c>
      <c r="N178" s="5">
        <v>-15039.250000000029</v>
      </c>
      <c r="O178" s="3">
        <v>-5.9506720083997419E-2</v>
      </c>
      <c r="P178" s="9">
        <f>N178+P177</f>
        <v>38034.299245295973</v>
      </c>
      <c r="Q178" s="5" t="str">
        <f>TEXT(Table13[[#This Row],[Closing Date]],"yyyy")</f>
        <v>2023</v>
      </c>
      <c r="R178" s="5" t="str">
        <f>TEXT(Table13[[#This Row],[Closing Date]],"mmmm")</f>
        <v>July</v>
      </c>
      <c r="S178" s="5" t="s">
        <v>240</v>
      </c>
      <c r="T178" s="5" t="s">
        <v>301</v>
      </c>
    </row>
    <row r="179" spans="1:20" x14ac:dyDescent="0.25">
      <c r="A179" t="s">
        <v>201</v>
      </c>
      <c r="B179" t="s">
        <v>305</v>
      </c>
      <c r="C179" t="s">
        <v>16</v>
      </c>
      <c r="D179" t="s">
        <v>7</v>
      </c>
      <c r="E179" s="5"/>
      <c r="F179" s="7">
        <v>45114</v>
      </c>
      <c r="G179" t="s">
        <v>64</v>
      </c>
      <c r="H179">
        <v>3000</v>
      </c>
      <c r="I179" s="5">
        <v>484982.5</v>
      </c>
      <c r="K179" s="5">
        <v>467099.66</v>
      </c>
      <c r="L179" s="5">
        <v>161.66083333333333</v>
      </c>
      <c r="M179" s="5">
        <v>155.69988666666666</v>
      </c>
      <c r="N179" s="5">
        <v>-17882.840000000026</v>
      </c>
      <c r="O179" s="3">
        <v>-3.6873165526591201E-2</v>
      </c>
      <c r="P179" s="9">
        <f>N179+P178</f>
        <v>20151.459245295948</v>
      </c>
      <c r="Q179" s="5" t="str">
        <f>TEXT(Table13[[#This Row],[Closing Date]],"yyyy")</f>
        <v>2023</v>
      </c>
      <c r="R179" s="5" t="str">
        <f>TEXT(Table13[[#This Row],[Closing Date]],"mmmm")</f>
        <v>July</v>
      </c>
      <c r="S179" s="5" t="s">
        <v>240</v>
      </c>
      <c r="T179" s="5" t="s">
        <v>301</v>
      </c>
    </row>
    <row r="180" spans="1:20" x14ac:dyDescent="0.25">
      <c r="A180" t="s">
        <v>201</v>
      </c>
      <c r="B180" t="s">
        <v>305</v>
      </c>
      <c r="C180" t="s">
        <v>16</v>
      </c>
      <c r="D180" t="s">
        <v>5</v>
      </c>
      <c r="E180" s="5"/>
      <c r="F180" s="7">
        <v>45114</v>
      </c>
      <c r="G180" t="s">
        <v>67</v>
      </c>
      <c r="H180">
        <v>14285</v>
      </c>
      <c r="I180" s="5">
        <v>150632.04999999999</v>
      </c>
      <c r="K180" s="5">
        <v>161215.85</v>
      </c>
      <c r="L180" s="5">
        <v>10.544770738536926</v>
      </c>
      <c r="M180" s="5">
        <v>11.285673783689186</v>
      </c>
      <c r="N180" s="5">
        <v>-10583.800000000017</v>
      </c>
      <c r="O180" s="3">
        <v>-7.0262603476484817E-2</v>
      </c>
      <c r="P180" s="9">
        <f>N180+P179</f>
        <v>9567.6592452959303</v>
      </c>
      <c r="Q180" s="5" t="str">
        <f>TEXT(Table13[[#This Row],[Closing Date]],"yyyy")</f>
        <v>2023</v>
      </c>
      <c r="R180" s="5" t="str">
        <f>TEXT(Table13[[#This Row],[Closing Date]],"mmmm")</f>
        <v>July</v>
      </c>
      <c r="S180" s="5" t="s">
        <v>240</v>
      </c>
      <c r="T180" s="5" t="s">
        <v>301</v>
      </c>
    </row>
    <row r="181" spans="1:20" x14ac:dyDescent="0.25">
      <c r="A181" t="s">
        <v>201</v>
      </c>
      <c r="B181" t="s">
        <v>303</v>
      </c>
      <c r="C181" t="s">
        <v>12</v>
      </c>
      <c r="D181" t="s">
        <v>7</v>
      </c>
      <c r="E181" s="5"/>
      <c r="F181" s="7">
        <v>45117</v>
      </c>
      <c r="G181" t="s">
        <v>44</v>
      </c>
      <c r="H181">
        <v>4</v>
      </c>
      <c r="I181" s="5">
        <v>658962.07999999996</v>
      </c>
      <c r="K181" s="5">
        <v>644987.92000000004</v>
      </c>
      <c r="L181" s="5">
        <v>32948.103999999999</v>
      </c>
      <c r="M181" s="5">
        <v>32249.396000000001</v>
      </c>
      <c r="N181" s="5">
        <v>-14018.159999999916</v>
      </c>
      <c r="O181" s="3">
        <v>-2.1273090554770491E-2</v>
      </c>
      <c r="P181" s="9">
        <f>N181+P180</f>
        <v>-4450.5007547039859</v>
      </c>
      <c r="Q181" s="5" t="str">
        <f>TEXT(Table13[[#This Row],[Closing Date]],"yyyy")</f>
        <v>2023</v>
      </c>
      <c r="R181" s="5" t="str">
        <f>TEXT(Table13[[#This Row],[Closing Date]],"mmmm")</f>
        <v>July</v>
      </c>
      <c r="S181" s="5" t="s">
        <v>240</v>
      </c>
      <c r="T181" s="5" t="s">
        <v>301</v>
      </c>
    </row>
    <row r="182" spans="1:20" x14ac:dyDescent="0.25">
      <c r="A182" t="s">
        <v>201</v>
      </c>
      <c r="B182" t="s">
        <v>305</v>
      </c>
      <c r="C182" t="s">
        <v>16</v>
      </c>
      <c r="D182" t="s">
        <v>7</v>
      </c>
      <c r="E182" s="5"/>
      <c r="F182" s="7">
        <v>45117</v>
      </c>
      <c r="G182" t="s">
        <v>65</v>
      </c>
      <c r="H182">
        <v>5800</v>
      </c>
      <c r="I182" s="5">
        <v>313054</v>
      </c>
      <c r="K182" s="5">
        <v>330437.52</v>
      </c>
      <c r="L182" s="5">
        <v>53.974827586206899</v>
      </c>
      <c r="M182" s="5">
        <v>56.971986206896553</v>
      </c>
      <c r="N182" s="5">
        <v>17383.520000000019</v>
      </c>
      <c r="O182" s="3">
        <v>5.5528822503465816E-2</v>
      </c>
      <c r="P182" s="9">
        <f>N182+P181</f>
        <v>12933.019245296033</v>
      </c>
      <c r="Q182" s="5" t="str">
        <f>TEXT(Table13[[#This Row],[Closing Date]],"yyyy")</f>
        <v>2023</v>
      </c>
      <c r="R182" s="5" t="str">
        <f>TEXT(Table13[[#This Row],[Closing Date]],"mmmm")</f>
        <v>July</v>
      </c>
      <c r="S182" s="5" t="s">
        <v>240</v>
      </c>
      <c r="T182" s="5" t="s">
        <v>301</v>
      </c>
    </row>
    <row r="183" spans="1:20" x14ac:dyDescent="0.25">
      <c r="A183" t="s">
        <v>201</v>
      </c>
      <c r="B183" t="s">
        <v>303</v>
      </c>
      <c r="C183" t="s">
        <v>4</v>
      </c>
      <c r="D183" t="s">
        <v>7</v>
      </c>
      <c r="E183" s="5"/>
      <c r="F183" s="7">
        <v>45118</v>
      </c>
      <c r="G183" t="s">
        <v>47</v>
      </c>
      <c r="H183">
        <v>325000</v>
      </c>
      <c r="I183" s="5">
        <v>3841547.93</v>
      </c>
      <c r="K183" s="5">
        <v>3745369.26</v>
      </c>
      <c r="L183" s="5">
        <v>11.820147476923077</v>
      </c>
      <c r="M183" s="5">
        <v>11.524213107692306</v>
      </c>
      <c r="N183" s="5">
        <v>-8947.4838287613329</v>
      </c>
      <c r="O183" s="3">
        <v>-2.3889457107258184E-3</v>
      </c>
      <c r="P183" s="9">
        <f>N183+P182</f>
        <v>3985.5354165346998</v>
      </c>
      <c r="Q183" s="5" t="str">
        <f>TEXT(Table13[[#This Row],[Closing Date]],"yyyy")</f>
        <v>2023</v>
      </c>
      <c r="R183" s="5" t="str">
        <f>TEXT(Table13[[#This Row],[Closing Date]],"mmmm")</f>
        <v>July</v>
      </c>
      <c r="S183" s="5" t="s">
        <v>240</v>
      </c>
      <c r="T183" s="5" t="s">
        <v>301</v>
      </c>
    </row>
    <row r="184" spans="1:20" x14ac:dyDescent="0.25">
      <c r="A184" t="s">
        <v>201</v>
      </c>
      <c r="B184" t="s">
        <v>303</v>
      </c>
      <c r="C184" t="s">
        <v>12</v>
      </c>
      <c r="D184" t="s">
        <v>7</v>
      </c>
      <c r="E184" s="5"/>
      <c r="F184" s="7">
        <v>45118</v>
      </c>
      <c r="G184" t="s">
        <v>13</v>
      </c>
      <c r="H184">
        <v>3</v>
      </c>
      <c r="I184" s="5">
        <v>219607.11</v>
      </c>
      <c r="K184" s="5">
        <v>224992.89</v>
      </c>
      <c r="L184" s="5">
        <v>73.202370000000002</v>
      </c>
      <c r="M184" s="5">
        <v>74.997630000000001</v>
      </c>
      <c r="N184" s="5">
        <v>5341.7800000000279</v>
      </c>
      <c r="O184" s="3">
        <v>2.4324257989643543E-2</v>
      </c>
      <c r="P184" s="9">
        <f>N184+P183</f>
        <v>9327.3154165347278</v>
      </c>
      <c r="Q184" s="5" t="str">
        <f>TEXT(Table13[[#This Row],[Closing Date]],"yyyy")</f>
        <v>2023</v>
      </c>
      <c r="R184" s="5" t="str">
        <f>TEXT(Table13[[#This Row],[Closing Date]],"mmmm")</f>
        <v>July</v>
      </c>
      <c r="S184" s="5" t="s">
        <v>240</v>
      </c>
      <c r="T184" s="5" t="s">
        <v>301</v>
      </c>
    </row>
    <row r="185" spans="1:20" x14ac:dyDescent="0.25">
      <c r="A185" t="s">
        <v>201</v>
      </c>
      <c r="B185" t="s">
        <v>302</v>
      </c>
      <c r="C185" t="s">
        <v>16</v>
      </c>
      <c r="D185" t="s">
        <v>7</v>
      </c>
      <c r="E185" s="5"/>
      <c r="F185" s="7">
        <v>45118</v>
      </c>
      <c r="G185" t="s">
        <v>66</v>
      </c>
      <c r="H185">
        <v>4500</v>
      </c>
      <c r="I185" s="5">
        <v>90022.5</v>
      </c>
      <c r="K185" s="5">
        <v>98976.06</v>
      </c>
      <c r="L185" s="5">
        <v>20.004999999999999</v>
      </c>
      <c r="M185" s="5">
        <v>21.994679999999999</v>
      </c>
      <c r="N185" s="5">
        <v>8953.5599999999977</v>
      </c>
      <c r="O185" s="3">
        <v>9.9459135216195954E-2</v>
      </c>
      <c r="P185" s="9">
        <f>N185+P184</f>
        <v>18280.875416534727</v>
      </c>
      <c r="Q185" s="5" t="str">
        <f>TEXT(Table13[[#This Row],[Closing Date]],"yyyy")</f>
        <v>2023</v>
      </c>
      <c r="R185" s="5" t="str">
        <f>TEXT(Table13[[#This Row],[Closing Date]],"mmmm")</f>
        <v>July</v>
      </c>
      <c r="S185" s="5" t="s">
        <v>240</v>
      </c>
      <c r="T185" s="5" t="s">
        <v>301</v>
      </c>
    </row>
    <row r="186" spans="1:20" x14ac:dyDescent="0.25">
      <c r="A186" t="s">
        <v>201</v>
      </c>
      <c r="B186" t="s">
        <v>303</v>
      </c>
      <c r="C186" t="s">
        <v>4</v>
      </c>
      <c r="D186" t="s">
        <v>7</v>
      </c>
      <c r="E186" s="5"/>
      <c r="F186" s="7">
        <v>45119</v>
      </c>
      <c r="G186" t="s">
        <v>69</v>
      </c>
      <c r="H186">
        <v>1950000</v>
      </c>
      <c r="I186" s="5">
        <v>14122699.51</v>
      </c>
      <c r="K186" s="5">
        <v>13993281.559999999</v>
      </c>
      <c r="L186" s="5">
        <v>7.242410005128205</v>
      </c>
      <c r="M186" s="5">
        <v>7.1760418256410246</v>
      </c>
      <c r="N186" s="5">
        <v>-18034.726266166992</v>
      </c>
      <c r="O186" s="3">
        <v>-9.2485775723933281E-3</v>
      </c>
      <c r="P186" s="9">
        <f>N186+P185</f>
        <v>246.14915036773527</v>
      </c>
      <c r="Q186" s="5" t="str">
        <f>TEXT(Table13[[#This Row],[Closing Date]],"yyyy")</f>
        <v>2023</v>
      </c>
      <c r="R186" s="5" t="str">
        <f>TEXT(Table13[[#This Row],[Closing Date]],"mmmm")</f>
        <v>July</v>
      </c>
      <c r="S186" s="5" t="s">
        <v>240</v>
      </c>
      <c r="T186" s="5" t="s">
        <v>301</v>
      </c>
    </row>
    <row r="187" spans="1:20" x14ac:dyDescent="0.25">
      <c r="A187" t="s">
        <v>201</v>
      </c>
      <c r="B187" t="s">
        <v>303</v>
      </c>
      <c r="C187" t="s">
        <v>4</v>
      </c>
      <c r="D187" t="s">
        <v>7</v>
      </c>
      <c r="E187" s="5"/>
      <c r="F187" s="7">
        <v>45119</v>
      </c>
      <c r="G187" t="s">
        <v>68</v>
      </c>
      <c r="H187">
        <v>875000</v>
      </c>
      <c r="I187" s="5">
        <v>10280454.58</v>
      </c>
      <c r="K187" s="5">
        <v>10107352.51</v>
      </c>
      <c r="L187" s="5">
        <v>11.749090948571428</v>
      </c>
      <c r="M187" s="5">
        <v>11.551260011428571</v>
      </c>
      <c r="N187" s="5">
        <v>-16632.139184110645</v>
      </c>
      <c r="O187" s="3">
        <v>-1.645548541782347E-3</v>
      </c>
      <c r="P187" s="9">
        <f>N187+P186</f>
        <v>-16385.99003374291</v>
      </c>
      <c r="Q187" s="5" t="str">
        <f>TEXT(Table13[[#This Row],[Closing Date]],"yyyy")</f>
        <v>2023</v>
      </c>
      <c r="R187" s="5" t="str">
        <f>TEXT(Table13[[#This Row],[Closing Date]],"mmmm")</f>
        <v>July</v>
      </c>
      <c r="S187" s="5" t="s">
        <v>240</v>
      </c>
      <c r="T187" s="5" t="s">
        <v>301</v>
      </c>
    </row>
    <row r="188" spans="1:20" x14ac:dyDescent="0.25">
      <c r="A188" t="s">
        <v>201</v>
      </c>
      <c r="B188" t="s">
        <v>303</v>
      </c>
      <c r="C188" t="s">
        <v>4</v>
      </c>
      <c r="D188" t="s">
        <v>7</v>
      </c>
      <c r="E188" s="5"/>
      <c r="F188" s="7">
        <v>45119</v>
      </c>
      <c r="G188" t="s">
        <v>48</v>
      </c>
      <c r="H188">
        <v>350000</v>
      </c>
      <c r="I188" s="5">
        <v>3750573.0700000003</v>
      </c>
      <c r="K188" s="5">
        <v>3581268.7</v>
      </c>
      <c r="L188" s="5">
        <v>10.715923057142858</v>
      </c>
      <c r="M188" s="5">
        <v>10.232196285714286</v>
      </c>
      <c r="N188" s="5">
        <v>-16546.239465360428</v>
      </c>
      <c r="O188" s="3">
        <v>-4.7274969901029799E-2</v>
      </c>
      <c r="P188" s="9">
        <f>N188+P187</f>
        <v>-32932.229499103341</v>
      </c>
      <c r="Q188" s="5" t="str">
        <f>TEXT(Table13[[#This Row],[Closing Date]],"yyyy")</f>
        <v>2023</v>
      </c>
      <c r="R188" s="5" t="str">
        <f>TEXT(Table13[[#This Row],[Closing Date]],"mmmm")</f>
        <v>July</v>
      </c>
      <c r="S188" s="5" t="s">
        <v>240</v>
      </c>
      <c r="T188" s="5" t="s">
        <v>301</v>
      </c>
    </row>
    <row r="189" spans="1:20" x14ac:dyDescent="0.25">
      <c r="A189" t="s">
        <v>201</v>
      </c>
      <c r="B189" t="s">
        <v>303</v>
      </c>
      <c r="C189" t="s">
        <v>4</v>
      </c>
      <c r="D189" t="s">
        <v>7</v>
      </c>
      <c r="E189" s="5"/>
      <c r="F189" s="7">
        <v>45119</v>
      </c>
      <c r="G189" t="s">
        <v>71</v>
      </c>
      <c r="H189">
        <v>2600000</v>
      </c>
      <c r="I189" s="5">
        <v>366257164.62</v>
      </c>
      <c r="K189" s="5">
        <v>364397922.27000004</v>
      </c>
      <c r="L189" s="5">
        <v>140.86814023846154</v>
      </c>
      <c r="M189" s="5">
        <v>303.66493522500002</v>
      </c>
      <c r="N189" s="5">
        <v>-6122.6771165474265</v>
      </c>
      <c r="O189" s="3">
        <v>-1.6802173509680002E-5</v>
      </c>
      <c r="P189" s="9">
        <f>N189+P188</f>
        <v>-39054.906615650769</v>
      </c>
      <c r="Q189" s="5" t="str">
        <f>TEXT(Table13[[#This Row],[Closing Date]],"yyyy")</f>
        <v>2023</v>
      </c>
      <c r="R189" s="5" t="str">
        <f>TEXT(Table13[[#This Row],[Closing Date]],"mmmm")</f>
        <v>July</v>
      </c>
      <c r="S189" s="5" t="s">
        <v>240</v>
      </c>
      <c r="T189" s="5" t="s">
        <v>301</v>
      </c>
    </row>
    <row r="190" spans="1:20" x14ac:dyDescent="0.25">
      <c r="A190" t="s">
        <v>201</v>
      </c>
      <c r="B190" t="s">
        <v>303</v>
      </c>
      <c r="C190" t="s">
        <v>16</v>
      </c>
      <c r="D190" t="s">
        <v>5</v>
      </c>
      <c r="E190" s="5"/>
      <c r="F190" s="7">
        <v>45119</v>
      </c>
      <c r="G190" t="s">
        <v>76</v>
      </c>
      <c r="H190">
        <v>8000</v>
      </c>
      <c r="I190" s="5">
        <v>231956.98</v>
      </c>
      <c r="K190" s="5">
        <v>232039</v>
      </c>
      <c r="L190" s="5">
        <v>28.994622500000002</v>
      </c>
      <c r="M190" s="5">
        <v>29.004874999999998</v>
      </c>
      <c r="N190" s="5">
        <v>-82.019999999989523</v>
      </c>
      <c r="O190" s="3">
        <v>-3.5360005118178188E-4</v>
      </c>
      <c r="P190" s="9">
        <f>N190+P189</f>
        <v>-39136.926615650758</v>
      </c>
      <c r="Q190" s="5" t="str">
        <f>TEXT(Table13[[#This Row],[Closing Date]],"yyyy")</f>
        <v>2023</v>
      </c>
      <c r="R190" s="5" t="str">
        <f>TEXT(Table13[[#This Row],[Closing Date]],"mmmm")</f>
        <v>July</v>
      </c>
      <c r="S190" s="5" t="s">
        <v>240</v>
      </c>
      <c r="T190" s="5" t="s">
        <v>301</v>
      </c>
    </row>
    <row r="191" spans="1:20" x14ac:dyDescent="0.25">
      <c r="A191" t="s">
        <v>197</v>
      </c>
      <c r="B191" t="s">
        <v>305</v>
      </c>
      <c r="C191" t="s">
        <v>102</v>
      </c>
      <c r="D191" t="s">
        <v>7</v>
      </c>
      <c r="E191" s="5"/>
      <c r="F191" s="7">
        <v>45119</v>
      </c>
      <c r="G191" t="s">
        <v>132</v>
      </c>
      <c r="H191">
        <v>90</v>
      </c>
      <c r="I191" s="5">
        <v>8162.01</v>
      </c>
      <c r="J191" s="13">
        <v>100</v>
      </c>
      <c r="K191" s="5">
        <v>7439.64</v>
      </c>
      <c r="L191" s="5">
        <v>0.90689000000000008</v>
      </c>
      <c r="M191" s="5">
        <v>0.82662666666666662</v>
      </c>
      <c r="N191" s="5">
        <v>-722.36999999999989</v>
      </c>
      <c r="O191" s="3">
        <v>-8.850393469255749E-2</v>
      </c>
      <c r="P191" s="9">
        <f>N191+P190</f>
        <v>-39859.296615650761</v>
      </c>
      <c r="Q191" s="5" t="str">
        <f>TEXT(Table13[[#This Row],[Closing Date]],"yyyy")</f>
        <v>2023</v>
      </c>
      <c r="R191" s="5" t="str">
        <f>TEXT(Table13[[#This Row],[Closing Date]],"mmmm")</f>
        <v>July</v>
      </c>
      <c r="S191" s="5" t="s">
        <v>240</v>
      </c>
      <c r="T191" s="5" t="s">
        <v>301</v>
      </c>
    </row>
    <row r="192" spans="1:20" x14ac:dyDescent="0.25">
      <c r="A192" t="s">
        <v>201</v>
      </c>
      <c r="B192" t="s">
        <v>305</v>
      </c>
      <c r="C192" t="s">
        <v>16</v>
      </c>
      <c r="D192" t="s">
        <v>5</v>
      </c>
      <c r="E192" s="5"/>
      <c r="F192" s="7">
        <v>45119</v>
      </c>
      <c r="G192" t="s">
        <v>74</v>
      </c>
      <c r="H192">
        <v>5405</v>
      </c>
      <c r="I192" s="5">
        <v>157526.68</v>
      </c>
      <c r="K192" s="5">
        <v>168131.66</v>
      </c>
      <c r="L192" s="5">
        <v>29.144621646623495</v>
      </c>
      <c r="M192" s="5">
        <v>31.106690101757632</v>
      </c>
      <c r="N192" s="5">
        <v>-10604.98000000001</v>
      </c>
      <c r="O192" s="3">
        <v>-6.7321802249625334E-2</v>
      </c>
      <c r="P192" s="9">
        <f>N192+P191</f>
        <v>-50464.276615650771</v>
      </c>
      <c r="Q192" s="5" t="str">
        <f>TEXT(Table13[[#This Row],[Closing Date]],"yyyy")</f>
        <v>2023</v>
      </c>
      <c r="R192" s="5" t="str">
        <f>TEXT(Table13[[#This Row],[Closing Date]],"mmmm")</f>
        <v>July</v>
      </c>
      <c r="S192" s="5" t="s">
        <v>240</v>
      </c>
      <c r="T192" s="5" t="s">
        <v>301</v>
      </c>
    </row>
    <row r="193" spans="1:20" x14ac:dyDescent="0.25">
      <c r="A193" t="s">
        <v>201</v>
      </c>
      <c r="B193" t="s">
        <v>305</v>
      </c>
      <c r="C193" t="s">
        <v>16</v>
      </c>
      <c r="D193" t="s">
        <v>7</v>
      </c>
      <c r="E193" s="5"/>
      <c r="F193" s="7">
        <v>45119</v>
      </c>
      <c r="G193" t="s">
        <v>75</v>
      </c>
      <c r="H193">
        <v>7500</v>
      </c>
      <c r="I193" s="5">
        <v>381907.25</v>
      </c>
      <c r="K193" s="5">
        <v>382468.33</v>
      </c>
      <c r="L193" s="5">
        <v>50.920966666666665</v>
      </c>
      <c r="M193" s="5">
        <v>50.995777333333336</v>
      </c>
      <c r="N193" s="5">
        <v>561.0800000000163</v>
      </c>
      <c r="O193" s="3">
        <v>1.4691525232894533E-3</v>
      </c>
      <c r="P193" s="9">
        <f>N193+P192</f>
        <v>-49903.196615650755</v>
      </c>
      <c r="Q193" s="5" t="str">
        <f>TEXT(Table13[[#This Row],[Closing Date]],"yyyy")</f>
        <v>2023</v>
      </c>
      <c r="R193" s="5" t="str">
        <f>TEXT(Table13[[#This Row],[Closing Date]],"mmmm")</f>
        <v>July</v>
      </c>
      <c r="S193" s="5" t="s">
        <v>240</v>
      </c>
      <c r="T193" s="5" t="s">
        <v>301</v>
      </c>
    </row>
    <row r="194" spans="1:20" x14ac:dyDescent="0.25">
      <c r="A194" t="s">
        <v>201</v>
      </c>
      <c r="B194" t="s">
        <v>306</v>
      </c>
      <c r="C194" t="s">
        <v>4</v>
      </c>
      <c r="D194" t="s">
        <v>7</v>
      </c>
      <c r="E194" s="5"/>
      <c r="F194" s="7">
        <v>45119</v>
      </c>
      <c r="G194" t="s">
        <v>70</v>
      </c>
      <c r="H194">
        <v>1975000</v>
      </c>
      <c r="I194" s="5">
        <v>21069646.649999999</v>
      </c>
      <c r="K194" s="5">
        <v>20734949.171100002</v>
      </c>
      <c r="L194" s="5">
        <v>10.668175518987342</v>
      </c>
      <c r="M194" s="5">
        <v>10.498708441063291</v>
      </c>
      <c r="N194" s="5">
        <v>-31879.871774598891</v>
      </c>
      <c r="O194" s="3">
        <v>-1.6141707227645009E-2</v>
      </c>
      <c r="P194" s="9">
        <f>N194+P193</f>
        <v>-81783.068390249653</v>
      </c>
      <c r="Q194" s="5" t="str">
        <f>TEXT(Table13[[#This Row],[Closing Date]],"yyyy")</f>
        <v>2023</v>
      </c>
      <c r="R194" s="5" t="str">
        <f>TEXT(Table13[[#This Row],[Closing Date]],"mmmm")</f>
        <v>July</v>
      </c>
      <c r="S194" s="5" t="s">
        <v>240</v>
      </c>
      <c r="T194" s="5" t="s">
        <v>301</v>
      </c>
    </row>
    <row r="195" spans="1:20" x14ac:dyDescent="0.25">
      <c r="A195" t="s">
        <v>201</v>
      </c>
      <c r="B195" t="s">
        <v>306</v>
      </c>
      <c r="C195" t="s">
        <v>4</v>
      </c>
      <c r="D195" t="s">
        <v>5</v>
      </c>
      <c r="E195" s="5"/>
      <c r="F195" s="7">
        <v>45120</v>
      </c>
      <c r="G195" t="s">
        <v>125</v>
      </c>
      <c r="H195">
        <v>1500000</v>
      </c>
      <c r="I195" s="5">
        <v>944981.1</v>
      </c>
      <c r="K195" s="5">
        <v>960124.2</v>
      </c>
      <c r="L195" s="5">
        <v>0.62998739999999998</v>
      </c>
      <c r="M195" s="5">
        <v>0.64008279999999995</v>
      </c>
      <c r="N195" s="5">
        <v>-15143.099999999977</v>
      </c>
      <c r="O195" s="3">
        <v>-1.0095399999999985E-2</v>
      </c>
      <c r="P195" s="9">
        <f>N195+P194</f>
        <v>-96926.16839024963</v>
      </c>
      <c r="Q195" s="5" t="str">
        <f>TEXT(Table13[[#This Row],[Closing Date]],"yyyy")</f>
        <v>2023</v>
      </c>
      <c r="R195" s="5" t="str">
        <f>TEXT(Table13[[#This Row],[Closing Date]],"mmmm")</f>
        <v>July</v>
      </c>
      <c r="S195" s="5" t="s">
        <v>240</v>
      </c>
      <c r="T195" s="5" t="s">
        <v>301</v>
      </c>
    </row>
    <row r="196" spans="1:20" x14ac:dyDescent="0.25">
      <c r="A196" t="s">
        <v>201</v>
      </c>
      <c r="B196" t="s">
        <v>306</v>
      </c>
      <c r="C196" t="s">
        <v>4</v>
      </c>
      <c r="D196" t="s">
        <v>7</v>
      </c>
      <c r="E196" s="5"/>
      <c r="F196" s="7">
        <v>45120</v>
      </c>
      <c r="G196" t="s">
        <v>117</v>
      </c>
      <c r="H196">
        <v>1250000</v>
      </c>
      <c r="I196" s="5">
        <v>1669968.27</v>
      </c>
      <c r="K196" s="5">
        <v>1653591.61</v>
      </c>
      <c r="L196" s="5">
        <v>1.3359746160000001</v>
      </c>
      <c r="M196" s="5">
        <v>1.322873288</v>
      </c>
      <c r="N196" s="5">
        <v>-13479.45012969333</v>
      </c>
      <c r="O196" s="3">
        <v>-1.0783560103754664E-2</v>
      </c>
      <c r="P196" s="9">
        <f>N196+P195</f>
        <v>-110405.61851994296</v>
      </c>
      <c r="Q196" s="5" t="str">
        <f>TEXT(Table13[[#This Row],[Closing Date]],"yyyy")</f>
        <v>2023</v>
      </c>
      <c r="R196" s="5" t="str">
        <f>TEXT(Table13[[#This Row],[Closing Date]],"mmmm")</f>
        <v>July</v>
      </c>
      <c r="S196" s="5" t="s">
        <v>240</v>
      </c>
      <c r="T196" s="5" t="s">
        <v>301</v>
      </c>
    </row>
    <row r="197" spans="1:20" x14ac:dyDescent="0.25">
      <c r="A197" t="s">
        <v>201</v>
      </c>
      <c r="B197" t="s">
        <v>306</v>
      </c>
      <c r="C197" t="s">
        <v>16</v>
      </c>
      <c r="D197" t="s">
        <v>7</v>
      </c>
      <c r="E197" s="5"/>
      <c r="F197" s="7">
        <v>45121</v>
      </c>
      <c r="G197" t="s">
        <v>72</v>
      </c>
      <c r="H197">
        <v>1200</v>
      </c>
      <c r="I197" s="5">
        <v>270221.39999999997</v>
      </c>
      <c r="K197" s="5">
        <v>341095.84</v>
      </c>
      <c r="L197" s="5">
        <v>225.18449999999996</v>
      </c>
      <c r="M197" s="5">
        <v>284.24653333333333</v>
      </c>
      <c r="N197" s="5">
        <v>70874.440000000061</v>
      </c>
      <c r="O197" s="3">
        <v>0.26228285398565793</v>
      </c>
      <c r="P197" s="9">
        <f>N197+P196</f>
        <v>-39531.1785199429</v>
      </c>
      <c r="Q197" s="5" t="str">
        <f>TEXT(Table13[[#This Row],[Closing Date]],"yyyy")</f>
        <v>2023</v>
      </c>
      <c r="R197" s="5" t="str">
        <f>TEXT(Table13[[#This Row],[Closing Date]],"mmmm")</f>
        <v>July</v>
      </c>
      <c r="S197" s="5" t="s">
        <v>240</v>
      </c>
      <c r="T197" s="5" t="s">
        <v>301</v>
      </c>
    </row>
    <row r="198" spans="1:20" x14ac:dyDescent="0.25">
      <c r="A198" t="s">
        <v>201</v>
      </c>
      <c r="B198" t="s">
        <v>305</v>
      </c>
      <c r="C198" t="s">
        <v>16</v>
      </c>
      <c r="D198" t="s">
        <v>5</v>
      </c>
      <c r="E198" s="5"/>
      <c r="F198" s="7">
        <v>45122</v>
      </c>
      <c r="G198" t="s">
        <v>137</v>
      </c>
      <c r="H198">
        <v>13000</v>
      </c>
      <c r="I198" s="5">
        <v>170231.75</v>
      </c>
      <c r="K198" s="5">
        <v>180220.7</v>
      </c>
      <c r="L198" s="5">
        <v>13.094749999999999</v>
      </c>
      <c r="M198" s="5">
        <v>13.86313076923077</v>
      </c>
      <c r="N198" s="5">
        <v>-9988.9500000000116</v>
      </c>
      <c r="O198" s="3">
        <v>-5.8678536759447127E-2</v>
      </c>
      <c r="P198" s="9">
        <f>N198+P197</f>
        <v>-49520.128519942911</v>
      </c>
      <c r="Q198" s="5" t="str">
        <f>TEXT(Table13[[#This Row],[Closing Date]],"yyyy")</f>
        <v>2023</v>
      </c>
      <c r="R198" s="5" t="str">
        <f>TEXT(Table13[[#This Row],[Closing Date]],"mmmm")</f>
        <v>July</v>
      </c>
      <c r="S198" s="5" t="s">
        <v>240</v>
      </c>
      <c r="T198" s="5" t="s">
        <v>301</v>
      </c>
    </row>
    <row r="199" spans="1:20" x14ac:dyDescent="0.25">
      <c r="A199" t="s">
        <v>201</v>
      </c>
      <c r="B199" t="s">
        <v>305</v>
      </c>
      <c r="C199" t="s">
        <v>16</v>
      </c>
      <c r="D199" t="s">
        <v>7</v>
      </c>
      <c r="E199" s="5"/>
      <c r="F199" s="7">
        <v>45122</v>
      </c>
      <c r="G199" t="s">
        <v>77</v>
      </c>
      <c r="H199">
        <v>3500</v>
      </c>
      <c r="I199" s="5">
        <v>318517.5</v>
      </c>
      <c r="K199" s="5">
        <v>337484.29000000004</v>
      </c>
      <c r="L199" s="5">
        <v>91.004999999999995</v>
      </c>
      <c r="M199" s="5">
        <v>96.424082857142864</v>
      </c>
      <c r="N199" s="5">
        <v>18966.790000000037</v>
      </c>
      <c r="O199" s="3">
        <v>5.9547089249413425E-2</v>
      </c>
      <c r="P199" s="9">
        <f>N199+P198</f>
        <v>-30553.338519942874</v>
      </c>
      <c r="Q199" s="5" t="str">
        <f>TEXT(Table13[[#This Row],[Closing Date]],"yyyy")</f>
        <v>2023</v>
      </c>
      <c r="R199" s="5" t="str">
        <f>TEXT(Table13[[#This Row],[Closing Date]],"mmmm")</f>
        <v>July</v>
      </c>
      <c r="S199" s="5" t="s">
        <v>240</v>
      </c>
      <c r="T199" s="5" t="s">
        <v>301</v>
      </c>
    </row>
    <row r="200" spans="1:20" x14ac:dyDescent="0.25">
      <c r="A200" t="s">
        <v>201</v>
      </c>
      <c r="B200" t="s">
        <v>306</v>
      </c>
      <c r="C200" t="s">
        <v>12</v>
      </c>
      <c r="D200" t="s">
        <v>7</v>
      </c>
      <c r="E200" s="5"/>
      <c r="F200" s="7">
        <v>45122</v>
      </c>
      <c r="G200" t="s">
        <v>50</v>
      </c>
      <c r="H200">
        <v>10</v>
      </c>
      <c r="I200" s="5">
        <v>1005872.2</v>
      </c>
      <c r="K200" s="5">
        <v>998427.8</v>
      </c>
      <c r="L200" s="5">
        <v>100.58722</v>
      </c>
      <c r="M200" s="5">
        <v>99.842780000000005</v>
      </c>
      <c r="N200" s="5">
        <v>-7488.3999999999069</v>
      </c>
      <c r="O200" s="3">
        <v>-7.4446833305462732E-3</v>
      </c>
      <c r="P200" s="9">
        <f>N200+P199</f>
        <v>-38041.738519942781</v>
      </c>
      <c r="Q200" s="5" t="str">
        <f>TEXT(Table13[[#This Row],[Closing Date]],"yyyy")</f>
        <v>2023</v>
      </c>
      <c r="R200" s="5" t="str">
        <f>TEXT(Table13[[#This Row],[Closing Date]],"mmmm")</f>
        <v>July</v>
      </c>
      <c r="S200" s="5" t="s">
        <v>240</v>
      </c>
      <c r="T200" s="5" t="s">
        <v>301</v>
      </c>
    </row>
    <row r="201" spans="1:20" x14ac:dyDescent="0.25">
      <c r="A201" t="s">
        <v>201</v>
      </c>
      <c r="B201" t="s">
        <v>305</v>
      </c>
      <c r="C201" t="s">
        <v>16</v>
      </c>
      <c r="D201" t="s">
        <v>5</v>
      </c>
      <c r="E201" s="5"/>
      <c r="F201" s="7">
        <v>45123</v>
      </c>
      <c r="G201" t="s">
        <v>83</v>
      </c>
      <c r="H201">
        <v>1111</v>
      </c>
      <c r="I201" s="5">
        <v>222200.64</v>
      </c>
      <c r="K201" s="5">
        <v>232223.74</v>
      </c>
      <c r="L201" s="5">
        <v>200.00057605760577</v>
      </c>
      <c r="M201" s="5">
        <v>209.02226822682266</v>
      </c>
      <c r="N201" s="5">
        <v>-10023.099999999977</v>
      </c>
      <c r="O201" s="3">
        <v>-4.5108330921098901E-2</v>
      </c>
      <c r="P201" s="9">
        <f>N201+P200</f>
        <v>-48064.838519942758</v>
      </c>
      <c r="Q201" s="5" t="str">
        <f>TEXT(Table13[[#This Row],[Closing Date]],"yyyy")</f>
        <v>2023</v>
      </c>
      <c r="R201" s="5" t="str">
        <f>TEXT(Table13[[#This Row],[Closing Date]],"mmmm")</f>
        <v>July</v>
      </c>
      <c r="S201" s="5" t="s">
        <v>240</v>
      </c>
      <c r="T201" s="5" t="s">
        <v>301</v>
      </c>
    </row>
    <row r="202" spans="1:20" x14ac:dyDescent="0.25">
      <c r="A202" t="s">
        <v>201</v>
      </c>
      <c r="B202" t="s">
        <v>303</v>
      </c>
      <c r="C202" t="s">
        <v>16</v>
      </c>
      <c r="D202" t="s">
        <v>7</v>
      </c>
      <c r="E202" s="5"/>
      <c r="F202" s="7">
        <v>45124</v>
      </c>
      <c r="G202" t="s">
        <v>37</v>
      </c>
      <c r="H202">
        <v>205</v>
      </c>
      <c r="I202" s="5">
        <v>55348.5</v>
      </c>
      <c r="K202" s="5">
        <v>59364.92</v>
      </c>
      <c r="L202" s="5">
        <v>269.99268292682927</v>
      </c>
      <c r="M202" s="5">
        <v>289.5849756097561</v>
      </c>
      <c r="N202" s="5">
        <v>-4016.4199999999983</v>
      </c>
      <c r="O202" s="3">
        <v>-7.2566013532435372E-2</v>
      </c>
      <c r="P202" s="9">
        <f>N202+P201</f>
        <v>-52081.258519942756</v>
      </c>
      <c r="Q202" s="5" t="str">
        <f>TEXT(Table13[[#This Row],[Closing Date]],"yyyy")</f>
        <v>2023</v>
      </c>
      <c r="R202" s="5" t="str">
        <f>TEXT(Table13[[#This Row],[Closing Date]],"mmmm")</f>
        <v>July</v>
      </c>
      <c r="S202" s="5" t="s">
        <v>240</v>
      </c>
      <c r="T202" s="5" t="s">
        <v>301</v>
      </c>
    </row>
    <row r="203" spans="1:20" x14ac:dyDescent="0.25">
      <c r="A203" t="s">
        <v>201</v>
      </c>
      <c r="B203" t="s">
        <v>305</v>
      </c>
      <c r="C203" t="s">
        <v>16</v>
      </c>
      <c r="D203" t="s">
        <v>7</v>
      </c>
      <c r="E203" s="5"/>
      <c r="F203" s="7">
        <v>45124</v>
      </c>
      <c r="G203" t="s">
        <v>73</v>
      </c>
      <c r="H203">
        <v>1200</v>
      </c>
      <c r="I203" s="5">
        <v>578973.60000000009</v>
      </c>
      <c r="K203" s="5">
        <v>650388.63</v>
      </c>
      <c r="L203" s="5">
        <v>482.47800000000007</v>
      </c>
      <c r="M203" s="5">
        <v>541.99052500000005</v>
      </c>
      <c r="N203" s="5">
        <v>71415.029999999912</v>
      </c>
      <c r="O203" s="3">
        <v>0.12334764486670889</v>
      </c>
      <c r="P203" s="9">
        <f>N203+P202</f>
        <v>19333.771480057156</v>
      </c>
      <c r="Q203" s="5" t="str">
        <f>TEXT(Table13[[#This Row],[Closing Date]],"yyyy")</f>
        <v>2023</v>
      </c>
      <c r="R203" s="5" t="str">
        <f>TEXT(Table13[[#This Row],[Closing Date]],"mmmm")</f>
        <v>July</v>
      </c>
      <c r="S203" s="5" t="s">
        <v>240</v>
      </c>
      <c r="T203" s="5" t="s">
        <v>301</v>
      </c>
    </row>
    <row r="204" spans="1:20" x14ac:dyDescent="0.25">
      <c r="A204" t="s">
        <v>201</v>
      </c>
      <c r="B204" t="s">
        <v>305</v>
      </c>
      <c r="C204" t="s">
        <v>4</v>
      </c>
      <c r="D204" t="s">
        <v>5</v>
      </c>
      <c r="E204" s="5"/>
      <c r="F204" s="7">
        <v>45127</v>
      </c>
      <c r="G204" t="s">
        <v>6</v>
      </c>
      <c r="H204">
        <v>2700000</v>
      </c>
      <c r="I204" s="5">
        <v>2433337.42</v>
      </c>
      <c r="K204" s="5">
        <v>2361302.12</v>
      </c>
      <c r="L204" s="5">
        <v>0.90123608148148149</v>
      </c>
      <c r="M204" s="5">
        <v>0.87455634074074073</v>
      </c>
      <c r="N204" s="5">
        <v>82367.820853012876</v>
      </c>
      <c r="O204" s="3">
        <v>3.4882372804125913E-2</v>
      </c>
      <c r="P204" s="9">
        <f>N204+P203</f>
        <v>101701.59233307003</v>
      </c>
      <c r="Q204" s="5" t="str">
        <f>TEXT(Table13[[#This Row],[Closing Date]],"yyyy")</f>
        <v>2023</v>
      </c>
      <c r="R204" s="5" t="str">
        <f>TEXT(Table13[[#This Row],[Closing Date]],"mmmm")</f>
        <v>July</v>
      </c>
      <c r="S204" s="5" t="s">
        <v>240</v>
      </c>
      <c r="T204" s="5" t="s">
        <v>301</v>
      </c>
    </row>
    <row r="205" spans="1:20" x14ac:dyDescent="0.25">
      <c r="A205" t="s">
        <v>197</v>
      </c>
      <c r="B205" t="s">
        <v>305</v>
      </c>
      <c r="C205" t="s">
        <v>102</v>
      </c>
      <c r="D205" t="s">
        <v>7</v>
      </c>
      <c r="E205" s="5"/>
      <c r="F205" s="7">
        <v>45128</v>
      </c>
      <c r="G205" t="s">
        <v>78</v>
      </c>
      <c r="H205">
        <v>40</v>
      </c>
      <c r="I205" s="5">
        <v>7993.56</v>
      </c>
      <c r="J205" s="13">
        <v>100</v>
      </c>
      <c r="K205" s="5">
        <v>12355.78</v>
      </c>
      <c r="L205" s="5">
        <v>1.9983899999999999</v>
      </c>
      <c r="M205" s="5">
        <v>3.0889449999999998</v>
      </c>
      <c r="N205" s="5">
        <v>4362.22</v>
      </c>
      <c r="O205" s="3">
        <v>0.54571680202563067</v>
      </c>
      <c r="P205" s="9">
        <f>N205+P204</f>
        <v>106063.81233307003</v>
      </c>
      <c r="Q205" s="5" t="str">
        <f>TEXT(Table13[[#This Row],[Closing Date]],"yyyy")</f>
        <v>2023</v>
      </c>
      <c r="R205" s="5" t="str">
        <f>TEXT(Table13[[#This Row],[Closing Date]],"mmmm")</f>
        <v>July</v>
      </c>
      <c r="S205" s="5" t="s">
        <v>240</v>
      </c>
      <c r="T205" s="5" t="s">
        <v>301</v>
      </c>
    </row>
    <row r="206" spans="1:20" x14ac:dyDescent="0.25">
      <c r="A206" t="s">
        <v>201</v>
      </c>
      <c r="B206" t="s">
        <v>305</v>
      </c>
      <c r="C206" t="s">
        <v>16</v>
      </c>
      <c r="D206" t="s">
        <v>7</v>
      </c>
      <c r="E206" s="5"/>
      <c r="F206" s="7">
        <v>45131</v>
      </c>
      <c r="G206" t="s">
        <v>80</v>
      </c>
      <c r="H206">
        <v>6000</v>
      </c>
      <c r="I206" s="5">
        <v>446225</v>
      </c>
      <c r="K206" s="5">
        <v>461317.1</v>
      </c>
      <c r="L206" s="5">
        <v>74.370833333333337</v>
      </c>
      <c r="M206" s="5">
        <v>76.886183333333335</v>
      </c>
      <c r="N206" s="5">
        <v>15092.099999999977</v>
      </c>
      <c r="O206" s="3">
        <v>3.3821726707378534E-2</v>
      </c>
      <c r="P206" s="9">
        <f>N206+P205</f>
        <v>121155.91233307001</v>
      </c>
      <c r="Q206" s="5" t="str">
        <f>TEXT(Table13[[#This Row],[Closing Date]],"yyyy")</f>
        <v>2023</v>
      </c>
      <c r="R206" s="5" t="str">
        <f>TEXT(Table13[[#This Row],[Closing Date]],"mmmm")</f>
        <v>July</v>
      </c>
      <c r="S206" s="5" t="s">
        <v>240</v>
      </c>
      <c r="T206" s="5" t="s">
        <v>301</v>
      </c>
    </row>
    <row r="207" spans="1:20" x14ac:dyDescent="0.25">
      <c r="A207" t="s">
        <v>201</v>
      </c>
      <c r="B207" t="s">
        <v>306</v>
      </c>
      <c r="C207" t="s">
        <v>12</v>
      </c>
      <c r="D207" t="s">
        <v>5</v>
      </c>
      <c r="E207" s="5"/>
      <c r="F207" s="7">
        <v>45131</v>
      </c>
      <c r="G207" t="s">
        <v>13</v>
      </c>
      <c r="H207">
        <v>6</v>
      </c>
      <c r="I207" s="5">
        <v>456585.78</v>
      </c>
      <c r="K207" s="5">
        <v>466514.22</v>
      </c>
      <c r="L207" s="5">
        <v>76.097630000000009</v>
      </c>
      <c r="M207" s="5">
        <v>77.752369999999999</v>
      </c>
      <c r="N207" s="5">
        <v>-9972.4399999999441</v>
      </c>
      <c r="O207" s="3"/>
      <c r="P207" s="9">
        <f>N207+P206</f>
        <v>111183.47233307007</v>
      </c>
      <c r="Q207" s="5" t="str">
        <f>TEXT(Table13[[#This Row],[Closing Date]],"yyyy")</f>
        <v>2023</v>
      </c>
      <c r="R207" s="5" t="str">
        <f>TEXT(Table13[[#This Row],[Closing Date]],"mmmm")</f>
        <v>July</v>
      </c>
      <c r="S207" s="5" t="s">
        <v>240</v>
      </c>
      <c r="T207" s="5" t="s">
        <v>301</v>
      </c>
    </row>
    <row r="208" spans="1:20" x14ac:dyDescent="0.25">
      <c r="A208" t="s">
        <v>201</v>
      </c>
      <c r="B208" t="s">
        <v>305</v>
      </c>
      <c r="C208" t="s">
        <v>4</v>
      </c>
      <c r="D208" t="s">
        <v>7</v>
      </c>
      <c r="E208" s="5"/>
      <c r="F208" s="7">
        <v>45132</v>
      </c>
      <c r="G208" t="s">
        <v>134</v>
      </c>
      <c r="H208">
        <v>750000</v>
      </c>
      <c r="I208" s="5">
        <v>13163664.51</v>
      </c>
      <c r="K208" s="5">
        <v>13163664.51</v>
      </c>
      <c r="L208" s="5">
        <v>17.55155268</v>
      </c>
      <c r="M208" s="5">
        <v>17.55155268</v>
      </c>
      <c r="N208" s="5">
        <v>-5815</v>
      </c>
      <c r="O208" s="3">
        <v>-4.41746293031286E-4</v>
      </c>
      <c r="P208" s="9">
        <f>N208+P207</f>
        <v>105368.47233307007</v>
      </c>
      <c r="Q208" s="5" t="str">
        <f>TEXT(Table13[[#This Row],[Closing Date]],"yyyy")</f>
        <v>2023</v>
      </c>
      <c r="R208" s="5" t="str">
        <f>TEXT(Table13[[#This Row],[Closing Date]],"mmmm")</f>
        <v>July</v>
      </c>
      <c r="S208" s="5" t="s">
        <v>240</v>
      </c>
      <c r="T208" s="5" t="s">
        <v>301</v>
      </c>
    </row>
    <row r="209" spans="1:20" x14ac:dyDescent="0.25">
      <c r="A209" t="s">
        <v>201</v>
      </c>
      <c r="B209" t="s">
        <v>305</v>
      </c>
      <c r="C209" t="s">
        <v>16</v>
      </c>
      <c r="D209" t="s">
        <v>5</v>
      </c>
      <c r="E209" s="5"/>
      <c r="F209" s="7">
        <v>45133</v>
      </c>
      <c r="G209" t="s">
        <v>136</v>
      </c>
      <c r="H209">
        <v>1000</v>
      </c>
      <c r="I209" s="5">
        <v>219993.1</v>
      </c>
      <c r="K209" s="5">
        <v>230104.4</v>
      </c>
      <c r="L209" s="5">
        <v>219.9931</v>
      </c>
      <c r="M209" s="5">
        <v>230.1044</v>
      </c>
      <c r="N209" s="5">
        <v>-10111.299999999988</v>
      </c>
      <c r="O209" s="3">
        <v>-4.5961896077649708E-2</v>
      </c>
      <c r="P209" s="9">
        <f>N209+P208</f>
        <v>95257.172333070077</v>
      </c>
      <c r="Q209" s="5" t="str">
        <f>TEXT(Table13[[#This Row],[Closing Date]],"yyyy")</f>
        <v>2023</v>
      </c>
      <c r="R209" s="5" t="str">
        <f>TEXT(Table13[[#This Row],[Closing Date]],"mmmm")</f>
        <v>July</v>
      </c>
      <c r="S209" s="5" t="s">
        <v>240</v>
      </c>
      <c r="T209" s="5" t="s">
        <v>301</v>
      </c>
    </row>
    <row r="210" spans="1:20" x14ac:dyDescent="0.25">
      <c r="A210" t="s">
        <v>201</v>
      </c>
      <c r="B210" t="s">
        <v>306</v>
      </c>
      <c r="C210" t="s">
        <v>12</v>
      </c>
      <c r="D210" t="s">
        <v>5</v>
      </c>
      <c r="E210" s="5"/>
      <c r="F210" s="7">
        <v>45133</v>
      </c>
      <c r="G210" t="s">
        <v>81</v>
      </c>
      <c r="H210">
        <v>8</v>
      </c>
      <c r="I210" s="5">
        <v>274296.24</v>
      </c>
      <c r="K210" s="5">
        <v>284503.76</v>
      </c>
      <c r="L210" s="5">
        <v>3428.703</v>
      </c>
      <c r="M210" s="5">
        <v>3556.297</v>
      </c>
      <c r="N210" s="5">
        <v>-10251.520000000019</v>
      </c>
      <c r="O210" s="3">
        <v>-3.7373899109955061E-2</v>
      </c>
      <c r="P210" s="9">
        <f>N210+P209</f>
        <v>85005.652333070058</v>
      </c>
      <c r="Q210" s="5" t="str">
        <f>TEXT(Table13[[#This Row],[Closing Date]],"yyyy")</f>
        <v>2023</v>
      </c>
      <c r="R210" s="5" t="str">
        <f>TEXT(Table13[[#This Row],[Closing Date]],"mmmm")</f>
        <v>July</v>
      </c>
      <c r="S210" s="5" t="s">
        <v>240</v>
      </c>
      <c r="T210" s="5" t="s">
        <v>301</v>
      </c>
    </row>
    <row r="211" spans="1:20" x14ac:dyDescent="0.25">
      <c r="A211" t="s">
        <v>201</v>
      </c>
      <c r="B211" t="s">
        <v>303</v>
      </c>
      <c r="C211" t="s">
        <v>12</v>
      </c>
      <c r="D211" t="s">
        <v>7</v>
      </c>
      <c r="E211" s="5"/>
      <c r="F211" s="7">
        <v>45134</v>
      </c>
      <c r="G211" t="s">
        <v>86</v>
      </c>
      <c r="H211">
        <v>125</v>
      </c>
      <c r="I211" s="5">
        <v>475767.25</v>
      </c>
      <c r="K211" s="5">
        <v>499928.75</v>
      </c>
      <c r="L211" s="5">
        <v>3.8061379999999998</v>
      </c>
      <c r="M211" s="5">
        <v>3.9994299999999998</v>
      </c>
      <c r="N211" s="5">
        <v>24117.5</v>
      </c>
      <c r="O211" s="3">
        <v>5.0691803607751482E-2</v>
      </c>
      <c r="P211" s="9">
        <f>N211+P210</f>
        <v>109123.15233307006</v>
      </c>
      <c r="Q211" s="5" t="str">
        <f>TEXT(Table13[[#This Row],[Closing Date]],"yyyy")</f>
        <v>2023</v>
      </c>
      <c r="R211" s="5" t="str">
        <f>TEXT(Table13[[#This Row],[Closing Date]],"mmmm")</f>
        <v>July</v>
      </c>
      <c r="S211" s="5" t="s">
        <v>240</v>
      </c>
      <c r="T211" s="5" t="s">
        <v>301</v>
      </c>
    </row>
    <row r="212" spans="1:20" x14ac:dyDescent="0.25">
      <c r="A212" t="s">
        <v>201</v>
      </c>
      <c r="B212" t="s">
        <v>305</v>
      </c>
      <c r="C212" t="s">
        <v>12</v>
      </c>
      <c r="D212" t="s">
        <v>5</v>
      </c>
      <c r="E212" s="5"/>
      <c r="F212" s="7">
        <v>45134</v>
      </c>
      <c r="G212" t="s">
        <v>82</v>
      </c>
      <c r="H212">
        <v>6</v>
      </c>
      <c r="I212" s="5">
        <v>1373086.8</v>
      </c>
      <c r="K212" s="5">
        <v>1388088.8</v>
      </c>
      <c r="L212" s="5">
        <v>4576.9560000000001</v>
      </c>
      <c r="M212" s="5">
        <v>4626.9626666666672</v>
      </c>
      <c r="N212" s="5">
        <v>-15046</v>
      </c>
      <c r="O212" s="3">
        <v>-1.0957792326020467E-2</v>
      </c>
      <c r="P212" s="9">
        <f>N212+P211</f>
        <v>94077.152333070058</v>
      </c>
      <c r="Q212" s="5" t="str">
        <f>TEXT(Table13[[#This Row],[Closing Date]],"yyyy")</f>
        <v>2023</v>
      </c>
      <c r="R212" s="5" t="str">
        <f>TEXT(Table13[[#This Row],[Closing Date]],"mmmm")</f>
        <v>July</v>
      </c>
      <c r="S212" s="5" t="s">
        <v>240</v>
      </c>
      <c r="T212" s="5" t="s">
        <v>301</v>
      </c>
    </row>
    <row r="213" spans="1:20" x14ac:dyDescent="0.25">
      <c r="A213" t="s">
        <v>201</v>
      </c>
      <c r="B213" t="s">
        <v>306</v>
      </c>
      <c r="C213" t="s">
        <v>12</v>
      </c>
      <c r="D213" t="s">
        <v>7</v>
      </c>
      <c r="E213" s="5"/>
      <c r="F213" s="7">
        <v>45141</v>
      </c>
      <c r="G213" t="s">
        <v>44</v>
      </c>
      <c r="H213">
        <v>2</v>
      </c>
      <c r="I213" s="5">
        <v>331906.03999999998</v>
      </c>
      <c r="K213" s="5">
        <v>317643.96000000002</v>
      </c>
      <c r="L213" s="5">
        <v>33190.603999999999</v>
      </c>
      <c r="M213" s="5">
        <v>31764.396000000001</v>
      </c>
      <c r="N213" s="5">
        <v>-14306.079999999958</v>
      </c>
      <c r="O213" s="3">
        <v>-4.3102801021638409E-2</v>
      </c>
      <c r="P213" s="9">
        <f>N213+P212</f>
        <v>79771.0723330701</v>
      </c>
      <c r="Q213" s="5" t="str">
        <f>TEXT(Table13[[#This Row],[Closing Date]],"yyyy")</f>
        <v>2023</v>
      </c>
      <c r="R213" s="5" t="str">
        <f>TEXT(Table13[[#This Row],[Closing Date]],"mmmm")</f>
        <v>August</v>
      </c>
      <c r="S213" s="5" t="s">
        <v>240</v>
      </c>
      <c r="T213" s="5" t="s">
        <v>301</v>
      </c>
    </row>
    <row r="214" spans="1:20" x14ac:dyDescent="0.25">
      <c r="A214" t="s">
        <v>201</v>
      </c>
      <c r="B214" t="s">
        <v>306</v>
      </c>
      <c r="C214" t="s">
        <v>12</v>
      </c>
      <c r="D214" t="s">
        <v>5</v>
      </c>
      <c r="E214" s="5"/>
      <c r="F214" s="7">
        <v>45145</v>
      </c>
      <c r="G214" t="s">
        <v>81</v>
      </c>
      <c r="H214">
        <v>8</v>
      </c>
      <c r="I214" s="5">
        <v>280776.24</v>
      </c>
      <c r="K214" s="5">
        <v>289053.76</v>
      </c>
      <c r="L214" s="5">
        <v>3509.703</v>
      </c>
      <c r="M214" s="5">
        <v>3613.172</v>
      </c>
      <c r="N214" s="5">
        <v>-8321.5200000000186</v>
      </c>
      <c r="O214" s="3">
        <v>-2.963755052777977E-2</v>
      </c>
      <c r="P214" s="9">
        <f>N214+P213</f>
        <v>71449.552333070082</v>
      </c>
      <c r="Q214" s="5" t="str">
        <f>TEXT(Table13[[#This Row],[Closing Date]],"yyyy")</f>
        <v>2023</v>
      </c>
      <c r="R214" s="5" t="str">
        <f>TEXT(Table13[[#This Row],[Closing Date]],"mmmm")</f>
        <v>August</v>
      </c>
      <c r="S214" s="5" t="s">
        <v>240</v>
      </c>
      <c r="T214" s="5" t="s">
        <v>301</v>
      </c>
    </row>
    <row r="215" spans="1:20" x14ac:dyDescent="0.25">
      <c r="A215" t="s">
        <v>201</v>
      </c>
      <c r="B215" t="s">
        <v>306</v>
      </c>
      <c r="C215" t="s">
        <v>12</v>
      </c>
      <c r="D215" t="s">
        <v>5</v>
      </c>
      <c r="E215" s="5"/>
      <c r="F215" s="7">
        <v>45146</v>
      </c>
      <c r="G215" t="s">
        <v>13</v>
      </c>
      <c r="H215">
        <v>4</v>
      </c>
      <c r="I215" s="5">
        <v>318990.52</v>
      </c>
      <c r="K215" s="5">
        <v>335409.48</v>
      </c>
      <c r="L215" s="5">
        <v>79.747630000000001</v>
      </c>
      <c r="M215" s="5">
        <v>83.852369999999993</v>
      </c>
      <c r="N215" s="5">
        <v>-16462.959999999963</v>
      </c>
      <c r="O215" s="3">
        <v>-5.1609558804443345E-2</v>
      </c>
      <c r="P215" s="9">
        <f>N215+P214</f>
        <v>54986.592333070119</v>
      </c>
      <c r="Q215" s="5" t="str">
        <f>TEXT(Table13[[#This Row],[Closing Date]],"yyyy")</f>
        <v>2023</v>
      </c>
      <c r="R215" s="5" t="str">
        <f>TEXT(Table13[[#This Row],[Closing Date]],"mmmm")</f>
        <v>August</v>
      </c>
      <c r="S215" s="5" t="s">
        <v>240</v>
      </c>
      <c r="T215" s="5" t="s">
        <v>301</v>
      </c>
    </row>
    <row r="216" spans="1:20" x14ac:dyDescent="0.25">
      <c r="A216" t="s">
        <v>201</v>
      </c>
      <c r="B216" t="s">
        <v>303</v>
      </c>
      <c r="C216" t="s">
        <v>12</v>
      </c>
      <c r="D216" t="s">
        <v>7</v>
      </c>
      <c r="E216" s="5"/>
      <c r="F216" s="7">
        <v>45147</v>
      </c>
      <c r="G216" t="s">
        <v>84</v>
      </c>
      <c r="H216">
        <v>50</v>
      </c>
      <c r="I216" s="5">
        <v>223025</v>
      </c>
      <c r="K216" s="5">
        <v>210351</v>
      </c>
      <c r="L216" s="5">
        <v>4460.5</v>
      </c>
      <c r="M216" s="5">
        <v>4207.0200000000004</v>
      </c>
      <c r="N216" s="5">
        <v>-13774</v>
      </c>
      <c r="O216" s="3">
        <v>-6.1759892388745657E-2</v>
      </c>
      <c r="P216" s="9">
        <f>N216+P215</f>
        <v>41212.592333070119</v>
      </c>
      <c r="Q216" s="5" t="str">
        <f>TEXT(Table13[[#This Row],[Closing Date]],"yyyy")</f>
        <v>2023</v>
      </c>
      <c r="R216" s="5" t="str">
        <f>TEXT(Table13[[#This Row],[Closing Date]],"mmmm")</f>
        <v>August</v>
      </c>
      <c r="S216" s="5" t="s">
        <v>240</v>
      </c>
      <c r="T216" s="5" t="s">
        <v>301</v>
      </c>
    </row>
    <row r="217" spans="1:20" x14ac:dyDescent="0.25">
      <c r="A217" t="s">
        <v>197</v>
      </c>
      <c r="B217" t="s">
        <v>305</v>
      </c>
      <c r="C217" t="s">
        <v>98</v>
      </c>
      <c r="D217" t="s">
        <v>7</v>
      </c>
      <c r="E217" s="5"/>
      <c r="F217" s="7">
        <v>45156</v>
      </c>
      <c r="G217" t="s">
        <v>10</v>
      </c>
      <c r="H217">
        <v>45</v>
      </c>
      <c r="I217" s="5">
        <v>8198.3799999999992</v>
      </c>
      <c r="J217" s="13">
        <v>100</v>
      </c>
      <c r="K217" s="5">
        <v>15092.63</v>
      </c>
      <c r="L217" s="5">
        <v>1.821862222222222</v>
      </c>
      <c r="M217" s="5">
        <v>3.3539177777777773</v>
      </c>
      <c r="N217" s="5">
        <v>6894.25</v>
      </c>
      <c r="O217" s="3">
        <v>0.84092832974319309</v>
      </c>
      <c r="P217" s="9">
        <f>N217+P216</f>
        <v>48106.842333070119</v>
      </c>
      <c r="Q217" s="5" t="str">
        <f>TEXT(Table13[[#This Row],[Closing Date]],"yyyy")</f>
        <v>2023</v>
      </c>
      <c r="R217" s="5" t="str">
        <f>TEXT(Table13[[#This Row],[Closing Date]],"mmmm")</f>
        <v>August</v>
      </c>
      <c r="S217" s="5" t="s">
        <v>240</v>
      </c>
      <c r="T217" s="5" t="s">
        <v>301</v>
      </c>
    </row>
    <row r="218" spans="1:20" x14ac:dyDescent="0.25">
      <c r="A218" t="s">
        <v>197</v>
      </c>
      <c r="B218" t="s">
        <v>305</v>
      </c>
      <c r="C218" t="s">
        <v>99</v>
      </c>
      <c r="D218" t="s">
        <v>7</v>
      </c>
      <c r="E218" s="5"/>
      <c r="F218" s="7">
        <v>45156</v>
      </c>
      <c r="G218" t="s">
        <v>210</v>
      </c>
      <c r="H218">
        <v>85</v>
      </c>
      <c r="I218" s="5">
        <v>14862.18</v>
      </c>
      <c r="J218" s="13">
        <v>100</v>
      </c>
      <c r="K218" s="5">
        <v>0</v>
      </c>
      <c r="L218" s="5">
        <v>1.7484917647058824</v>
      </c>
      <c r="M218" s="5"/>
      <c r="N218" s="5">
        <v>-14862.18</v>
      </c>
      <c r="O218" s="3">
        <v>-1</v>
      </c>
      <c r="P218" s="9">
        <f>N218+P217</f>
        <v>33244.662333070119</v>
      </c>
      <c r="Q218" s="5" t="str">
        <f>TEXT(Table13[[#This Row],[Closing Date]],"yyyy")</f>
        <v>2023</v>
      </c>
      <c r="R218" s="5" t="str">
        <f>TEXT(Table13[[#This Row],[Closing Date]],"mmmm")</f>
        <v>August</v>
      </c>
      <c r="S218" s="5" t="s">
        <v>240</v>
      </c>
      <c r="T218" s="5" t="s">
        <v>301</v>
      </c>
    </row>
    <row r="219" spans="1:20" x14ac:dyDescent="0.25">
      <c r="A219" t="s">
        <v>201</v>
      </c>
      <c r="B219" t="s">
        <v>303</v>
      </c>
      <c r="C219" t="s">
        <v>16</v>
      </c>
      <c r="D219" t="s">
        <v>7</v>
      </c>
      <c r="E219" s="5"/>
      <c r="F219" s="7">
        <v>45167</v>
      </c>
      <c r="G219" t="s">
        <v>142</v>
      </c>
      <c r="H219">
        <v>1800</v>
      </c>
      <c r="I219" s="5">
        <v>78840</v>
      </c>
      <c r="K219" s="5">
        <v>82832.67</v>
      </c>
      <c r="L219" s="5">
        <v>43.8</v>
      </c>
      <c r="M219" s="5">
        <v>46.018149999999999</v>
      </c>
      <c r="N219" s="5">
        <v>3992.6699999999983</v>
      </c>
      <c r="O219" s="3">
        <v>5.0642694063926921E-2</v>
      </c>
      <c r="P219" s="9">
        <f>N219+P218</f>
        <v>37237.332333070117</v>
      </c>
      <c r="Q219" s="5" t="str">
        <f>TEXT(Table13[[#This Row],[Closing Date]],"yyyy")</f>
        <v>2023</v>
      </c>
      <c r="R219" s="5" t="str">
        <f>TEXT(Table13[[#This Row],[Closing Date]],"mmmm")</f>
        <v>August</v>
      </c>
      <c r="S219" s="5" t="s">
        <v>240</v>
      </c>
      <c r="T219" s="5" t="s">
        <v>203</v>
      </c>
    </row>
    <row r="220" spans="1:20" x14ac:dyDescent="0.25">
      <c r="A220" t="s">
        <v>201</v>
      </c>
      <c r="B220" t="s">
        <v>303</v>
      </c>
      <c r="C220" t="s">
        <v>12</v>
      </c>
      <c r="D220" t="s">
        <v>7</v>
      </c>
      <c r="E220" s="5"/>
      <c r="F220" s="7">
        <v>45168</v>
      </c>
      <c r="G220" t="s">
        <v>86</v>
      </c>
      <c r="H220">
        <v>175</v>
      </c>
      <c r="I220" s="5">
        <v>694936.85</v>
      </c>
      <c r="K220" s="5">
        <v>719451.25</v>
      </c>
      <c r="L220" s="5">
        <v>3.9710677142857138</v>
      </c>
      <c r="M220" s="5">
        <v>4.1111499999999994</v>
      </c>
      <c r="N220" s="5">
        <v>24470.400000000023</v>
      </c>
      <c r="O220" s="3">
        <v>3.5212408149028249E-2</v>
      </c>
      <c r="P220" s="9">
        <f>N220+P219</f>
        <v>61707.73233307014</v>
      </c>
      <c r="Q220" s="5" t="str">
        <f>TEXT(Table13[[#This Row],[Closing Date]],"yyyy")</f>
        <v>2023</v>
      </c>
      <c r="R220" s="5" t="str">
        <f>TEXT(Table13[[#This Row],[Closing Date]],"mmmm")</f>
        <v>August</v>
      </c>
      <c r="S220" s="5" t="s">
        <v>240</v>
      </c>
      <c r="T220" s="5" t="s">
        <v>301</v>
      </c>
    </row>
    <row r="221" spans="1:20" x14ac:dyDescent="0.25">
      <c r="A221" t="s">
        <v>197</v>
      </c>
      <c r="B221" t="s">
        <v>305</v>
      </c>
      <c r="C221" t="s">
        <v>98</v>
      </c>
      <c r="D221" t="s">
        <v>7</v>
      </c>
      <c r="E221" s="5"/>
      <c r="F221" s="7">
        <v>45168</v>
      </c>
      <c r="G221" t="s">
        <v>133</v>
      </c>
      <c r="H221">
        <v>25</v>
      </c>
      <c r="I221" s="5">
        <v>6274.9999999999991</v>
      </c>
      <c r="J221" s="13">
        <v>100</v>
      </c>
      <c r="K221" s="5">
        <v>0</v>
      </c>
      <c r="L221" s="5">
        <v>2.5099999999999998</v>
      </c>
      <c r="M221" s="5"/>
      <c r="N221" s="5">
        <v>-6274.9999999999991</v>
      </c>
      <c r="O221" s="3">
        <v>-1</v>
      </c>
      <c r="P221" s="9">
        <f>N221+P220</f>
        <v>55432.73233307014</v>
      </c>
      <c r="Q221" s="5" t="str">
        <f>TEXT(Table13[[#This Row],[Closing Date]],"yyyy")</f>
        <v>2023</v>
      </c>
      <c r="R221" s="5" t="str">
        <f>TEXT(Table13[[#This Row],[Closing Date]],"mmmm")</f>
        <v>August</v>
      </c>
      <c r="S221" s="5" t="s">
        <v>240</v>
      </c>
      <c r="T221" s="5" t="s">
        <v>301</v>
      </c>
    </row>
    <row r="222" spans="1:20" x14ac:dyDescent="0.25">
      <c r="A222" t="s">
        <v>201</v>
      </c>
      <c r="B222" t="s">
        <v>303</v>
      </c>
      <c r="C222" t="s">
        <v>16</v>
      </c>
      <c r="D222" t="s">
        <v>7</v>
      </c>
      <c r="E222" s="5"/>
      <c r="F222" s="7">
        <v>45168</v>
      </c>
      <c r="G222" t="s">
        <v>114</v>
      </c>
      <c r="H222">
        <v>2500</v>
      </c>
      <c r="I222" s="5">
        <v>49724.75</v>
      </c>
      <c r="K222" s="5">
        <v>52749.83</v>
      </c>
      <c r="L222" s="5">
        <v>19.889900000000001</v>
      </c>
      <c r="M222" s="5">
        <v>21.099931999999999</v>
      </c>
      <c r="N222" s="5">
        <v>3025.0800000000017</v>
      </c>
      <c r="O222" s="3">
        <v>6.0836504959803757E-2</v>
      </c>
      <c r="P222" s="9">
        <f>N222+P221</f>
        <v>58457.812333070142</v>
      </c>
      <c r="Q222" s="5" t="str">
        <f>TEXT(Table13[[#This Row],[Closing Date]],"yyyy")</f>
        <v>2023</v>
      </c>
      <c r="R222" s="5" t="str">
        <f>TEXT(Table13[[#This Row],[Closing Date]],"mmmm")</f>
        <v>August</v>
      </c>
      <c r="S222" s="5" t="s">
        <v>240</v>
      </c>
      <c r="T222" s="5" t="s">
        <v>203</v>
      </c>
    </row>
    <row r="223" spans="1:20" x14ac:dyDescent="0.25">
      <c r="A223" t="s">
        <v>201</v>
      </c>
      <c r="B223" t="s">
        <v>303</v>
      </c>
      <c r="C223" t="s">
        <v>12</v>
      </c>
      <c r="D223" t="s">
        <v>7</v>
      </c>
      <c r="E223" s="5"/>
      <c r="F223" s="7">
        <v>45171</v>
      </c>
      <c r="G223" t="s">
        <v>85</v>
      </c>
      <c r="H223">
        <v>65</v>
      </c>
      <c r="I223" s="5">
        <v>181270.05</v>
      </c>
      <c r="K223" s="5">
        <v>166018.45000000001</v>
      </c>
      <c r="L223" s="5">
        <v>27887.699999999997</v>
      </c>
      <c r="M223" s="5">
        <v>25541.300000000003</v>
      </c>
      <c r="N223" s="5">
        <v>-15251.599999999977</v>
      </c>
      <c r="O223" s="3">
        <v>-8.4137451277803352E-2</v>
      </c>
      <c r="P223" s="9">
        <f>N223+P222</f>
        <v>43206.212333070165</v>
      </c>
      <c r="Q223" s="5" t="str">
        <f>TEXT(Table13[[#This Row],[Closing Date]],"yyyy")</f>
        <v>2023</v>
      </c>
      <c r="R223" s="5" t="str">
        <f>TEXT(Table13[[#This Row],[Closing Date]],"mmmm")</f>
        <v>September</v>
      </c>
      <c r="S223" s="5" t="s">
        <v>240</v>
      </c>
      <c r="T223" s="5" t="s">
        <v>301</v>
      </c>
    </row>
    <row r="224" spans="1:20" x14ac:dyDescent="0.25">
      <c r="A224" t="s">
        <v>201</v>
      </c>
      <c r="B224" t="s">
        <v>303</v>
      </c>
      <c r="C224" t="s">
        <v>16</v>
      </c>
      <c r="D224" t="s">
        <v>7</v>
      </c>
      <c r="E224" s="5"/>
      <c r="F224" s="7">
        <v>45174</v>
      </c>
      <c r="G224" t="s">
        <v>96</v>
      </c>
      <c r="H224">
        <v>1600</v>
      </c>
      <c r="I224" s="5">
        <v>217600</v>
      </c>
      <c r="K224" s="5">
        <v>210468.55</v>
      </c>
      <c r="L224" s="5">
        <v>136</v>
      </c>
      <c r="M224" s="5">
        <v>131.54284375</v>
      </c>
      <c r="N224" s="5">
        <v>-7131.4500000000116</v>
      </c>
      <c r="O224" s="3">
        <v>-3.2773207720588289E-2</v>
      </c>
      <c r="P224" s="9">
        <f>N224+P223</f>
        <v>36074.762333070154</v>
      </c>
      <c r="Q224" s="5" t="str">
        <f>TEXT(Table13[[#This Row],[Closing Date]],"yyyy")</f>
        <v>2023</v>
      </c>
      <c r="R224" s="5" t="str">
        <f>TEXT(Table13[[#This Row],[Closing Date]],"mmmm")</f>
        <v>September</v>
      </c>
      <c r="S224" s="5" t="s">
        <v>240</v>
      </c>
      <c r="T224" s="5" t="s">
        <v>203</v>
      </c>
    </row>
    <row r="225" spans="1:20" x14ac:dyDescent="0.25">
      <c r="A225" t="s">
        <v>215</v>
      </c>
      <c r="B225" t="s">
        <v>304</v>
      </c>
      <c r="C225" t="s">
        <v>12</v>
      </c>
      <c r="D225" t="s">
        <v>7</v>
      </c>
      <c r="E225" s="5"/>
      <c r="F225" s="7">
        <v>45175</v>
      </c>
      <c r="G225" t="s">
        <v>82</v>
      </c>
      <c r="H225">
        <v>12</v>
      </c>
      <c r="I225" s="5">
        <v>2688776.4</v>
      </c>
      <c r="K225" s="5">
        <v>2682723.6</v>
      </c>
      <c r="L225" s="5">
        <v>4481.2939999999999</v>
      </c>
      <c r="M225" s="5">
        <v>4471.2060000000001</v>
      </c>
      <c r="N225" s="5">
        <v>-6096.7999999998137</v>
      </c>
      <c r="O225" s="3">
        <v>-2.2511354979163917E-3</v>
      </c>
      <c r="P225" s="9">
        <f>N225+P224</f>
        <v>29977.96233307034</v>
      </c>
      <c r="Q225" s="5" t="str">
        <f>TEXT(Table13[[#This Row],[Closing Date]],"yyyy")</f>
        <v>2023</v>
      </c>
      <c r="R225" s="5" t="str">
        <f>TEXT(Table13[[#This Row],[Closing Date]],"mmmm")</f>
        <v>September</v>
      </c>
      <c r="S225" s="5" t="s">
        <v>240</v>
      </c>
      <c r="T225" s="5" t="s">
        <v>301</v>
      </c>
    </row>
    <row r="226" spans="1:20" x14ac:dyDescent="0.25">
      <c r="A226" t="s">
        <v>201</v>
      </c>
      <c r="B226" t="s">
        <v>303</v>
      </c>
      <c r="C226" t="s">
        <v>16</v>
      </c>
      <c r="D226" t="s">
        <v>7</v>
      </c>
      <c r="E226" s="5"/>
      <c r="F226" s="7">
        <v>45176</v>
      </c>
      <c r="G226" t="s">
        <v>191</v>
      </c>
      <c r="H226">
        <v>325</v>
      </c>
      <c r="I226" s="5">
        <v>151450</v>
      </c>
      <c r="K226" s="5">
        <v>142414.18</v>
      </c>
      <c r="L226" s="5">
        <v>466</v>
      </c>
      <c r="M226" s="5">
        <v>438.19747692307692</v>
      </c>
      <c r="N226" s="5">
        <v>-9035.820000000007</v>
      </c>
      <c r="O226" s="3">
        <v>-5.9662066688676178E-2</v>
      </c>
      <c r="P226" s="9">
        <f>N226+P225</f>
        <v>20942.142333070333</v>
      </c>
      <c r="Q226" s="5" t="str">
        <f>TEXT(Table13[[#This Row],[Closing Date]],"yyyy")</f>
        <v>2023</v>
      </c>
      <c r="R226" s="5" t="str">
        <f>TEXT(Table13[[#This Row],[Closing Date]],"mmmm")</f>
        <v>September</v>
      </c>
      <c r="S226" s="5" t="s">
        <v>240</v>
      </c>
      <c r="T226" s="5" t="s">
        <v>203</v>
      </c>
    </row>
    <row r="227" spans="1:20" x14ac:dyDescent="0.25">
      <c r="A227" t="s">
        <v>201</v>
      </c>
      <c r="B227" t="s">
        <v>303</v>
      </c>
      <c r="C227" t="s">
        <v>16</v>
      </c>
      <c r="D227" t="s">
        <v>7</v>
      </c>
      <c r="E227" s="5"/>
      <c r="F227" s="7">
        <v>45177</v>
      </c>
      <c r="G227" t="s">
        <v>140</v>
      </c>
      <c r="H227">
        <v>6900</v>
      </c>
      <c r="I227" s="5">
        <v>90750.5</v>
      </c>
      <c r="K227" s="5">
        <v>81415</v>
      </c>
      <c r="L227" s="5">
        <v>13.152246376811593</v>
      </c>
      <c r="M227" s="5">
        <v>11.799275362318841</v>
      </c>
      <c r="N227" s="5">
        <v>-9335.5</v>
      </c>
      <c r="O227" s="3">
        <v>-0.10286995663935725</v>
      </c>
      <c r="P227" s="9">
        <f>N227+P226</f>
        <v>11606.642333070333</v>
      </c>
      <c r="Q227" s="5" t="str">
        <f>TEXT(Table13[[#This Row],[Closing Date]],"yyyy")</f>
        <v>2023</v>
      </c>
      <c r="R227" s="5" t="str">
        <f>TEXT(Table13[[#This Row],[Closing Date]],"mmmm")</f>
        <v>September</v>
      </c>
      <c r="S227" s="5" t="s">
        <v>240</v>
      </c>
      <c r="T227" s="5" t="s">
        <v>301</v>
      </c>
    </row>
    <row r="228" spans="1:20" x14ac:dyDescent="0.25">
      <c r="A228" t="s">
        <v>201</v>
      </c>
      <c r="B228" t="s">
        <v>303</v>
      </c>
      <c r="C228" t="s">
        <v>16</v>
      </c>
      <c r="D228" t="s">
        <v>7</v>
      </c>
      <c r="E228" s="5"/>
      <c r="F228" s="7">
        <v>45177</v>
      </c>
      <c r="G228" t="s">
        <v>138</v>
      </c>
      <c r="H228">
        <v>1730</v>
      </c>
      <c r="I228" s="5">
        <v>196379.13</v>
      </c>
      <c r="K228" s="5">
        <v>195854.59</v>
      </c>
      <c r="L228" s="5">
        <v>113.51394797687861</v>
      </c>
      <c r="M228" s="5">
        <v>113.21074566473989</v>
      </c>
      <c r="N228" s="5">
        <v>524.54000000000815</v>
      </c>
      <c r="O228" s="3">
        <v>2.6710577646412333E-3</v>
      </c>
      <c r="P228" s="9">
        <f>N228+P227</f>
        <v>12131.182333070341</v>
      </c>
      <c r="Q228" s="5" t="str">
        <f>TEXT(Table13[[#This Row],[Closing Date]],"yyyy")</f>
        <v>2023</v>
      </c>
      <c r="R228" s="5" t="str">
        <f>TEXT(Table13[[#This Row],[Closing Date]],"mmmm")</f>
        <v>September</v>
      </c>
      <c r="S228" s="5" t="s">
        <v>240</v>
      </c>
      <c r="T228" s="5" t="s">
        <v>301</v>
      </c>
    </row>
    <row r="229" spans="1:20" x14ac:dyDescent="0.25">
      <c r="A229" t="s">
        <v>201</v>
      </c>
      <c r="B229" t="s">
        <v>305</v>
      </c>
      <c r="C229" t="s">
        <v>12</v>
      </c>
      <c r="D229" t="s">
        <v>7</v>
      </c>
      <c r="E229" s="5"/>
      <c r="F229" s="7">
        <v>45179</v>
      </c>
      <c r="G229" t="s">
        <v>87</v>
      </c>
      <c r="H229">
        <v>7</v>
      </c>
      <c r="I229" s="5">
        <v>483458.29</v>
      </c>
      <c r="K229" s="5">
        <v>473529.5</v>
      </c>
      <c r="L229" s="5">
        <v>1381.3093999999999</v>
      </c>
      <c r="M229" s="5">
        <v>1352.9414285714286</v>
      </c>
      <c r="N229" s="5">
        <v>-9928.789999999979</v>
      </c>
      <c r="O229" s="3">
        <v>-2.0500000000000001E-2</v>
      </c>
      <c r="P229" s="9">
        <f>N229+P228</f>
        <v>2202.3923330703619</v>
      </c>
      <c r="Q229" s="5" t="str">
        <f>TEXT(Table13[[#This Row],[Closing Date]],"yyyy")</f>
        <v>2023</v>
      </c>
      <c r="R229" s="5" t="str">
        <f>TEXT(Table13[[#This Row],[Closing Date]],"mmmm")</f>
        <v>September</v>
      </c>
      <c r="S229" s="5" t="s">
        <v>240</v>
      </c>
      <c r="T229" s="5" t="s">
        <v>301</v>
      </c>
    </row>
    <row r="230" spans="1:20" x14ac:dyDescent="0.25">
      <c r="A230" t="s">
        <v>197</v>
      </c>
      <c r="B230" t="s">
        <v>303</v>
      </c>
      <c r="C230" t="s">
        <v>102</v>
      </c>
      <c r="D230" t="s">
        <v>7</v>
      </c>
      <c r="E230" s="5"/>
      <c r="F230" s="7">
        <v>45182</v>
      </c>
      <c r="G230" t="s">
        <v>113</v>
      </c>
      <c r="H230">
        <v>200</v>
      </c>
      <c r="I230" s="5">
        <v>8133</v>
      </c>
      <c r="J230" s="13">
        <v>100</v>
      </c>
      <c r="K230" s="5">
        <v>17473</v>
      </c>
      <c r="L230" s="5">
        <v>0.40665000000000001</v>
      </c>
      <c r="M230" s="5">
        <v>0.87364999999999993</v>
      </c>
      <c r="N230" s="5">
        <v>9340</v>
      </c>
      <c r="O230" s="3">
        <v>1.1484077216279354</v>
      </c>
      <c r="P230" s="9">
        <f>N230+P229</f>
        <v>11542.392333070362</v>
      </c>
      <c r="Q230" s="5" t="str">
        <f>TEXT(Table13[[#This Row],[Closing Date]],"yyyy")</f>
        <v>2023</v>
      </c>
      <c r="R230" s="5" t="str">
        <f>TEXT(Table13[[#This Row],[Closing Date]],"mmmm")</f>
        <v>September</v>
      </c>
      <c r="S230" s="5" t="s">
        <v>240</v>
      </c>
      <c r="T230" s="5" t="s">
        <v>301</v>
      </c>
    </row>
    <row r="231" spans="1:20" x14ac:dyDescent="0.25">
      <c r="A231" t="s">
        <v>201</v>
      </c>
      <c r="B231" t="s">
        <v>303</v>
      </c>
      <c r="C231" t="s">
        <v>16</v>
      </c>
      <c r="D231" t="s">
        <v>7</v>
      </c>
      <c r="E231" s="5"/>
      <c r="F231" s="7">
        <v>45182</v>
      </c>
      <c r="G231" t="s">
        <v>141</v>
      </c>
      <c r="H231">
        <v>9000</v>
      </c>
      <c r="I231" s="5">
        <v>168554</v>
      </c>
      <c r="K231" s="5">
        <v>168489.31</v>
      </c>
      <c r="L231" s="5">
        <v>18.728222222222222</v>
      </c>
      <c r="M231" s="5">
        <v>18.721034444444445</v>
      </c>
      <c r="N231" s="5">
        <v>-64.690000000002328</v>
      </c>
      <c r="O231" s="3">
        <v>-3.8379391767616401E-4</v>
      </c>
      <c r="P231" s="9">
        <f>N231+P230</f>
        <v>11477.70233307036</v>
      </c>
      <c r="Q231" s="5" t="str">
        <f>TEXT(Table13[[#This Row],[Closing Date]],"yyyy")</f>
        <v>2023</v>
      </c>
      <c r="R231" s="5" t="str">
        <f>TEXT(Table13[[#This Row],[Closing Date]],"mmmm")</f>
        <v>September</v>
      </c>
      <c r="S231" s="5" t="s">
        <v>240</v>
      </c>
      <c r="T231" s="5" t="s">
        <v>301</v>
      </c>
    </row>
    <row r="232" spans="1:20" x14ac:dyDescent="0.25">
      <c r="A232" t="s">
        <v>201</v>
      </c>
      <c r="B232" t="s">
        <v>303</v>
      </c>
      <c r="C232" t="s">
        <v>16</v>
      </c>
      <c r="D232" t="s">
        <v>7</v>
      </c>
      <c r="E232" s="5"/>
      <c r="F232" s="7">
        <v>45182</v>
      </c>
      <c r="G232" t="s">
        <v>11</v>
      </c>
      <c r="H232">
        <v>600</v>
      </c>
      <c r="I232" s="5">
        <v>269924.49</v>
      </c>
      <c r="K232" s="5">
        <v>271076.99</v>
      </c>
      <c r="L232" s="5">
        <v>449.87414999999999</v>
      </c>
      <c r="M232" s="5">
        <v>451.79498333333333</v>
      </c>
      <c r="N232" s="5">
        <v>1152.5</v>
      </c>
      <c r="O232" s="3">
        <v>4.2697126148131615E-3</v>
      </c>
      <c r="P232" s="9">
        <f>N232+P231</f>
        <v>12630.20233307036</v>
      </c>
      <c r="Q232" s="5" t="str">
        <f>TEXT(Table13[[#This Row],[Closing Date]],"yyyy")</f>
        <v>2023</v>
      </c>
      <c r="R232" s="5" t="str">
        <f>TEXT(Table13[[#This Row],[Closing Date]],"mmmm")</f>
        <v>September</v>
      </c>
      <c r="S232" s="5" t="s">
        <v>240</v>
      </c>
      <c r="T232" s="5" t="s">
        <v>301</v>
      </c>
    </row>
    <row r="233" spans="1:20" x14ac:dyDescent="0.25">
      <c r="A233" t="s">
        <v>201</v>
      </c>
      <c r="B233" t="s">
        <v>303</v>
      </c>
      <c r="C233" t="s">
        <v>16</v>
      </c>
      <c r="D233" t="s">
        <v>7</v>
      </c>
      <c r="E233" s="5"/>
      <c r="F233" s="7">
        <v>45182</v>
      </c>
      <c r="G233" t="s">
        <v>142</v>
      </c>
      <c r="H233">
        <v>2250</v>
      </c>
      <c r="I233" s="5">
        <v>109256.05</v>
      </c>
      <c r="K233" s="5">
        <v>110908.04</v>
      </c>
      <c r="L233" s="5">
        <v>48.558244444444448</v>
      </c>
      <c r="M233" s="5">
        <v>49.29246222222222</v>
      </c>
      <c r="N233" s="5">
        <v>1651.9899999999907</v>
      </c>
      <c r="O233" s="3">
        <v>1.5120352602899218E-2</v>
      </c>
      <c r="P233" s="9">
        <f>N233+P232</f>
        <v>14282.19233307035</v>
      </c>
      <c r="Q233" s="5" t="str">
        <f>TEXT(Table13[[#This Row],[Closing Date]],"yyyy")</f>
        <v>2023</v>
      </c>
      <c r="R233" s="5" t="str">
        <f>TEXT(Table13[[#This Row],[Closing Date]],"mmmm")</f>
        <v>September</v>
      </c>
      <c r="S233" s="5" t="s">
        <v>240</v>
      </c>
      <c r="T233" s="5" t="s">
        <v>301</v>
      </c>
    </row>
    <row r="234" spans="1:20" x14ac:dyDescent="0.25">
      <c r="A234" t="s">
        <v>201</v>
      </c>
      <c r="B234" t="s">
        <v>305</v>
      </c>
      <c r="C234" t="s">
        <v>12</v>
      </c>
      <c r="D234" t="s">
        <v>7</v>
      </c>
      <c r="E234" s="5"/>
      <c r="F234" s="7">
        <v>45182</v>
      </c>
      <c r="G234" t="s">
        <v>87</v>
      </c>
      <c r="H234">
        <v>5</v>
      </c>
      <c r="I234" s="5">
        <v>342491.21</v>
      </c>
      <c r="K234" s="5">
        <v>338008.5</v>
      </c>
      <c r="L234" s="5">
        <v>1369.9648400000001</v>
      </c>
      <c r="M234" s="5">
        <v>1352.0340000000001</v>
      </c>
      <c r="N234" s="5">
        <v>-4482.710000000021</v>
      </c>
      <c r="O234" s="3">
        <v>-1.3100000000000001E-2</v>
      </c>
      <c r="P234" s="9">
        <f>N234+P233</f>
        <v>9799.4823330703293</v>
      </c>
      <c r="Q234" s="5" t="str">
        <f>TEXT(Table13[[#This Row],[Closing Date]],"yyyy")</f>
        <v>2023</v>
      </c>
      <c r="R234" s="5" t="str">
        <f>TEXT(Table13[[#This Row],[Closing Date]],"mmmm")</f>
        <v>September</v>
      </c>
      <c r="S234" s="5" t="s">
        <v>240</v>
      </c>
      <c r="T234" s="5" t="s">
        <v>301</v>
      </c>
    </row>
    <row r="235" spans="1:20" x14ac:dyDescent="0.25">
      <c r="A235" t="s">
        <v>201</v>
      </c>
      <c r="B235" t="s">
        <v>303</v>
      </c>
      <c r="C235" t="s">
        <v>16</v>
      </c>
      <c r="D235" t="s">
        <v>7</v>
      </c>
      <c r="E235" s="5"/>
      <c r="F235" s="7">
        <v>45183</v>
      </c>
      <c r="G235" t="s">
        <v>143</v>
      </c>
      <c r="H235">
        <v>15000</v>
      </c>
      <c r="I235" s="5">
        <v>153075</v>
      </c>
      <c r="K235" s="5">
        <v>152651.6</v>
      </c>
      <c r="L235" s="5">
        <v>10.205</v>
      </c>
      <c r="M235" s="5">
        <v>10.176773333333333</v>
      </c>
      <c r="N235" s="5">
        <v>-423.39999999999418</v>
      </c>
      <c r="O235" s="3">
        <v>-2.7659643965376622E-3</v>
      </c>
      <c r="P235" s="9">
        <f>N235+P234</f>
        <v>9376.0823330703352</v>
      </c>
      <c r="Q235" s="5" t="str">
        <f>TEXT(Table13[[#This Row],[Closing Date]],"yyyy")</f>
        <v>2023</v>
      </c>
      <c r="R235" s="5" t="str">
        <f>TEXT(Table13[[#This Row],[Closing Date]],"mmmm")</f>
        <v>September</v>
      </c>
      <c r="S235" s="5" t="s">
        <v>240</v>
      </c>
      <c r="T235" s="5" t="s">
        <v>301</v>
      </c>
    </row>
    <row r="236" spans="1:20" x14ac:dyDescent="0.25">
      <c r="A236" t="s">
        <v>201</v>
      </c>
      <c r="B236" t="s">
        <v>303</v>
      </c>
      <c r="C236" t="s">
        <v>16</v>
      </c>
      <c r="D236" t="s">
        <v>7</v>
      </c>
      <c r="E236" s="5"/>
      <c r="F236" s="7">
        <v>45183</v>
      </c>
      <c r="G236" t="s">
        <v>139</v>
      </c>
      <c r="H236">
        <v>1800</v>
      </c>
      <c r="I236" s="5">
        <v>124210</v>
      </c>
      <c r="K236" s="5">
        <v>125310.82</v>
      </c>
      <c r="L236" s="5">
        <v>69.00555555555556</v>
      </c>
      <c r="M236" s="5">
        <v>69.617122222222221</v>
      </c>
      <c r="N236" s="5">
        <v>1100.820000000007</v>
      </c>
      <c r="O236" s="3">
        <v>8.8625714515738682E-3</v>
      </c>
      <c r="P236" s="9">
        <f>N236+P235</f>
        <v>10476.902333070342</v>
      </c>
      <c r="Q236" s="5" t="str">
        <f>TEXT(Table13[[#This Row],[Closing Date]],"yyyy")</f>
        <v>2023</v>
      </c>
      <c r="R236" s="5" t="str">
        <f>TEXT(Table13[[#This Row],[Closing Date]],"mmmm")</f>
        <v>September</v>
      </c>
      <c r="S236" s="5" t="s">
        <v>240</v>
      </c>
      <c r="T236" s="5" t="s">
        <v>301</v>
      </c>
    </row>
    <row r="237" spans="1:20" x14ac:dyDescent="0.25">
      <c r="A237" t="s">
        <v>201</v>
      </c>
      <c r="B237" t="s">
        <v>305</v>
      </c>
      <c r="C237" t="s">
        <v>16</v>
      </c>
      <c r="D237" t="s">
        <v>7</v>
      </c>
      <c r="E237" s="5"/>
      <c r="F237" s="7">
        <v>45183</v>
      </c>
      <c r="G237" t="s">
        <v>190</v>
      </c>
      <c r="H237">
        <v>15000</v>
      </c>
      <c r="I237" s="5">
        <v>233513.49</v>
      </c>
      <c r="K237" s="5">
        <v>227548.18</v>
      </c>
      <c r="L237" s="5">
        <v>15.567565999999999</v>
      </c>
      <c r="M237" s="5">
        <v>15.169878666666666</v>
      </c>
      <c r="N237" s="5">
        <v>-5965.3099999999977</v>
      </c>
      <c r="O237" s="3">
        <v>-2.5545890303810704E-2</v>
      </c>
      <c r="P237" s="9">
        <f>N237+P236</f>
        <v>4511.5923330703445</v>
      </c>
      <c r="Q237" s="5" t="str">
        <f>TEXT(Table13[[#This Row],[Closing Date]],"yyyy")</f>
        <v>2023</v>
      </c>
      <c r="R237" s="5" t="str">
        <f>TEXT(Table13[[#This Row],[Closing Date]],"mmmm")</f>
        <v>September</v>
      </c>
      <c r="S237" s="5" t="s">
        <v>240</v>
      </c>
      <c r="T237" s="5" t="s">
        <v>203</v>
      </c>
    </row>
    <row r="238" spans="1:20" x14ac:dyDescent="0.25">
      <c r="A238" t="s">
        <v>201</v>
      </c>
      <c r="B238" t="s">
        <v>303</v>
      </c>
      <c r="C238" t="s">
        <v>16</v>
      </c>
      <c r="D238" t="s">
        <v>7</v>
      </c>
      <c r="E238" s="5"/>
      <c r="F238" s="7">
        <v>45183</v>
      </c>
      <c r="G238" t="s">
        <v>192</v>
      </c>
      <c r="H238">
        <v>6500</v>
      </c>
      <c r="I238" s="5">
        <v>103951.65</v>
      </c>
      <c r="K238" s="5">
        <v>103696.47</v>
      </c>
      <c r="L238" s="5">
        <v>15.992561538461537</v>
      </c>
      <c r="M238" s="5">
        <v>15.953303076923078</v>
      </c>
      <c r="N238" s="5">
        <v>-255.17999999999302</v>
      </c>
      <c r="O238" s="3">
        <v>-2.454795089832562E-3</v>
      </c>
      <c r="P238" s="9">
        <f>N238+P237</f>
        <v>4256.4123330703515</v>
      </c>
      <c r="Q238" s="5" t="str">
        <f>TEXT(Table13[[#This Row],[Closing Date]],"yyyy")</f>
        <v>2023</v>
      </c>
      <c r="R238" s="5" t="str">
        <f>TEXT(Table13[[#This Row],[Closing Date]],"mmmm")</f>
        <v>September</v>
      </c>
      <c r="S238" s="5" t="s">
        <v>240</v>
      </c>
      <c r="T238" s="5" t="s">
        <v>203</v>
      </c>
    </row>
    <row r="239" spans="1:20" x14ac:dyDescent="0.25">
      <c r="A239" t="s">
        <v>201</v>
      </c>
      <c r="B239" t="s">
        <v>303</v>
      </c>
      <c r="C239" t="s">
        <v>16</v>
      </c>
      <c r="D239" t="s">
        <v>7</v>
      </c>
      <c r="E239" s="5"/>
      <c r="F239" s="7">
        <v>45188</v>
      </c>
      <c r="G239" t="s">
        <v>146</v>
      </c>
      <c r="H239">
        <v>2640</v>
      </c>
      <c r="I239" s="5">
        <v>115569.57</v>
      </c>
      <c r="K239" s="5">
        <v>109536.17</v>
      </c>
      <c r="L239" s="5">
        <v>43.776352272727273</v>
      </c>
      <c r="M239" s="5">
        <v>41.490973484848482</v>
      </c>
      <c r="N239" s="5">
        <v>-6033.4000000000087</v>
      </c>
      <c r="O239" s="3">
        <v>-5.2205783927378194E-2</v>
      </c>
      <c r="P239" s="9">
        <f>N239+P238</f>
        <v>-1776.9876669296573</v>
      </c>
      <c r="Q239" s="5" t="str">
        <f>TEXT(Table13[[#This Row],[Closing Date]],"yyyy")</f>
        <v>2023</v>
      </c>
      <c r="R239" s="5" t="str">
        <f>TEXT(Table13[[#This Row],[Closing Date]],"mmmm")</f>
        <v>September</v>
      </c>
      <c r="S239" s="5" t="s">
        <v>240</v>
      </c>
      <c r="T239" s="5" t="s">
        <v>301</v>
      </c>
    </row>
    <row r="240" spans="1:20" x14ac:dyDescent="0.25">
      <c r="A240" t="s">
        <v>201</v>
      </c>
      <c r="B240" t="s">
        <v>303</v>
      </c>
      <c r="C240" t="s">
        <v>16</v>
      </c>
      <c r="D240" t="s">
        <v>5</v>
      </c>
      <c r="E240" s="5"/>
      <c r="F240" s="7">
        <v>45188</v>
      </c>
      <c r="G240" t="s">
        <v>144</v>
      </c>
      <c r="H240">
        <v>2000</v>
      </c>
      <c r="I240" s="5">
        <v>108013.45</v>
      </c>
      <c r="K240" s="5">
        <v>99610</v>
      </c>
      <c r="L240" s="5">
        <v>54.006724999999996</v>
      </c>
      <c r="M240" s="5">
        <v>49.805</v>
      </c>
      <c r="N240" s="5">
        <v>8403.4499999999971</v>
      </c>
      <c r="O240" s="3">
        <v>-7.7800033236601493E-2</v>
      </c>
      <c r="P240" s="9">
        <f>N240+P239</f>
        <v>6626.4623330703398</v>
      </c>
      <c r="Q240" s="5" t="str">
        <f>TEXT(Table13[[#This Row],[Closing Date]],"yyyy")</f>
        <v>2023</v>
      </c>
      <c r="R240" s="5" t="str">
        <f>TEXT(Table13[[#This Row],[Closing Date]],"mmmm")</f>
        <v>September</v>
      </c>
      <c r="S240" s="5" t="s">
        <v>240</v>
      </c>
      <c r="T240" s="5" t="s">
        <v>301</v>
      </c>
    </row>
    <row r="241" spans="1:20" x14ac:dyDescent="0.25">
      <c r="A241" t="s">
        <v>201</v>
      </c>
      <c r="B241" t="s">
        <v>303</v>
      </c>
      <c r="C241" t="s">
        <v>16</v>
      </c>
      <c r="D241" t="s">
        <v>7</v>
      </c>
      <c r="E241" s="5"/>
      <c r="F241" s="7">
        <v>45189</v>
      </c>
      <c r="G241" t="s">
        <v>145</v>
      </c>
      <c r="H241">
        <v>2300</v>
      </c>
      <c r="I241" s="5">
        <v>111550</v>
      </c>
      <c r="K241" s="5">
        <v>106411.72</v>
      </c>
      <c r="L241" s="5">
        <v>48.5</v>
      </c>
      <c r="M241" s="5">
        <v>46.265965217391305</v>
      </c>
      <c r="N241" s="5">
        <v>-5138.2799999999988</v>
      </c>
      <c r="O241" s="3">
        <v>-4.606257283729269E-2</v>
      </c>
      <c r="P241" s="9">
        <f>N241+P240</f>
        <v>1488.182333070341</v>
      </c>
      <c r="Q241" s="5" t="str">
        <f>TEXT(Table13[[#This Row],[Closing Date]],"yyyy")</f>
        <v>2023</v>
      </c>
      <c r="R241" s="5" t="str">
        <f>TEXT(Table13[[#This Row],[Closing Date]],"mmmm")</f>
        <v>September</v>
      </c>
      <c r="S241" s="5" t="s">
        <v>240</v>
      </c>
      <c r="T241" s="5" t="s">
        <v>301</v>
      </c>
    </row>
    <row r="242" spans="1:20" x14ac:dyDescent="0.25">
      <c r="A242" t="s">
        <v>201</v>
      </c>
      <c r="B242" t="s">
        <v>303</v>
      </c>
      <c r="C242" t="s">
        <v>16</v>
      </c>
      <c r="D242" t="s">
        <v>7</v>
      </c>
      <c r="E242" s="5"/>
      <c r="F242" s="7">
        <v>45189</v>
      </c>
      <c r="G242" t="s">
        <v>148</v>
      </c>
      <c r="H242">
        <v>6750</v>
      </c>
      <c r="I242" s="5">
        <v>135000</v>
      </c>
      <c r="K242" s="5">
        <v>132370.07</v>
      </c>
      <c r="L242" s="5">
        <v>20</v>
      </c>
      <c r="M242" s="5">
        <v>19.610380740740741</v>
      </c>
      <c r="N242" s="5">
        <v>-2629.929999999993</v>
      </c>
      <c r="O242" s="3">
        <v>-1.9480962962962912E-2</v>
      </c>
      <c r="P242" s="9">
        <f>N242+P241</f>
        <v>-1141.747666929652</v>
      </c>
      <c r="Q242" s="5" t="str">
        <f>TEXT(Table13[[#This Row],[Closing Date]],"yyyy")</f>
        <v>2023</v>
      </c>
      <c r="R242" s="5" t="str">
        <f>TEXT(Table13[[#This Row],[Closing Date]],"mmmm")</f>
        <v>September</v>
      </c>
      <c r="S242" s="5" t="s">
        <v>240</v>
      </c>
      <c r="T242" s="5" t="s">
        <v>301</v>
      </c>
    </row>
    <row r="243" spans="1:20" x14ac:dyDescent="0.25">
      <c r="A243" t="s">
        <v>201</v>
      </c>
      <c r="B243" t="s">
        <v>303</v>
      </c>
      <c r="C243" t="s">
        <v>12</v>
      </c>
      <c r="D243" t="s">
        <v>7</v>
      </c>
      <c r="E243" s="5"/>
      <c r="F243" s="7">
        <v>45189</v>
      </c>
      <c r="G243" t="s">
        <v>44</v>
      </c>
      <c r="H243">
        <v>4</v>
      </c>
      <c r="I243" s="5">
        <v>658062.07999999996</v>
      </c>
      <c r="K243" s="5">
        <v>657087.92000000004</v>
      </c>
      <c r="L243" s="5">
        <v>32903.103999999999</v>
      </c>
      <c r="M243" s="5">
        <v>32854.396000000001</v>
      </c>
      <c r="N243" s="5">
        <v>-974.15999999991618</v>
      </c>
      <c r="O243" s="3">
        <v>-1.4803466566557311E-3</v>
      </c>
      <c r="P243" s="9">
        <f>N243+P242</f>
        <v>-2115.9076669295682</v>
      </c>
      <c r="Q243" s="5" t="str">
        <f>TEXT(Table13[[#This Row],[Closing Date]],"yyyy")</f>
        <v>2023</v>
      </c>
      <c r="R243" s="5" t="str">
        <f>TEXT(Table13[[#This Row],[Closing Date]],"mmmm")</f>
        <v>September</v>
      </c>
      <c r="S243" s="5" t="s">
        <v>240</v>
      </c>
      <c r="T243" s="5" t="s">
        <v>301</v>
      </c>
    </row>
    <row r="244" spans="1:20" x14ac:dyDescent="0.25">
      <c r="A244" t="s">
        <v>201</v>
      </c>
      <c r="B244" t="s">
        <v>305</v>
      </c>
      <c r="C244" t="s">
        <v>4</v>
      </c>
      <c r="D244" t="s">
        <v>5</v>
      </c>
      <c r="E244" s="5"/>
      <c r="F244" s="7">
        <v>45189</v>
      </c>
      <c r="G244" t="s">
        <v>128</v>
      </c>
      <c r="H244">
        <v>1950000</v>
      </c>
      <c r="I244" s="5">
        <v>1906018.4799999997</v>
      </c>
      <c r="K244" s="5">
        <v>1873328.23</v>
      </c>
      <c r="L244" s="5">
        <v>0.97744537435897427</v>
      </c>
      <c r="M244" s="5">
        <v>0.96068114358974355</v>
      </c>
      <c r="N244" s="5">
        <v>36367.903124999742</v>
      </c>
      <c r="O244" s="3">
        <v>1.9413524305348102E-2</v>
      </c>
      <c r="P244" s="9">
        <f>N244+P243</f>
        <v>34251.995458070174</v>
      </c>
      <c r="Q244" s="5" t="str">
        <f>TEXT(Table13[[#This Row],[Closing Date]],"yyyy")</f>
        <v>2023</v>
      </c>
      <c r="R244" s="5" t="str">
        <f>TEXT(Table13[[#This Row],[Closing Date]],"mmmm")</f>
        <v>September</v>
      </c>
      <c r="S244" s="5" t="s">
        <v>240</v>
      </c>
      <c r="T244" s="5" t="s">
        <v>301</v>
      </c>
    </row>
    <row r="245" spans="1:20" x14ac:dyDescent="0.25">
      <c r="A245" t="s">
        <v>215</v>
      </c>
      <c r="B245" t="s">
        <v>304</v>
      </c>
      <c r="C245" t="s">
        <v>12</v>
      </c>
      <c r="D245" t="s">
        <v>7</v>
      </c>
      <c r="E245" s="5"/>
      <c r="F245" s="7">
        <v>45189</v>
      </c>
      <c r="G245" t="s">
        <v>82</v>
      </c>
      <c r="H245">
        <v>7</v>
      </c>
      <c r="I245" s="5">
        <v>1568463.9</v>
      </c>
      <c r="K245" s="5">
        <v>1565761.1</v>
      </c>
      <c r="L245" s="5">
        <v>4481.3254285714283</v>
      </c>
      <c r="M245" s="5">
        <v>4473.6031428571432</v>
      </c>
      <c r="N245" s="5">
        <v>-2746.7999999998137</v>
      </c>
      <c r="O245" s="3">
        <v>-1.7232146688232973E-3</v>
      </c>
      <c r="P245" s="9">
        <f>N245+P244</f>
        <v>31505.19545807036</v>
      </c>
      <c r="Q245" s="5" t="str">
        <f>TEXT(Table13[[#This Row],[Closing Date]],"yyyy")</f>
        <v>2023</v>
      </c>
      <c r="R245" s="5" t="str">
        <f>TEXT(Table13[[#This Row],[Closing Date]],"mmmm")</f>
        <v>September</v>
      </c>
      <c r="S245" s="5" t="s">
        <v>240</v>
      </c>
      <c r="T245" s="5" t="s">
        <v>301</v>
      </c>
    </row>
    <row r="246" spans="1:20" x14ac:dyDescent="0.25">
      <c r="A246" t="s">
        <v>201</v>
      </c>
      <c r="B246" t="s">
        <v>303</v>
      </c>
      <c r="C246" t="s">
        <v>16</v>
      </c>
      <c r="D246" t="s">
        <v>7</v>
      </c>
      <c r="E246" s="5"/>
      <c r="F246" s="7">
        <v>45190</v>
      </c>
      <c r="G246" t="s">
        <v>37</v>
      </c>
      <c r="H246">
        <v>350</v>
      </c>
      <c r="I246" s="5">
        <v>96951.75</v>
      </c>
      <c r="K246" s="5">
        <v>91263</v>
      </c>
      <c r="L246" s="5">
        <v>277.005</v>
      </c>
      <c r="M246" s="5">
        <v>260.75142857142856</v>
      </c>
      <c r="N246" s="5">
        <v>-5688.75</v>
      </c>
      <c r="O246" s="3">
        <v>5.8676094036466613E-2</v>
      </c>
      <c r="P246" s="9">
        <f>N246+P245</f>
        <v>25816.44545807036</v>
      </c>
      <c r="Q246" s="5" t="str">
        <f>TEXT(Table13[[#This Row],[Closing Date]],"yyyy")</f>
        <v>2023</v>
      </c>
      <c r="R246" s="5" t="str">
        <f>TEXT(Table13[[#This Row],[Closing Date]],"mmmm")</f>
        <v>September</v>
      </c>
      <c r="S246" s="5" t="s">
        <v>240</v>
      </c>
      <c r="T246" s="5" t="s">
        <v>301</v>
      </c>
    </row>
    <row r="247" spans="1:20" x14ac:dyDescent="0.25">
      <c r="A247" t="s">
        <v>201</v>
      </c>
      <c r="B247" t="s">
        <v>303</v>
      </c>
      <c r="C247" t="s">
        <v>4</v>
      </c>
      <c r="D247" t="s">
        <v>7</v>
      </c>
      <c r="E247" s="5"/>
      <c r="F247" s="7">
        <v>45190</v>
      </c>
      <c r="G247" t="s">
        <v>118</v>
      </c>
      <c r="H247">
        <v>1250000</v>
      </c>
      <c r="I247" s="5">
        <v>721264.47</v>
      </c>
      <c r="K247" s="5">
        <v>724232.91</v>
      </c>
      <c r="L247" s="5">
        <v>0.57701157599999997</v>
      </c>
      <c r="M247" s="5">
        <v>0.57938632800000001</v>
      </c>
      <c r="N247" s="5">
        <v>3295</v>
      </c>
      <c r="O247" s="3">
        <v>2.6359999999999999E-3</v>
      </c>
      <c r="P247" s="9">
        <f>N247+P246</f>
        <v>29111.44545807036</v>
      </c>
      <c r="Q247" s="5" t="str">
        <f>TEXT(Table13[[#This Row],[Closing Date]],"yyyy")</f>
        <v>2023</v>
      </c>
      <c r="R247" s="5" t="str">
        <f>TEXT(Table13[[#This Row],[Closing Date]],"mmmm")</f>
        <v>September</v>
      </c>
      <c r="S247" s="5" t="s">
        <v>240</v>
      </c>
      <c r="T247" s="5" t="s">
        <v>301</v>
      </c>
    </row>
    <row r="248" spans="1:20" x14ac:dyDescent="0.25">
      <c r="A248" t="s">
        <v>201</v>
      </c>
      <c r="B248" t="s">
        <v>303</v>
      </c>
      <c r="C248" t="s">
        <v>16</v>
      </c>
      <c r="D248" t="s">
        <v>5</v>
      </c>
      <c r="E248" s="5"/>
      <c r="F248" s="7">
        <v>45194</v>
      </c>
      <c r="G248" t="s">
        <v>149</v>
      </c>
      <c r="H248">
        <v>4000</v>
      </c>
      <c r="I248" s="5">
        <v>159778.14000000001</v>
      </c>
      <c r="K248" s="5">
        <v>158397.24</v>
      </c>
      <c r="L248" s="5">
        <v>39.944535000000002</v>
      </c>
      <c r="M248" s="5">
        <v>39.599309999999996</v>
      </c>
      <c r="N248" s="5">
        <v>1380.9000000000233</v>
      </c>
      <c r="O248" s="3">
        <v>8.6426090577848957E-3</v>
      </c>
      <c r="P248" s="9">
        <f>N248+P247</f>
        <v>30492.345458070384</v>
      </c>
      <c r="Q248" s="5" t="str">
        <f>TEXT(Table13[[#This Row],[Closing Date]],"yyyy")</f>
        <v>2023</v>
      </c>
      <c r="R248" s="5" t="str">
        <f>TEXT(Table13[[#This Row],[Closing Date]],"mmmm")</f>
        <v>September</v>
      </c>
      <c r="S248" s="5" t="s">
        <v>240</v>
      </c>
      <c r="T248" s="5" t="s">
        <v>301</v>
      </c>
    </row>
    <row r="249" spans="1:20" x14ac:dyDescent="0.25">
      <c r="A249" t="s">
        <v>201</v>
      </c>
      <c r="B249" t="s">
        <v>303</v>
      </c>
      <c r="C249" t="s">
        <v>16</v>
      </c>
      <c r="D249" t="s">
        <v>7</v>
      </c>
      <c r="E249" s="5"/>
      <c r="F249" s="7">
        <v>45195</v>
      </c>
      <c r="G249" t="s">
        <v>147</v>
      </c>
      <c r="H249">
        <v>2250</v>
      </c>
      <c r="I249" s="5">
        <v>239069.64</v>
      </c>
      <c r="K249" s="5">
        <v>239799.25</v>
      </c>
      <c r="L249" s="5">
        <v>106.25317333333334</v>
      </c>
      <c r="M249" s="5">
        <v>106.57744444444444</v>
      </c>
      <c r="N249" s="5">
        <v>729.60999999998603</v>
      </c>
      <c r="O249" s="3">
        <v>3.0518722494415418E-3</v>
      </c>
      <c r="P249" s="9">
        <f>N249+P248</f>
        <v>31221.95545807037</v>
      </c>
      <c r="Q249" s="5" t="str">
        <f>TEXT(Table13[[#This Row],[Closing Date]],"yyyy")</f>
        <v>2023</v>
      </c>
      <c r="R249" s="5" t="str">
        <f>TEXT(Table13[[#This Row],[Closing Date]],"mmmm")</f>
        <v>September</v>
      </c>
      <c r="S249" s="5" t="s">
        <v>240</v>
      </c>
      <c r="T249" s="5" t="s">
        <v>301</v>
      </c>
    </row>
    <row r="250" spans="1:20" x14ac:dyDescent="0.25">
      <c r="A250" t="s">
        <v>201</v>
      </c>
      <c r="B250" t="s">
        <v>306</v>
      </c>
      <c r="C250" t="s">
        <v>12</v>
      </c>
      <c r="D250" t="s">
        <v>7</v>
      </c>
      <c r="E250" s="5"/>
      <c r="F250" s="7">
        <v>45196</v>
      </c>
      <c r="G250" t="s">
        <v>86</v>
      </c>
      <c r="H250">
        <v>260</v>
      </c>
      <c r="I250" s="5">
        <v>1087099</v>
      </c>
      <c r="K250" s="5">
        <v>1170255</v>
      </c>
      <c r="L250" s="5">
        <v>4.1811499999999997</v>
      </c>
      <c r="M250" s="5">
        <v>4.50098076923077</v>
      </c>
      <c r="N250" s="5">
        <v>83156</v>
      </c>
      <c r="O250" s="3">
        <v>7.6493493232907037E-2</v>
      </c>
      <c r="P250" s="9">
        <f>N250+P249</f>
        <v>114377.95545807037</v>
      </c>
      <c r="Q250" s="5" t="str">
        <f>TEXT(Table13[[#This Row],[Closing Date]],"yyyy")</f>
        <v>2023</v>
      </c>
      <c r="R250" s="5" t="str">
        <f>TEXT(Table13[[#This Row],[Closing Date]],"mmmm")</f>
        <v>September</v>
      </c>
      <c r="S250" s="5" t="s">
        <v>240</v>
      </c>
      <c r="T250" s="5" t="s">
        <v>301</v>
      </c>
    </row>
    <row r="251" spans="1:20" x14ac:dyDescent="0.25">
      <c r="A251" t="s">
        <v>201</v>
      </c>
      <c r="B251" t="s">
        <v>303</v>
      </c>
      <c r="C251" t="s">
        <v>16</v>
      </c>
      <c r="D251" t="s">
        <v>5</v>
      </c>
      <c r="E251" s="5"/>
      <c r="F251" s="7">
        <v>45197</v>
      </c>
      <c r="G251" t="s">
        <v>72</v>
      </c>
      <c r="H251">
        <v>295</v>
      </c>
      <c r="I251" s="5">
        <v>78998.850000000006</v>
      </c>
      <c r="K251" s="5">
        <v>79551.570000000007</v>
      </c>
      <c r="L251" s="5">
        <v>267.79271186440678</v>
      </c>
      <c r="M251" s="5">
        <v>269.66633898305088</v>
      </c>
      <c r="N251" s="5">
        <v>-552.72000000000116</v>
      </c>
      <c r="O251" s="3">
        <v>6.9965575448251195E-3</v>
      </c>
      <c r="P251" s="9">
        <f>N251+P250</f>
        <v>113825.23545807037</v>
      </c>
      <c r="Q251" s="5" t="str">
        <f>TEXT(Table13[[#This Row],[Closing Date]],"yyyy")</f>
        <v>2023</v>
      </c>
      <c r="R251" s="5" t="str">
        <f>TEXT(Table13[[#This Row],[Closing Date]],"mmmm")</f>
        <v>September</v>
      </c>
      <c r="S251" s="5" t="s">
        <v>240</v>
      </c>
      <c r="T251" s="5" t="s">
        <v>301</v>
      </c>
    </row>
    <row r="252" spans="1:20" x14ac:dyDescent="0.25">
      <c r="A252" t="s">
        <v>201</v>
      </c>
      <c r="B252" t="s">
        <v>306</v>
      </c>
      <c r="C252" t="s">
        <v>12</v>
      </c>
      <c r="D252" t="s">
        <v>7</v>
      </c>
      <c r="E252" s="5"/>
      <c r="F252" s="7">
        <v>45197</v>
      </c>
      <c r="G252" t="s">
        <v>88</v>
      </c>
      <c r="H252">
        <v>6</v>
      </c>
      <c r="I252" s="5">
        <v>183272.22</v>
      </c>
      <c r="K252" s="5">
        <v>174921.60000000001</v>
      </c>
      <c r="L252" s="5">
        <v>27.272651785714285</v>
      </c>
      <c r="M252" s="5">
        <v>26.03</v>
      </c>
      <c r="N252" s="5">
        <v>-8350.6199999999953</v>
      </c>
      <c r="O252" s="3">
        <v>-4.5564024924235627E-2</v>
      </c>
      <c r="P252" s="9">
        <f>N252+P251</f>
        <v>105474.61545807037</v>
      </c>
      <c r="Q252" s="5" t="str">
        <f>TEXT(Table13[[#This Row],[Closing Date]],"yyyy")</f>
        <v>2023</v>
      </c>
      <c r="R252" s="5" t="str">
        <f>TEXT(Table13[[#This Row],[Closing Date]],"mmmm")</f>
        <v>September</v>
      </c>
      <c r="S252" s="5" t="s">
        <v>240</v>
      </c>
      <c r="T252" s="5" t="s">
        <v>301</v>
      </c>
    </row>
    <row r="253" spans="1:20" x14ac:dyDescent="0.25">
      <c r="A253" t="s">
        <v>201</v>
      </c>
      <c r="B253" t="s">
        <v>303</v>
      </c>
      <c r="C253" t="s">
        <v>4</v>
      </c>
      <c r="D253" t="s">
        <v>5</v>
      </c>
      <c r="E253" s="5"/>
      <c r="F253" s="7">
        <v>45198</v>
      </c>
      <c r="G253" t="s">
        <v>119</v>
      </c>
      <c r="H253">
        <v>1500000</v>
      </c>
      <c r="I253" s="5">
        <v>2136802.31</v>
      </c>
      <c r="K253" s="5">
        <v>2149078.14</v>
      </c>
      <c r="L253" s="5">
        <v>1.4245348733333334</v>
      </c>
      <c r="M253" s="5">
        <v>1.43271876</v>
      </c>
      <c r="N253" s="5">
        <v>-9044.8315440000551</v>
      </c>
      <c r="O253" s="3">
        <v>-6.0298876960000365E-3</v>
      </c>
      <c r="P253" s="9">
        <f>N253+P252</f>
        <v>96429.783914070314</v>
      </c>
      <c r="Q253" s="5" t="str">
        <f>TEXT(Table13[[#This Row],[Closing Date]],"yyyy")</f>
        <v>2023</v>
      </c>
      <c r="R253" s="5" t="str">
        <f>TEXT(Table13[[#This Row],[Closing Date]],"mmmm")</f>
        <v>September</v>
      </c>
      <c r="S253" s="5" t="s">
        <v>240</v>
      </c>
      <c r="T253" s="5" t="s">
        <v>301</v>
      </c>
    </row>
    <row r="254" spans="1:20" x14ac:dyDescent="0.25">
      <c r="A254" t="s">
        <v>201</v>
      </c>
      <c r="B254" t="s">
        <v>303</v>
      </c>
      <c r="C254" t="s">
        <v>16</v>
      </c>
      <c r="D254" t="s">
        <v>7</v>
      </c>
      <c r="E254" s="5"/>
      <c r="F254" s="7">
        <v>45198</v>
      </c>
      <c r="G254" t="s">
        <v>11</v>
      </c>
      <c r="H254">
        <v>465</v>
      </c>
      <c r="I254" s="5">
        <v>195720.83</v>
      </c>
      <c r="K254" s="5">
        <v>202278.3</v>
      </c>
      <c r="L254" s="5">
        <v>420.90501075268816</v>
      </c>
      <c r="M254" s="5">
        <v>435.00709677419354</v>
      </c>
      <c r="N254" s="5">
        <v>6557.4700000000012</v>
      </c>
      <c r="O254" s="3">
        <v>3.3504200855882335E-2</v>
      </c>
      <c r="P254" s="9">
        <f>N254+P253</f>
        <v>102987.25391407032</v>
      </c>
      <c r="Q254" s="5" t="str">
        <f>TEXT(Table13[[#This Row],[Closing Date]],"yyyy")</f>
        <v>2023</v>
      </c>
      <c r="R254" s="5" t="str">
        <f>TEXT(Table13[[#This Row],[Closing Date]],"mmmm")</f>
        <v>September</v>
      </c>
      <c r="S254" s="5" t="s">
        <v>240</v>
      </c>
      <c r="T254" s="5" t="s">
        <v>301</v>
      </c>
    </row>
    <row r="255" spans="1:20" x14ac:dyDescent="0.25">
      <c r="A255" t="s">
        <v>201</v>
      </c>
      <c r="B255" t="s">
        <v>303</v>
      </c>
      <c r="C255" t="s">
        <v>16</v>
      </c>
      <c r="D255" t="s">
        <v>7</v>
      </c>
      <c r="E255" s="5"/>
      <c r="F255" s="7">
        <v>45198</v>
      </c>
      <c r="G255" t="s">
        <v>114</v>
      </c>
      <c r="H255">
        <v>6000</v>
      </c>
      <c r="I255" s="5">
        <v>119141.3</v>
      </c>
      <c r="K255" s="5">
        <v>134968.04999999999</v>
      </c>
      <c r="L255" s="5">
        <v>19.856883333333332</v>
      </c>
      <c r="M255" s="5">
        <v>22.494674999999997</v>
      </c>
      <c r="N255" s="5">
        <v>15826.749999999985</v>
      </c>
      <c r="O255" s="3">
        <v>0.13284016541702989</v>
      </c>
      <c r="P255" s="9">
        <f>N255+P254</f>
        <v>118814.0039140703</v>
      </c>
      <c r="Q255" s="5" t="str">
        <f>TEXT(Table13[[#This Row],[Closing Date]],"yyyy")</f>
        <v>2023</v>
      </c>
      <c r="R255" s="5" t="str">
        <f>TEXT(Table13[[#This Row],[Closing Date]],"mmmm")</f>
        <v>September</v>
      </c>
      <c r="S255" s="5" t="s">
        <v>240</v>
      </c>
      <c r="T255" s="5" t="s">
        <v>301</v>
      </c>
    </row>
    <row r="256" spans="1:20" x14ac:dyDescent="0.25">
      <c r="A256" t="s">
        <v>201</v>
      </c>
      <c r="B256" t="s">
        <v>303</v>
      </c>
      <c r="C256" t="s">
        <v>4</v>
      </c>
      <c r="D256" t="s">
        <v>7</v>
      </c>
      <c r="E256" s="5"/>
      <c r="F256" s="7">
        <v>45198</v>
      </c>
      <c r="G256" t="s">
        <v>60</v>
      </c>
      <c r="H256">
        <v>2000000</v>
      </c>
      <c r="I256" s="5">
        <v>1324126.57</v>
      </c>
      <c r="K256" s="5">
        <v>1345645.49</v>
      </c>
      <c r="L256" s="5">
        <v>0.662063285</v>
      </c>
      <c r="M256" s="5">
        <v>0.67282274499999994</v>
      </c>
      <c r="N256" s="5">
        <v>23502.533857579649</v>
      </c>
      <c r="O256" s="3">
        <v>1.1751266928789823E-2</v>
      </c>
      <c r="P256" s="9">
        <f>N256+P255</f>
        <v>142316.53777164995</v>
      </c>
      <c r="Q256" s="5" t="str">
        <f>TEXT(Table13[[#This Row],[Closing Date]],"yyyy")</f>
        <v>2023</v>
      </c>
      <c r="R256" s="5" t="str">
        <f>TEXT(Table13[[#This Row],[Closing Date]],"mmmm")</f>
        <v>September</v>
      </c>
      <c r="S256" s="5" t="s">
        <v>240</v>
      </c>
      <c r="T256" s="5" t="s">
        <v>301</v>
      </c>
    </row>
    <row r="257" spans="1:20" x14ac:dyDescent="0.25">
      <c r="A257" t="s">
        <v>197</v>
      </c>
      <c r="B257" t="s">
        <v>305</v>
      </c>
      <c r="C257" t="s">
        <v>102</v>
      </c>
      <c r="D257" t="s">
        <v>7</v>
      </c>
      <c r="E257" s="5"/>
      <c r="F257" s="7">
        <v>45198</v>
      </c>
      <c r="G257" t="s">
        <v>130</v>
      </c>
      <c r="H257">
        <v>110</v>
      </c>
      <c r="I257" s="5">
        <v>9875.91</v>
      </c>
      <c r="J257" s="13">
        <v>100</v>
      </c>
      <c r="K257" s="5">
        <v>2558.85</v>
      </c>
      <c r="L257" s="5">
        <v>0.89780999999999989</v>
      </c>
      <c r="M257" s="5">
        <v>0.23262272727272726</v>
      </c>
      <c r="N257" s="5">
        <v>-7317.0599999999995</v>
      </c>
      <c r="O257" s="3">
        <v>-0.74089982594009052</v>
      </c>
      <c r="P257" s="9">
        <f>N257+P256</f>
        <v>134999.47777164995</v>
      </c>
      <c r="Q257" s="5" t="str">
        <f>TEXT(Table13[[#This Row],[Closing Date]],"yyyy")</f>
        <v>2023</v>
      </c>
      <c r="R257" s="5" t="str">
        <f>TEXT(Table13[[#This Row],[Closing Date]],"mmmm")</f>
        <v>September</v>
      </c>
      <c r="S257" s="5" t="s">
        <v>240</v>
      </c>
      <c r="T257" s="5" t="s">
        <v>301</v>
      </c>
    </row>
    <row r="258" spans="1:20" x14ac:dyDescent="0.25">
      <c r="A258" t="s">
        <v>201</v>
      </c>
      <c r="B258" t="s">
        <v>306</v>
      </c>
      <c r="C258" t="s">
        <v>12</v>
      </c>
      <c r="D258" t="s">
        <v>5</v>
      </c>
      <c r="E258" s="5"/>
      <c r="F258" s="7">
        <v>45198</v>
      </c>
      <c r="G258" t="s">
        <v>90</v>
      </c>
      <c r="H258">
        <v>3</v>
      </c>
      <c r="I258" s="5">
        <v>891278.4</v>
      </c>
      <c r="K258" s="5">
        <v>894753.65</v>
      </c>
      <c r="L258" s="5">
        <v>14854.640000000001</v>
      </c>
      <c r="M258" s="5">
        <v>14912.560833333335</v>
      </c>
      <c r="N258" s="5">
        <v>-3475.25</v>
      </c>
      <c r="O258" s="3">
        <v>-3.8991744891382985E-3</v>
      </c>
      <c r="P258" s="9">
        <f>N258+P257</f>
        <v>131524.22777164995</v>
      </c>
      <c r="Q258" s="5" t="str">
        <f>TEXT(Table13[[#This Row],[Closing Date]],"yyyy")</f>
        <v>2023</v>
      </c>
      <c r="R258" s="5" t="str">
        <f>TEXT(Table13[[#This Row],[Closing Date]],"mmmm")</f>
        <v>September</v>
      </c>
      <c r="S258" s="5" t="s">
        <v>240</v>
      </c>
      <c r="T258" s="5" t="s">
        <v>301</v>
      </c>
    </row>
    <row r="259" spans="1:20" x14ac:dyDescent="0.25">
      <c r="A259" t="s">
        <v>201</v>
      </c>
      <c r="B259" t="s">
        <v>306</v>
      </c>
      <c r="C259" t="s">
        <v>12</v>
      </c>
      <c r="D259" t="s">
        <v>5</v>
      </c>
      <c r="E259" s="5"/>
      <c r="F259" s="7">
        <v>45198</v>
      </c>
      <c r="G259" t="s">
        <v>89</v>
      </c>
      <c r="H259">
        <v>9</v>
      </c>
      <c r="I259" s="5">
        <v>836910.02</v>
      </c>
      <c r="K259" s="5">
        <v>811519.79999999993</v>
      </c>
      <c r="L259" s="5">
        <v>1859.8000444444444</v>
      </c>
      <c r="M259" s="5">
        <v>1803.3773333333331</v>
      </c>
      <c r="N259" s="5">
        <v>25390.220000000088</v>
      </c>
      <c r="O259" s="3">
        <v>3.0338052351195518E-2</v>
      </c>
      <c r="P259" s="9">
        <f>N259+P258</f>
        <v>156914.44777165004</v>
      </c>
      <c r="Q259" s="5" t="str">
        <f>TEXT(Table13[[#This Row],[Closing Date]],"yyyy")</f>
        <v>2023</v>
      </c>
      <c r="R259" s="5" t="str">
        <f>TEXT(Table13[[#This Row],[Closing Date]],"mmmm")</f>
        <v>September</v>
      </c>
      <c r="S259" s="5" t="s">
        <v>240</v>
      </c>
      <c r="T259" s="5" t="s">
        <v>301</v>
      </c>
    </row>
    <row r="260" spans="1:20" x14ac:dyDescent="0.25">
      <c r="A260" t="s">
        <v>201</v>
      </c>
      <c r="B260" t="s">
        <v>303</v>
      </c>
      <c r="C260" t="s">
        <v>16</v>
      </c>
      <c r="D260" t="s">
        <v>7</v>
      </c>
      <c r="E260" s="5"/>
      <c r="F260" s="7">
        <v>45199</v>
      </c>
      <c r="G260" t="s">
        <v>148</v>
      </c>
      <c r="H260">
        <v>5000</v>
      </c>
      <c r="I260" s="5">
        <v>93775</v>
      </c>
      <c r="K260" s="5">
        <v>95750</v>
      </c>
      <c r="L260" s="5">
        <v>18.754999999999999</v>
      </c>
      <c r="M260" s="5">
        <v>19.149999999999999</v>
      </c>
      <c r="N260" s="5">
        <v>1975</v>
      </c>
      <c r="O260" s="3">
        <v>2.1061050386563585E-2</v>
      </c>
      <c r="P260" s="9">
        <f>N260+P259</f>
        <v>158889.44777165004</v>
      </c>
      <c r="Q260" s="5" t="str">
        <f>TEXT(Table13[[#This Row],[Closing Date]],"yyyy")</f>
        <v>2023</v>
      </c>
      <c r="R260" s="5" t="str">
        <f>TEXT(Table13[[#This Row],[Closing Date]],"mmmm")</f>
        <v>September</v>
      </c>
      <c r="S260" s="5" t="s">
        <v>240</v>
      </c>
      <c r="T260" s="5" t="s">
        <v>301</v>
      </c>
    </row>
    <row r="261" spans="1:20" x14ac:dyDescent="0.25">
      <c r="A261" t="s">
        <v>201</v>
      </c>
      <c r="B261" t="s">
        <v>305</v>
      </c>
      <c r="C261" t="s">
        <v>12</v>
      </c>
      <c r="D261" t="s">
        <v>7</v>
      </c>
      <c r="E261" s="5"/>
      <c r="F261" s="7">
        <v>45200</v>
      </c>
      <c r="G261" t="s">
        <v>91</v>
      </c>
      <c r="H261">
        <v>3</v>
      </c>
      <c r="I261" s="5">
        <v>310235.90999999997</v>
      </c>
      <c r="K261" s="5">
        <v>301762.89</v>
      </c>
      <c r="L261" s="5">
        <v>2.4621897619047619</v>
      </c>
      <c r="M261" s="5">
        <v>2.3949435714285716</v>
      </c>
      <c r="N261" s="5">
        <v>-8473.0199999999604</v>
      </c>
      <c r="O261" s="3">
        <v>-2.7311538499846653E-2</v>
      </c>
      <c r="P261" s="9">
        <f>N261+P260</f>
        <v>150416.42777165008</v>
      </c>
      <c r="Q261" s="5" t="str">
        <f>TEXT(Table13[[#This Row],[Closing Date]],"yyyy")</f>
        <v>2023</v>
      </c>
      <c r="R261" s="5" t="str">
        <f>TEXT(Table13[[#This Row],[Closing Date]],"mmmm")</f>
        <v>October</v>
      </c>
      <c r="S261" s="5" t="s">
        <v>240</v>
      </c>
      <c r="T261" s="5" t="s">
        <v>301</v>
      </c>
    </row>
    <row r="262" spans="1:20" x14ac:dyDescent="0.25">
      <c r="A262" t="s">
        <v>201</v>
      </c>
      <c r="B262" t="s">
        <v>303</v>
      </c>
      <c r="C262" t="s">
        <v>4</v>
      </c>
      <c r="D262" t="s">
        <v>7</v>
      </c>
      <c r="E262" s="5"/>
      <c r="F262" s="7">
        <v>45201</v>
      </c>
      <c r="G262" t="s">
        <v>118</v>
      </c>
      <c r="H262">
        <v>1000000</v>
      </c>
      <c r="I262" s="5">
        <v>587400</v>
      </c>
      <c r="K262" s="5">
        <v>582788.31000000006</v>
      </c>
      <c r="L262" s="5">
        <v>0.58740000000000003</v>
      </c>
      <c r="M262" s="5">
        <v>0.58278831000000009</v>
      </c>
      <c r="N262" s="5">
        <v>-5402.8149999999996</v>
      </c>
      <c r="O262" s="3">
        <v>-5.4028149999999992E-3</v>
      </c>
      <c r="P262" s="9">
        <f>N262+P261</f>
        <v>145013.61277165008</v>
      </c>
      <c r="Q262" s="5" t="str">
        <f>TEXT(Table13[[#This Row],[Closing Date]],"yyyy")</f>
        <v>2023</v>
      </c>
      <c r="R262" s="5" t="str">
        <f>TEXT(Table13[[#This Row],[Closing Date]],"mmmm")</f>
        <v>October</v>
      </c>
      <c r="S262" s="5" t="s">
        <v>240</v>
      </c>
      <c r="T262" s="5" t="s">
        <v>301</v>
      </c>
    </row>
    <row r="263" spans="1:20" x14ac:dyDescent="0.25">
      <c r="A263" t="s">
        <v>201</v>
      </c>
      <c r="B263" t="s">
        <v>303</v>
      </c>
      <c r="C263" t="s">
        <v>4</v>
      </c>
      <c r="D263" t="s">
        <v>7</v>
      </c>
      <c r="E263" s="5"/>
      <c r="F263" s="7">
        <v>45201</v>
      </c>
      <c r="G263" t="s">
        <v>120</v>
      </c>
      <c r="H263">
        <v>335000</v>
      </c>
      <c r="I263" s="5">
        <v>129675727.47</v>
      </c>
      <c r="K263" s="5">
        <v>129641085.31999999</v>
      </c>
      <c r="L263" s="5">
        <v>387.09172379104479</v>
      </c>
      <c r="M263" s="5">
        <v>386.98831438805968</v>
      </c>
      <c r="N263" s="5">
        <v>-88</v>
      </c>
      <c r="O263" s="3">
        <v>-6.7879715587681877E-7</v>
      </c>
      <c r="P263" s="9">
        <f>N263+P262</f>
        <v>144925.61277165008</v>
      </c>
      <c r="Q263" s="5" t="str">
        <f>TEXT(Table13[[#This Row],[Closing Date]],"yyyy")</f>
        <v>2023</v>
      </c>
      <c r="R263" s="5" t="str">
        <f>TEXT(Table13[[#This Row],[Closing Date]],"mmmm")</f>
        <v>October</v>
      </c>
      <c r="S263" s="5" t="s">
        <v>240</v>
      </c>
      <c r="T263" s="5" t="s">
        <v>301</v>
      </c>
    </row>
    <row r="264" spans="1:20" x14ac:dyDescent="0.25">
      <c r="A264" t="s">
        <v>201</v>
      </c>
      <c r="B264" t="s">
        <v>303</v>
      </c>
      <c r="C264" t="s">
        <v>4</v>
      </c>
      <c r="D264" t="s">
        <v>7</v>
      </c>
      <c r="E264" s="5"/>
      <c r="F264" s="7">
        <v>45202</v>
      </c>
      <c r="G264" t="s">
        <v>116</v>
      </c>
      <c r="H264">
        <v>1200000</v>
      </c>
      <c r="I264" s="5">
        <v>132415154.62</v>
      </c>
      <c r="K264" s="5">
        <v>130760196.22</v>
      </c>
      <c r="L264" s="5">
        <v>110.34596218333334</v>
      </c>
      <c r="M264" s="5">
        <v>108.96683018333333</v>
      </c>
      <c r="N264" s="5">
        <v>-11107.103355704738</v>
      </c>
      <c r="O264" s="3">
        <v>-8.4942541207397543E-5</v>
      </c>
      <c r="P264" s="9">
        <f>N264+P263</f>
        <v>133818.50941594533</v>
      </c>
      <c r="Q264" s="5" t="str">
        <f>TEXT(Table13[[#This Row],[Closing Date]],"yyyy")</f>
        <v>2023</v>
      </c>
      <c r="R264" s="5" t="str">
        <f>TEXT(Table13[[#This Row],[Closing Date]],"mmmm")</f>
        <v>October</v>
      </c>
      <c r="S264" s="5" t="s">
        <v>240</v>
      </c>
      <c r="T264" s="5" t="s">
        <v>301</v>
      </c>
    </row>
    <row r="265" spans="1:20" x14ac:dyDescent="0.25">
      <c r="A265" t="s">
        <v>201</v>
      </c>
      <c r="B265" t="s">
        <v>303</v>
      </c>
      <c r="C265" t="s">
        <v>4</v>
      </c>
      <c r="D265" t="s">
        <v>7</v>
      </c>
      <c r="E265" s="5"/>
      <c r="F265" s="7">
        <v>45202</v>
      </c>
      <c r="G265" t="s">
        <v>125</v>
      </c>
      <c r="H265">
        <v>1000000</v>
      </c>
      <c r="I265" s="5">
        <v>599011.98</v>
      </c>
      <c r="K265" s="5">
        <v>589878.19999999995</v>
      </c>
      <c r="L265" s="5">
        <v>0.59901198</v>
      </c>
      <c r="M265" s="5">
        <v>0.58987819999999991</v>
      </c>
      <c r="N265" s="5">
        <v>-9133.7800000000279</v>
      </c>
      <c r="O265" s="3">
        <v>-9.1337800000000271E-3</v>
      </c>
      <c r="P265" s="9">
        <f>N265+P264</f>
        <v>124684.7294159453</v>
      </c>
      <c r="Q265" s="5" t="str">
        <f>TEXT(Table13[[#This Row],[Closing Date]],"yyyy")</f>
        <v>2023</v>
      </c>
      <c r="R265" s="5" t="str">
        <f>TEXT(Table13[[#This Row],[Closing Date]],"mmmm")</f>
        <v>October</v>
      </c>
      <c r="S265" s="5" t="s">
        <v>240</v>
      </c>
      <c r="T265" s="5" t="s">
        <v>301</v>
      </c>
    </row>
    <row r="266" spans="1:20" x14ac:dyDescent="0.25">
      <c r="A266" t="s">
        <v>201</v>
      </c>
      <c r="B266" t="s">
        <v>303</v>
      </c>
      <c r="C266" t="s">
        <v>4</v>
      </c>
      <c r="D266" t="s">
        <v>7</v>
      </c>
      <c r="E266" s="5"/>
      <c r="F266" s="7">
        <v>45202</v>
      </c>
      <c r="G266" t="s">
        <v>124</v>
      </c>
      <c r="H266">
        <v>1000000</v>
      </c>
      <c r="I266" s="5">
        <v>89501791.459999993</v>
      </c>
      <c r="K266" s="5">
        <v>88267242.370000005</v>
      </c>
      <c r="L266" s="5">
        <v>89.501791459999993</v>
      </c>
      <c r="M266" s="5">
        <v>88.267242370000005</v>
      </c>
      <c r="N266" s="5">
        <v>-8285.5643624160311</v>
      </c>
      <c r="O266" s="3">
        <v>-8.2855643624160299E-3</v>
      </c>
      <c r="P266" s="9">
        <f>N266+P265</f>
        <v>116399.16505352927</v>
      </c>
      <c r="Q266" s="5" t="str">
        <f>TEXT(Table13[[#This Row],[Closing Date]],"yyyy")</f>
        <v>2023</v>
      </c>
      <c r="R266" s="5" t="str">
        <f>TEXT(Table13[[#This Row],[Closing Date]],"mmmm")</f>
        <v>October</v>
      </c>
      <c r="S266" s="5" t="s">
        <v>240</v>
      </c>
      <c r="T266" s="5" t="s">
        <v>301</v>
      </c>
    </row>
    <row r="267" spans="1:20" x14ac:dyDescent="0.25">
      <c r="A267" t="s">
        <v>201</v>
      </c>
      <c r="B267" t="s">
        <v>306</v>
      </c>
      <c r="C267" t="s">
        <v>12</v>
      </c>
      <c r="D267" t="s">
        <v>7</v>
      </c>
      <c r="E267" s="5"/>
      <c r="F267" s="7">
        <v>45202</v>
      </c>
      <c r="G267" t="s">
        <v>88</v>
      </c>
      <c r="H267">
        <v>12</v>
      </c>
      <c r="I267" s="5">
        <v>357539.64</v>
      </c>
      <c r="K267" s="5">
        <v>348364.79999999999</v>
      </c>
      <c r="L267" s="5">
        <v>26.602651785714286</v>
      </c>
      <c r="M267" s="5">
        <v>25.919999999999998</v>
      </c>
      <c r="N267" s="5">
        <v>-9174.8400000000256</v>
      </c>
      <c r="O267" s="3">
        <v>-2.5661042786752332E-2</v>
      </c>
      <c r="P267" s="9">
        <f>N267+P266</f>
        <v>107224.32505352925</v>
      </c>
      <c r="Q267" s="5" t="str">
        <f>TEXT(Table13[[#This Row],[Closing Date]],"yyyy")</f>
        <v>2023</v>
      </c>
      <c r="R267" s="5" t="str">
        <f>TEXT(Table13[[#This Row],[Closing Date]],"mmmm")</f>
        <v>October</v>
      </c>
      <c r="S267" s="5" t="s">
        <v>240</v>
      </c>
      <c r="T267" s="5" t="s">
        <v>301</v>
      </c>
    </row>
    <row r="268" spans="1:20" x14ac:dyDescent="0.25">
      <c r="A268" t="s">
        <v>201</v>
      </c>
      <c r="B268" t="s">
        <v>305</v>
      </c>
      <c r="C268" t="s">
        <v>16</v>
      </c>
      <c r="D268" t="s">
        <v>7</v>
      </c>
      <c r="E268" s="5"/>
      <c r="F268" s="7">
        <v>45202</v>
      </c>
      <c r="G268" t="s">
        <v>195</v>
      </c>
      <c r="H268">
        <v>1500</v>
      </c>
      <c r="I268" s="5">
        <v>56800</v>
      </c>
      <c r="K268" s="5">
        <v>67870.210000000006</v>
      </c>
      <c r="L268" s="5">
        <v>37.866666666666667</v>
      </c>
      <c r="M268" s="5">
        <v>45.246806666666672</v>
      </c>
      <c r="N268" s="5">
        <v>11070.210000000006</v>
      </c>
      <c r="O268" s="3">
        <v>0.19489806338028182</v>
      </c>
      <c r="P268" s="9">
        <f>N268+P267</f>
        <v>118294.53505352925</v>
      </c>
      <c r="Q268" s="5" t="str">
        <f>TEXT(Table13[[#This Row],[Closing Date]],"yyyy")</f>
        <v>2023</v>
      </c>
      <c r="R268" s="5" t="str">
        <f>TEXT(Table13[[#This Row],[Closing Date]],"mmmm")</f>
        <v>October</v>
      </c>
      <c r="S268" s="5" t="s">
        <v>240</v>
      </c>
      <c r="T268" s="5" t="s">
        <v>203</v>
      </c>
    </row>
    <row r="269" spans="1:20" x14ac:dyDescent="0.25">
      <c r="A269" t="s">
        <v>197</v>
      </c>
      <c r="B269" t="s">
        <v>302</v>
      </c>
      <c r="C269" t="s">
        <v>99</v>
      </c>
      <c r="D269" t="s">
        <v>7</v>
      </c>
      <c r="E269" s="5"/>
      <c r="F269" s="7">
        <v>45203</v>
      </c>
      <c r="G269" t="s">
        <v>52</v>
      </c>
      <c r="H269">
        <v>350</v>
      </c>
      <c r="I269" s="5">
        <v>6195</v>
      </c>
      <c r="J269" s="13">
        <v>100</v>
      </c>
      <c r="K269" s="5">
        <v>25950.480000000003</v>
      </c>
      <c r="L269" s="5">
        <v>0.17699999999999999</v>
      </c>
      <c r="M269" s="5">
        <v>0.74144228571428583</v>
      </c>
      <c r="N269" s="5">
        <v>19755.480000000003</v>
      </c>
      <c r="O269" s="3">
        <v>3.1889394673123497</v>
      </c>
      <c r="P269" s="9">
        <f>N269+P268</f>
        <v>138050.01505352926</v>
      </c>
      <c r="Q269" s="5" t="str">
        <f>TEXT(Table13[[#This Row],[Closing Date]],"yyyy")</f>
        <v>2023</v>
      </c>
      <c r="R269" s="5" t="str">
        <f>TEXT(Table13[[#This Row],[Closing Date]],"mmmm")</f>
        <v>October</v>
      </c>
      <c r="S269" s="5" t="s">
        <v>240</v>
      </c>
      <c r="T269" s="5" t="s">
        <v>301</v>
      </c>
    </row>
    <row r="270" spans="1:20" x14ac:dyDescent="0.25">
      <c r="A270" t="s">
        <v>201</v>
      </c>
      <c r="B270" t="s">
        <v>303</v>
      </c>
      <c r="C270" t="s">
        <v>16</v>
      </c>
      <c r="D270" t="s">
        <v>5</v>
      </c>
      <c r="E270" s="5"/>
      <c r="F270" s="7">
        <v>45203</v>
      </c>
      <c r="G270" t="s">
        <v>151</v>
      </c>
      <c r="H270">
        <v>3600</v>
      </c>
      <c r="I270" s="5">
        <v>163240.17000000001</v>
      </c>
      <c r="K270" s="5">
        <v>162404</v>
      </c>
      <c r="L270" s="5">
        <v>45.34449166666667</v>
      </c>
      <c r="M270" s="5">
        <v>45.112222222222222</v>
      </c>
      <c r="N270" s="5">
        <v>836.17000000001281</v>
      </c>
      <c r="O270" s="3">
        <v>5.122329877505106E-3</v>
      </c>
      <c r="P270" s="9">
        <f>N270+P269</f>
        <v>138886.18505352928</v>
      </c>
      <c r="Q270" s="5" t="str">
        <f>TEXT(Table13[[#This Row],[Closing Date]],"yyyy")</f>
        <v>2023</v>
      </c>
      <c r="R270" s="5" t="str">
        <f>TEXT(Table13[[#This Row],[Closing Date]],"mmmm")</f>
        <v>October</v>
      </c>
      <c r="S270" s="5" t="s">
        <v>240</v>
      </c>
      <c r="T270" s="5" t="s">
        <v>301</v>
      </c>
    </row>
    <row r="271" spans="1:20" x14ac:dyDescent="0.25">
      <c r="A271" t="s">
        <v>201</v>
      </c>
      <c r="B271" t="s">
        <v>303</v>
      </c>
      <c r="C271" t="s">
        <v>16</v>
      </c>
      <c r="D271" t="s">
        <v>5</v>
      </c>
      <c r="E271" s="5"/>
      <c r="F271" s="7">
        <v>45203</v>
      </c>
      <c r="G271" t="s">
        <v>152</v>
      </c>
      <c r="H271">
        <v>2200</v>
      </c>
      <c r="I271" s="5">
        <v>161247.39000000001</v>
      </c>
      <c r="K271" s="5">
        <v>159079.51</v>
      </c>
      <c r="L271" s="5">
        <v>73.294268181818182</v>
      </c>
      <c r="M271" s="5">
        <v>72.308868181818184</v>
      </c>
      <c r="N271" s="5">
        <v>2167.8800000000047</v>
      </c>
      <c r="O271" s="3">
        <v>1.3444434666508428E-2</v>
      </c>
      <c r="P271" s="9">
        <f>N271+P270</f>
        <v>141054.06505352928</v>
      </c>
      <c r="Q271" s="5" t="str">
        <f>TEXT(Table13[[#This Row],[Closing Date]],"yyyy")</f>
        <v>2023</v>
      </c>
      <c r="R271" s="5" t="str">
        <f>TEXT(Table13[[#This Row],[Closing Date]],"mmmm")</f>
        <v>October</v>
      </c>
      <c r="S271" s="5" t="s">
        <v>240</v>
      </c>
      <c r="T271" s="5" t="s">
        <v>301</v>
      </c>
    </row>
    <row r="272" spans="1:20" x14ac:dyDescent="0.25">
      <c r="A272" t="s">
        <v>201</v>
      </c>
      <c r="B272" t="s">
        <v>303</v>
      </c>
      <c r="C272" t="s">
        <v>16</v>
      </c>
      <c r="D272" t="s">
        <v>5</v>
      </c>
      <c r="E272" s="5"/>
      <c r="F272" s="7">
        <v>45203</v>
      </c>
      <c r="G272" t="s">
        <v>150</v>
      </c>
      <c r="H272">
        <v>4400</v>
      </c>
      <c r="I272" s="5">
        <v>133111.14000000001</v>
      </c>
      <c r="K272" s="5">
        <v>126492.72</v>
      </c>
      <c r="L272" s="5">
        <v>30.252531818181822</v>
      </c>
      <c r="M272" s="5">
        <v>28.748345454545454</v>
      </c>
      <c r="N272" s="5">
        <v>6618.4200000000128</v>
      </c>
      <c r="O272" s="3">
        <v>4.9721007573070235E-2</v>
      </c>
      <c r="P272" s="9">
        <f>N272+P271</f>
        <v>147672.48505352929</v>
      </c>
      <c r="Q272" s="5" t="str">
        <f>TEXT(Table13[[#This Row],[Closing Date]],"yyyy")</f>
        <v>2023</v>
      </c>
      <c r="R272" s="5" t="str">
        <f>TEXT(Table13[[#This Row],[Closing Date]],"mmmm")</f>
        <v>October</v>
      </c>
      <c r="S272" s="5" t="s">
        <v>240</v>
      </c>
      <c r="T272" s="5" t="s">
        <v>301</v>
      </c>
    </row>
    <row r="273" spans="1:20" x14ac:dyDescent="0.25">
      <c r="A273" t="s">
        <v>201</v>
      </c>
      <c r="B273" t="s">
        <v>306</v>
      </c>
      <c r="C273" t="s">
        <v>12</v>
      </c>
      <c r="D273" t="s">
        <v>7</v>
      </c>
      <c r="E273" s="5"/>
      <c r="F273" s="7">
        <v>45203</v>
      </c>
      <c r="G273" t="s">
        <v>13</v>
      </c>
      <c r="H273">
        <v>6</v>
      </c>
      <c r="I273" s="5">
        <v>473624.22</v>
      </c>
      <c r="K273" s="5">
        <v>520425.78</v>
      </c>
      <c r="L273" s="5">
        <v>157.87473999999997</v>
      </c>
      <c r="M273" s="5">
        <v>86.73763000000001</v>
      </c>
      <c r="N273" s="5">
        <v>46801.560000000056</v>
      </c>
      <c r="O273" s="3">
        <v>9.881580802603393E-2</v>
      </c>
      <c r="P273" s="9">
        <f>N273+P272</f>
        <v>194474.04505352935</v>
      </c>
      <c r="Q273" s="5" t="str">
        <f>TEXT(Table13[[#This Row],[Closing Date]],"yyyy")</f>
        <v>2023</v>
      </c>
      <c r="R273" s="5" t="str">
        <f>TEXT(Table13[[#This Row],[Closing Date]],"mmmm")</f>
        <v>October</v>
      </c>
      <c r="S273" s="5" t="s">
        <v>240</v>
      </c>
      <c r="T273" s="5" t="s">
        <v>301</v>
      </c>
    </row>
    <row r="274" spans="1:20" x14ac:dyDescent="0.25">
      <c r="A274" t="s">
        <v>201</v>
      </c>
      <c r="B274" t="s">
        <v>303</v>
      </c>
      <c r="C274" t="s">
        <v>12</v>
      </c>
      <c r="D274" t="s">
        <v>7</v>
      </c>
      <c r="E274" s="5"/>
      <c r="F274" s="7">
        <v>45204</v>
      </c>
      <c r="G274" t="s">
        <v>50</v>
      </c>
      <c r="H274">
        <v>18</v>
      </c>
      <c r="I274" s="5">
        <v>1890579.96</v>
      </c>
      <c r="K274" s="5">
        <v>1914320.04</v>
      </c>
      <c r="L274" s="5">
        <v>105.03222</v>
      </c>
      <c r="M274" s="5">
        <v>106.35111333333333</v>
      </c>
      <c r="N274" s="5">
        <v>23740.080000000075</v>
      </c>
      <c r="O274" s="3">
        <v>1.2557035672799617E-2</v>
      </c>
      <c r="P274" s="9">
        <f>N274+P273</f>
        <v>218214.12505352942</v>
      </c>
      <c r="Q274" s="5" t="str">
        <f>TEXT(Table13[[#This Row],[Closing Date]],"yyyy")</f>
        <v>2023</v>
      </c>
      <c r="R274" s="5" t="str">
        <f>TEXT(Table13[[#This Row],[Closing Date]],"mmmm")</f>
        <v>October</v>
      </c>
      <c r="S274" s="5" t="s">
        <v>240</v>
      </c>
      <c r="T274" s="5" t="s">
        <v>301</v>
      </c>
    </row>
    <row r="275" spans="1:20" x14ac:dyDescent="0.25">
      <c r="A275" t="s">
        <v>197</v>
      </c>
      <c r="B275" t="s">
        <v>302</v>
      </c>
      <c r="C275" t="s">
        <v>99</v>
      </c>
      <c r="D275" t="s">
        <v>7</v>
      </c>
      <c r="E275" s="5"/>
      <c r="F275" s="7">
        <v>45205</v>
      </c>
      <c r="G275" t="s">
        <v>17</v>
      </c>
      <c r="H275">
        <v>25</v>
      </c>
      <c r="I275" s="5">
        <v>6007.01</v>
      </c>
      <c r="J275" s="13">
        <v>100</v>
      </c>
      <c r="K275" s="5">
        <v>12473.33</v>
      </c>
      <c r="L275" s="5">
        <v>2.4028040000000002</v>
      </c>
      <c r="M275" s="5">
        <v>4.9893320000000001</v>
      </c>
      <c r="N275" s="5">
        <v>6466.32</v>
      </c>
      <c r="O275" s="3">
        <v>1.0764623331740748</v>
      </c>
      <c r="P275" s="9">
        <f>N275+P274</f>
        <v>224680.44505352943</v>
      </c>
      <c r="Q275" s="5" t="str">
        <f>TEXT(Table13[[#This Row],[Closing Date]],"yyyy")</f>
        <v>2023</v>
      </c>
      <c r="R275" s="5" t="str">
        <f>TEXT(Table13[[#This Row],[Closing Date]],"mmmm")</f>
        <v>October</v>
      </c>
      <c r="S275" s="5" t="s">
        <v>240</v>
      </c>
      <c r="T275" s="5" t="s">
        <v>301</v>
      </c>
    </row>
    <row r="276" spans="1:20" x14ac:dyDescent="0.25">
      <c r="A276" t="s">
        <v>201</v>
      </c>
      <c r="B276" t="s">
        <v>303</v>
      </c>
      <c r="C276" t="s">
        <v>4</v>
      </c>
      <c r="D276" t="s">
        <v>7</v>
      </c>
      <c r="E276" s="5"/>
      <c r="F276" s="7">
        <v>45205</v>
      </c>
      <c r="G276" t="s">
        <v>122</v>
      </c>
      <c r="H276">
        <v>900000</v>
      </c>
      <c r="I276" s="5">
        <v>3969979.9800000004</v>
      </c>
      <c r="K276" s="5">
        <v>3902142.41</v>
      </c>
      <c r="L276" s="5">
        <v>4.4110888666666668</v>
      </c>
      <c r="M276" s="5">
        <v>4.3357137888888895</v>
      </c>
      <c r="N276" s="5">
        <v>-15626</v>
      </c>
      <c r="O276" s="3">
        <v>-4.0044668692652864E-3</v>
      </c>
      <c r="P276" s="9">
        <f>N276+P275</f>
        <v>209054.44505352943</v>
      </c>
      <c r="Q276" s="5" t="str">
        <f>TEXT(Table13[[#This Row],[Closing Date]],"yyyy")</f>
        <v>2023</v>
      </c>
      <c r="R276" s="5" t="str">
        <f>TEXT(Table13[[#This Row],[Closing Date]],"mmmm")</f>
        <v>October</v>
      </c>
      <c r="S276" s="5" t="s">
        <v>240</v>
      </c>
      <c r="T276" s="5" t="s">
        <v>301</v>
      </c>
    </row>
    <row r="277" spans="1:20" x14ac:dyDescent="0.25">
      <c r="A277" t="s">
        <v>215</v>
      </c>
      <c r="B277" t="s">
        <v>304</v>
      </c>
      <c r="C277" t="s">
        <v>12</v>
      </c>
      <c r="D277" t="s">
        <v>5</v>
      </c>
      <c r="E277" s="5"/>
      <c r="F277" s="7">
        <v>45205</v>
      </c>
      <c r="G277" t="s">
        <v>82</v>
      </c>
      <c r="H277">
        <v>5</v>
      </c>
      <c r="I277" s="5">
        <v>1087250</v>
      </c>
      <c r="K277" s="5">
        <v>1089272</v>
      </c>
      <c r="L277" s="5">
        <v>4349</v>
      </c>
      <c r="M277" s="5">
        <v>4357.0879999999997</v>
      </c>
      <c r="N277" s="5">
        <v>-2022</v>
      </c>
      <c r="O277" s="3">
        <v>1.8597378707748305E-3</v>
      </c>
      <c r="P277" s="9">
        <f>N277+P276</f>
        <v>207032.44505352943</v>
      </c>
      <c r="Q277" s="5" t="str">
        <f>TEXT(Table13[[#This Row],[Closing Date]],"yyyy")</f>
        <v>2023</v>
      </c>
      <c r="R277" s="5" t="str">
        <f>TEXT(Table13[[#This Row],[Closing Date]],"mmmm")</f>
        <v>October</v>
      </c>
      <c r="S277" s="5" t="s">
        <v>240</v>
      </c>
      <c r="T277" s="5" t="s">
        <v>301</v>
      </c>
    </row>
    <row r="278" spans="1:20" x14ac:dyDescent="0.25">
      <c r="A278" t="s">
        <v>201</v>
      </c>
      <c r="B278" t="s">
        <v>303</v>
      </c>
      <c r="C278" t="s">
        <v>16</v>
      </c>
      <c r="D278" t="s">
        <v>7</v>
      </c>
      <c r="E278" s="5"/>
      <c r="F278" s="7">
        <v>45208</v>
      </c>
      <c r="G278" t="s">
        <v>194</v>
      </c>
      <c r="H278">
        <v>742</v>
      </c>
      <c r="I278" s="5">
        <v>189395.5</v>
      </c>
      <c r="K278" s="5">
        <v>174344.64</v>
      </c>
      <c r="L278" s="5">
        <v>255.25</v>
      </c>
      <c r="M278" s="5">
        <v>234.9658221024259</v>
      </c>
      <c r="N278" s="5">
        <v>-15050.859999999986</v>
      </c>
      <c r="O278" s="3">
        <v>-7.9467885984619416E-2</v>
      </c>
      <c r="P278" s="9">
        <f>N278+P277</f>
        <v>191981.58505352944</v>
      </c>
      <c r="Q278" s="5" t="str">
        <f>TEXT(Table13[[#This Row],[Closing Date]],"yyyy")</f>
        <v>2023</v>
      </c>
      <c r="R278" s="5" t="str">
        <f>TEXT(Table13[[#This Row],[Closing Date]],"mmmm")</f>
        <v>October</v>
      </c>
      <c r="S278" s="5" t="s">
        <v>240</v>
      </c>
      <c r="T278" s="5" t="s">
        <v>203</v>
      </c>
    </row>
    <row r="279" spans="1:20" x14ac:dyDescent="0.25">
      <c r="A279" t="s">
        <v>201</v>
      </c>
      <c r="B279" t="s">
        <v>303</v>
      </c>
      <c r="C279" t="s">
        <v>16</v>
      </c>
      <c r="D279" t="s">
        <v>7</v>
      </c>
      <c r="E279" s="5"/>
      <c r="F279" s="7">
        <v>45209</v>
      </c>
      <c r="G279" t="s">
        <v>141</v>
      </c>
      <c r="H279">
        <v>9000</v>
      </c>
      <c r="I279" s="5">
        <v>130427.72</v>
      </c>
      <c r="K279" s="5">
        <v>143952.54</v>
      </c>
      <c r="L279" s="5">
        <v>14.49196888888889</v>
      </c>
      <c r="M279" s="5">
        <v>15.994726666666667</v>
      </c>
      <c r="N279" s="5">
        <v>13524.820000000007</v>
      </c>
      <c r="O279" s="3">
        <v>0.10369590145407745</v>
      </c>
      <c r="P279" s="9">
        <f>N279+P278</f>
        <v>205506.40505352945</v>
      </c>
      <c r="Q279" s="5" t="str">
        <f>TEXT(Table13[[#This Row],[Closing Date]],"yyyy")</f>
        <v>2023</v>
      </c>
      <c r="R279" s="5" t="str">
        <f>TEXT(Table13[[#This Row],[Closing Date]],"mmmm")</f>
        <v>October</v>
      </c>
      <c r="S279" s="5" t="s">
        <v>240</v>
      </c>
      <c r="T279" s="5" t="s">
        <v>301</v>
      </c>
    </row>
    <row r="280" spans="1:20" x14ac:dyDescent="0.25">
      <c r="A280" t="s">
        <v>201</v>
      </c>
      <c r="B280" t="s">
        <v>303</v>
      </c>
      <c r="C280" t="s">
        <v>4</v>
      </c>
      <c r="D280" t="s">
        <v>5</v>
      </c>
      <c r="E280" s="5"/>
      <c r="F280" s="7">
        <v>45211</v>
      </c>
      <c r="G280" t="s">
        <v>126</v>
      </c>
      <c r="H280">
        <v>8500000</v>
      </c>
      <c r="I280" s="5">
        <v>69520660.920000002</v>
      </c>
      <c r="K280" s="5">
        <v>70445959.920000002</v>
      </c>
      <c r="L280" s="5">
        <v>8.1789012847058817</v>
      </c>
      <c r="M280" s="5">
        <v>8.2877599905882349</v>
      </c>
      <c r="N280" s="5">
        <v>-6195</v>
      </c>
      <c r="O280" s="3">
        <v>-7.2882352941176472E-4</v>
      </c>
      <c r="P280" s="9">
        <f>N280+P279</f>
        <v>199311.40505352945</v>
      </c>
      <c r="Q280" s="5" t="str">
        <f>TEXT(Table13[[#This Row],[Closing Date]],"yyyy")</f>
        <v>2023</v>
      </c>
      <c r="R280" s="5" t="str">
        <f>TEXT(Table13[[#This Row],[Closing Date]],"mmmm")</f>
        <v>October</v>
      </c>
      <c r="S280" s="5" t="s">
        <v>240</v>
      </c>
      <c r="T280" s="5" t="s">
        <v>301</v>
      </c>
    </row>
    <row r="281" spans="1:20" x14ac:dyDescent="0.25">
      <c r="A281" t="s">
        <v>201</v>
      </c>
      <c r="B281" t="s">
        <v>303</v>
      </c>
      <c r="C281" t="s">
        <v>4</v>
      </c>
      <c r="D281" t="s">
        <v>7</v>
      </c>
      <c r="E281" s="5"/>
      <c r="F281" s="7">
        <v>45211</v>
      </c>
      <c r="G281" t="s">
        <v>117</v>
      </c>
      <c r="H281">
        <v>1340000</v>
      </c>
      <c r="I281" s="5">
        <v>1815180.8599999999</v>
      </c>
      <c r="K281" s="5">
        <v>1828572.6600000001</v>
      </c>
      <c r="L281" s="5">
        <v>1.354612582089552</v>
      </c>
      <c r="M281" s="5">
        <v>1.3646064626865673</v>
      </c>
      <c r="N281" s="5">
        <v>3311.4</v>
      </c>
      <c r="O281" s="3">
        <v>1.8109206554581211E-3</v>
      </c>
      <c r="P281" s="9">
        <f>N281+P280</f>
        <v>202622.80505352945</v>
      </c>
      <c r="Q281" s="5" t="str">
        <f>TEXT(Table13[[#This Row],[Closing Date]],"yyyy")</f>
        <v>2023</v>
      </c>
      <c r="R281" s="5" t="str">
        <f>TEXT(Table13[[#This Row],[Closing Date]],"mmmm")</f>
        <v>October</v>
      </c>
      <c r="S281" s="5" t="s">
        <v>240</v>
      </c>
      <c r="T281" s="5" t="s">
        <v>301</v>
      </c>
    </row>
    <row r="282" spans="1:20" x14ac:dyDescent="0.25">
      <c r="A282" t="s">
        <v>201</v>
      </c>
      <c r="B282" t="s">
        <v>303</v>
      </c>
      <c r="C282" t="s">
        <v>16</v>
      </c>
      <c r="D282" t="s">
        <v>7</v>
      </c>
      <c r="E282" s="5"/>
      <c r="F282" s="7">
        <v>45211</v>
      </c>
      <c r="G282" t="s">
        <v>153</v>
      </c>
      <c r="H282">
        <v>4000</v>
      </c>
      <c r="I282" s="5">
        <v>73420</v>
      </c>
      <c r="K282" s="5">
        <v>82699.75</v>
      </c>
      <c r="L282" s="5">
        <v>18.355</v>
      </c>
      <c r="M282" s="5">
        <v>20.674937499999999</v>
      </c>
      <c r="N282" s="5">
        <v>9279.75</v>
      </c>
      <c r="O282" s="3">
        <v>0.12639267229637702</v>
      </c>
      <c r="P282" s="9">
        <f>N282+P281</f>
        <v>211902.55505352945</v>
      </c>
      <c r="Q282" s="5" t="str">
        <f>TEXT(Table13[[#This Row],[Closing Date]],"yyyy")</f>
        <v>2023</v>
      </c>
      <c r="R282" s="5" t="str">
        <f>TEXT(Table13[[#This Row],[Closing Date]],"mmmm")</f>
        <v>October</v>
      </c>
      <c r="S282" s="5" t="s">
        <v>240</v>
      </c>
      <c r="T282" s="5" t="s">
        <v>301</v>
      </c>
    </row>
    <row r="283" spans="1:20" x14ac:dyDescent="0.25">
      <c r="A283" t="s">
        <v>201</v>
      </c>
      <c r="B283" t="s">
        <v>303</v>
      </c>
      <c r="C283" t="s">
        <v>16</v>
      </c>
      <c r="D283" t="s">
        <v>7</v>
      </c>
      <c r="E283" s="5"/>
      <c r="F283" s="7">
        <v>45211</v>
      </c>
      <c r="G283" t="s">
        <v>154</v>
      </c>
      <c r="H283">
        <v>3333</v>
      </c>
      <c r="I283" s="5">
        <v>127337.26</v>
      </c>
      <c r="K283" s="5">
        <v>140663.76</v>
      </c>
      <c r="L283" s="5">
        <v>38.204998499849985</v>
      </c>
      <c r="M283" s="5">
        <v>42.203348334833485</v>
      </c>
      <c r="N283" s="5">
        <v>13326.500000000015</v>
      </c>
      <c r="O283" s="3">
        <v>0.10465514963962641</v>
      </c>
      <c r="P283" s="9">
        <f>N283+P282</f>
        <v>225229.05505352945</v>
      </c>
      <c r="Q283" s="5" t="str">
        <f>TEXT(Table13[[#This Row],[Closing Date]],"yyyy")</f>
        <v>2023</v>
      </c>
      <c r="R283" s="5" t="str">
        <f>TEXT(Table13[[#This Row],[Closing Date]],"mmmm")</f>
        <v>October</v>
      </c>
      <c r="S283" s="5" t="s">
        <v>240</v>
      </c>
      <c r="T283" s="5" t="s">
        <v>301</v>
      </c>
    </row>
    <row r="284" spans="1:20" x14ac:dyDescent="0.25">
      <c r="A284" t="s">
        <v>201</v>
      </c>
      <c r="B284" t="s">
        <v>305</v>
      </c>
      <c r="C284" t="s">
        <v>16</v>
      </c>
      <c r="D284" t="s">
        <v>7</v>
      </c>
      <c r="E284" s="5"/>
      <c r="F284" s="7">
        <v>45211</v>
      </c>
      <c r="G284" t="s">
        <v>193</v>
      </c>
      <c r="H284">
        <v>8200</v>
      </c>
      <c r="I284" s="5">
        <v>204179.89</v>
      </c>
      <c r="K284" s="5">
        <v>194516.94</v>
      </c>
      <c r="L284" s="5">
        <v>24.899986585365856</v>
      </c>
      <c r="M284" s="5">
        <v>23.721578048780486</v>
      </c>
      <c r="N284" s="5">
        <v>-9662.9500000000116</v>
      </c>
      <c r="O284" s="3">
        <v>-4.7325669535819667E-2</v>
      </c>
      <c r="P284" s="9">
        <f>N284+P283</f>
        <v>215566.10505352943</v>
      </c>
      <c r="Q284" s="5" t="str">
        <f>TEXT(Table13[[#This Row],[Closing Date]],"yyyy")</f>
        <v>2023</v>
      </c>
      <c r="R284" s="5" t="str">
        <f>TEXT(Table13[[#This Row],[Closing Date]],"mmmm")</f>
        <v>October</v>
      </c>
      <c r="S284" s="5" t="s">
        <v>240</v>
      </c>
      <c r="T284" s="5" t="s">
        <v>203</v>
      </c>
    </row>
    <row r="285" spans="1:20" x14ac:dyDescent="0.25">
      <c r="A285" t="s">
        <v>201</v>
      </c>
      <c r="B285" t="s">
        <v>303</v>
      </c>
      <c r="C285" t="s">
        <v>16</v>
      </c>
      <c r="D285" t="s">
        <v>7</v>
      </c>
      <c r="E285" s="5"/>
      <c r="F285" s="7">
        <v>45215</v>
      </c>
      <c r="G285" t="s">
        <v>155</v>
      </c>
      <c r="H285">
        <v>1500</v>
      </c>
      <c r="I285" s="5">
        <v>270007.5</v>
      </c>
      <c r="K285" s="5">
        <v>278922.81</v>
      </c>
      <c r="L285" s="5">
        <v>180.005</v>
      </c>
      <c r="M285" s="5">
        <v>185.94854000000001</v>
      </c>
      <c r="N285" s="5">
        <v>8915.3099999999977</v>
      </c>
      <c r="O285" s="3">
        <v>3.3018749479181125E-2</v>
      </c>
      <c r="P285" s="9">
        <f>N285+P284</f>
        <v>224481.41505352943</v>
      </c>
      <c r="Q285" s="5" t="str">
        <f>TEXT(Table13[[#This Row],[Closing Date]],"yyyy")</f>
        <v>2023</v>
      </c>
      <c r="R285" s="5" t="str">
        <f>TEXT(Table13[[#This Row],[Closing Date]],"mmmm")</f>
        <v>October</v>
      </c>
      <c r="S285" s="5" t="s">
        <v>240</v>
      </c>
      <c r="T285" s="5" t="s">
        <v>301</v>
      </c>
    </row>
    <row r="286" spans="1:20" x14ac:dyDescent="0.25">
      <c r="A286" t="s">
        <v>201</v>
      </c>
      <c r="B286" t="s">
        <v>302</v>
      </c>
      <c r="C286" t="s">
        <v>12</v>
      </c>
      <c r="D286" t="s">
        <v>7</v>
      </c>
      <c r="E286" s="5"/>
      <c r="F286" s="7">
        <v>45217</v>
      </c>
      <c r="G286" t="s">
        <v>92</v>
      </c>
      <c r="H286">
        <v>2</v>
      </c>
      <c r="I286" s="5">
        <v>366806</v>
      </c>
      <c r="K286" s="5">
        <v>388195.16</v>
      </c>
      <c r="L286" s="5">
        <v>1834.03</v>
      </c>
      <c r="M286" s="5">
        <v>1940.9757999999999</v>
      </c>
      <c r="N286" s="5">
        <v>21389.159999999974</v>
      </c>
      <c r="O286" s="3">
        <v>5.8311914199876705E-2</v>
      </c>
      <c r="P286" s="9">
        <f>N286+P285</f>
        <v>245870.57505352941</v>
      </c>
      <c r="Q286" s="5" t="str">
        <f>TEXT(Table13[[#This Row],[Closing Date]],"yyyy")</f>
        <v>2023</v>
      </c>
      <c r="R286" s="5" t="str">
        <f>TEXT(Table13[[#This Row],[Closing Date]],"mmmm")</f>
        <v>October</v>
      </c>
      <c r="S286" s="5" t="s">
        <v>240</v>
      </c>
      <c r="T286" s="5" t="s">
        <v>301</v>
      </c>
    </row>
    <row r="287" spans="1:20" x14ac:dyDescent="0.25">
      <c r="A287" t="s">
        <v>201</v>
      </c>
      <c r="B287" t="s">
        <v>303</v>
      </c>
      <c r="C287" t="s">
        <v>16</v>
      </c>
      <c r="D287" t="s">
        <v>7</v>
      </c>
      <c r="E287" s="5"/>
      <c r="F287" s="7">
        <v>45217</v>
      </c>
      <c r="G287" t="s">
        <v>157</v>
      </c>
      <c r="H287">
        <v>3000</v>
      </c>
      <c r="I287" s="5">
        <v>116115</v>
      </c>
      <c r="K287" s="5">
        <v>113922.64</v>
      </c>
      <c r="L287" s="5">
        <v>38.704999999999998</v>
      </c>
      <c r="M287" s="5">
        <v>37.974213333333331</v>
      </c>
      <c r="N287" s="5">
        <v>-2192.3600000000006</v>
      </c>
      <c r="O287" s="3">
        <v>-1.8880937002109983E-2</v>
      </c>
      <c r="P287" s="9">
        <f>N287+P286</f>
        <v>243678.21505352942</v>
      </c>
      <c r="Q287" s="5" t="str">
        <f>TEXT(Table13[[#This Row],[Closing Date]],"yyyy")</f>
        <v>2023</v>
      </c>
      <c r="R287" s="5" t="str">
        <f>TEXT(Table13[[#This Row],[Closing Date]],"mmmm")</f>
        <v>October</v>
      </c>
      <c r="S287" s="5" t="s">
        <v>240</v>
      </c>
      <c r="T287" s="5" t="s">
        <v>301</v>
      </c>
    </row>
    <row r="288" spans="1:20" x14ac:dyDescent="0.25">
      <c r="A288" t="s">
        <v>197</v>
      </c>
      <c r="B288" t="s">
        <v>306</v>
      </c>
      <c r="C288" t="s">
        <v>102</v>
      </c>
      <c r="D288" t="s">
        <v>7</v>
      </c>
      <c r="E288" s="5"/>
      <c r="F288" s="7">
        <v>45217</v>
      </c>
      <c r="G288" t="s">
        <v>199</v>
      </c>
      <c r="H288">
        <v>100</v>
      </c>
      <c r="I288" s="5">
        <v>20065</v>
      </c>
      <c r="J288" s="13">
        <v>100</v>
      </c>
      <c r="K288" s="5">
        <v>57434.54</v>
      </c>
      <c r="L288" s="5">
        <v>2.0065</v>
      </c>
      <c r="M288" s="5">
        <v>5.7434540000000007</v>
      </c>
      <c r="N288" s="5">
        <v>37369.54</v>
      </c>
      <c r="O288" s="3">
        <v>1.8624241216047845</v>
      </c>
      <c r="P288" s="9">
        <f>N288+P287</f>
        <v>281047.7550535294</v>
      </c>
      <c r="Q288" s="5" t="str">
        <f>TEXT(Table13[[#This Row],[Closing Date]],"yyyy")</f>
        <v>2023</v>
      </c>
      <c r="R288" s="5" t="str">
        <f>TEXT(Table13[[#This Row],[Closing Date]],"mmmm")</f>
        <v>October</v>
      </c>
      <c r="S288" s="5" t="s">
        <v>240</v>
      </c>
      <c r="T288" s="5" t="s">
        <v>203</v>
      </c>
    </row>
    <row r="289" spans="1:20" x14ac:dyDescent="0.25">
      <c r="A289" t="s">
        <v>197</v>
      </c>
      <c r="B289" t="s">
        <v>305</v>
      </c>
      <c r="C289" t="s">
        <v>99</v>
      </c>
      <c r="D289" t="s">
        <v>7</v>
      </c>
      <c r="E289" s="5"/>
      <c r="F289" s="7">
        <v>45218</v>
      </c>
      <c r="G289" t="s">
        <v>131</v>
      </c>
      <c r="H289">
        <v>160</v>
      </c>
      <c r="I289" s="5">
        <v>11431.4</v>
      </c>
      <c r="J289" s="13">
        <v>100</v>
      </c>
      <c r="K289" s="5">
        <v>0</v>
      </c>
      <c r="L289" s="5">
        <v>0.71446249999999989</v>
      </c>
      <c r="M289" s="5">
        <v>0</v>
      </c>
      <c r="N289" s="5">
        <v>-11431.4</v>
      </c>
      <c r="O289" s="3">
        <v>-1</v>
      </c>
      <c r="P289" s="9">
        <f>N289+P288</f>
        <v>269616.35505352938</v>
      </c>
      <c r="Q289" s="5" t="str">
        <f>TEXT(Table13[[#This Row],[Closing Date]],"yyyy")</f>
        <v>2023</v>
      </c>
      <c r="R289" s="5" t="str">
        <f>TEXT(Table13[[#This Row],[Closing Date]],"mmmm")</f>
        <v>October</v>
      </c>
      <c r="S289" s="5" t="s">
        <v>240</v>
      </c>
      <c r="T289" s="5" t="s">
        <v>301</v>
      </c>
    </row>
    <row r="290" spans="1:20" x14ac:dyDescent="0.25">
      <c r="A290" t="s">
        <v>197</v>
      </c>
      <c r="B290" t="s">
        <v>303</v>
      </c>
      <c r="C290" t="s">
        <v>102</v>
      </c>
      <c r="D290" t="s">
        <v>7</v>
      </c>
      <c r="E290" s="5"/>
      <c r="F290" s="7">
        <v>45219</v>
      </c>
      <c r="G290" t="s">
        <v>113</v>
      </c>
      <c r="H290">
        <v>200</v>
      </c>
      <c r="I290" s="5">
        <v>8734</v>
      </c>
      <c r="J290" s="13">
        <v>100</v>
      </c>
      <c r="K290" s="5">
        <v>0</v>
      </c>
      <c r="L290" s="5">
        <v>0.43670000000000003</v>
      </c>
      <c r="M290" s="5"/>
      <c r="N290" s="5">
        <v>-8734</v>
      </c>
      <c r="O290" s="3">
        <v>-1</v>
      </c>
      <c r="P290" s="9">
        <f>N290+P289</f>
        <v>260882.35505352938</v>
      </c>
      <c r="Q290" s="5" t="str">
        <f>TEXT(Table13[[#This Row],[Closing Date]],"yyyy")</f>
        <v>2023</v>
      </c>
      <c r="R290" s="5" t="str">
        <f>TEXT(Table13[[#This Row],[Closing Date]],"mmmm")</f>
        <v>October</v>
      </c>
      <c r="S290" s="5" t="s">
        <v>240</v>
      </c>
      <c r="T290" s="5" t="s">
        <v>301</v>
      </c>
    </row>
    <row r="291" spans="1:20" x14ac:dyDescent="0.25">
      <c r="A291" t="s">
        <v>201</v>
      </c>
      <c r="B291" t="s">
        <v>303</v>
      </c>
      <c r="C291" t="s">
        <v>12</v>
      </c>
      <c r="D291" t="s">
        <v>7</v>
      </c>
      <c r="E291" s="5"/>
      <c r="F291" s="7">
        <v>45219</v>
      </c>
      <c r="G291" t="s">
        <v>43</v>
      </c>
      <c r="H291">
        <v>5</v>
      </c>
      <c r="I291" s="5">
        <v>172011.85</v>
      </c>
      <c r="K291" s="5">
        <v>163038.15</v>
      </c>
      <c r="L291" s="5">
        <v>3.4402370000000002</v>
      </c>
      <c r="M291" s="5">
        <v>0</v>
      </c>
      <c r="N291" s="5">
        <v>-8973.7000000000116</v>
      </c>
      <c r="O291" s="3">
        <v>-5.2169080211625023E-2</v>
      </c>
      <c r="P291" s="9">
        <f>N291+P290</f>
        <v>251908.65505352936</v>
      </c>
      <c r="Q291" s="5" t="str">
        <f>TEXT(Table13[[#This Row],[Closing Date]],"yyyy")</f>
        <v>2023</v>
      </c>
      <c r="R291" s="5" t="str">
        <f>TEXT(Table13[[#This Row],[Closing Date]],"mmmm")</f>
        <v>October</v>
      </c>
      <c r="S291" s="5" t="s">
        <v>240</v>
      </c>
      <c r="T291" s="5" t="s">
        <v>301</v>
      </c>
    </row>
    <row r="292" spans="1:20" x14ac:dyDescent="0.25">
      <c r="A292" t="s">
        <v>201</v>
      </c>
      <c r="B292" t="s">
        <v>303</v>
      </c>
      <c r="C292" t="s">
        <v>16</v>
      </c>
      <c r="D292" t="s">
        <v>5</v>
      </c>
      <c r="E292" s="5"/>
      <c r="F292" s="7">
        <v>45219</v>
      </c>
      <c r="G292" t="s">
        <v>144</v>
      </c>
      <c r="H292">
        <v>2500</v>
      </c>
      <c r="I292" s="5">
        <v>110250</v>
      </c>
      <c r="K292" s="5">
        <v>110838.97</v>
      </c>
      <c r="L292" s="5">
        <v>44.1</v>
      </c>
      <c r="M292" s="5">
        <v>44.335588000000001</v>
      </c>
      <c r="N292" s="5">
        <v>-588.97000000000116</v>
      </c>
      <c r="O292" s="3">
        <v>-5.3421315192743873E-3</v>
      </c>
      <c r="P292" s="9">
        <f>N292+P291</f>
        <v>251319.68505352936</v>
      </c>
      <c r="Q292" s="5" t="str">
        <f>TEXT(Table13[[#This Row],[Closing Date]],"yyyy")</f>
        <v>2023</v>
      </c>
      <c r="R292" s="5" t="str">
        <f>TEXT(Table13[[#This Row],[Closing Date]],"mmmm")</f>
        <v>October</v>
      </c>
      <c r="S292" s="5" t="s">
        <v>240</v>
      </c>
      <c r="T292" s="5" t="s">
        <v>301</v>
      </c>
    </row>
    <row r="293" spans="1:20" x14ac:dyDescent="0.25">
      <c r="A293" t="s">
        <v>201</v>
      </c>
      <c r="B293" t="s">
        <v>303</v>
      </c>
      <c r="C293" t="s">
        <v>16</v>
      </c>
      <c r="D293" t="s">
        <v>7</v>
      </c>
      <c r="E293" s="5"/>
      <c r="F293" s="7">
        <v>45219</v>
      </c>
      <c r="G293" t="s">
        <v>156</v>
      </c>
      <c r="H293">
        <v>10000</v>
      </c>
      <c r="I293" s="5">
        <v>674050</v>
      </c>
      <c r="K293" s="5">
        <v>676750</v>
      </c>
      <c r="L293" s="5">
        <v>67.405000000000001</v>
      </c>
      <c r="M293" s="5">
        <v>67.674999999999997</v>
      </c>
      <c r="N293" s="5">
        <v>2700</v>
      </c>
      <c r="O293" s="3">
        <v>4.0056375639789333E-3</v>
      </c>
      <c r="P293" s="9">
        <f>N293+P292</f>
        <v>254019.68505352936</v>
      </c>
      <c r="Q293" s="5" t="str">
        <f>TEXT(Table13[[#This Row],[Closing Date]],"yyyy")</f>
        <v>2023</v>
      </c>
      <c r="R293" s="5" t="str">
        <f>TEXT(Table13[[#This Row],[Closing Date]],"mmmm")</f>
        <v>October</v>
      </c>
      <c r="S293" s="5" t="s">
        <v>240</v>
      </c>
      <c r="T293" s="5" t="s">
        <v>301</v>
      </c>
    </row>
    <row r="294" spans="1:20" x14ac:dyDescent="0.25">
      <c r="A294" t="s">
        <v>201</v>
      </c>
      <c r="B294" t="s">
        <v>303</v>
      </c>
      <c r="C294" t="s">
        <v>4</v>
      </c>
      <c r="D294" t="s">
        <v>7</v>
      </c>
      <c r="E294" s="5"/>
      <c r="F294" s="7">
        <v>45219</v>
      </c>
      <c r="G294" t="s">
        <v>121</v>
      </c>
      <c r="H294">
        <v>1000000</v>
      </c>
      <c r="I294" s="5">
        <v>23113664.699999999</v>
      </c>
      <c r="K294" s="5">
        <v>23222138.140000001</v>
      </c>
      <c r="L294" s="5">
        <v>23.113664699999998</v>
      </c>
      <c r="M294" s="5">
        <v>23.222138140000002</v>
      </c>
      <c r="N294" s="5">
        <v>4671.1219848079554</v>
      </c>
      <c r="O294" s="3">
        <v>2.0114952191942973E-4</v>
      </c>
      <c r="P294" s="9">
        <f>N294+P293</f>
        <v>258690.80703833731</v>
      </c>
      <c r="Q294" s="5" t="str">
        <f>TEXT(Table13[[#This Row],[Closing Date]],"yyyy")</f>
        <v>2023</v>
      </c>
      <c r="R294" s="5" t="str">
        <f>TEXT(Table13[[#This Row],[Closing Date]],"mmmm")</f>
        <v>October</v>
      </c>
      <c r="S294" s="5" t="s">
        <v>240</v>
      </c>
      <c r="T294" s="5" t="s">
        <v>301</v>
      </c>
    </row>
    <row r="295" spans="1:20" x14ac:dyDescent="0.25">
      <c r="A295" t="s">
        <v>201</v>
      </c>
      <c r="B295" t="s">
        <v>303</v>
      </c>
      <c r="C295" t="s">
        <v>16</v>
      </c>
      <c r="D295" t="s">
        <v>5</v>
      </c>
      <c r="E295" s="5"/>
      <c r="F295" s="7">
        <v>45219</v>
      </c>
      <c r="G295" t="s">
        <v>150</v>
      </c>
      <c r="H295">
        <v>6000</v>
      </c>
      <c r="I295" s="5">
        <v>170033.21</v>
      </c>
      <c r="K295" s="5">
        <v>164851.65</v>
      </c>
      <c r="L295" s="5">
        <v>28.33886833333333</v>
      </c>
      <c r="M295" s="5">
        <v>27.475275</v>
      </c>
      <c r="N295" s="5">
        <v>5181.5599999999977</v>
      </c>
      <c r="O295" s="3">
        <v>3.0473811557165789E-2</v>
      </c>
      <c r="P295" s="9">
        <f>N295+P294</f>
        <v>263872.36703833728</v>
      </c>
      <c r="Q295" s="5" t="str">
        <f>TEXT(Table13[[#This Row],[Closing Date]],"yyyy")</f>
        <v>2023</v>
      </c>
      <c r="R295" s="5" t="str">
        <f>TEXT(Table13[[#This Row],[Closing Date]],"mmmm")</f>
        <v>October</v>
      </c>
      <c r="S295" s="5" t="s">
        <v>240</v>
      </c>
      <c r="T295" s="5" t="s">
        <v>301</v>
      </c>
    </row>
    <row r="296" spans="1:20" x14ac:dyDescent="0.25">
      <c r="A296" t="s">
        <v>201</v>
      </c>
      <c r="B296" t="s">
        <v>303</v>
      </c>
      <c r="C296" t="s">
        <v>12</v>
      </c>
      <c r="D296" t="s">
        <v>5</v>
      </c>
      <c r="E296" s="5"/>
      <c r="F296" s="7">
        <v>45219</v>
      </c>
      <c r="G296" t="s">
        <v>90</v>
      </c>
      <c r="H296">
        <v>1</v>
      </c>
      <c r="I296" s="5">
        <v>301850</v>
      </c>
      <c r="K296" s="5">
        <v>295340</v>
      </c>
      <c r="L296" s="5">
        <v>15092.5</v>
      </c>
      <c r="M296" s="5">
        <v>0</v>
      </c>
      <c r="N296" s="5">
        <v>6510</v>
      </c>
      <c r="O296" s="3">
        <v>2.1567003478548948E-2</v>
      </c>
      <c r="P296" s="9">
        <f>N296+P295</f>
        <v>270382.36703833728</v>
      </c>
      <c r="Q296" s="5" t="str">
        <f>TEXT(Table13[[#This Row],[Closing Date]],"yyyy")</f>
        <v>2023</v>
      </c>
      <c r="R296" s="5" t="str">
        <f>TEXT(Table13[[#This Row],[Closing Date]],"mmmm")</f>
        <v>October</v>
      </c>
      <c r="S296" s="5" t="s">
        <v>240</v>
      </c>
      <c r="T296" s="5" t="s">
        <v>301</v>
      </c>
    </row>
    <row r="297" spans="1:20" x14ac:dyDescent="0.25">
      <c r="A297" t="s">
        <v>201</v>
      </c>
      <c r="B297" t="s">
        <v>303</v>
      </c>
      <c r="C297" t="s">
        <v>12</v>
      </c>
      <c r="D297" t="s">
        <v>7</v>
      </c>
      <c r="E297" s="5"/>
      <c r="F297" s="7">
        <v>45223</v>
      </c>
      <c r="G297" t="s">
        <v>50</v>
      </c>
      <c r="H297">
        <v>12</v>
      </c>
      <c r="I297" s="5">
        <v>1271906.6399999999</v>
      </c>
      <c r="K297" s="5">
        <v>1263480</v>
      </c>
      <c r="L297" s="5">
        <v>105.99221999999999</v>
      </c>
      <c r="M297" s="5">
        <v>105.29</v>
      </c>
      <c r="N297" s="5">
        <v>-8426.6399999998976</v>
      </c>
      <c r="O297" s="3">
        <v>-6.6252032460494886E-3</v>
      </c>
      <c r="P297" s="9">
        <f>N297+P296</f>
        <v>261955.72703833738</v>
      </c>
      <c r="Q297" s="5" t="str">
        <f>TEXT(Table13[[#This Row],[Closing Date]],"yyyy")</f>
        <v>2023</v>
      </c>
      <c r="R297" s="5" t="str">
        <f>TEXT(Table13[[#This Row],[Closing Date]],"mmmm")</f>
        <v>October</v>
      </c>
      <c r="S297" s="5" t="s">
        <v>240</v>
      </c>
      <c r="T297" s="5" t="s">
        <v>301</v>
      </c>
    </row>
    <row r="298" spans="1:20" x14ac:dyDescent="0.25">
      <c r="A298" t="s">
        <v>201</v>
      </c>
      <c r="B298" t="s">
        <v>303</v>
      </c>
      <c r="C298" t="s">
        <v>16</v>
      </c>
      <c r="D298" t="s">
        <v>7</v>
      </c>
      <c r="E298" s="5"/>
      <c r="F298" s="7">
        <v>45224</v>
      </c>
      <c r="G298" t="s">
        <v>159</v>
      </c>
      <c r="H298">
        <v>135</v>
      </c>
      <c r="I298" s="5">
        <v>55438.75</v>
      </c>
      <c r="K298" s="5">
        <v>55583.09</v>
      </c>
      <c r="L298" s="5">
        <v>410.65740740740739</v>
      </c>
      <c r="M298" s="5">
        <v>411.72659259259257</v>
      </c>
      <c r="N298" s="5">
        <v>144.33999999999651</v>
      </c>
      <c r="O298" s="3">
        <v>2.603594056503736E-3</v>
      </c>
      <c r="P298" s="9">
        <f>N298+P297</f>
        <v>262100.06703833738</v>
      </c>
      <c r="Q298" s="5" t="str">
        <f>TEXT(Table13[[#This Row],[Closing Date]],"yyyy")</f>
        <v>2023</v>
      </c>
      <c r="R298" s="5" t="str">
        <f>TEXT(Table13[[#This Row],[Closing Date]],"mmmm")</f>
        <v>October</v>
      </c>
      <c r="S298" s="5" t="s">
        <v>240</v>
      </c>
      <c r="T298" s="5" t="s">
        <v>301</v>
      </c>
    </row>
    <row r="299" spans="1:20" x14ac:dyDescent="0.25">
      <c r="A299" t="s">
        <v>201</v>
      </c>
      <c r="B299" t="s">
        <v>303</v>
      </c>
      <c r="C299" t="s">
        <v>16</v>
      </c>
      <c r="D299" t="s">
        <v>7</v>
      </c>
      <c r="E299" s="5"/>
      <c r="F299" s="7">
        <v>45224</v>
      </c>
      <c r="G299" t="s">
        <v>158</v>
      </c>
      <c r="H299">
        <v>6500</v>
      </c>
      <c r="I299" s="5">
        <v>116707.5</v>
      </c>
      <c r="K299" s="5">
        <v>119190.6</v>
      </c>
      <c r="L299" s="5">
        <v>17.954999999999998</v>
      </c>
      <c r="M299" s="5">
        <v>18.337015384615384</v>
      </c>
      <c r="N299" s="5">
        <v>2483.1000000000058</v>
      </c>
      <c r="O299" s="3">
        <v>2.1276267592057117E-2</v>
      </c>
      <c r="P299" s="9">
        <f>N299+P298</f>
        <v>264583.16703833739</v>
      </c>
      <c r="Q299" s="5" t="str">
        <f>TEXT(Table13[[#This Row],[Closing Date]],"yyyy")</f>
        <v>2023</v>
      </c>
      <c r="R299" s="5" t="str">
        <f>TEXT(Table13[[#This Row],[Closing Date]],"mmmm")</f>
        <v>October</v>
      </c>
      <c r="S299" s="5" t="s">
        <v>240</v>
      </c>
      <c r="T299" s="5" t="s">
        <v>301</v>
      </c>
    </row>
    <row r="300" spans="1:20" x14ac:dyDescent="0.25">
      <c r="A300" t="s">
        <v>201</v>
      </c>
      <c r="B300" t="s">
        <v>303</v>
      </c>
      <c r="C300" t="s">
        <v>12</v>
      </c>
      <c r="D300" t="s">
        <v>7</v>
      </c>
      <c r="E300" s="5"/>
      <c r="F300" s="7">
        <v>45225</v>
      </c>
      <c r="G300" t="s">
        <v>13</v>
      </c>
      <c r="H300">
        <v>4</v>
      </c>
      <c r="I300" s="5">
        <v>341249.48</v>
      </c>
      <c r="K300" s="5">
        <v>333640</v>
      </c>
      <c r="L300" s="5">
        <v>85.312370000000001</v>
      </c>
      <c r="M300" s="5">
        <v>83.41</v>
      </c>
      <c r="N300" s="5">
        <v>-7609.4799999999814</v>
      </c>
      <c r="O300" s="3">
        <v>-2.2298876470082774E-2</v>
      </c>
      <c r="P300" s="9">
        <f>N300+P299</f>
        <v>256973.6870383374</v>
      </c>
      <c r="Q300" s="5" t="str">
        <f>TEXT(Table13[[#This Row],[Closing Date]],"yyyy")</f>
        <v>2023</v>
      </c>
      <c r="R300" s="5" t="str">
        <f>TEXT(Table13[[#This Row],[Closing Date]],"mmmm")</f>
        <v>October</v>
      </c>
      <c r="S300" s="5" t="s">
        <v>240</v>
      </c>
      <c r="T300" s="5" t="s">
        <v>301</v>
      </c>
    </row>
    <row r="301" spans="1:20" x14ac:dyDescent="0.25">
      <c r="A301" t="s">
        <v>201</v>
      </c>
      <c r="B301" t="s">
        <v>303</v>
      </c>
      <c r="C301" t="s">
        <v>16</v>
      </c>
      <c r="D301" t="s">
        <v>7</v>
      </c>
      <c r="E301" s="5"/>
      <c r="F301" s="7">
        <v>45225</v>
      </c>
      <c r="G301" t="s">
        <v>156</v>
      </c>
      <c r="H301">
        <v>11000</v>
      </c>
      <c r="I301" s="5">
        <v>744048</v>
      </c>
      <c r="K301" s="5">
        <v>743270</v>
      </c>
      <c r="L301" s="5">
        <v>67.640727272727275</v>
      </c>
      <c r="M301" s="5">
        <v>67.569999999999993</v>
      </c>
      <c r="N301" s="5">
        <v>-778</v>
      </c>
      <c r="O301" s="3">
        <v>-1.04563146463669E-3</v>
      </c>
      <c r="P301" s="9">
        <f>N301+P300</f>
        <v>256195.6870383374</v>
      </c>
      <c r="Q301" s="5" t="str">
        <f>TEXT(Table13[[#This Row],[Closing Date]],"yyyy")</f>
        <v>2023</v>
      </c>
      <c r="R301" s="5" t="str">
        <f>TEXT(Table13[[#This Row],[Closing Date]],"mmmm")</f>
        <v>October</v>
      </c>
      <c r="S301" s="5" t="s">
        <v>240</v>
      </c>
      <c r="T301" s="5" t="s">
        <v>301</v>
      </c>
    </row>
    <row r="302" spans="1:20" x14ac:dyDescent="0.25">
      <c r="A302" t="s">
        <v>201</v>
      </c>
      <c r="B302" t="s">
        <v>303</v>
      </c>
      <c r="C302" t="s">
        <v>16</v>
      </c>
      <c r="D302" t="s">
        <v>5</v>
      </c>
      <c r="E302" s="5"/>
      <c r="F302" s="7">
        <v>45225</v>
      </c>
      <c r="G302" t="s">
        <v>160</v>
      </c>
      <c r="H302">
        <v>800</v>
      </c>
      <c r="I302" s="5">
        <v>134649.56</v>
      </c>
      <c r="K302" s="5">
        <v>128868.38</v>
      </c>
      <c r="L302" s="5">
        <v>168.31195</v>
      </c>
      <c r="M302" s="5">
        <v>161.085475</v>
      </c>
      <c r="N302" s="5">
        <v>5781.179999999993</v>
      </c>
      <c r="O302" s="3">
        <v>4.2935008476819331E-2</v>
      </c>
      <c r="P302" s="9">
        <f>N302+P301</f>
        <v>261976.8670383374</v>
      </c>
      <c r="Q302" s="5" t="str">
        <f>TEXT(Table13[[#This Row],[Closing Date]],"yyyy")</f>
        <v>2023</v>
      </c>
      <c r="R302" s="5" t="str">
        <f>TEXT(Table13[[#This Row],[Closing Date]],"mmmm")</f>
        <v>October</v>
      </c>
      <c r="S302" s="5" t="s">
        <v>240</v>
      </c>
      <c r="T302" s="5" t="s">
        <v>301</v>
      </c>
    </row>
    <row r="303" spans="1:20" x14ac:dyDescent="0.25">
      <c r="A303" t="s">
        <v>201</v>
      </c>
      <c r="B303" t="s">
        <v>305</v>
      </c>
      <c r="C303" t="s">
        <v>4</v>
      </c>
      <c r="D303" t="s">
        <v>7</v>
      </c>
      <c r="E303" s="5"/>
      <c r="F303" s="7">
        <v>45225</v>
      </c>
      <c r="G303" t="s">
        <v>134</v>
      </c>
      <c r="H303">
        <v>625000</v>
      </c>
      <c r="I303" s="5">
        <v>11870187.5</v>
      </c>
      <c r="K303" s="5">
        <v>11829718.75</v>
      </c>
      <c r="L303" s="5">
        <v>18.9923</v>
      </c>
      <c r="M303" s="5">
        <v>18.92755</v>
      </c>
      <c r="N303" s="5">
        <v>-2163</v>
      </c>
      <c r="O303" s="3">
        <v>-3.4608E-3</v>
      </c>
      <c r="P303" s="9">
        <f>N303+P302</f>
        <v>259813.8670383374</v>
      </c>
      <c r="Q303" s="5" t="str">
        <f>TEXT(Table13[[#This Row],[Closing Date]],"yyyy")</f>
        <v>2023</v>
      </c>
      <c r="R303" s="5" t="str">
        <f>TEXT(Table13[[#This Row],[Closing Date]],"mmmm")</f>
        <v>October</v>
      </c>
      <c r="S303" s="5" t="s">
        <v>240</v>
      </c>
      <c r="T303" s="5" t="s">
        <v>301</v>
      </c>
    </row>
    <row r="304" spans="1:20" x14ac:dyDescent="0.25">
      <c r="A304" t="s">
        <v>201</v>
      </c>
      <c r="B304" t="s">
        <v>306</v>
      </c>
      <c r="C304" t="s">
        <v>12</v>
      </c>
      <c r="D304" t="s">
        <v>7</v>
      </c>
      <c r="E304" s="5"/>
      <c r="F304" s="7">
        <v>45225</v>
      </c>
      <c r="G304" t="s">
        <v>86</v>
      </c>
      <c r="H304">
        <v>200</v>
      </c>
      <c r="I304" s="5">
        <v>904192.8</v>
      </c>
      <c r="K304" s="5">
        <v>979503.2</v>
      </c>
      <c r="L304" s="5">
        <v>4.5209640000000002</v>
      </c>
      <c r="M304" s="5">
        <v>4.8975159999999995</v>
      </c>
      <c r="N304" s="5">
        <v>75310.399999999907</v>
      </c>
      <c r="O304" s="3">
        <v>8.3290200939445544E-2</v>
      </c>
      <c r="P304" s="9">
        <f>N304+P303</f>
        <v>335124.2670383373</v>
      </c>
      <c r="Q304" s="5" t="str">
        <f>TEXT(Table13[[#This Row],[Closing Date]],"yyyy")</f>
        <v>2023</v>
      </c>
      <c r="R304" s="5" t="str">
        <f>TEXT(Table13[[#This Row],[Closing Date]],"mmmm")</f>
        <v>October</v>
      </c>
      <c r="S304" s="5" t="s">
        <v>240</v>
      </c>
      <c r="T304" s="5" t="s">
        <v>301</v>
      </c>
    </row>
    <row r="305" spans="1:20" x14ac:dyDescent="0.25">
      <c r="A305" t="s">
        <v>201</v>
      </c>
      <c r="B305" t="s">
        <v>303</v>
      </c>
      <c r="C305" t="s">
        <v>4</v>
      </c>
      <c r="D305" t="s">
        <v>7</v>
      </c>
      <c r="E305" s="5"/>
      <c r="F305" s="7">
        <v>45226</v>
      </c>
      <c r="G305" t="s">
        <v>117</v>
      </c>
      <c r="H305">
        <v>1300000</v>
      </c>
      <c r="I305" s="5">
        <v>1774535.46</v>
      </c>
      <c r="K305" s="5">
        <v>1780967.37</v>
      </c>
      <c r="L305" s="5">
        <v>1.3650272769230769</v>
      </c>
      <c r="M305" s="5">
        <v>1.3699749000000001</v>
      </c>
      <c r="N305" s="5">
        <v>4721</v>
      </c>
      <c r="O305" s="3">
        <v>3.6315384615384617E-3</v>
      </c>
      <c r="P305" s="9">
        <f>N305+P304</f>
        <v>339845.2670383373</v>
      </c>
      <c r="Q305" s="5" t="str">
        <f>TEXT(Table13[[#This Row],[Closing Date]],"yyyy")</f>
        <v>2023</v>
      </c>
      <c r="R305" s="5" t="str">
        <f>TEXT(Table13[[#This Row],[Closing Date]],"mmmm")</f>
        <v>October</v>
      </c>
      <c r="S305" s="5" t="s">
        <v>240</v>
      </c>
      <c r="T305" s="5" t="s">
        <v>301</v>
      </c>
    </row>
    <row r="306" spans="1:20" x14ac:dyDescent="0.25">
      <c r="A306" t="s">
        <v>201</v>
      </c>
      <c r="B306" t="s">
        <v>306</v>
      </c>
      <c r="C306" t="s">
        <v>12</v>
      </c>
      <c r="D306" t="s">
        <v>7</v>
      </c>
      <c r="E306" s="5"/>
      <c r="F306" s="7">
        <v>45229</v>
      </c>
      <c r="G306" t="s">
        <v>88</v>
      </c>
      <c r="H306">
        <v>12</v>
      </c>
      <c r="I306" s="5">
        <v>363251.54</v>
      </c>
      <c r="K306" s="5">
        <v>359753.16</v>
      </c>
      <c r="L306" s="5">
        <v>27.027644345238091</v>
      </c>
      <c r="M306" s="5">
        <v>26.767348214285711</v>
      </c>
      <c r="N306" s="5">
        <v>-3498.3800000000047</v>
      </c>
      <c r="O306" s="3">
        <v>-9.6307368717556026E-3</v>
      </c>
      <c r="P306" s="9">
        <f>N306+P305</f>
        <v>336346.8870383373</v>
      </c>
      <c r="Q306" s="5" t="str">
        <f>TEXT(Table13[[#This Row],[Closing Date]],"yyyy")</f>
        <v>2023</v>
      </c>
      <c r="R306" s="5" t="str">
        <f>TEXT(Table13[[#This Row],[Closing Date]],"mmmm")</f>
        <v>October</v>
      </c>
      <c r="S306" s="5" t="s">
        <v>240</v>
      </c>
      <c r="T306" s="5" t="s">
        <v>301</v>
      </c>
    </row>
    <row r="307" spans="1:20" x14ac:dyDescent="0.25">
      <c r="A307" t="s">
        <v>201</v>
      </c>
      <c r="B307" t="s">
        <v>306</v>
      </c>
      <c r="C307" t="s">
        <v>12</v>
      </c>
      <c r="D307" t="s">
        <v>7</v>
      </c>
      <c r="E307" s="5"/>
      <c r="F307" s="7">
        <v>45231</v>
      </c>
      <c r="G307" t="s">
        <v>86</v>
      </c>
      <c r="H307">
        <v>160</v>
      </c>
      <c r="I307" s="5">
        <v>777325</v>
      </c>
      <c r="K307" s="5">
        <v>764241</v>
      </c>
      <c r="L307" s="5">
        <v>9.7330000000000005</v>
      </c>
      <c r="M307" s="5">
        <v>4.7765062499999997</v>
      </c>
      <c r="N307" s="5">
        <v>-13084</v>
      </c>
      <c r="O307" s="3">
        <v>-1.6832084391985334E-2</v>
      </c>
      <c r="P307" s="9">
        <f>N307+P306</f>
        <v>323262.8870383373</v>
      </c>
      <c r="Q307" s="5" t="str">
        <f>TEXT(Table13[[#This Row],[Closing Date]],"yyyy")</f>
        <v>2023</v>
      </c>
      <c r="R307" s="5" t="str">
        <f>TEXT(Table13[[#This Row],[Closing Date]],"mmmm")</f>
        <v>November</v>
      </c>
      <c r="S307" s="5" t="s">
        <v>240</v>
      </c>
      <c r="T307" s="5" t="s">
        <v>301</v>
      </c>
    </row>
    <row r="308" spans="1:20" x14ac:dyDescent="0.25">
      <c r="A308" t="s">
        <v>201</v>
      </c>
      <c r="B308" t="s">
        <v>303</v>
      </c>
      <c r="C308" t="s">
        <v>16</v>
      </c>
      <c r="D308" t="s">
        <v>5</v>
      </c>
      <c r="E308" s="5"/>
      <c r="F308" s="7">
        <v>45232</v>
      </c>
      <c r="G308" t="s">
        <v>144</v>
      </c>
      <c r="H308">
        <v>3000</v>
      </c>
      <c r="I308" s="5">
        <v>124775</v>
      </c>
      <c r="K308" s="5">
        <v>120765</v>
      </c>
      <c r="L308" s="5">
        <v>41.591666666666669</v>
      </c>
      <c r="M308" s="5">
        <v>40.255000000000003</v>
      </c>
      <c r="N308" s="5">
        <v>4010</v>
      </c>
      <c r="O308" s="3">
        <v>3.2137848126627927E-2</v>
      </c>
      <c r="P308" s="9">
        <f>N308+P307</f>
        <v>327272.8870383373</v>
      </c>
      <c r="Q308" s="5" t="str">
        <f>TEXT(Table13[[#This Row],[Closing Date]],"yyyy")</f>
        <v>2023</v>
      </c>
      <c r="R308" s="5" t="str">
        <f>TEXT(Table13[[#This Row],[Closing Date]],"mmmm")</f>
        <v>November</v>
      </c>
      <c r="S308" s="5" t="s">
        <v>240</v>
      </c>
      <c r="T308" s="5" t="s">
        <v>301</v>
      </c>
    </row>
    <row r="309" spans="1:20" x14ac:dyDescent="0.25">
      <c r="A309" t="s">
        <v>201</v>
      </c>
      <c r="B309" t="s">
        <v>303</v>
      </c>
      <c r="C309" t="s">
        <v>4</v>
      </c>
      <c r="D309" t="s">
        <v>7</v>
      </c>
      <c r="E309" s="5"/>
      <c r="F309" s="7">
        <v>45232</v>
      </c>
      <c r="G309" t="s">
        <v>123</v>
      </c>
      <c r="H309">
        <v>2000000</v>
      </c>
      <c r="I309" s="5">
        <v>2710150.73</v>
      </c>
      <c r="K309" s="5">
        <v>2747185.23</v>
      </c>
      <c r="L309" s="5">
        <v>1.355075365</v>
      </c>
      <c r="M309" s="5">
        <v>1.373592615</v>
      </c>
      <c r="N309" s="5">
        <v>26938</v>
      </c>
      <c r="O309" s="3">
        <v>1.3468999999999998E-2</v>
      </c>
      <c r="P309" s="9">
        <f>N309+P308</f>
        <v>354210.8870383373</v>
      </c>
      <c r="Q309" s="5" t="str">
        <f>TEXT(Table13[[#This Row],[Closing Date]],"yyyy")</f>
        <v>2023</v>
      </c>
      <c r="R309" s="5" t="str">
        <f>TEXT(Table13[[#This Row],[Closing Date]],"mmmm")</f>
        <v>November</v>
      </c>
      <c r="S309" s="5" t="s">
        <v>240</v>
      </c>
      <c r="T309" s="5" t="s">
        <v>301</v>
      </c>
    </row>
    <row r="310" spans="1:20" x14ac:dyDescent="0.25">
      <c r="A310" t="s">
        <v>201</v>
      </c>
      <c r="B310" t="s">
        <v>303</v>
      </c>
      <c r="C310" t="s">
        <v>4</v>
      </c>
      <c r="D310" t="s">
        <v>7</v>
      </c>
      <c r="E310" s="5"/>
      <c r="F310" s="7">
        <v>45233</v>
      </c>
      <c r="G310" t="s">
        <v>127</v>
      </c>
      <c r="H310">
        <v>450000</v>
      </c>
      <c r="I310" s="5">
        <v>7969532.8600000003</v>
      </c>
      <c r="K310" s="5">
        <v>7805140.04</v>
      </c>
      <c r="L310" s="5">
        <v>17.710073022222222</v>
      </c>
      <c r="M310" s="5">
        <v>17.344755644444444</v>
      </c>
      <c r="N310" s="5">
        <v>-9468</v>
      </c>
      <c r="O310" s="3">
        <v>-2.104E-2</v>
      </c>
      <c r="P310" s="9">
        <f>N310+P309</f>
        <v>344742.8870383373</v>
      </c>
      <c r="Q310" s="5" t="str">
        <f>TEXT(Table13[[#This Row],[Closing Date]],"yyyy")</f>
        <v>2023</v>
      </c>
      <c r="R310" s="5" t="str">
        <f>TEXT(Table13[[#This Row],[Closing Date]],"mmmm")</f>
        <v>November</v>
      </c>
      <c r="S310" s="5" t="s">
        <v>240</v>
      </c>
      <c r="T310" s="5" t="s">
        <v>301</v>
      </c>
    </row>
    <row r="311" spans="1:20" x14ac:dyDescent="0.25">
      <c r="A311" t="s">
        <v>201</v>
      </c>
      <c r="B311" t="s">
        <v>303</v>
      </c>
      <c r="C311" t="s">
        <v>16</v>
      </c>
      <c r="D311" t="s">
        <v>7</v>
      </c>
      <c r="E311" s="5"/>
      <c r="F311" s="7">
        <v>45238</v>
      </c>
      <c r="G311" t="s">
        <v>155</v>
      </c>
      <c r="H311">
        <v>980</v>
      </c>
      <c r="I311" s="5">
        <v>173121.9</v>
      </c>
      <c r="K311" s="5">
        <v>188847.77000000002</v>
      </c>
      <c r="L311" s="5">
        <v>176.655</v>
      </c>
      <c r="M311" s="5">
        <v>192.701806122449</v>
      </c>
      <c r="N311" s="5">
        <v>15725.870000000024</v>
      </c>
      <c r="O311" s="3">
        <v>9.0836976719872092E-2</v>
      </c>
      <c r="P311" s="9">
        <f>N311+P310</f>
        <v>360468.75703833729</v>
      </c>
      <c r="Q311" s="5" t="str">
        <f>TEXT(Table13[[#This Row],[Closing Date]],"yyyy")</f>
        <v>2023</v>
      </c>
      <c r="R311" s="5" t="str">
        <f>TEXT(Table13[[#This Row],[Closing Date]],"mmmm")</f>
        <v>November</v>
      </c>
      <c r="S311" s="5" t="s">
        <v>240</v>
      </c>
      <c r="T311" s="5" t="s">
        <v>301</v>
      </c>
    </row>
    <row r="312" spans="1:20" x14ac:dyDescent="0.25">
      <c r="A312" t="s">
        <v>201</v>
      </c>
      <c r="B312" t="s">
        <v>303</v>
      </c>
      <c r="C312" t="s">
        <v>12</v>
      </c>
      <c r="D312" t="s">
        <v>5</v>
      </c>
      <c r="E312" s="5"/>
      <c r="F312" s="7">
        <v>45239</v>
      </c>
      <c r="G312" t="s">
        <v>44</v>
      </c>
      <c r="H312">
        <v>2</v>
      </c>
      <c r="I312" s="5">
        <v>321893.96000000002</v>
      </c>
      <c r="K312" s="5">
        <v>328481.03999999998</v>
      </c>
      <c r="L312" s="5">
        <v>32189.396000000001</v>
      </c>
      <c r="M312" s="5">
        <v>0</v>
      </c>
      <c r="N312" s="5">
        <v>-6587.0799999999581</v>
      </c>
      <c r="O312" s="3">
        <v>-2.0463509163079537E-2</v>
      </c>
      <c r="P312" s="9">
        <f>N312+P311</f>
        <v>353881.67703833734</v>
      </c>
      <c r="Q312" s="5" t="str">
        <f>TEXT(Table13[[#This Row],[Closing Date]],"yyyy")</f>
        <v>2023</v>
      </c>
      <c r="R312" s="5" t="str">
        <f>TEXT(Table13[[#This Row],[Closing Date]],"mmmm")</f>
        <v>November</v>
      </c>
      <c r="S312" s="5" t="s">
        <v>240</v>
      </c>
      <c r="T312" s="5" t="s">
        <v>301</v>
      </c>
    </row>
    <row r="313" spans="1:20" x14ac:dyDescent="0.25">
      <c r="A313" t="s">
        <v>201</v>
      </c>
      <c r="B313" t="s">
        <v>303</v>
      </c>
      <c r="C313" t="s">
        <v>16</v>
      </c>
      <c r="D313" t="s">
        <v>7</v>
      </c>
      <c r="E313" s="5"/>
      <c r="F313" s="7">
        <v>45239</v>
      </c>
      <c r="G313" t="s">
        <v>142</v>
      </c>
      <c r="H313">
        <v>1900</v>
      </c>
      <c r="I313" s="5">
        <v>63659.5</v>
      </c>
      <c r="K313" s="5">
        <v>58722.65</v>
      </c>
      <c r="L313" s="5">
        <v>33.505000000000003</v>
      </c>
      <c r="M313" s="5">
        <v>30.906657894736842</v>
      </c>
      <c r="N313" s="5">
        <v>-4936.8499999999985</v>
      </c>
      <c r="O313" s="3">
        <v>-7.755087614574413E-2</v>
      </c>
      <c r="P313" s="9">
        <f>N313+P312</f>
        <v>348944.82703833736</v>
      </c>
      <c r="Q313" s="5" t="str">
        <f>TEXT(Table13[[#This Row],[Closing Date]],"yyyy")</f>
        <v>2023</v>
      </c>
      <c r="R313" s="5" t="str">
        <f>TEXT(Table13[[#This Row],[Closing Date]],"mmmm")</f>
        <v>November</v>
      </c>
      <c r="S313" s="5" t="s">
        <v>240</v>
      </c>
      <c r="T313" s="5" t="s">
        <v>301</v>
      </c>
    </row>
    <row r="314" spans="1:20" x14ac:dyDescent="0.25">
      <c r="A314" t="s">
        <v>201</v>
      </c>
      <c r="B314" t="s">
        <v>306</v>
      </c>
      <c r="C314" t="s">
        <v>4</v>
      </c>
      <c r="D314" t="s">
        <v>7</v>
      </c>
      <c r="E314" s="5"/>
      <c r="F314" s="7">
        <v>45239</v>
      </c>
      <c r="G314" t="s">
        <v>134</v>
      </c>
      <c r="H314">
        <v>670000</v>
      </c>
      <c r="I314" s="5">
        <v>12352060.130000001</v>
      </c>
      <c r="K314" s="5">
        <v>12313439.91</v>
      </c>
      <c r="L314" s="5">
        <v>18.435910641791047</v>
      </c>
      <c r="M314" s="5">
        <v>18.378268522388058</v>
      </c>
      <c r="N314" s="5">
        <v>-2088</v>
      </c>
      <c r="O314" s="3">
        <v>-3.1164179104477613E-3</v>
      </c>
      <c r="P314" s="9">
        <f>N314+P313</f>
        <v>346856.82703833736</v>
      </c>
      <c r="Q314" s="5" t="str">
        <f>TEXT(Table13[[#This Row],[Closing Date]],"yyyy")</f>
        <v>2023</v>
      </c>
      <c r="R314" s="5" t="str">
        <f>TEXT(Table13[[#This Row],[Closing Date]],"mmmm")</f>
        <v>November</v>
      </c>
      <c r="S314" s="5" t="s">
        <v>240</v>
      </c>
      <c r="T314" s="5" t="s">
        <v>301</v>
      </c>
    </row>
    <row r="315" spans="1:20" x14ac:dyDescent="0.25">
      <c r="A315" t="s">
        <v>201</v>
      </c>
      <c r="B315" t="s">
        <v>305</v>
      </c>
      <c r="C315" t="s">
        <v>4</v>
      </c>
      <c r="D315" t="s">
        <v>7</v>
      </c>
      <c r="E315" s="5"/>
      <c r="F315" s="7">
        <v>45244</v>
      </c>
      <c r="G315" t="s">
        <v>135</v>
      </c>
      <c r="H315">
        <v>750000</v>
      </c>
      <c r="I315" s="5">
        <v>9005075.6099999994</v>
      </c>
      <c r="K315" s="5">
        <v>9275812.0899999999</v>
      </c>
      <c r="L315" s="5">
        <v>12.006767479999999</v>
      </c>
      <c r="M315" s="5">
        <v>12.367749453333333</v>
      </c>
      <c r="N315" s="5">
        <v>24443</v>
      </c>
      <c r="O315" s="3">
        <v>3.2590666666666671E-2</v>
      </c>
      <c r="P315" s="9">
        <f>N315+P314</f>
        <v>371299.82703833736</v>
      </c>
      <c r="Q315" s="5" t="str">
        <f>TEXT(Table13[[#This Row],[Closing Date]],"yyyy")</f>
        <v>2023</v>
      </c>
      <c r="R315" s="5" t="str">
        <f>TEXT(Table13[[#This Row],[Closing Date]],"mmmm")</f>
        <v>November</v>
      </c>
      <c r="S315" s="5" t="s">
        <v>240</v>
      </c>
      <c r="T315" s="5" t="s">
        <v>301</v>
      </c>
    </row>
    <row r="316" spans="1:20" x14ac:dyDescent="0.25">
      <c r="A316" t="s">
        <v>197</v>
      </c>
      <c r="B316" t="s">
        <v>302</v>
      </c>
      <c r="C316" t="s">
        <v>97</v>
      </c>
      <c r="D316" t="s">
        <v>7</v>
      </c>
      <c r="E316" s="5"/>
      <c r="F316" s="7">
        <v>45245</v>
      </c>
      <c r="G316" t="s">
        <v>104</v>
      </c>
      <c r="H316">
        <v>6</v>
      </c>
      <c r="I316" s="5">
        <v>9567.16</v>
      </c>
      <c r="J316" s="13">
        <v>100</v>
      </c>
      <c r="K316" s="5">
        <v>9674.31</v>
      </c>
      <c r="L316" s="5">
        <v>15.945266666666667</v>
      </c>
      <c r="M316" s="5">
        <v>16.123850000000001</v>
      </c>
      <c r="N316" s="5">
        <v>107.14999999999964</v>
      </c>
      <c r="O316" s="3">
        <v>1.1199770882895277E-2</v>
      </c>
      <c r="P316" s="9">
        <f>N316+P315</f>
        <v>371406.97703833738</v>
      </c>
      <c r="Q316" s="5" t="str">
        <f>TEXT(Table13[[#This Row],[Closing Date]],"yyyy")</f>
        <v>2023</v>
      </c>
      <c r="R316" s="5" t="str">
        <f>TEXT(Table13[[#This Row],[Closing Date]],"mmmm")</f>
        <v>November</v>
      </c>
      <c r="S316" s="5" t="s">
        <v>240</v>
      </c>
      <c r="T316" s="5" t="s">
        <v>301</v>
      </c>
    </row>
    <row r="317" spans="1:20" x14ac:dyDescent="0.25">
      <c r="A317" t="s">
        <v>201</v>
      </c>
      <c r="B317" t="s">
        <v>303</v>
      </c>
      <c r="C317" t="s">
        <v>4</v>
      </c>
      <c r="D317" t="s">
        <v>5</v>
      </c>
      <c r="E317" s="5"/>
      <c r="F317" s="7">
        <v>45245</v>
      </c>
      <c r="G317" t="s">
        <v>21</v>
      </c>
      <c r="H317">
        <v>600000</v>
      </c>
      <c r="I317" s="5">
        <v>735675.29</v>
      </c>
      <c r="K317" s="5">
        <v>745809.33</v>
      </c>
      <c r="L317" s="5">
        <v>1.2261254833333335</v>
      </c>
      <c r="M317" s="5">
        <v>1.24301555</v>
      </c>
      <c r="N317" s="5">
        <v>-10134</v>
      </c>
      <c r="O317" s="3">
        <v>-1.6890000000000002E-2</v>
      </c>
      <c r="P317" s="9">
        <f>N317+P316</f>
        <v>361272.97703833738</v>
      </c>
      <c r="Q317" s="5" t="str">
        <f>TEXT(Table13[[#This Row],[Closing Date]],"yyyy")</f>
        <v>2023</v>
      </c>
      <c r="R317" s="5" t="str">
        <f>TEXT(Table13[[#This Row],[Closing Date]],"mmmm")</f>
        <v>November</v>
      </c>
      <c r="S317" s="5" t="s">
        <v>240</v>
      </c>
      <c r="T317" s="5" t="s">
        <v>301</v>
      </c>
    </row>
    <row r="318" spans="1:20" x14ac:dyDescent="0.25">
      <c r="A318" t="s">
        <v>201</v>
      </c>
      <c r="B318" t="s">
        <v>303</v>
      </c>
      <c r="C318" t="s">
        <v>4</v>
      </c>
      <c r="D318" t="s">
        <v>7</v>
      </c>
      <c r="E318" s="5"/>
      <c r="F318" s="7">
        <v>45245</v>
      </c>
      <c r="G318" t="s">
        <v>47</v>
      </c>
      <c r="H318">
        <v>750000</v>
      </c>
      <c r="I318" s="5">
        <v>8913964.3100000005</v>
      </c>
      <c r="K318" s="5">
        <v>8825114.1600000001</v>
      </c>
      <c r="L318" s="5">
        <v>11.885285746666668</v>
      </c>
      <c r="M318" s="5">
        <v>11.766818880000001</v>
      </c>
      <c r="N318" s="5">
        <v>-8274</v>
      </c>
      <c r="O318" s="3">
        <v>-1.1032E-2</v>
      </c>
      <c r="P318" s="9">
        <f>N318+P317</f>
        <v>352998.97703833738</v>
      </c>
      <c r="Q318" s="5" t="str">
        <f>TEXT(Table13[[#This Row],[Closing Date]],"yyyy")</f>
        <v>2023</v>
      </c>
      <c r="R318" s="5" t="str">
        <f>TEXT(Table13[[#This Row],[Closing Date]],"mmmm")</f>
        <v>November</v>
      </c>
      <c r="S318" s="5" t="s">
        <v>240</v>
      </c>
      <c r="T318" s="5" t="s">
        <v>301</v>
      </c>
    </row>
    <row r="319" spans="1:20" x14ac:dyDescent="0.25">
      <c r="A319" t="s">
        <v>201</v>
      </c>
      <c r="B319" t="s">
        <v>303</v>
      </c>
      <c r="C319" t="s">
        <v>16</v>
      </c>
      <c r="D319" t="s">
        <v>7</v>
      </c>
      <c r="E319" s="5"/>
      <c r="F319" s="7">
        <v>45246</v>
      </c>
      <c r="G319" t="s">
        <v>139</v>
      </c>
      <c r="H319">
        <v>3600</v>
      </c>
      <c r="I319" s="5">
        <v>259212</v>
      </c>
      <c r="K319" s="5">
        <v>260157.37</v>
      </c>
      <c r="L319" s="5">
        <v>72.00333333333333</v>
      </c>
      <c r="M319" s="5">
        <v>72.265936111111117</v>
      </c>
      <c r="N319" s="5">
        <v>945.36999999999534</v>
      </c>
      <c r="O319" s="3">
        <v>3.6470919556193205E-3</v>
      </c>
      <c r="P319" s="9">
        <f>N319+P318</f>
        <v>353944.34703833738</v>
      </c>
      <c r="Q319" s="5" t="str">
        <f>TEXT(Table13[[#This Row],[Closing Date]],"yyyy")</f>
        <v>2023</v>
      </c>
      <c r="R319" s="5" t="str">
        <f>TEXT(Table13[[#This Row],[Closing Date]],"mmmm")</f>
        <v>November</v>
      </c>
      <c r="S319" s="5" t="s">
        <v>240</v>
      </c>
      <c r="T319" s="5" t="s">
        <v>301</v>
      </c>
    </row>
    <row r="320" spans="1:20" x14ac:dyDescent="0.25">
      <c r="A320" t="s">
        <v>201</v>
      </c>
      <c r="B320" t="s">
        <v>306</v>
      </c>
      <c r="C320" t="s">
        <v>12</v>
      </c>
      <c r="D320" t="s">
        <v>7</v>
      </c>
      <c r="E320" s="5"/>
      <c r="F320" s="7">
        <v>45246</v>
      </c>
      <c r="G320" t="s">
        <v>13</v>
      </c>
      <c r="H320">
        <v>7</v>
      </c>
      <c r="I320" s="5">
        <v>542476.59</v>
      </c>
      <c r="K320" s="5">
        <v>529950</v>
      </c>
      <c r="L320" s="5">
        <v>154.90974</v>
      </c>
      <c r="M320" s="5">
        <v>0</v>
      </c>
      <c r="N320" s="5">
        <v>-12526.589999999967</v>
      </c>
      <c r="O320" s="3">
        <v>-2.3091484924722683E-2</v>
      </c>
      <c r="P320" s="9">
        <f>N320+P319</f>
        <v>341417.75703833741</v>
      </c>
      <c r="Q320" s="5" t="str">
        <f>TEXT(Table13[[#This Row],[Closing Date]],"yyyy")</f>
        <v>2023</v>
      </c>
      <c r="R320" s="5" t="str">
        <f>TEXT(Table13[[#This Row],[Closing Date]],"mmmm")</f>
        <v>November</v>
      </c>
      <c r="S320" s="5" t="s">
        <v>240</v>
      </c>
      <c r="T320" s="5" t="s">
        <v>301</v>
      </c>
    </row>
    <row r="321" spans="1:20" x14ac:dyDescent="0.25">
      <c r="A321" t="s">
        <v>201</v>
      </c>
      <c r="B321" t="s">
        <v>303</v>
      </c>
      <c r="C321" t="s">
        <v>4</v>
      </c>
      <c r="D321" t="s">
        <v>7</v>
      </c>
      <c r="E321" s="5"/>
      <c r="F321" s="7">
        <v>45247</v>
      </c>
      <c r="G321" t="s">
        <v>71</v>
      </c>
      <c r="H321">
        <v>2500000</v>
      </c>
      <c r="I321" s="5">
        <v>368877342.65999997</v>
      </c>
      <c r="K321" s="5">
        <v>374944992.81999999</v>
      </c>
      <c r="L321" s="5">
        <v>147.55093706399998</v>
      </c>
      <c r="M321" s="5">
        <v>149.977997128</v>
      </c>
      <c r="N321" s="5">
        <v>40456.935525159322</v>
      </c>
      <c r="O321" s="3">
        <v>1.0790098894474769E-4</v>
      </c>
      <c r="P321" s="9">
        <f>N321+P320</f>
        <v>381874.69256349676</v>
      </c>
      <c r="Q321" s="5" t="str">
        <f>TEXT(Table13[[#This Row],[Closing Date]],"yyyy")</f>
        <v>2023</v>
      </c>
      <c r="R321" s="5" t="str">
        <f>TEXT(Table13[[#This Row],[Closing Date]],"mmmm")</f>
        <v>November</v>
      </c>
      <c r="S321" s="5" t="s">
        <v>240</v>
      </c>
      <c r="T321" s="5" t="s">
        <v>301</v>
      </c>
    </row>
    <row r="322" spans="1:20" x14ac:dyDescent="0.25">
      <c r="A322" t="s">
        <v>201</v>
      </c>
      <c r="B322" t="s">
        <v>306</v>
      </c>
      <c r="C322" t="s">
        <v>12</v>
      </c>
      <c r="D322" t="s">
        <v>5</v>
      </c>
      <c r="E322" s="5"/>
      <c r="F322" s="7">
        <v>45247</v>
      </c>
      <c r="G322" t="s">
        <v>92</v>
      </c>
      <c r="H322">
        <v>3</v>
      </c>
      <c r="I322" s="5">
        <v>589192.74</v>
      </c>
      <c r="K322" s="5">
        <v>598507.26</v>
      </c>
      <c r="L322" s="5">
        <v>1963.9757999999999</v>
      </c>
      <c r="M322" s="5">
        <v>0</v>
      </c>
      <c r="N322" s="5">
        <v>-9314.5200000000186</v>
      </c>
      <c r="O322" s="3">
        <v>-1.58089524321023E-2</v>
      </c>
      <c r="P322" s="9">
        <f>N322+P321</f>
        <v>372560.17256349674</v>
      </c>
      <c r="Q322" s="5" t="str">
        <f>TEXT(Table13[[#This Row],[Closing Date]],"yyyy")</f>
        <v>2023</v>
      </c>
      <c r="R322" s="5" t="str">
        <f>TEXT(Table13[[#This Row],[Closing Date]],"mmmm")</f>
        <v>November</v>
      </c>
      <c r="S322" s="5" t="s">
        <v>240</v>
      </c>
      <c r="T322" s="5" t="s">
        <v>301</v>
      </c>
    </row>
    <row r="323" spans="1:20" x14ac:dyDescent="0.25">
      <c r="A323" t="s">
        <v>197</v>
      </c>
      <c r="B323" t="s">
        <v>302</v>
      </c>
      <c r="C323" t="s">
        <v>99</v>
      </c>
      <c r="D323" t="s">
        <v>7</v>
      </c>
      <c r="E323" s="5"/>
      <c r="F323" s="7">
        <v>45250</v>
      </c>
      <c r="G323" t="s">
        <v>100</v>
      </c>
      <c r="H323">
        <v>30</v>
      </c>
      <c r="I323" s="5">
        <v>5420.38</v>
      </c>
      <c r="J323" s="13">
        <v>100</v>
      </c>
      <c r="K323" s="5">
        <v>9784.32</v>
      </c>
      <c r="L323" s="5">
        <v>1.8067933333333335</v>
      </c>
      <c r="M323" s="5">
        <v>3.2614399999999999</v>
      </c>
      <c r="N323" s="5">
        <v>4363.9399999999996</v>
      </c>
      <c r="O323" s="3">
        <v>0.80509853552702926</v>
      </c>
      <c r="P323" s="9">
        <f>N323+P322</f>
        <v>376924.11256349675</v>
      </c>
      <c r="Q323" s="5" t="str">
        <f>TEXT(Table13[[#This Row],[Closing Date]],"yyyy")</f>
        <v>2023</v>
      </c>
      <c r="R323" s="5" t="str">
        <f>TEXT(Table13[[#This Row],[Closing Date]],"mmmm")</f>
        <v>November</v>
      </c>
      <c r="S323" s="5" t="s">
        <v>240</v>
      </c>
      <c r="T323" s="5" t="s">
        <v>301</v>
      </c>
    </row>
    <row r="324" spans="1:20" x14ac:dyDescent="0.25">
      <c r="A324" t="s">
        <v>197</v>
      </c>
      <c r="B324" t="s">
        <v>303</v>
      </c>
      <c r="C324" t="s">
        <v>102</v>
      </c>
      <c r="D324" t="s">
        <v>7</v>
      </c>
      <c r="E324" s="5"/>
      <c r="F324" s="7">
        <v>45250</v>
      </c>
      <c r="G324" t="s">
        <v>114</v>
      </c>
      <c r="H324">
        <v>20</v>
      </c>
      <c r="I324" s="5">
        <v>2910.5</v>
      </c>
      <c r="J324" s="13">
        <v>100</v>
      </c>
      <c r="K324" s="5">
        <v>0</v>
      </c>
      <c r="L324" s="5">
        <v>1.4552500000000002</v>
      </c>
      <c r="M324" s="5"/>
      <c r="N324" s="5">
        <v>-2910.5</v>
      </c>
      <c r="O324" s="3">
        <v>-1</v>
      </c>
      <c r="P324" s="9">
        <f>N324+P323</f>
        <v>374013.61256349675</v>
      </c>
      <c r="Q324" s="5" t="str">
        <f>TEXT(Table13[[#This Row],[Closing Date]],"yyyy")</f>
        <v>2023</v>
      </c>
      <c r="R324" s="5" t="str">
        <f>TEXT(Table13[[#This Row],[Closing Date]],"mmmm")</f>
        <v>November</v>
      </c>
      <c r="S324" s="5" t="s">
        <v>240</v>
      </c>
      <c r="T324" s="5" t="s">
        <v>301</v>
      </c>
    </row>
    <row r="325" spans="1:20" x14ac:dyDescent="0.25">
      <c r="A325" t="s">
        <v>201</v>
      </c>
      <c r="B325" t="s">
        <v>303</v>
      </c>
      <c r="C325" t="s">
        <v>16</v>
      </c>
      <c r="D325" t="s">
        <v>7</v>
      </c>
      <c r="E325" s="5"/>
      <c r="F325" s="7">
        <v>45250</v>
      </c>
      <c r="G325" t="s">
        <v>11</v>
      </c>
      <c r="H325">
        <v>950</v>
      </c>
      <c r="I325" s="5">
        <v>432067.84000000003</v>
      </c>
      <c r="K325" s="5">
        <v>466333.89</v>
      </c>
      <c r="L325" s="5">
        <v>454.80825263157897</v>
      </c>
      <c r="M325" s="5">
        <v>490.87777894736843</v>
      </c>
      <c r="N325" s="5">
        <v>34266.049999999988</v>
      </c>
      <c r="O325" s="3">
        <v>7.9307106032237867E-2</v>
      </c>
      <c r="P325" s="9">
        <f>N325+P324</f>
        <v>408279.66256349673</v>
      </c>
      <c r="Q325" s="5" t="str">
        <f>TEXT(Table13[[#This Row],[Closing Date]],"yyyy")</f>
        <v>2023</v>
      </c>
      <c r="R325" s="5" t="str">
        <f>TEXT(Table13[[#This Row],[Closing Date]],"mmmm")</f>
        <v>November</v>
      </c>
      <c r="S325" s="5" t="s">
        <v>240</v>
      </c>
      <c r="T325" s="5" t="s">
        <v>301</v>
      </c>
    </row>
    <row r="326" spans="1:20" x14ac:dyDescent="0.25">
      <c r="A326" t="s">
        <v>201</v>
      </c>
      <c r="B326" t="s">
        <v>303</v>
      </c>
      <c r="C326" t="s">
        <v>16</v>
      </c>
      <c r="D326" t="s">
        <v>7</v>
      </c>
      <c r="E326" s="5"/>
      <c r="F326" s="7">
        <v>45251</v>
      </c>
      <c r="G326" t="s">
        <v>154</v>
      </c>
      <c r="H326">
        <v>3500</v>
      </c>
      <c r="I326" s="5">
        <v>148004.74</v>
      </c>
      <c r="K326" s="5">
        <v>155267.64000000001</v>
      </c>
      <c r="L326" s="5">
        <v>42.28706857142857</v>
      </c>
      <c r="M326" s="5">
        <v>44.362182857142862</v>
      </c>
      <c r="N326" s="5">
        <v>7262.9000000000233</v>
      </c>
      <c r="O326" s="3">
        <v>4.9072077015911951E-2</v>
      </c>
      <c r="P326" s="9">
        <f>N326+P325</f>
        <v>415542.56256349676</v>
      </c>
      <c r="Q326" s="5" t="str">
        <f>TEXT(Table13[[#This Row],[Closing Date]],"yyyy")</f>
        <v>2023</v>
      </c>
      <c r="R326" s="5" t="str">
        <f>TEXT(Table13[[#This Row],[Closing Date]],"mmmm")</f>
        <v>November</v>
      </c>
      <c r="S326" s="5" t="s">
        <v>240</v>
      </c>
      <c r="T326" s="5" t="s">
        <v>301</v>
      </c>
    </row>
    <row r="327" spans="1:20" x14ac:dyDescent="0.25">
      <c r="A327" t="s">
        <v>201</v>
      </c>
      <c r="B327" t="s">
        <v>303</v>
      </c>
      <c r="C327" t="s">
        <v>16</v>
      </c>
      <c r="D327" t="s">
        <v>7</v>
      </c>
      <c r="E327" s="5"/>
      <c r="F327" s="7">
        <v>45254</v>
      </c>
      <c r="G327" t="s">
        <v>163</v>
      </c>
      <c r="H327">
        <v>15000</v>
      </c>
      <c r="I327" s="5">
        <v>293144.83</v>
      </c>
      <c r="K327" s="5">
        <v>288516.14</v>
      </c>
      <c r="L327" s="5">
        <v>19.542988666666666</v>
      </c>
      <c r="M327" s="5">
        <v>19.234409333333335</v>
      </c>
      <c r="N327" s="5">
        <v>-4628.6900000000023</v>
      </c>
      <c r="O327" s="3">
        <v>-1.5789771902168639E-2</v>
      </c>
      <c r="P327" s="9">
        <f>N327+P326</f>
        <v>410913.87256349676</v>
      </c>
      <c r="Q327" s="5" t="str">
        <f>TEXT(Table13[[#This Row],[Closing Date]],"yyyy")</f>
        <v>2023</v>
      </c>
      <c r="R327" s="5" t="str">
        <f>TEXT(Table13[[#This Row],[Closing Date]],"mmmm")</f>
        <v>November</v>
      </c>
      <c r="S327" s="5" t="s">
        <v>240</v>
      </c>
      <c r="T327" s="5" t="s">
        <v>301</v>
      </c>
    </row>
    <row r="328" spans="1:20" x14ac:dyDescent="0.25">
      <c r="A328" t="s">
        <v>201</v>
      </c>
      <c r="B328" t="s">
        <v>303</v>
      </c>
      <c r="C328" t="s">
        <v>12</v>
      </c>
      <c r="D328" t="s">
        <v>7</v>
      </c>
      <c r="E328" s="5"/>
      <c r="F328" s="7">
        <v>45254</v>
      </c>
      <c r="G328" t="s">
        <v>50</v>
      </c>
      <c r="H328">
        <v>10</v>
      </c>
      <c r="I328" s="5">
        <v>1035500</v>
      </c>
      <c r="K328" s="5">
        <v>1032927.8</v>
      </c>
      <c r="L328" s="5">
        <v>103.55</v>
      </c>
      <c r="M328" s="5">
        <v>0</v>
      </c>
      <c r="N328" s="5">
        <v>-2572.1999999999534</v>
      </c>
      <c r="O328" s="3">
        <v>-2.4840173829067634E-3</v>
      </c>
      <c r="P328" s="9">
        <f>N328+P327</f>
        <v>408341.6725634968</v>
      </c>
      <c r="Q328" s="5" t="str">
        <f>TEXT(Table13[[#This Row],[Closing Date]],"yyyy")</f>
        <v>2023</v>
      </c>
      <c r="R328" s="5" t="str">
        <f>TEXT(Table13[[#This Row],[Closing Date]],"mmmm")</f>
        <v>November</v>
      </c>
      <c r="S328" s="5" t="s">
        <v>240</v>
      </c>
      <c r="T328" s="5" t="s">
        <v>301</v>
      </c>
    </row>
    <row r="329" spans="1:20" x14ac:dyDescent="0.25">
      <c r="A329" t="s">
        <v>201</v>
      </c>
      <c r="B329" t="s">
        <v>303</v>
      </c>
      <c r="C329" t="s">
        <v>16</v>
      </c>
      <c r="D329" t="s">
        <v>7</v>
      </c>
      <c r="E329" s="5"/>
      <c r="F329" s="7">
        <v>45254</v>
      </c>
      <c r="G329" t="s">
        <v>145</v>
      </c>
      <c r="H329">
        <v>1700</v>
      </c>
      <c r="I329" s="5">
        <v>44616.05</v>
      </c>
      <c r="K329" s="5">
        <v>42231.92</v>
      </c>
      <c r="L329" s="5">
        <v>26.24473529411765</v>
      </c>
      <c r="M329" s="5">
        <v>24.842305882352939</v>
      </c>
      <c r="N329" s="5">
        <v>-2384.1300000000047</v>
      </c>
      <c r="O329" s="3">
        <v>-5.3436599609333515E-2</v>
      </c>
      <c r="P329" s="9">
        <f>N329+P328</f>
        <v>405957.5425634968</v>
      </c>
      <c r="Q329" s="5" t="str">
        <f>TEXT(Table13[[#This Row],[Closing Date]],"yyyy")</f>
        <v>2023</v>
      </c>
      <c r="R329" s="5" t="str">
        <f>TEXT(Table13[[#This Row],[Closing Date]],"mmmm")</f>
        <v>November</v>
      </c>
      <c r="S329" s="5" t="s">
        <v>240</v>
      </c>
      <c r="T329" s="5" t="s">
        <v>301</v>
      </c>
    </row>
    <row r="330" spans="1:20" x14ac:dyDescent="0.25">
      <c r="A330" t="s">
        <v>197</v>
      </c>
      <c r="B330" t="s">
        <v>305</v>
      </c>
      <c r="C330" t="s">
        <v>99</v>
      </c>
      <c r="D330" t="s">
        <v>7</v>
      </c>
      <c r="E330" s="5"/>
      <c r="F330" s="7">
        <v>45254</v>
      </c>
      <c r="G330" t="s">
        <v>10</v>
      </c>
      <c r="H330">
        <v>20</v>
      </c>
      <c r="I330" s="5">
        <v>6435.78</v>
      </c>
      <c r="J330" s="13">
        <v>100</v>
      </c>
      <c r="K330" s="5">
        <v>0</v>
      </c>
      <c r="L330" s="5">
        <v>3.2178899999999997</v>
      </c>
      <c r="M330" s="5"/>
      <c r="N330" s="5">
        <v>-6435.78</v>
      </c>
      <c r="O330" s="3">
        <v>-1</v>
      </c>
      <c r="P330" s="9">
        <f>N330+P329</f>
        <v>399521.76256349677</v>
      </c>
      <c r="Q330" s="5" t="str">
        <f>TEXT(Table13[[#This Row],[Closing Date]],"yyyy")</f>
        <v>2023</v>
      </c>
      <c r="R330" s="5" t="str">
        <f>TEXT(Table13[[#This Row],[Closing Date]],"mmmm")</f>
        <v>November</v>
      </c>
      <c r="S330" s="5" t="s">
        <v>240</v>
      </c>
      <c r="T330" s="5" t="s">
        <v>301</v>
      </c>
    </row>
    <row r="331" spans="1:20" x14ac:dyDescent="0.25">
      <c r="A331" t="s">
        <v>201</v>
      </c>
      <c r="B331" t="s">
        <v>303</v>
      </c>
      <c r="C331" t="s">
        <v>16</v>
      </c>
      <c r="D331" t="s">
        <v>7</v>
      </c>
      <c r="E331" s="5"/>
      <c r="F331" s="7">
        <v>45257</v>
      </c>
      <c r="G331" t="s">
        <v>114</v>
      </c>
      <c r="H331">
        <v>4200</v>
      </c>
      <c r="I331" s="5">
        <v>99050</v>
      </c>
      <c r="K331" s="5">
        <v>123131.4</v>
      </c>
      <c r="L331" s="5">
        <v>23.583333333333332</v>
      </c>
      <c r="M331" s="5">
        <v>29.317</v>
      </c>
      <c r="N331" s="5">
        <v>24081.399999999994</v>
      </c>
      <c r="O331" s="3">
        <v>0.24312367491166073</v>
      </c>
      <c r="P331" s="9">
        <f>N331+P330</f>
        <v>423603.16256349673</v>
      </c>
      <c r="Q331" s="5" t="str">
        <f>TEXT(Table13[[#This Row],[Closing Date]],"yyyy")</f>
        <v>2023</v>
      </c>
      <c r="R331" s="5" t="str">
        <f>TEXT(Table13[[#This Row],[Closing Date]],"mmmm")</f>
        <v>November</v>
      </c>
      <c r="S331" s="5" t="s">
        <v>240</v>
      </c>
      <c r="T331" s="5" t="s">
        <v>301</v>
      </c>
    </row>
    <row r="332" spans="1:20" x14ac:dyDescent="0.25">
      <c r="A332" t="s">
        <v>201</v>
      </c>
      <c r="B332" t="s">
        <v>303</v>
      </c>
      <c r="C332" t="s">
        <v>16</v>
      </c>
      <c r="D332" t="s">
        <v>7</v>
      </c>
      <c r="E332" s="5"/>
      <c r="F332" s="7">
        <v>45258</v>
      </c>
      <c r="G332" t="s">
        <v>161</v>
      </c>
      <c r="H332">
        <v>990</v>
      </c>
      <c r="I332" s="5">
        <v>127912.95</v>
      </c>
      <c r="K332" s="5">
        <v>128035.09</v>
      </c>
      <c r="L332" s="5">
        <v>129.20499999999998</v>
      </c>
      <c r="M332" s="5">
        <v>129.32837373737374</v>
      </c>
      <c r="N332" s="5">
        <v>122.13999999999942</v>
      </c>
      <c r="O332" s="3">
        <v>9.548681349308215E-4</v>
      </c>
      <c r="P332" s="9">
        <f>N332+P331</f>
        <v>423725.30256349675</v>
      </c>
      <c r="Q332" s="5" t="str">
        <f>TEXT(Table13[[#This Row],[Closing Date]],"yyyy")</f>
        <v>2023</v>
      </c>
      <c r="R332" s="5" t="str">
        <f>TEXT(Table13[[#This Row],[Closing Date]],"mmmm")</f>
        <v>November</v>
      </c>
      <c r="S332" s="5" t="s">
        <v>240</v>
      </c>
      <c r="T332" s="5" t="s">
        <v>301</v>
      </c>
    </row>
    <row r="333" spans="1:20" x14ac:dyDescent="0.25">
      <c r="A333" t="s">
        <v>201</v>
      </c>
      <c r="B333" t="s">
        <v>303</v>
      </c>
      <c r="C333" t="s">
        <v>16</v>
      </c>
      <c r="D333" t="s">
        <v>7</v>
      </c>
      <c r="E333" s="5"/>
      <c r="F333" s="7">
        <v>45258</v>
      </c>
      <c r="G333" t="s">
        <v>150</v>
      </c>
      <c r="H333">
        <v>6500</v>
      </c>
      <c r="I333" s="5">
        <v>228091.5</v>
      </c>
      <c r="K333" s="5">
        <v>249427.75</v>
      </c>
      <c r="L333" s="5">
        <v>35.091000000000001</v>
      </c>
      <c r="M333" s="5">
        <v>38.3735</v>
      </c>
      <c r="N333" s="5">
        <v>21336.25</v>
      </c>
      <c r="O333" s="3">
        <v>9.3542503775896957E-2</v>
      </c>
      <c r="P333" s="9">
        <f>N333+P332</f>
        <v>445061.55256349675</v>
      </c>
      <c r="Q333" s="5" t="str">
        <f>TEXT(Table13[[#This Row],[Closing Date]],"yyyy")</f>
        <v>2023</v>
      </c>
      <c r="R333" s="5" t="str">
        <f>TEXT(Table13[[#This Row],[Closing Date]],"mmmm")</f>
        <v>November</v>
      </c>
      <c r="S333" s="5" t="s">
        <v>240</v>
      </c>
      <c r="T333" s="5" t="s">
        <v>301</v>
      </c>
    </row>
    <row r="334" spans="1:20" x14ac:dyDescent="0.25">
      <c r="A334" t="s">
        <v>201</v>
      </c>
      <c r="B334" t="s">
        <v>303</v>
      </c>
      <c r="C334" t="s">
        <v>16</v>
      </c>
      <c r="D334" t="s">
        <v>7</v>
      </c>
      <c r="E334" s="5"/>
      <c r="F334" s="7">
        <v>45259</v>
      </c>
      <c r="G334" t="s">
        <v>164</v>
      </c>
      <c r="H334">
        <v>600</v>
      </c>
      <c r="I334" s="5">
        <v>62750.57</v>
      </c>
      <c r="K334" s="5">
        <v>69358.36</v>
      </c>
      <c r="L334" s="5">
        <v>104.58428333333333</v>
      </c>
      <c r="M334" s="5">
        <v>115.59726666666667</v>
      </c>
      <c r="N334" s="5">
        <v>6607.7900000000009</v>
      </c>
      <c r="O334" s="3">
        <v>0.10530246976242608</v>
      </c>
      <c r="P334" s="9">
        <f>N334+P333</f>
        <v>451669.34256349673</v>
      </c>
      <c r="Q334" s="5" t="str">
        <f>TEXT(Table13[[#This Row],[Closing Date]],"yyyy")</f>
        <v>2023</v>
      </c>
      <c r="R334" s="5" t="str">
        <f>TEXT(Table13[[#This Row],[Closing Date]],"mmmm")</f>
        <v>November</v>
      </c>
      <c r="S334" s="5" t="s">
        <v>240</v>
      </c>
      <c r="T334" s="5" t="s">
        <v>301</v>
      </c>
    </row>
    <row r="335" spans="1:20" x14ac:dyDescent="0.25">
      <c r="A335" t="s">
        <v>201</v>
      </c>
      <c r="B335" t="s">
        <v>303</v>
      </c>
      <c r="C335" t="s">
        <v>16</v>
      </c>
      <c r="D335" t="s">
        <v>7</v>
      </c>
      <c r="E335" s="5"/>
      <c r="F335" s="7">
        <v>45260</v>
      </c>
      <c r="G335" t="s">
        <v>162</v>
      </c>
      <c r="H335">
        <v>500</v>
      </c>
      <c r="I335" s="5">
        <v>164562.32</v>
      </c>
      <c r="K335" s="5">
        <v>165124.35999999999</v>
      </c>
      <c r="L335" s="5">
        <v>329.12464</v>
      </c>
      <c r="M335" s="5">
        <v>330.24871999999999</v>
      </c>
      <c r="N335" s="5">
        <v>562.03999999997905</v>
      </c>
      <c r="O335" s="3">
        <v>3.4153626419460969E-3</v>
      </c>
      <c r="P335" s="9">
        <f>N335+P334</f>
        <v>452231.38256349671</v>
      </c>
      <c r="Q335" s="5" t="str">
        <f>TEXT(Table13[[#This Row],[Closing Date]],"yyyy")</f>
        <v>2023</v>
      </c>
      <c r="R335" s="5" t="str">
        <f>TEXT(Table13[[#This Row],[Closing Date]],"mmmm")</f>
        <v>November</v>
      </c>
      <c r="S335" s="5" t="s">
        <v>240</v>
      </c>
      <c r="T335" s="5" t="s">
        <v>301</v>
      </c>
    </row>
    <row r="336" spans="1:20" x14ac:dyDescent="0.25">
      <c r="A336" t="s">
        <v>201</v>
      </c>
      <c r="B336" t="s">
        <v>303</v>
      </c>
      <c r="C336" t="s">
        <v>16</v>
      </c>
      <c r="D336" t="s">
        <v>7</v>
      </c>
      <c r="E336" s="5"/>
      <c r="F336" s="7">
        <v>45260</v>
      </c>
      <c r="G336" t="s">
        <v>37</v>
      </c>
      <c r="H336">
        <v>680</v>
      </c>
      <c r="I336" s="5">
        <v>161166.79999999999</v>
      </c>
      <c r="K336" s="5">
        <v>163226.79999999999</v>
      </c>
      <c r="L336" s="5">
        <v>237.01</v>
      </c>
      <c r="M336" s="5">
        <v>240.03941176470587</v>
      </c>
      <c r="N336" s="5">
        <v>2060</v>
      </c>
      <c r="O336" s="3">
        <v>1.2781788805138528E-2</v>
      </c>
      <c r="P336" s="9">
        <f>N336+P335</f>
        <v>454291.38256349671</v>
      </c>
      <c r="Q336" s="5" t="str">
        <f>TEXT(Table13[[#This Row],[Closing Date]],"yyyy")</f>
        <v>2023</v>
      </c>
      <c r="R336" s="5" t="str">
        <f>TEXT(Table13[[#This Row],[Closing Date]],"mmmm")</f>
        <v>November</v>
      </c>
      <c r="S336" s="5" t="s">
        <v>240</v>
      </c>
      <c r="T336" s="5" t="s">
        <v>301</v>
      </c>
    </row>
    <row r="337" spans="1:20" x14ac:dyDescent="0.25">
      <c r="A337" t="s">
        <v>201</v>
      </c>
      <c r="B337" t="s">
        <v>303</v>
      </c>
      <c r="C337" t="s">
        <v>12</v>
      </c>
      <c r="D337" t="s">
        <v>7</v>
      </c>
      <c r="E337" s="5"/>
      <c r="F337" s="7">
        <v>45261</v>
      </c>
      <c r="G337" t="s">
        <v>89</v>
      </c>
      <c r="H337">
        <v>6</v>
      </c>
      <c r="I337" s="5">
        <v>540853.19999999995</v>
      </c>
      <c r="K337" s="5">
        <v>557836.80000000005</v>
      </c>
      <c r="L337" s="5">
        <v>1802.8439999999998</v>
      </c>
      <c r="M337" s="5">
        <v>1859.4560000000001</v>
      </c>
      <c r="N337" s="5">
        <v>16983.600000000093</v>
      </c>
      <c r="O337" s="3">
        <v>3.1401496746252207E-2</v>
      </c>
      <c r="P337" s="9">
        <f>N337+P336</f>
        <v>471274.9825634968</v>
      </c>
      <c r="Q337" s="5" t="str">
        <f>TEXT(Table13[[#This Row],[Closing Date]],"yyyy")</f>
        <v>2023</v>
      </c>
      <c r="R337" s="5" t="str">
        <f>TEXT(Table13[[#This Row],[Closing Date]],"mmmm")</f>
        <v>December</v>
      </c>
      <c r="S337" s="5" t="s">
        <v>240</v>
      </c>
      <c r="T337" s="5" t="s">
        <v>301</v>
      </c>
    </row>
    <row r="338" spans="1:20" x14ac:dyDescent="0.25">
      <c r="A338" t="s">
        <v>201</v>
      </c>
      <c r="B338" t="s">
        <v>303</v>
      </c>
      <c r="C338" t="s">
        <v>16</v>
      </c>
      <c r="D338" t="s">
        <v>5</v>
      </c>
      <c r="E338" s="5"/>
      <c r="F338" s="7">
        <v>45264</v>
      </c>
      <c r="G338" t="s">
        <v>146</v>
      </c>
      <c r="H338">
        <v>2600</v>
      </c>
      <c r="I338" s="5">
        <v>96605.61</v>
      </c>
      <c r="K338" s="5">
        <v>98111</v>
      </c>
      <c r="L338" s="5">
        <v>37.156003846153844</v>
      </c>
      <c r="M338" s="5">
        <v>37.734999999999999</v>
      </c>
      <c r="N338" s="5">
        <v>-1505.3899999999994</v>
      </c>
      <c r="O338" s="3">
        <v>-1.558284244569233E-2</v>
      </c>
      <c r="P338" s="9">
        <f>N338+P337</f>
        <v>469769.59256349679</v>
      </c>
      <c r="Q338" s="5" t="str">
        <f>TEXT(Table13[[#This Row],[Closing Date]],"yyyy")</f>
        <v>2023</v>
      </c>
      <c r="R338" s="5" t="str">
        <f>TEXT(Table13[[#This Row],[Closing Date]],"mmmm")</f>
        <v>December</v>
      </c>
      <c r="S338" s="5" t="s">
        <v>240</v>
      </c>
      <c r="T338" s="5" t="s">
        <v>301</v>
      </c>
    </row>
    <row r="339" spans="1:20" x14ac:dyDescent="0.25">
      <c r="A339" t="s">
        <v>201</v>
      </c>
      <c r="B339" t="s">
        <v>303</v>
      </c>
      <c r="C339" t="s">
        <v>16</v>
      </c>
      <c r="D339" t="s">
        <v>7</v>
      </c>
      <c r="E339" s="5"/>
      <c r="F339" s="7">
        <v>45264</v>
      </c>
      <c r="G339" t="s">
        <v>37</v>
      </c>
      <c r="H339">
        <v>100</v>
      </c>
      <c r="I339" s="5">
        <v>23888.5</v>
      </c>
      <c r="K339" s="5">
        <v>23603</v>
      </c>
      <c r="L339" s="5">
        <v>238.88499999999999</v>
      </c>
      <c r="M339" s="5">
        <v>236.03</v>
      </c>
      <c r="N339" s="5">
        <v>-285.5</v>
      </c>
      <c r="O339" s="3">
        <v>-1.1951357347677752E-2</v>
      </c>
      <c r="P339" s="9">
        <f>N339+P338</f>
        <v>469484.09256349679</v>
      </c>
      <c r="Q339" s="5" t="str">
        <f>TEXT(Table13[[#This Row],[Closing Date]],"yyyy")</f>
        <v>2023</v>
      </c>
      <c r="R339" s="5" t="str">
        <f>TEXT(Table13[[#This Row],[Closing Date]],"mmmm")</f>
        <v>December</v>
      </c>
      <c r="S339" s="5" t="s">
        <v>240</v>
      </c>
      <c r="T339" s="5" t="s">
        <v>301</v>
      </c>
    </row>
    <row r="340" spans="1:20" x14ac:dyDescent="0.25">
      <c r="A340" t="s">
        <v>201</v>
      </c>
      <c r="B340" t="s">
        <v>303</v>
      </c>
      <c r="C340" t="s">
        <v>16</v>
      </c>
      <c r="D340" t="s">
        <v>5</v>
      </c>
      <c r="E340" s="5"/>
      <c r="F340" s="7">
        <v>45265</v>
      </c>
      <c r="G340" t="s">
        <v>115</v>
      </c>
      <c r="H340">
        <v>10000</v>
      </c>
      <c r="I340" s="5">
        <v>137450.18</v>
      </c>
      <c r="K340" s="5">
        <v>145050</v>
      </c>
      <c r="L340" s="5">
        <v>13.745018</v>
      </c>
      <c r="M340" s="5">
        <v>14.505000000000001</v>
      </c>
      <c r="N340" s="5">
        <v>-7599.820000000007</v>
      </c>
      <c r="O340" s="3">
        <v>-5.5291451782747809E-2</v>
      </c>
      <c r="P340" s="9">
        <f>N340+P339</f>
        <v>461884.27256349678</v>
      </c>
      <c r="Q340" s="5" t="str">
        <f>TEXT(Table13[[#This Row],[Closing Date]],"yyyy")</f>
        <v>2023</v>
      </c>
      <c r="R340" s="5" t="str">
        <f>TEXT(Table13[[#This Row],[Closing Date]],"mmmm")</f>
        <v>December</v>
      </c>
      <c r="S340" s="5" t="s">
        <v>240</v>
      </c>
      <c r="T340" s="5" t="s">
        <v>301</v>
      </c>
    </row>
    <row r="341" spans="1:20" x14ac:dyDescent="0.25">
      <c r="A341" t="s">
        <v>201</v>
      </c>
      <c r="B341" t="s">
        <v>303</v>
      </c>
      <c r="C341" t="s">
        <v>16</v>
      </c>
      <c r="D341" t="s">
        <v>7</v>
      </c>
      <c r="E341" s="5"/>
      <c r="F341" s="7">
        <v>45265</v>
      </c>
      <c r="G341" t="s">
        <v>168</v>
      </c>
      <c r="H341">
        <v>3900</v>
      </c>
      <c r="I341" s="5">
        <v>127959</v>
      </c>
      <c r="K341" s="5">
        <v>120721.86</v>
      </c>
      <c r="L341" s="5">
        <v>32.81</v>
      </c>
      <c r="M341" s="5">
        <v>30.954323076923078</v>
      </c>
      <c r="N341" s="5">
        <v>-7237.1399999999994</v>
      </c>
      <c r="O341" s="3">
        <v>-5.655827257168311E-2</v>
      </c>
      <c r="P341" s="9">
        <f>N341+P340</f>
        <v>454647.13256349677</v>
      </c>
      <c r="Q341" s="5" t="str">
        <f>TEXT(Table13[[#This Row],[Closing Date]],"yyyy")</f>
        <v>2023</v>
      </c>
      <c r="R341" s="5" t="str">
        <f>TEXT(Table13[[#This Row],[Closing Date]],"mmmm")</f>
        <v>December</v>
      </c>
      <c r="S341" s="5" t="s">
        <v>240</v>
      </c>
      <c r="T341" s="5" t="s">
        <v>301</v>
      </c>
    </row>
    <row r="342" spans="1:20" x14ac:dyDescent="0.25">
      <c r="A342" t="s">
        <v>201</v>
      </c>
      <c r="B342" t="s">
        <v>303</v>
      </c>
      <c r="C342" t="s">
        <v>16</v>
      </c>
      <c r="D342" t="s">
        <v>7</v>
      </c>
      <c r="E342" s="5"/>
      <c r="F342" s="7">
        <v>45265</v>
      </c>
      <c r="G342" t="s">
        <v>165</v>
      </c>
      <c r="H342">
        <v>1560</v>
      </c>
      <c r="I342" s="5">
        <v>147864.95999999999</v>
      </c>
      <c r="K342" s="5">
        <v>149231.34</v>
      </c>
      <c r="L342" s="5">
        <v>94.785230769230765</v>
      </c>
      <c r="M342" s="5">
        <v>95.661115384615385</v>
      </c>
      <c r="N342" s="5">
        <v>1366.3800000000047</v>
      </c>
      <c r="O342" s="3">
        <v>9.2407288379884236E-3</v>
      </c>
      <c r="P342" s="9">
        <f>N342+P341</f>
        <v>456013.51256349677</v>
      </c>
      <c r="Q342" s="5" t="str">
        <f>TEXT(Table13[[#This Row],[Closing Date]],"yyyy")</f>
        <v>2023</v>
      </c>
      <c r="R342" s="5" t="str">
        <f>TEXT(Table13[[#This Row],[Closing Date]],"mmmm")</f>
        <v>December</v>
      </c>
      <c r="S342" s="5" t="s">
        <v>240</v>
      </c>
      <c r="T342" s="5" t="s">
        <v>301</v>
      </c>
    </row>
    <row r="343" spans="1:20" x14ac:dyDescent="0.25">
      <c r="A343" t="s">
        <v>201</v>
      </c>
      <c r="B343" t="s">
        <v>302</v>
      </c>
      <c r="C343" t="s">
        <v>16</v>
      </c>
      <c r="D343" t="s">
        <v>7</v>
      </c>
      <c r="E343" s="5"/>
      <c r="F343" s="7">
        <v>45266</v>
      </c>
      <c r="G343" t="s">
        <v>11</v>
      </c>
      <c r="H343">
        <v>450</v>
      </c>
      <c r="I343" s="5">
        <v>207423.95</v>
      </c>
      <c r="K343" s="5">
        <v>204912.55</v>
      </c>
      <c r="L343" s="5">
        <v>460.94211111111116</v>
      </c>
      <c r="M343" s="5">
        <v>455.36122222222218</v>
      </c>
      <c r="N343" s="5">
        <v>-2511.4000000000233</v>
      </c>
      <c r="O343" s="3">
        <v>-1.2107570027472831E-2</v>
      </c>
      <c r="P343" s="9">
        <f>N343+P342</f>
        <v>453502.11256349675</v>
      </c>
      <c r="Q343" s="5" t="str">
        <f>TEXT(Table13[[#This Row],[Closing Date]],"yyyy")</f>
        <v>2023</v>
      </c>
      <c r="R343" s="5" t="str">
        <f>TEXT(Table13[[#This Row],[Closing Date]],"mmmm")</f>
        <v>December</v>
      </c>
      <c r="S343" s="5" t="s">
        <v>240</v>
      </c>
      <c r="T343" s="5" t="s">
        <v>301</v>
      </c>
    </row>
    <row r="344" spans="1:20" x14ac:dyDescent="0.25">
      <c r="A344" t="s">
        <v>201</v>
      </c>
      <c r="B344" t="s">
        <v>303</v>
      </c>
      <c r="C344" t="s">
        <v>16</v>
      </c>
      <c r="D344" t="s">
        <v>7</v>
      </c>
      <c r="E344" s="5"/>
      <c r="F344" s="7">
        <v>45267</v>
      </c>
      <c r="G344" t="s">
        <v>167</v>
      </c>
      <c r="H344">
        <v>5000</v>
      </c>
      <c r="I344" s="5">
        <v>122876.73999999999</v>
      </c>
      <c r="K344" s="5">
        <v>115424.35</v>
      </c>
      <c r="L344" s="5">
        <v>24.575347999999998</v>
      </c>
      <c r="M344" s="5">
        <v>23.084870000000002</v>
      </c>
      <c r="N344" s="5">
        <v>-7452.3899999999849</v>
      </c>
      <c r="O344" s="3">
        <v>-6.0649314101269169E-2</v>
      </c>
      <c r="P344" s="9">
        <f>N344+P343</f>
        <v>446049.72256349679</v>
      </c>
      <c r="Q344" s="5" t="str">
        <f>TEXT(Table13[[#This Row],[Closing Date]],"yyyy")</f>
        <v>2023</v>
      </c>
      <c r="R344" s="5" t="str">
        <f>TEXT(Table13[[#This Row],[Closing Date]],"mmmm")</f>
        <v>December</v>
      </c>
      <c r="S344" s="5" t="s">
        <v>240</v>
      </c>
      <c r="T344" s="5" t="s">
        <v>301</v>
      </c>
    </row>
    <row r="345" spans="1:20" x14ac:dyDescent="0.25">
      <c r="A345" t="s">
        <v>201</v>
      </c>
      <c r="B345" t="s">
        <v>303</v>
      </c>
      <c r="C345" t="s">
        <v>16</v>
      </c>
      <c r="D345" t="s">
        <v>7</v>
      </c>
      <c r="E345" s="5"/>
      <c r="F345" s="7">
        <v>45268</v>
      </c>
      <c r="G345" t="s">
        <v>166</v>
      </c>
      <c r="H345">
        <v>4000</v>
      </c>
      <c r="I345" s="5">
        <v>137577.45000000001</v>
      </c>
      <c r="K345" s="5">
        <v>129708.36</v>
      </c>
      <c r="L345" s="5">
        <v>34.3943625</v>
      </c>
      <c r="M345" s="5">
        <v>32.42709</v>
      </c>
      <c r="N345" s="5">
        <v>-7869.0900000000111</v>
      </c>
      <c r="O345" s="3">
        <v>-5.719752764715446E-2</v>
      </c>
      <c r="P345" s="9">
        <f>N345+P344</f>
        <v>438180.63256349677</v>
      </c>
      <c r="Q345" s="5" t="str">
        <f>TEXT(Table13[[#This Row],[Closing Date]],"yyyy")</f>
        <v>2023</v>
      </c>
      <c r="R345" s="5" t="str">
        <f>TEXT(Table13[[#This Row],[Closing Date]],"mmmm")</f>
        <v>December</v>
      </c>
      <c r="S345" s="5" t="s">
        <v>240</v>
      </c>
      <c r="T345" s="5" t="s">
        <v>301</v>
      </c>
    </row>
    <row r="346" spans="1:20" x14ac:dyDescent="0.25">
      <c r="A346" t="s">
        <v>197</v>
      </c>
      <c r="B346" t="s">
        <v>303</v>
      </c>
      <c r="C346" t="s">
        <v>102</v>
      </c>
      <c r="D346" t="s">
        <v>7</v>
      </c>
      <c r="E346" s="5"/>
      <c r="F346" s="7">
        <v>45273</v>
      </c>
      <c r="G346" t="s">
        <v>13</v>
      </c>
      <c r="H346">
        <v>270</v>
      </c>
      <c r="I346" s="5">
        <v>78064.740000000005</v>
      </c>
      <c r="J346" s="13">
        <v>100</v>
      </c>
      <c r="K346" s="5">
        <v>71447.86</v>
      </c>
      <c r="L346" s="5">
        <v>4.5047700000000006</v>
      </c>
      <c r="M346" s="5">
        <v>3.2476299999999996</v>
      </c>
      <c r="N346" s="5">
        <v>-6616.8800000000047</v>
      </c>
      <c r="O346" s="3">
        <v>-0.27906863169484808</v>
      </c>
      <c r="P346" s="9">
        <f>N346+P345</f>
        <v>431563.75256349676</v>
      </c>
      <c r="Q346" s="5" t="str">
        <f>TEXT(Table13[[#This Row],[Closing Date]],"yyyy")</f>
        <v>2023</v>
      </c>
      <c r="R346" s="5" t="str">
        <f>TEXT(Table13[[#This Row],[Closing Date]],"mmmm")</f>
        <v>December</v>
      </c>
      <c r="S346" s="5" t="s">
        <v>240</v>
      </c>
      <c r="T346" s="5" t="s">
        <v>301</v>
      </c>
    </row>
    <row r="347" spans="1:20" x14ac:dyDescent="0.25">
      <c r="A347" t="s">
        <v>197</v>
      </c>
      <c r="B347" t="s">
        <v>303</v>
      </c>
      <c r="C347" t="s">
        <v>99</v>
      </c>
      <c r="D347" t="s">
        <v>7</v>
      </c>
      <c r="E347" s="5"/>
      <c r="F347" s="7">
        <v>45273</v>
      </c>
      <c r="G347" t="s">
        <v>92</v>
      </c>
      <c r="H347">
        <v>4</v>
      </c>
      <c r="I347" s="5">
        <v>7369.48</v>
      </c>
      <c r="J347" s="13">
        <v>100</v>
      </c>
      <c r="K347" s="5">
        <v>12490.52</v>
      </c>
      <c r="L347" s="5">
        <v>18.4237</v>
      </c>
      <c r="M347" s="5">
        <v>31.226300000000002</v>
      </c>
      <c r="N347" s="5">
        <v>5121.0400000000009</v>
      </c>
      <c r="O347" s="3">
        <v>0.69489841888437187</v>
      </c>
      <c r="P347" s="9">
        <f>N347+P346</f>
        <v>436684.79256349674</v>
      </c>
      <c r="Q347" s="5" t="str">
        <f>TEXT(Table13[[#This Row],[Closing Date]],"yyyy")</f>
        <v>2023</v>
      </c>
      <c r="R347" s="5" t="str">
        <f>TEXT(Table13[[#This Row],[Closing Date]],"mmmm")</f>
        <v>December</v>
      </c>
      <c r="S347" s="5" t="s">
        <v>240</v>
      </c>
      <c r="T347" s="5" t="s">
        <v>301</v>
      </c>
    </row>
    <row r="348" spans="1:20" x14ac:dyDescent="0.25">
      <c r="A348" t="s">
        <v>201</v>
      </c>
      <c r="B348" t="s">
        <v>306</v>
      </c>
      <c r="C348" t="s">
        <v>4</v>
      </c>
      <c r="D348" t="s">
        <v>7</v>
      </c>
      <c r="E348" s="5"/>
      <c r="F348" s="7">
        <v>45273</v>
      </c>
      <c r="G348" t="s">
        <v>134</v>
      </c>
      <c r="H348">
        <v>270000</v>
      </c>
      <c r="I348" s="5">
        <v>5124513.5999999996</v>
      </c>
      <c r="K348" s="5">
        <v>5075478.17</v>
      </c>
      <c r="L348" s="5">
        <v>18.979679999999998</v>
      </c>
      <c r="M348" s="5">
        <v>18.798067296296296</v>
      </c>
      <c r="N348" s="5">
        <v>-2608</v>
      </c>
      <c r="O348" s="3">
        <v>-9.6592592592592598E-3</v>
      </c>
      <c r="P348" s="9">
        <f>N348+P347</f>
        <v>434076.79256349674</v>
      </c>
      <c r="Q348" s="5" t="str">
        <f>TEXT(Table13[[#This Row],[Closing Date]],"yyyy")</f>
        <v>2023</v>
      </c>
      <c r="R348" s="5" t="str">
        <f>TEXT(Table13[[#This Row],[Closing Date]],"mmmm")</f>
        <v>December</v>
      </c>
      <c r="S348" s="5" t="s">
        <v>240</v>
      </c>
      <c r="T348" s="5" t="s">
        <v>301</v>
      </c>
    </row>
    <row r="349" spans="1:20" x14ac:dyDescent="0.25">
      <c r="A349" t="s">
        <v>201</v>
      </c>
      <c r="B349" t="s">
        <v>303</v>
      </c>
      <c r="C349" t="s">
        <v>16</v>
      </c>
      <c r="D349" t="s">
        <v>7</v>
      </c>
      <c r="E349" s="5"/>
      <c r="F349" s="7">
        <v>45274</v>
      </c>
      <c r="G349" t="s">
        <v>170</v>
      </c>
      <c r="H349">
        <v>4800</v>
      </c>
      <c r="I349" s="5">
        <v>166416</v>
      </c>
      <c r="K349" s="5">
        <v>182373.84</v>
      </c>
      <c r="L349" s="5">
        <v>34.67</v>
      </c>
      <c r="M349" s="5">
        <v>37.994549999999997</v>
      </c>
      <c r="N349" s="5">
        <v>15957.839999999997</v>
      </c>
      <c r="O349" s="3">
        <v>9.5891260455725394E-2</v>
      </c>
      <c r="P349" s="9">
        <f>N349+P348</f>
        <v>450034.63256349671</v>
      </c>
      <c r="Q349" s="5" t="str">
        <f>TEXT(Table13[[#This Row],[Closing Date]],"yyyy")</f>
        <v>2023</v>
      </c>
      <c r="R349" s="5" t="str">
        <f>TEXT(Table13[[#This Row],[Closing Date]],"mmmm")</f>
        <v>December</v>
      </c>
      <c r="S349" s="5" t="s">
        <v>240</v>
      </c>
      <c r="T349" s="5" t="s">
        <v>301</v>
      </c>
    </row>
    <row r="350" spans="1:20" x14ac:dyDescent="0.25">
      <c r="A350" t="s">
        <v>201</v>
      </c>
      <c r="B350" t="s">
        <v>303</v>
      </c>
      <c r="C350" t="s">
        <v>16</v>
      </c>
      <c r="D350" t="s">
        <v>7</v>
      </c>
      <c r="E350" s="5"/>
      <c r="F350" s="7">
        <v>45274</v>
      </c>
      <c r="G350" t="s">
        <v>142</v>
      </c>
      <c r="H350">
        <v>3900</v>
      </c>
      <c r="I350" s="5">
        <v>155451.78</v>
      </c>
      <c r="K350" s="5">
        <v>176290.04</v>
      </c>
      <c r="L350" s="5">
        <v>39.859430769230769</v>
      </c>
      <c r="M350" s="5">
        <v>45.20257435897436</v>
      </c>
      <c r="N350" s="5">
        <v>20838.260000000009</v>
      </c>
      <c r="O350" s="3">
        <v>0.13404967122280625</v>
      </c>
      <c r="P350" s="9">
        <f>N350+P349</f>
        <v>470872.89256349672</v>
      </c>
      <c r="Q350" s="5" t="str">
        <f>TEXT(Table13[[#This Row],[Closing Date]],"yyyy")</f>
        <v>2023</v>
      </c>
      <c r="R350" s="5" t="str">
        <f>TEXT(Table13[[#This Row],[Closing Date]],"mmmm")</f>
        <v>December</v>
      </c>
      <c r="S350" s="5" t="s">
        <v>240</v>
      </c>
      <c r="T350" s="5" t="s">
        <v>301</v>
      </c>
    </row>
    <row r="351" spans="1:20" x14ac:dyDescent="0.25">
      <c r="A351" t="s">
        <v>201</v>
      </c>
      <c r="B351" t="s">
        <v>303</v>
      </c>
      <c r="C351" t="s">
        <v>16</v>
      </c>
      <c r="D351" t="s">
        <v>7</v>
      </c>
      <c r="E351" s="5"/>
      <c r="F351" s="7">
        <v>45274</v>
      </c>
      <c r="G351" t="s">
        <v>169</v>
      </c>
      <c r="H351">
        <v>6650</v>
      </c>
      <c r="I351" s="5">
        <v>238850</v>
      </c>
      <c r="K351" s="5">
        <v>288811.5</v>
      </c>
      <c r="L351" s="5">
        <v>35.917293233082709</v>
      </c>
      <c r="M351" s="5">
        <v>43.430300751879699</v>
      </c>
      <c r="N351" s="5">
        <v>49961.5</v>
      </c>
      <c r="O351" s="3">
        <v>0.20917521456981369</v>
      </c>
      <c r="P351" s="9">
        <f>N351+P350</f>
        <v>520834.39256349672</v>
      </c>
      <c r="Q351" s="5" t="str">
        <f>TEXT(Table13[[#This Row],[Closing Date]],"yyyy")</f>
        <v>2023</v>
      </c>
      <c r="R351" s="5" t="str">
        <f>TEXT(Table13[[#This Row],[Closing Date]],"mmmm")</f>
        <v>December</v>
      </c>
      <c r="S351" s="5" t="s">
        <v>240</v>
      </c>
      <c r="T351" s="5" t="s">
        <v>301</v>
      </c>
    </row>
    <row r="352" spans="1:20" x14ac:dyDescent="0.25">
      <c r="A352" t="s">
        <v>201</v>
      </c>
      <c r="B352" t="s">
        <v>305</v>
      </c>
      <c r="C352" t="s">
        <v>16</v>
      </c>
      <c r="D352" t="s">
        <v>7</v>
      </c>
      <c r="E352" s="5"/>
      <c r="F352" s="7">
        <v>45274</v>
      </c>
      <c r="G352" t="s">
        <v>196</v>
      </c>
      <c r="H352">
        <v>2400</v>
      </c>
      <c r="I352" s="5">
        <v>148042.25</v>
      </c>
      <c r="K352" s="5">
        <v>147925.35999999999</v>
      </c>
      <c r="L352" s="5">
        <v>61.684270833333336</v>
      </c>
      <c r="M352" s="5">
        <v>61.635566666666662</v>
      </c>
      <c r="N352" s="5">
        <v>-116.89000000001397</v>
      </c>
      <c r="O352" s="3">
        <v>-7.8957189586090432E-4</v>
      </c>
      <c r="P352" s="9">
        <f>N352+P351</f>
        <v>520717.5025634967</v>
      </c>
      <c r="Q352" s="5" t="str">
        <f>TEXT(Table13[[#This Row],[Closing Date]],"yyyy")</f>
        <v>2023</v>
      </c>
      <c r="R352" s="5" t="str">
        <f>TEXT(Table13[[#This Row],[Closing Date]],"mmmm")</f>
        <v>December</v>
      </c>
      <c r="S352" s="5" t="s">
        <v>240</v>
      </c>
      <c r="T352" s="5" t="s">
        <v>301</v>
      </c>
    </row>
    <row r="353" spans="1:20" x14ac:dyDescent="0.25">
      <c r="A353" t="s">
        <v>197</v>
      </c>
      <c r="B353" t="s">
        <v>302</v>
      </c>
      <c r="C353" t="s">
        <v>106</v>
      </c>
      <c r="D353" t="s">
        <v>5</v>
      </c>
      <c r="E353" s="5"/>
      <c r="F353" s="7">
        <v>45275</v>
      </c>
      <c r="G353" t="s">
        <v>105</v>
      </c>
      <c r="H353">
        <v>20</v>
      </c>
      <c r="I353" s="5">
        <v>-4672.33</v>
      </c>
      <c r="J353" s="13">
        <v>100</v>
      </c>
      <c r="K353" s="5">
        <v>-12498.03</v>
      </c>
      <c r="L353" s="5">
        <v>-2.3361649999999998</v>
      </c>
      <c r="M353" s="5">
        <v>-6.2490150000000009</v>
      </c>
      <c r="N353" s="5">
        <v>-7825.7000000000007</v>
      </c>
      <c r="O353" s="3">
        <v>-1.6749030997382468</v>
      </c>
      <c r="P353" s="9">
        <f>N353+P352</f>
        <v>512891.80256349669</v>
      </c>
      <c r="Q353" s="5" t="str">
        <f>TEXT(Table13[[#This Row],[Closing Date]],"yyyy")</f>
        <v>2023</v>
      </c>
      <c r="R353" s="5" t="str">
        <f>TEXT(Table13[[#This Row],[Closing Date]],"mmmm")</f>
        <v>December</v>
      </c>
      <c r="S353" s="5" t="s">
        <v>240</v>
      </c>
      <c r="T353" s="5" t="s">
        <v>301</v>
      </c>
    </row>
    <row r="354" spans="1:20" x14ac:dyDescent="0.25">
      <c r="A354" t="s">
        <v>197</v>
      </c>
      <c r="B354" t="s">
        <v>302</v>
      </c>
      <c r="C354" t="s">
        <v>106</v>
      </c>
      <c r="D354" t="s">
        <v>7</v>
      </c>
      <c r="E354" s="5"/>
      <c r="F354" s="7">
        <v>45275</v>
      </c>
      <c r="G354" t="s">
        <v>107</v>
      </c>
      <c r="H354">
        <v>12</v>
      </c>
      <c r="I354" s="5">
        <v>-4327.34</v>
      </c>
      <c r="J354" s="13">
        <v>100</v>
      </c>
      <c r="K354" s="5">
        <v>-2650.64</v>
      </c>
      <c r="L354" s="5">
        <v>-3.6061166666666669</v>
      </c>
      <c r="M354" s="5">
        <v>-2.2088666666666668</v>
      </c>
      <c r="N354" s="5">
        <v>1676.7000000000003</v>
      </c>
      <c r="O354" s="3">
        <v>0.38746666543419284</v>
      </c>
      <c r="P354" s="9">
        <f>N354+P353</f>
        <v>514568.5025634967</v>
      </c>
      <c r="Q354" s="5" t="str">
        <f>TEXT(Table13[[#This Row],[Closing Date]],"yyyy")</f>
        <v>2023</v>
      </c>
      <c r="R354" s="5" t="str">
        <f>TEXT(Table13[[#This Row],[Closing Date]],"mmmm")</f>
        <v>December</v>
      </c>
      <c r="S354" s="5" t="s">
        <v>240</v>
      </c>
      <c r="T354" s="5" t="s">
        <v>301</v>
      </c>
    </row>
    <row r="355" spans="1:20" x14ac:dyDescent="0.25">
      <c r="A355" t="s">
        <v>201</v>
      </c>
      <c r="B355" t="s">
        <v>303</v>
      </c>
      <c r="C355" t="s">
        <v>16</v>
      </c>
      <c r="D355" t="s">
        <v>7</v>
      </c>
      <c r="E355" s="5"/>
      <c r="F355" s="7">
        <v>45276</v>
      </c>
      <c r="G355" t="s">
        <v>145</v>
      </c>
      <c r="H355">
        <v>3200</v>
      </c>
      <c r="I355" s="5">
        <v>85616</v>
      </c>
      <c r="K355" s="5">
        <v>89184.47</v>
      </c>
      <c r="L355" s="5">
        <v>26.754999999999999</v>
      </c>
      <c r="M355" s="5">
        <v>27.870146875</v>
      </c>
      <c r="N355" s="5">
        <v>3568.4700000000012</v>
      </c>
      <c r="O355" s="3">
        <v>4.167994300130818E-2</v>
      </c>
      <c r="P355" s="9">
        <f>N355+P354</f>
        <v>518136.97256349667</v>
      </c>
      <c r="Q355" s="5" t="str">
        <f>TEXT(Table13[[#This Row],[Closing Date]],"yyyy")</f>
        <v>2023</v>
      </c>
      <c r="R355" s="5" t="str">
        <f>TEXT(Table13[[#This Row],[Closing Date]],"mmmm")</f>
        <v>December</v>
      </c>
      <c r="S355" s="5" t="s">
        <v>240</v>
      </c>
      <c r="T355" s="5" t="s">
        <v>301</v>
      </c>
    </row>
    <row r="356" spans="1:20" x14ac:dyDescent="0.25">
      <c r="A356" t="s">
        <v>201</v>
      </c>
      <c r="B356" t="s">
        <v>303</v>
      </c>
      <c r="C356" t="s">
        <v>16</v>
      </c>
      <c r="D356" t="s">
        <v>7</v>
      </c>
      <c r="E356" s="5"/>
      <c r="F356" s="7">
        <v>45279</v>
      </c>
      <c r="G356" t="s">
        <v>171</v>
      </c>
      <c r="H356">
        <v>1000</v>
      </c>
      <c r="I356" s="5">
        <v>146449.5</v>
      </c>
      <c r="K356" s="5">
        <v>146442.18</v>
      </c>
      <c r="L356" s="5">
        <v>146.4495</v>
      </c>
      <c r="M356" s="5">
        <v>146.44217999999998</v>
      </c>
      <c r="N356" s="5">
        <v>-7.3200000000069849</v>
      </c>
      <c r="O356" s="3">
        <v>-4.9983099976490085E-5</v>
      </c>
      <c r="P356" s="9">
        <f>N356+P355</f>
        <v>518129.65256349667</v>
      </c>
      <c r="Q356" s="5" t="str">
        <f>TEXT(Table13[[#This Row],[Closing Date]],"yyyy")</f>
        <v>2023</v>
      </c>
      <c r="R356" s="5" t="str">
        <f>TEXT(Table13[[#This Row],[Closing Date]],"mmmm")</f>
        <v>December</v>
      </c>
      <c r="S356" s="5" t="s">
        <v>240</v>
      </c>
      <c r="T356" s="5" t="s">
        <v>301</v>
      </c>
    </row>
    <row r="357" spans="1:20" x14ac:dyDescent="0.25">
      <c r="A357" t="s">
        <v>201</v>
      </c>
      <c r="B357" t="s">
        <v>303</v>
      </c>
      <c r="C357" t="s">
        <v>16</v>
      </c>
      <c r="D357" t="s">
        <v>7</v>
      </c>
      <c r="E357" s="5"/>
      <c r="F357" s="7">
        <v>45281</v>
      </c>
      <c r="G357" t="s">
        <v>115</v>
      </c>
      <c r="H357">
        <v>8400</v>
      </c>
      <c r="I357" s="5">
        <v>140308.29</v>
      </c>
      <c r="K357" s="5">
        <v>142787.29</v>
      </c>
      <c r="L357" s="5">
        <v>16.703367857142858</v>
      </c>
      <c r="M357" s="5">
        <v>16.998486904761904</v>
      </c>
      <c r="N357" s="5">
        <v>-2479</v>
      </c>
      <c r="O357" s="3">
        <v>-1.7668236139147586E-2</v>
      </c>
      <c r="P357" s="9">
        <f>N357+P356</f>
        <v>515650.65256349667</v>
      </c>
      <c r="Q357" s="5" t="str">
        <f>TEXT(Table13[[#This Row],[Closing Date]],"yyyy")</f>
        <v>2023</v>
      </c>
      <c r="R357" s="5" t="str">
        <f>TEXT(Table13[[#This Row],[Closing Date]],"mmmm")</f>
        <v>December</v>
      </c>
      <c r="S357" s="5" t="s">
        <v>240</v>
      </c>
      <c r="T357" s="5" t="s">
        <v>301</v>
      </c>
    </row>
    <row r="358" spans="1:20" x14ac:dyDescent="0.25">
      <c r="A358" t="s">
        <v>201</v>
      </c>
      <c r="B358" t="s">
        <v>306</v>
      </c>
      <c r="C358" t="s">
        <v>16</v>
      </c>
      <c r="D358" t="s">
        <v>7</v>
      </c>
      <c r="E358" s="5"/>
      <c r="F358" s="7">
        <v>45281</v>
      </c>
      <c r="G358" t="s">
        <v>172</v>
      </c>
      <c r="H358">
        <v>1400</v>
      </c>
      <c r="I358" s="5">
        <v>292937.15000000002</v>
      </c>
      <c r="K358" s="5">
        <v>303089.15000000002</v>
      </c>
      <c r="L358" s="5">
        <v>209.24082142857145</v>
      </c>
      <c r="M358" s="5">
        <v>216.49225000000001</v>
      </c>
      <c r="N358" s="5">
        <v>-10152</v>
      </c>
      <c r="O358" s="3">
        <v>-3.4655898031369523E-2</v>
      </c>
      <c r="P358" s="9">
        <f>N358+P357</f>
        <v>505498.65256349667</v>
      </c>
      <c r="Q358" s="5" t="str">
        <f>TEXT(Table13[[#This Row],[Closing Date]],"yyyy")</f>
        <v>2023</v>
      </c>
      <c r="R358" s="5" t="str">
        <f>TEXT(Table13[[#This Row],[Closing Date]],"mmmm")</f>
        <v>December</v>
      </c>
      <c r="S358" s="5" t="s">
        <v>240</v>
      </c>
      <c r="T358" s="5" t="s">
        <v>301</v>
      </c>
    </row>
    <row r="359" spans="1:20" x14ac:dyDescent="0.25">
      <c r="A359" t="s">
        <v>201</v>
      </c>
      <c r="B359" t="s">
        <v>303</v>
      </c>
      <c r="C359" t="s">
        <v>16</v>
      </c>
      <c r="D359" t="s">
        <v>7</v>
      </c>
      <c r="E359" s="5"/>
      <c r="F359" s="7">
        <v>45282</v>
      </c>
      <c r="G359" t="s">
        <v>72</v>
      </c>
      <c r="H359">
        <v>500</v>
      </c>
      <c r="I359" s="5">
        <v>157097.5</v>
      </c>
      <c r="K359" s="5">
        <v>148832.34</v>
      </c>
      <c r="L359" s="5">
        <v>314.19499999999999</v>
      </c>
      <c r="M359" s="5">
        <v>297.66467999999998</v>
      </c>
      <c r="N359" s="5">
        <v>-8265.1600000000035</v>
      </c>
      <c r="O359" s="3">
        <v>-5.2611658365028111E-2</v>
      </c>
      <c r="P359" s="9">
        <f>N359+P358</f>
        <v>497233.49256349669</v>
      </c>
      <c r="Q359" s="5" t="str">
        <f>TEXT(Table13[[#This Row],[Closing Date]],"yyyy")</f>
        <v>2023</v>
      </c>
      <c r="R359" s="5" t="str">
        <f>TEXT(Table13[[#This Row],[Closing Date]],"mmmm")</f>
        <v>December</v>
      </c>
      <c r="S359" s="5" t="s">
        <v>240</v>
      </c>
      <c r="T359" s="5" t="s">
        <v>301</v>
      </c>
    </row>
    <row r="360" spans="1:20" x14ac:dyDescent="0.25">
      <c r="A360" t="s">
        <v>201</v>
      </c>
      <c r="B360" t="s">
        <v>303</v>
      </c>
      <c r="C360" t="s">
        <v>16</v>
      </c>
      <c r="D360" t="s">
        <v>7</v>
      </c>
      <c r="E360" s="5"/>
      <c r="F360" s="7">
        <v>45282</v>
      </c>
      <c r="G360" t="s">
        <v>37</v>
      </c>
      <c r="H360">
        <v>1950</v>
      </c>
      <c r="I360" s="5">
        <v>495094.9</v>
      </c>
      <c r="K360" s="5">
        <v>492283.8</v>
      </c>
      <c r="L360" s="5">
        <v>253.89482051282053</v>
      </c>
      <c r="M360" s="5">
        <v>252.45323076923077</v>
      </c>
      <c r="N360" s="5">
        <v>-2811.1000000000349</v>
      </c>
      <c r="O360" s="3">
        <v>-5.6779013478022791E-3</v>
      </c>
      <c r="P360" s="9">
        <f>N360+P359</f>
        <v>494422.39256349666</v>
      </c>
      <c r="Q360" s="5" t="str">
        <f>TEXT(Table13[[#This Row],[Closing Date]],"yyyy")</f>
        <v>2023</v>
      </c>
      <c r="R360" s="5" t="str">
        <f>TEXT(Table13[[#This Row],[Closing Date]],"mmmm")</f>
        <v>December</v>
      </c>
      <c r="S360" s="5" t="s">
        <v>240</v>
      </c>
      <c r="T360" s="5" t="s">
        <v>301</v>
      </c>
    </row>
    <row r="361" spans="1:20" x14ac:dyDescent="0.25">
      <c r="A361" t="s">
        <v>201</v>
      </c>
      <c r="B361" t="s">
        <v>302</v>
      </c>
      <c r="C361" t="s">
        <v>12</v>
      </c>
      <c r="D361" t="s">
        <v>7</v>
      </c>
      <c r="E361" s="5"/>
      <c r="F361" s="7">
        <v>45287</v>
      </c>
      <c r="G361" t="s">
        <v>86</v>
      </c>
      <c r="H361">
        <v>100</v>
      </c>
      <c r="I361" s="5">
        <v>389557</v>
      </c>
      <c r="K361" s="5">
        <v>382142</v>
      </c>
      <c r="L361" s="5">
        <v>3.8955700000000002</v>
      </c>
      <c r="M361" s="5">
        <v>38.214199999999998</v>
      </c>
      <c r="N361" s="5">
        <v>-7415</v>
      </c>
      <c r="O361" s="3">
        <v>-1.9034441686325749E-2</v>
      </c>
      <c r="P361" s="9">
        <f>N361+P360</f>
        <v>487007.39256349666</v>
      </c>
      <c r="Q361" s="5" t="str">
        <f>TEXT(Table13[[#This Row],[Closing Date]],"yyyy")</f>
        <v>2023</v>
      </c>
      <c r="R361" s="5" t="str">
        <f>TEXT(Table13[[#This Row],[Closing Date]],"mmmm")</f>
        <v>December</v>
      </c>
      <c r="S361" s="5" t="s">
        <v>240</v>
      </c>
      <c r="T361" s="5" t="s">
        <v>301</v>
      </c>
    </row>
    <row r="362" spans="1:20" x14ac:dyDescent="0.25">
      <c r="A362" t="s">
        <v>201</v>
      </c>
      <c r="B362" t="s">
        <v>303</v>
      </c>
      <c r="C362" t="s">
        <v>16</v>
      </c>
      <c r="D362" t="s">
        <v>7</v>
      </c>
      <c r="E362" s="5"/>
      <c r="F362" s="7">
        <v>45289</v>
      </c>
      <c r="G362" t="s">
        <v>173</v>
      </c>
      <c r="H362">
        <v>25000</v>
      </c>
      <c r="I362" s="5">
        <v>541504</v>
      </c>
      <c r="K362" s="5">
        <v>524120.48</v>
      </c>
      <c r="L362" s="5">
        <v>21.660160000000001</v>
      </c>
      <c r="M362" s="5">
        <v>20.964819200000001</v>
      </c>
      <c r="N362" s="5">
        <v>-17383.520000000019</v>
      </c>
      <c r="O362" s="3">
        <v>-3.2102292873182871E-2</v>
      </c>
      <c r="P362" s="9">
        <f>N362+P361</f>
        <v>469623.87256349664</v>
      </c>
      <c r="Q362" s="5" t="str">
        <f>TEXT(Table13[[#This Row],[Closing Date]],"yyyy")</f>
        <v>2023</v>
      </c>
      <c r="R362" s="5" t="str">
        <f>TEXT(Table13[[#This Row],[Closing Date]],"mmmm")</f>
        <v>December</v>
      </c>
      <c r="S362" s="5" t="s">
        <v>240</v>
      </c>
      <c r="T362" s="5" t="s">
        <v>301</v>
      </c>
    </row>
    <row r="363" spans="1:20" x14ac:dyDescent="0.25">
      <c r="A363" t="s">
        <v>201</v>
      </c>
      <c r="B363" t="s">
        <v>303</v>
      </c>
      <c r="C363" t="s">
        <v>16</v>
      </c>
      <c r="D363" t="s">
        <v>7</v>
      </c>
      <c r="E363" s="5"/>
      <c r="F363" s="7">
        <v>45289</v>
      </c>
      <c r="G363" t="s">
        <v>96</v>
      </c>
      <c r="H363">
        <v>1000</v>
      </c>
      <c r="I363" s="5">
        <v>154579.20000000001</v>
      </c>
      <c r="K363" s="5">
        <v>152718.63</v>
      </c>
      <c r="L363" s="5">
        <v>154.57920000000001</v>
      </c>
      <c r="M363" s="5">
        <v>152.71863000000002</v>
      </c>
      <c r="N363" s="5">
        <v>-1860.570000000007</v>
      </c>
      <c r="O363" s="3">
        <v>-1.2036354179605063E-2</v>
      </c>
      <c r="P363" s="9">
        <f>N363+P362</f>
        <v>467763.30256349663</v>
      </c>
      <c r="Q363" s="5" t="str">
        <f>TEXT(Table13[[#This Row],[Closing Date]],"yyyy")</f>
        <v>2023</v>
      </c>
      <c r="R363" s="5" t="str">
        <f>TEXT(Table13[[#This Row],[Closing Date]],"mmmm")</f>
        <v>December</v>
      </c>
      <c r="S363" s="5" t="s">
        <v>240</v>
      </c>
      <c r="T363" s="5" t="s">
        <v>301</v>
      </c>
    </row>
    <row r="364" spans="1:20" x14ac:dyDescent="0.25">
      <c r="A364" t="s">
        <v>201</v>
      </c>
      <c r="B364" t="s">
        <v>303</v>
      </c>
      <c r="C364" t="s">
        <v>16</v>
      </c>
      <c r="D364" t="s">
        <v>7</v>
      </c>
      <c r="E364" s="5"/>
      <c r="F364" s="7">
        <v>45289</v>
      </c>
      <c r="G364" t="s">
        <v>169</v>
      </c>
      <c r="H364">
        <v>4500</v>
      </c>
      <c r="I364" s="5">
        <v>201982</v>
      </c>
      <c r="K364" s="5">
        <v>200402.69</v>
      </c>
      <c r="L364" s="5">
        <v>44.884888888888888</v>
      </c>
      <c r="M364" s="5">
        <v>44.533931111111109</v>
      </c>
      <c r="N364" s="5">
        <v>-1579.3099999999977</v>
      </c>
      <c r="O364" s="3">
        <v>-7.8190630848293304E-3</v>
      </c>
      <c r="P364" s="9">
        <f>N364+P363</f>
        <v>466183.99256349663</v>
      </c>
      <c r="Q364" s="5" t="str">
        <f>TEXT(Table13[[#This Row],[Closing Date]],"yyyy")</f>
        <v>2023</v>
      </c>
      <c r="R364" s="5" t="str">
        <f>TEXT(Table13[[#This Row],[Closing Date]],"mmmm")</f>
        <v>December</v>
      </c>
      <c r="S364" s="5" t="s">
        <v>240</v>
      </c>
      <c r="T364" s="5" t="s">
        <v>301</v>
      </c>
    </row>
    <row r="365" spans="1:20" x14ac:dyDescent="0.25">
      <c r="A365" t="s">
        <v>201</v>
      </c>
      <c r="B365" t="s">
        <v>303</v>
      </c>
      <c r="C365" t="s">
        <v>16</v>
      </c>
      <c r="D365" t="s">
        <v>7</v>
      </c>
      <c r="E365" s="5"/>
      <c r="F365" s="7">
        <v>45289</v>
      </c>
      <c r="G365" t="s">
        <v>142</v>
      </c>
      <c r="H365">
        <v>4000</v>
      </c>
      <c r="I365" s="5">
        <v>218020</v>
      </c>
      <c r="K365" s="5">
        <v>217734.71</v>
      </c>
      <c r="L365" s="5">
        <v>54.505000000000003</v>
      </c>
      <c r="M365" s="5">
        <v>54.433677499999995</v>
      </c>
      <c r="N365" s="5">
        <v>-285.29000000000815</v>
      </c>
      <c r="O365" s="3">
        <v>-1.3085496743418408E-3</v>
      </c>
      <c r="P365" s="9">
        <f>N365+P364</f>
        <v>465898.70256349666</v>
      </c>
      <c r="Q365" s="5" t="str">
        <f>TEXT(Table13[[#This Row],[Closing Date]],"yyyy")</f>
        <v>2023</v>
      </c>
      <c r="R365" s="5" t="str">
        <f>TEXT(Table13[[#This Row],[Closing Date]],"mmmm")</f>
        <v>December</v>
      </c>
      <c r="S365" s="5" t="s">
        <v>240</v>
      </c>
      <c r="T365" s="5" t="s">
        <v>301</v>
      </c>
    </row>
    <row r="366" spans="1:20" x14ac:dyDescent="0.25">
      <c r="A366" t="s">
        <v>201</v>
      </c>
      <c r="B366" t="s">
        <v>303</v>
      </c>
      <c r="C366" t="s">
        <v>16</v>
      </c>
      <c r="D366" t="s">
        <v>7</v>
      </c>
      <c r="E366" s="5"/>
      <c r="F366" s="7">
        <v>45293</v>
      </c>
      <c r="G366" t="s">
        <v>206</v>
      </c>
      <c r="H366">
        <v>6500</v>
      </c>
      <c r="I366" s="5">
        <v>907237.5</v>
      </c>
      <c r="K366" s="5">
        <v>908141.81</v>
      </c>
      <c r="L366" s="5">
        <v>139.57499999999999</v>
      </c>
      <c r="M366" s="5">
        <v>139.71412461538463</v>
      </c>
      <c r="N366" s="5">
        <v>864.31000000005588</v>
      </c>
      <c r="O366" s="3">
        <v>9.5268328304336616E-4</v>
      </c>
      <c r="P366" s="9">
        <f>N366+P365</f>
        <v>466763.01256349671</v>
      </c>
      <c r="Q366" s="5" t="str">
        <f>TEXT(Table13[[#This Row],[Closing Date]],"yyyy")</f>
        <v>2024</v>
      </c>
      <c r="R366" s="5" t="str">
        <f>TEXT(Table13[[#This Row],[Closing Date]],"mmmm")</f>
        <v>January</v>
      </c>
      <c r="S366" s="5" t="s">
        <v>240</v>
      </c>
      <c r="T366" s="5" t="s">
        <v>301</v>
      </c>
    </row>
    <row r="367" spans="1:20" x14ac:dyDescent="0.25">
      <c r="A367" t="s">
        <v>201</v>
      </c>
      <c r="B367" t="s">
        <v>303</v>
      </c>
      <c r="C367" t="s">
        <v>12</v>
      </c>
      <c r="D367" t="s">
        <v>7</v>
      </c>
      <c r="E367" s="5"/>
      <c r="F367" s="7">
        <v>45293</v>
      </c>
      <c r="G367" t="s">
        <v>13</v>
      </c>
      <c r="H367">
        <v>5</v>
      </c>
      <c r="I367" s="5">
        <v>350011.85</v>
      </c>
      <c r="K367" s="5">
        <v>368760.52</v>
      </c>
      <c r="L367" s="5">
        <v>70.002369999999999</v>
      </c>
      <c r="M367" s="5">
        <v>0</v>
      </c>
      <c r="N367" s="5">
        <v>18748.670000000042</v>
      </c>
      <c r="O367" s="3">
        <v>5.3565814985978455E-2</v>
      </c>
      <c r="P367" s="9">
        <f>N367+P366</f>
        <v>485511.68256349675</v>
      </c>
      <c r="Q367" s="5" t="str">
        <f>TEXT(Table13[[#This Row],[Closing Date]],"yyyy")</f>
        <v>2024</v>
      </c>
      <c r="R367" s="5" t="str">
        <f>TEXT(Table13[[#This Row],[Closing Date]],"mmmm")</f>
        <v>January</v>
      </c>
      <c r="S367" s="5" t="s">
        <v>240</v>
      </c>
      <c r="T367" s="5" t="s">
        <v>301</v>
      </c>
    </row>
    <row r="368" spans="1:20" x14ac:dyDescent="0.25">
      <c r="A368" t="s">
        <v>201</v>
      </c>
      <c r="B368" t="s">
        <v>303</v>
      </c>
      <c r="C368" t="s">
        <v>16</v>
      </c>
      <c r="D368" t="s">
        <v>7</v>
      </c>
      <c r="E368" s="5"/>
      <c r="F368" s="7">
        <v>45295</v>
      </c>
      <c r="G368" t="s">
        <v>15</v>
      </c>
      <c r="H368">
        <v>2200</v>
      </c>
      <c r="I368" s="5">
        <v>432051.05</v>
      </c>
      <c r="K368" s="5">
        <v>428435.3</v>
      </c>
      <c r="L368" s="5">
        <v>196.38684090909089</v>
      </c>
      <c r="M368" s="5">
        <v>194.74331818181818</v>
      </c>
      <c r="N368" s="5">
        <v>-3615.75</v>
      </c>
      <c r="O368" s="3">
        <v>-8.368802714401458E-3</v>
      </c>
      <c r="P368" s="9">
        <f>N368+P367</f>
        <v>481895.93256349675</v>
      </c>
      <c r="Q368" s="5" t="str">
        <f>TEXT(Table13[[#This Row],[Closing Date]],"yyyy")</f>
        <v>2024</v>
      </c>
      <c r="R368" s="5" t="str">
        <f>TEXT(Table13[[#This Row],[Closing Date]],"mmmm")</f>
        <v>January</v>
      </c>
      <c r="S368" s="5" t="s">
        <v>240</v>
      </c>
      <c r="T368" s="5" t="s">
        <v>301</v>
      </c>
    </row>
    <row r="369" spans="1:20" x14ac:dyDescent="0.25">
      <c r="A369" t="s">
        <v>201</v>
      </c>
      <c r="B369" t="s">
        <v>303</v>
      </c>
      <c r="C369" t="s">
        <v>16</v>
      </c>
      <c r="D369" t="s">
        <v>7</v>
      </c>
      <c r="E369" s="5"/>
      <c r="F369" s="7">
        <v>45295</v>
      </c>
      <c r="G369" t="s">
        <v>169</v>
      </c>
      <c r="H369">
        <v>5000</v>
      </c>
      <c r="I369" s="5">
        <v>176750</v>
      </c>
      <c r="K369" s="5">
        <v>175956.91</v>
      </c>
      <c r="L369" s="5">
        <v>35.35</v>
      </c>
      <c r="M369" s="5">
        <v>35.191381999999997</v>
      </c>
      <c r="N369" s="5">
        <v>-833.08999999999651</v>
      </c>
      <c r="O369" s="3">
        <v>-4.7133804809052137E-3</v>
      </c>
      <c r="P369" s="9">
        <f>N369+P368</f>
        <v>481062.84256349679</v>
      </c>
      <c r="Q369" s="5" t="str">
        <f>TEXT(Table13[[#This Row],[Closing Date]],"yyyy")</f>
        <v>2024</v>
      </c>
      <c r="R369" s="5" t="str">
        <f>TEXT(Table13[[#This Row],[Closing Date]],"mmmm")</f>
        <v>January</v>
      </c>
      <c r="S369" s="5" t="s">
        <v>240</v>
      </c>
      <c r="T369" s="5" t="s">
        <v>301</v>
      </c>
    </row>
    <row r="370" spans="1:20" x14ac:dyDescent="0.25">
      <c r="A370" t="s">
        <v>201</v>
      </c>
      <c r="B370" t="s">
        <v>303</v>
      </c>
      <c r="C370" t="s">
        <v>16</v>
      </c>
      <c r="D370" t="s">
        <v>7</v>
      </c>
      <c r="E370" s="5"/>
      <c r="F370" s="7">
        <v>45296</v>
      </c>
      <c r="G370" t="s">
        <v>142</v>
      </c>
      <c r="H370">
        <v>4500</v>
      </c>
      <c r="I370" s="5">
        <v>207965.5</v>
      </c>
      <c r="K370" s="5">
        <v>201311.9</v>
      </c>
      <c r="L370" s="5">
        <v>46.214555555555556</v>
      </c>
      <c r="M370" s="5">
        <v>44.735977777777777</v>
      </c>
      <c r="N370" s="5">
        <v>-6653.6000000000058</v>
      </c>
      <c r="O370" s="3">
        <v>-3.1993768197128881E-2</v>
      </c>
      <c r="P370" s="9">
        <f>N370+P369</f>
        <v>474409.24256349681</v>
      </c>
      <c r="Q370" s="5" t="str">
        <f>TEXT(Table13[[#This Row],[Closing Date]],"yyyy")</f>
        <v>2024</v>
      </c>
      <c r="R370" s="5" t="str">
        <f>TEXT(Table13[[#This Row],[Closing Date]],"mmmm")</f>
        <v>January</v>
      </c>
      <c r="S370" s="5" t="s">
        <v>240</v>
      </c>
      <c r="T370" s="5" t="s">
        <v>301</v>
      </c>
    </row>
    <row r="371" spans="1:20" x14ac:dyDescent="0.25">
      <c r="A371" t="s">
        <v>201</v>
      </c>
      <c r="B371" t="s">
        <v>302</v>
      </c>
      <c r="C371" t="s">
        <v>12</v>
      </c>
      <c r="D371" t="s">
        <v>7</v>
      </c>
      <c r="E371" s="5"/>
      <c r="F371" s="7">
        <v>45296</v>
      </c>
      <c r="G371" t="s">
        <v>92</v>
      </c>
      <c r="H371">
        <v>5</v>
      </c>
      <c r="I371" s="5">
        <v>1029272.1</v>
      </c>
      <c r="K371" s="5">
        <v>1027307.8999999999</v>
      </c>
      <c r="L371" s="5">
        <v>2048.02</v>
      </c>
      <c r="M371" s="5">
        <v>2093.9757999999997</v>
      </c>
      <c r="N371" s="5">
        <v>-1964.2000000001863</v>
      </c>
      <c r="O371" s="3">
        <v>-1.9083389125190376E-3</v>
      </c>
      <c r="P371" s="9">
        <f>N371+P370</f>
        <v>472445.04256349662</v>
      </c>
      <c r="Q371" s="5" t="str">
        <f>TEXT(Table13[[#This Row],[Closing Date]],"yyyy")</f>
        <v>2024</v>
      </c>
      <c r="R371" s="5" t="str">
        <f>TEXT(Table13[[#This Row],[Closing Date]],"mmmm")</f>
        <v>January</v>
      </c>
      <c r="S371" s="5" t="s">
        <v>240</v>
      </c>
      <c r="T371" s="5" t="s">
        <v>301</v>
      </c>
    </row>
    <row r="372" spans="1:20" x14ac:dyDescent="0.25">
      <c r="A372" t="s">
        <v>201</v>
      </c>
      <c r="B372" t="s">
        <v>303</v>
      </c>
      <c r="C372" t="s">
        <v>16</v>
      </c>
      <c r="D372" t="s">
        <v>7</v>
      </c>
      <c r="E372" s="5"/>
      <c r="F372" s="7">
        <v>45299</v>
      </c>
      <c r="G372" t="s">
        <v>153</v>
      </c>
      <c r="H372">
        <v>6000</v>
      </c>
      <c r="I372" s="5">
        <v>153700.95000000001</v>
      </c>
      <c r="K372" s="5">
        <v>167907.66</v>
      </c>
      <c r="L372" s="5">
        <v>25.616825000000002</v>
      </c>
      <c r="M372" s="5">
        <v>27.98461</v>
      </c>
      <c r="N372" s="5">
        <v>14206.709999999992</v>
      </c>
      <c r="O372" s="3">
        <v>9.2430853550352104E-2</v>
      </c>
      <c r="P372" s="9">
        <f>N372+P371</f>
        <v>486651.75256349659</v>
      </c>
      <c r="Q372" s="5" t="str">
        <f>TEXT(Table13[[#This Row],[Closing Date]],"yyyy")</f>
        <v>2024</v>
      </c>
      <c r="R372" s="5" t="str">
        <f>TEXT(Table13[[#This Row],[Closing Date]],"mmmm")</f>
        <v>January</v>
      </c>
      <c r="S372" s="5" t="s">
        <v>240</v>
      </c>
      <c r="T372" s="5" t="s">
        <v>301</v>
      </c>
    </row>
    <row r="373" spans="1:20" x14ac:dyDescent="0.25">
      <c r="A373" t="s">
        <v>201</v>
      </c>
      <c r="B373" t="s">
        <v>303</v>
      </c>
      <c r="C373" t="s">
        <v>16</v>
      </c>
      <c r="D373" t="s">
        <v>7</v>
      </c>
      <c r="E373" s="5"/>
      <c r="F373" s="7">
        <v>45300</v>
      </c>
      <c r="G373" t="s">
        <v>176</v>
      </c>
      <c r="H373">
        <v>10000</v>
      </c>
      <c r="I373" s="5">
        <v>170000</v>
      </c>
      <c r="K373" s="5">
        <v>164776.92000000001</v>
      </c>
      <c r="L373" s="5">
        <v>17</v>
      </c>
      <c r="M373" s="5">
        <v>16.477692000000001</v>
      </c>
      <c r="N373" s="5">
        <v>-5326.0599999999868</v>
      </c>
      <c r="O373" s="3">
        <v>-3.1329764705882272E-2</v>
      </c>
      <c r="P373" s="9">
        <f>N373+P372</f>
        <v>481325.69256349659</v>
      </c>
      <c r="Q373" s="5" t="str">
        <f>TEXT(Table13[[#This Row],[Closing Date]],"yyyy")</f>
        <v>2024</v>
      </c>
      <c r="R373" s="5" t="str">
        <f>TEXT(Table13[[#This Row],[Closing Date]],"mmmm")</f>
        <v>January</v>
      </c>
      <c r="S373" s="5" t="s">
        <v>240</v>
      </c>
      <c r="T373" s="5" t="s">
        <v>301</v>
      </c>
    </row>
    <row r="374" spans="1:20" x14ac:dyDescent="0.25">
      <c r="A374" t="s">
        <v>201</v>
      </c>
      <c r="B374" t="s">
        <v>303</v>
      </c>
      <c r="C374" t="s">
        <v>16</v>
      </c>
      <c r="D374" t="s">
        <v>7</v>
      </c>
      <c r="E374" s="5"/>
      <c r="F374" s="7">
        <v>45300</v>
      </c>
      <c r="G374" t="s">
        <v>168</v>
      </c>
      <c r="H374">
        <v>3100</v>
      </c>
      <c r="I374" s="5">
        <v>116902.41</v>
      </c>
      <c r="K374" s="5">
        <v>111880</v>
      </c>
      <c r="L374" s="5">
        <v>37.71045483870968</v>
      </c>
      <c r="M374" s="5">
        <v>36.090322580645164</v>
      </c>
      <c r="N374" s="5">
        <v>-5022.4100000000035</v>
      </c>
      <c r="O374" s="3">
        <v>-4.2962416258142185E-2</v>
      </c>
      <c r="P374" s="9">
        <f>N374+P373</f>
        <v>476303.28256349661</v>
      </c>
      <c r="Q374" s="5" t="str">
        <f>TEXT(Table13[[#This Row],[Closing Date]],"yyyy")</f>
        <v>2024</v>
      </c>
      <c r="R374" s="5" t="str">
        <f>TEXT(Table13[[#This Row],[Closing Date]],"mmmm")</f>
        <v>January</v>
      </c>
      <c r="S374" s="5" t="s">
        <v>240</v>
      </c>
      <c r="T374" s="5" t="s">
        <v>301</v>
      </c>
    </row>
    <row r="375" spans="1:20" x14ac:dyDescent="0.25">
      <c r="A375" t="s">
        <v>201</v>
      </c>
      <c r="B375" t="s">
        <v>303</v>
      </c>
      <c r="C375" t="s">
        <v>16</v>
      </c>
      <c r="D375" t="s">
        <v>7</v>
      </c>
      <c r="E375" s="5"/>
      <c r="F375" s="7">
        <v>45301</v>
      </c>
      <c r="G375" t="s">
        <v>168</v>
      </c>
      <c r="H375">
        <v>3700</v>
      </c>
      <c r="I375" s="5">
        <v>141775</v>
      </c>
      <c r="K375" s="5">
        <v>121766.07</v>
      </c>
      <c r="L375" s="5">
        <v>38.317567567567565</v>
      </c>
      <c r="M375" s="5">
        <v>32.909748648648652</v>
      </c>
      <c r="N375" s="5">
        <v>-20008.929999999993</v>
      </c>
      <c r="O375" s="3">
        <v>-0.14113158173161694</v>
      </c>
      <c r="P375" s="9">
        <f>N375+P374</f>
        <v>456294.35256349662</v>
      </c>
      <c r="Q375" s="5" t="str">
        <f>TEXT(Table13[[#This Row],[Closing Date]],"yyyy")</f>
        <v>2024</v>
      </c>
      <c r="R375" s="5" t="str">
        <f>TEXT(Table13[[#This Row],[Closing Date]],"mmmm")</f>
        <v>January</v>
      </c>
      <c r="S375" s="5" t="s">
        <v>240</v>
      </c>
      <c r="T375" s="5" t="s">
        <v>301</v>
      </c>
    </row>
    <row r="376" spans="1:20" x14ac:dyDescent="0.25">
      <c r="A376" t="s">
        <v>201</v>
      </c>
      <c r="B376" t="s">
        <v>303</v>
      </c>
      <c r="C376" t="s">
        <v>16</v>
      </c>
      <c r="D376" t="s">
        <v>7</v>
      </c>
      <c r="E376" s="5"/>
      <c r="F376" s="7">
        <v>45302</v>
      </c>
      <c r="G376" t="s">
        <v>169</v>
      </c>
      <c r="H376">
        <v>6500</v>
      </c>
      <c r="I376" s="5">
        <v>221487.5</v>
      </c>
      <c r="K376" s="5">
        <v>212054.44</v>
      </c>
      <c r="L376" s="5">
        <v>34.075000000000003</v>
      </c>
      <c r="M376" s="5">
        <v>32.623759999999997</v>
      </c>
      <c r="N376" s="5">
        <v>-9433.0599999999977</v>
      </c>
      <c r="O376" s="3">
        <v>-4.258958180484225E-2</v>
      </c>
      <c r="P376" s="9">
        <f>N376+P375</f>
        <v>446861.29256349662</v>
      </c>
      <c r="Q376" s="5" t="str">
        <f>TEXT(Table13[[#This Row],[Closing Date]],"yyyy")</f>
        <v>2024</v>
      </c>
      <c r="R376" s="5" t="str">
        <f>TEXT(Table13[[#This Row],[Closing Date]],"mmmm")</f>
        <v>January</v>
      </c>
      <c r="S376" s="5" t="s">
        <v>240</v>
      </c>
      <c r="T376" s="5" t="s">
        <v>301</v>
      </c>
    </row>
    <row r="377" spans="1:20" x14ac:dyDescent="0.25">
      <c r="A377" t="s">
        <v>201</v>
      </c>
      <c r="B377" t="s">
        <v>303</v>
      </c>
      <c r="C377" t="s">
        <v>16</v>
      </c>
      <c r="D377" t="s">
        <v>7</v>
      </c>
      <c r="E377" s="5"/>
      <c r="F377" s="7">
        <v>45302</v>
      </c>
      <c r="G377" t="s">
        <v>114</v>
      </c>
      <c r="H377">
        <v>3700</v>
      </c>
      <c r="I377" s="5">
        <v>159188.98000000001</v>
      </c>
      <c r="K377" s="5">
        <v>161304.88</v>
      </c>
      <c r="L377" s="5">
        <v>43.024048648648652</v>
      </c>
      <c r="M377" s="5">
        <v>43.595913513513516</v>
      </c>
      <c r="N377" s="5">
        <v>2115.8999999999942</v>
      </c>
      <c r="O377" s="3">
        <v>1.3291749215303685E-2</v>
      </c>
      <c r="P377" s="9">
        <f>N377+P376</f>
        <v>448977.19256349665</v>
      </c>
      <c r="Q377" s="5" t="str">
        <f>TEXT(Table13[[#This Row],[Closing Date]],"yyyy")</f>
        <v>2024</v>
      </c>
      <c r="R377" s="5" t="str">
        <f>TEXT(Table13[[#This Row],[Closing Date]],"mmmm")</f>
        <v>January</v>
      </c>
      <c r="S377" s="5" t="s">
        <v>240</v>
      </c>
      <c r="T377" s="5" t="s">
        <v>301</v>
      </c>
    </row>
    <row r="378" spans="1:20" x14ac:dyDescent="0.25">
      <c r="A378" t="s">
        <v>201</v>
      </c>
      <c r="B378" t="s">
        <v>303</v>
      </c>
      <c r="C378" t="s">
        <v>4</v>
      </c>
      <c r="D378" t="s">
        <v>5</v>
      </c>
      <c r="E378" s="5"/>
      <c r="F378" s="7">
        <v>45304</v>
      </c>
      <c r="G378" t="s">
        <v>128</v>
      </c>
      <c r="H378">
        <v>2000000</v>
      </c>
      <c r="I378" s="5">
        <v>1921661.55</v>
      </c>
      <c r="K378" s="5">
        <v>1930888.7</v>
      </c>
      <c r="L378" s="5">
        <v>0.96083077500000003</v>
      </c>
      <c r="M378" s="5">
        <v>0.96544434999999995</v>
      </c>
      <c r="N378" s="5">
        <v>-10161</v>
      </c>
      <c r="O378" s="3">
        <v>-5.0804999999999999E-3</v>
      </c>
      <c r="P378" s="9">
        <f>N378+P377</f>
        <v>438816.19256349665</v>
      </c>
      <c r="Q378" s="5" t="str">
        <f>TEXT(Table13[[#This Row],[Closing Date]],"yyyy")</f>
        <v>2024</v>
      </c>
      <c r="R378" s="5" t="str">
        <f>TEXT(Table13[[#This Row],[Closing Date]],"mmmm")</f>
        <v>January</v>
      </c>
      <c r="S378" s="5" t="s">
        <v>240</v>
      </c>
      <c r="T378" s="5" t="s">
        <v>301</v>
      </c>
    </row>
    <row r="379" spans="1:20" x14ac:dyDescent="0.25">
      <c r="A379" t="s">
        <v>201</v>
      </c>
      <c r="B379" t="s">
        <v>303</v>
      </c>
      <c r="C379" t="s">
        <v>16</v>
      </c>
      <c r="D379" t="s">
        <v>7</v>
      </c>
      <c r="E379" s="5"/>
      <c r="F379" s="7">
        <v>45307</v>
      </c>
      <c r="G379" t="s">
        <v>171</v>
      </c>
      <c r="H379">
        <v>1000</v>
      </c>
      <c r="I379" s="5">
        <v>150735</v>
      </c>
      <c r="K379" s="5">
        <v>143131.34</v>
      </c>
      <c r="L379" s="5">
        <v>150.73500000000001</v>
      </c>
      <c r="M379" s="5">
        <v>143.13133999999999</v>
      </c>
      <c r="N379" s="5">
        <v>-7603.6600000000035</v>
      </c>
      <c r="O379" s="3">
        <v>-5.0443891597837284E-2</v>
      </c>
      <c r="P379" s="9">
        <f>N379+P378</f>
        <v>431212.53256349661</v>
      </c>
      <c r="Q379" s="5" t="str">
        <f>TEXT(Table13[[#This Row],[Closing Date]],"yyyy")</f>
        <v>2024</v>
      </c>
      <c r="R379" s="5" t="str">
        <f>TEXT(Table13[[#This Row],[Closing Date]],"mmmm")</f>
        <v>January</v>
      </c>
      <c r="S379" s="5" t="s">
        <v>240</v>
      </c>
      <c r="T379" s="5" t="s">
        <v>301</v>
      </c>
    </row>
    <row r="380" spans="1:20" x14ac:dyDescent="0.25">
      <c r="A380" t="s">
        <v>201</v>
      </c>
      <c r="B380" t="s">
        <v>303</v>
      </c>
      <c r="C380" t="s">
        <v>16</v>
      </c>
      <c r="D380" t="s">
        <v>7</v>
      </c>
      <c r="E380" s="5"/>
      <c r="F380" s="7">
        <v>45307</v>
      </c>
      <c r="G380" t="s">
        <v>173</v>
      </c>
      <c r="H380">
        <v>5000</v>
      </c>
      <c r="I380" s="5">
        <v>105775</v>
      </c>
      <c r="K380" s="5">
        <v>99412.05</v>
      </c>
      <c r="L380" s="5">
        <v>21.155000000000001</v>
      </c>
      <c r="M380" s="5">
        <v>19.88241</v>
      </c>
      <c r="N380" s="5">
        <v>-6362.9499999999971</v>
      </c>
      <c r="O380" s="3">
        <v>-6.0155518789884163E-2</v>
      </c>
      <c r="P380" s="9">
        <f>N380+P379</f>
        <v>424849.5825634966</v>
      </c>
      <c r="Q380" s="5" t="str">
        <f>TEXT(Table13[[#This Row],[Closing Date]],"yyyy")</f>
        <v>2024</v>
      </c>
      <c r="R380" s="5" t="str">
        <f>TEXT(Table13[[#This Row],[Closing Date]],"mmmm")</f>
        <v>January</v>
      </c>
      <c r="S380" s="5" t="s">
        <v>240</v>
      </c>
      <c r="T380" s="5" t="s">
        <v>301</v>
      </c>
    </row>
    <row r="381" spans="1:20" x14ac:dyDescent="0.25">
      <c r="A381" t="s">
        <v>201</v>
      </c>
      <c r="B381" t="s">
        <v>303</v>
      </c>
      <c r="C381" t="s">
        <v>16</v>
      </c>
      <c r="D381" t="s">
        <v>7</v>
      </c>
      <c r="E381" s="11">
        <v>45301</v>
      </c>
      <c r="F381" s="7">
        <v>45308</v>
      </c>
      <c r="G381" t="s">
        <v>168</v>
      </c>
      <c r="H381">
        <v>3700</v>
      </c>
      <c r="I381" s="5">
        <f>124540+17235</f>
        <v>141775</v>
      </c>
      <c r="J381" s="13">
        <v>1</v>
      </c>
      <c r="K381" s="5">
        <v>121766.07</v>
      </c>
      <c r="L381" s="5">
        <f>Table13[[#This Row],[Open Value]]/Table13[[#This Row],[Shares]]/Table13[[#This Row],[Multiplier]]</f>
        <v>38.317567567567565</v>
      </c>
      <c r="M381" s="5">
        <f>Table13[[#This Row],[Close Value]]/Table13[[#This Row],[Shares]]/Table13[[#This Row],[Multiplier]]</f>
        <v>32.909748648648652</v>
      </c>
      <c r="N381" s="5">
        <f>Table13[[#This Row],[Close Value]]-Table13[[#This Row],[Open Value]]</f>
        <v>-20008.929999999993</v>
      </c>
      <c r="O381" s="3">
        <f>Table13[[#This Row],[PnL]]/Table13[[#This Row],[Open Value]]</f>
        <v>-0.14113158173161694</v>
      </c>
      <c r="P381" s="14">
        <f>N381+P380</f>
        <v>404840.65256349661</v>
      </c>
      <c r="Q381" s="5" t="str">
        <f>TEXT(Table13[[#This Row],[Closing Date]],"yyyy")</f>
        <v>2024</v>
      </c>
      <c r="R381" s="5" t="str">
        <f>TEXT(Table13[[#This Row],[Closing Date]],"mmmm")</f>
        <v>January</v>
      </c>
      <c r="S381" s="5"/>
      <c r="T381" s="5" t="s">
        <v>301</v>
      </c>
    </row>
    <row r="382" spans="1:20" x14ac:dyDescent="0.25">
      <c r="A382" t="s">
        <v>201</v>
      </c>
      <c r="B382" t="s">
        <v>302</v>
      </c>
      <c r="C382" t="s">
        <v>28</v>
      </c>
      <c r="D382" t="s">
        <v>5</v>
      </c>
      <c r="E382" s="5"/>
      <c r="F382" s="7">
        <v>45310</v>
      </c>
      <c r="G382" t="s">
        <v>178</v>
      </c>
      <c r="H382">
        <v>3775</v>
      </c>
      <c r="I382" s="5">
        <v>743592.92</v>
      </c>
      <c r="K382" s="5">
        <v>753376.74</v>
      </c>
      <c r="L382" s="5">
        <v>196.97825695364239</v>
      </c>
      <c r="M382" s="5">
        <v>199.56999735099336</v>
      </c>
      <c r="N382" s="5">
        <v>-9783.8199999999488</v>
      </c>
      <c r="O382" s="3">
        <v>-1.3157494829294432E-2</v>
      </c>
      <c r="P382" s="9">
        <f>N382+P381</f>
        <v>395056.83256349666</v>
      </c>
      <c r="Q382" s="5" t="str">
        <f>TEXT(Table13[[#This Row],[Closing Date]],"yyyy")</f>
        <v>2024</v>
      </c>
      <c r="R382" s="5" t="str">
        <f>TEXT(Table13[[#This Row],[Closing Date]],"mmmm")</f>
        <v>January</v>
      </c>
      <c r="S382" s="5" t="s">
        <v>240</v>
      </c>
      <c r="T382" s="5" t="s">
        <v>301</v>
      </c>
    </row>
    <row r="383" spans="1:20" x14ac:dyDescent="0.25">
      <c r="A383" t="s">
        <v>197</v>
      </c>
      <c r="B383" t="s">
        <v>303</v>
      </c>
      <c r="C383" t="s">
        <v>99</v>
      </c>
      <c r="D383" t="s">
        <v>7</v>
      </c>
      <c r="E383" s="5"/>
      <c r="F383" s="7">
        <v>45310</v>
      </c>
      <c r="G383" t="s">
        <v>115</v>
      </c>
      <c r="H383">
        <v>130</v>
      </c>
      <c r="I383" s="5">
        <v>19459.599999999999</v>
      </c>
      <c r="J383" s="13">
        <v>100</v>
      </c>
      <c r="K383" s="5">
        <v>24959.73</v>
      </c>
      <c r="L383" s="5">
        <v>1.4968923076923075</v>
      </c>
      <c r="M383" s="5">
        <v>1.9199792307692309</v>
      </c>
      <c r="N383" s="5">
        <v>5500.130000000001</v>
      </c>
      <c r="O383" s="3">
        <v>0.28264352813007487</v>
      </c>
      <c r="P383" s="9">
        <f>N383+P382</f>
        <v>400556.96256349667</v>
      </c>
      <c r="Q383" s="5" t="str">
        <f>TEXT(Table13[[#This Row],[Closing Date]],"yyyy")</f>
        <v>2024</v>
      </c>
      <c r="R383" s="5" t="str">
        <f>TEXT(Table13[[#This Row],[Closing Date]],"mmmm")</f>
        <v>January</v>
      </c>
      <c r="S383" s="5" t="s">
        <v>240</v>
      </c>
      <c r="T383" s="5" t="s">
        <v>301</v>
      </c>
    </row>
    <row r="384" spans="1:20" x14ac:dyDescent="0.25">
      <c r="A384" t="s">
        <v>201</v>
      </c>
      <c r="B384" t="s">
        <v>303</v>
      </c>
      <c r="C384" t="s">
        <v>16</v>
      </c>
      <c r="D384" t="s">
        <v>7</v>
      </c>
      <c r="E384" s="5"/>
      <c r="F384" s="7">
        <v>45313</v>
      </c>
      <c r="G384" t="s">
        <v>206</v>
      </c>
      <c r="H384">
        <v>2250</v>
      </c>
      <c r="I384" s="5">
        <v>374400</v>
      </c>
      <c r="K384" s="5">
        <v>380174.36</v>
      </c>
      <c r="L384" s="5">
        <v>166.4</v>
      </c>
      <c r="M384" s="5">
        <v>168.96638222222222</v>
      </c>
      <c r="N384" s="5">
        <v>5734.359999999986</v>
      </c>
      <c r="O384" s="3">
        <v>1.5316132478632441E-2</v>
      </c>
      <c r="P384" s="9">
        <f>N384+P383</f>
        <v>406291.32256349665</v>
      </c>
      <c r="Q384" s="5" t="str">
        <f>TEXT(Table13[[#This Row],[Closing Date]],"yyyy")</f>
        <v>2024</v>
      </c>
      <c r="R384" s="5" t="str">
        <f>TEXT(Table13[[#This Row],[Closing Date]],"mmmm")</f>
        <v>January</v>
      </c>
      <c r="S384" s="5" t="s">
        <v>240</v>
      </c>
      <c r="T384" s="5" t="s">
        <v>301</v>
      </c>
    </row>
    <row r="385" spans="1:20" x14ac:dyDescent="0.25">
      <c r="A385" t="s">
        <v>201</v>
      </c>
      <c r="B385" t="s">
        <v>303</v>
      </c>
      <c r="C385" t="s">
        <v>16</v>
      </c>
      <c r="D385" t="s">
        <v>7</v>
      </c>
      <c r="E385" s="5"/>
      <c r="F385" s="7">
        <v>45313</v>
      </c>
      <c r="G385" t="s">
        <v>176</v>
      </c>
      <c r="H385">
        <v>10000</v>
      </c>
      <c r="I385" s="5">
        <v>169286.94</v>
      </c>
      <c r="K385" s="5">
        <v>179464.16</v>
      </c>
      <c r="L385" s="5">
        <v>16.928694</v>
      </c>
      <c r="M385" s="5">
        <v>17.946415999999999</v>
      </c>
      <c r="N385" s="5">
        <v>10177.220000000001</v>
      </c>
      <c r="O385" s="3">
        <v>6.0118163870172152E-2</v>
      </c>
      <c r="P385" s="9">
        <f>N385+P384</f>
        <v>416468.54256349662</v>
      </c>
      <c r="Q385" s="5" t="str">
        <f>TEXT(Table13[[#This Row],[Closing Date]],"yyyy")</f>
        <v>2024</v>
      </c>
      <c r="R385" s="5" t="str">
        <f>TEXT(Table13[[#This Row],[Closing Date]],"mmmm")</f>
        <v>January</v>
      </c>
      <c r="S385" s="5" t="s">
        <v>240</v>
      </c>
      <c r="T385" s="5" t="s">
        <v>301</v>
      </c>
    </row>
    <row r="386" spans="1:20" x14ac:dyDescent="0.25">
      <c r="A386" t="s">
        <v>201</v>
      </c>
      <c r="B386" t="s">
        <v>303</v>
      </c>
      <c r="C386" t="s">
        <v>16</v>
      </c>
      <c r="D386" t="s">
        <v>7</v>
      </c>
      <c r="E386" s="5"/>
      <c r="F386" s="7">
        <v>45314</v>
      </c>
      <c r="G386" t="s">
        <v>152</v>
      </c>
      <c r="H386">
        <v>10000</v>
      </c>
      <c r="I386" s="5">
        <v>1038600</v>
      </c>
      <c r="K386" s="5">
        <v>1032613.16</v>
      </c>
      <c r="L386" s="5">
        <v>103.86</v>
      </c>
      <c r="M386" s="5">
        <v>103.26131600000001</v>
      </c>
      <c r="N386" s="5">
        <v>-6026.8399999999674</v>
      </c>
      <c r="O386" s="3">
        <v>-5.8028499903716229E-3</v>
      </c>
      <c r="P386" s="9">
        <f>N386+P385</f>
        <v>410441.70256349666</v>
      </c>
      <c r="Q386" s="5" t="str">
        <f>TEXT(Table13[[#This Row],[Closing Date]],"yyyy")</f>
        <v>2024</v>
      </c>
      <c r="R386" s="5" t="str">
        <f>TEXT(Table13[[#This Row],[Closing Date]],"mmmm")</f>
        <v>January</v>
      </c>
      <c r="S386" s="5" t="s">
        <v>240</v>
      </c>
      <c r="T386" s="5" t="s">
        <v>301</v>
      </c>
    </row>
    <row r="387" spans="1:20" x14ac:dyDescent="0.25">
      <c r="A387" t="s">
        <v>201</v>
      </c>
      <c r="B387" t="s">
        <v>303</v>
      </c>
      <c r="C387" t="s">
        <v>16</v>
      </c>
      <c r="D387" t="s">
        <v>7</v>
      </c>
      <c r="E387" s="5"/>
      <c r="F387" s="7">
        <v>45314</v>
      </c>
      <c r="G387" t="s">
        <v>207</v>
      </c>
      <c r="H387">
        <v>4200</v>
      </c>
      <c r="I387" s="5">
        <v>622104</v>
      </c>
      <c r="K387" s="5">
        <v>616453.66</v>
      </c>
      <c r="L387" s="5">
        <v>148.12</v>
      </c>
      <c r="M387" s="5">
        <v>146.77468095238095</v>
      </c>
      <c r="N387" s="5">
        <v>-5690.3399999999674</v>
      </c>
      <c r="O387" s="3">
        <v>-9.1469272018825914E-3</v>
      </c>
      <c r="P387" s="9">
        <f>N387+P386</f>
        <v>404751.36256349669</v>
      </c>
      <c r="Q387" s="5" t="str">
        <f>TEXT(Table13[[#This Row],[Closing Date]],"yyyy")</f>
        <v>2024</v>
      </c>
      <c r="R387" s="5" t="str">
        <f>TEXT(Table13[[#This Row],[Closing Date]],"mmmm")</f>
        <v>January</v>
      </c>
      <c r="S387" s="5" t="s">
        <v>240</v>
      </c>
      <c r="T387" s="5" t="s">
        <v>301</v>
      </c>
    </row>
    <row r="388" spans="1:20" x14ac:dyDescent="0.25">
      <c r="A388" t="s">
        <v>201</v>
      </c>
      <c r="B388" t="s">
        <v>303</v>
      </c>
      <c r="C388" t="s">
        <v>16</v>
      </c>
      <c r="D388" t="s">
        <v>7</v>
      </c>
      <c r="E388" s="5"/>
      <c r="F388" s="7">
        <v>45315</v>
      </c>
      <c r="G388" t="s">
        <v>114</v>
      </c>
      <c r="H388">
        <v>3400</v>
      </c>
      <c r="I388" s="5">
        <v>142191.4</v>
      </c>
      <c r="K388" s="5">
        <v>159407.16</v>
      </c>
      <c r="L388" s="5">
        <v>41.820999999999998</v>
      </c>
      <c r="M388" s="5">
        <v>46.884458823529414</v>
      </c>
      <c r="N388" s="5">
        <v>17215.760000000009</v>
      </c>
      <c r="O388" s="3">
        <v>0.12107455162548515</v>
      </c>
      <c r="P388" s="9">
        <f>N388+P387</f>
        <v>421967.1225634967</v>
      </c>
      <c r="Q388" s="5" t="str">
        <f>TEXT(Table13[[#This Row],[Closing Date]],"yyyy")</f>
        <v>2024</v>
      </c>
      <c r="R388" s="5" t="str">
        <f>TEXT(Table13[[#This Row],[Closing Date]],"mmmm")</f>
        <v>January</v>
      </c>
      <c r="S388" s="5" t="s">
        <v>240</v>
      </c>
      <c r="T388" s="5" t="s">
        <v>301</v>
      </c>
    </row>
    <row r="389" spans="1:20" x14ac:dyDescent="0.25">
      <c r="A389" t="s">
        <v>201</v>
      </c>
      <c r="B389" t="s">
        <v>303</v>
      </c>
      <c r="C389" t="s">
        <v>16</v>
      </c>
      <c r="D389" t="s">
        <v>7</v>
      </c>
      <c r="E389" s="5"/>
      <c r="F389" s="7">
        <v>45316</v>
      </c>
      <c r="G389" t="s">
        <v>177</v>
      </c>
      <c r="H389">
        <v>5000</v>
      </c>
      <c r="I389" s="5">
        <v>232275</v>
      </c>
      <c r="K389" s="5">
        <v>246848.35</v>
      </c>
      <c r="L389" s="5">
        <v>46.454999999999998</v>
      </c>
      <c r="M389" s="5">
        <v>49.369669999999999</v>
      </c>
      <c r="N389" s="5">
        <v>14573.350000000006</v>
      </c>
      <c r="O389" s="3">
        <v>6.2741793133139628E-2</v>
      </c>
      <c r="P389" s="9">
        <f>N389+P388</f>
        <v>436540.47256349667</v>
      </c>
      <c r="Q389" s="5" t="str">
        <f>TEXT(Table13[[#This Row],[Closing Date]],"yyyy")</f>
        <v>2024</v>
      </c>
      <c r="R389" s="5" t="str">
        <f>TEXT(Table13[[#This Row],[Closing Date]],"mmmm")</f>
        <v>January</v>
      </c>
      <c r="S389" s="5" t="s">
        <v>240</v>
      </c>
      <c r="T389" s="5" t="s">
        <v>301</v>
      </c>
    </row>
    <row r="390" spans="1:20" x14ac:dyDescent="0.25">
      <c r="A390" t="s">
        <v>197</v>
      </c>
      <c r="B390" t="s">
        <v>302</v>
      </c>
      <c r="C390" t="s">
        <v>102</v>
      </c>
      <c r="D390" t="s">
        <v>7</v>
      </c>
      <c r="E390" s="5"/>
      <c r="F390" s="7">
        <v>45317</v>
      </c>
      <c r="G390" t="s">
        <v>111</v>
      </c>
      <c r="H390">
        <v>80</v>
      </c>
      <c r="I390" s="5">
        <v>7057.2</v>
      </c>
      <c r="J390" s="13">
        <v>100</v>
      </c>
      <c r="K390" s="5">
        <v>19795.29</v>
      </c>
      <c r="L390" s="5">
        <v>0.88214999999999999</v>
      </c>
      <c r="M390" s="5">
        <v>2.4744112500000002</v>
      </c>
      <c r="N390" s="5">
        <v>12738.09</v>
      </c>
      <c r="O390" s="3">
        <v>1.8049778949158308</v>
      </c>
      <c r="P390" s="9">
        <f>N390+P389</f>
        <v>449278.5625634967</v>
      </c>
      <c r="Q390" s="5" t="str">
        <f>TEXT(Table13[[#This Row],[Closing Date]],"yyyy")</f>
        <v>2024</v>
      </c>
      <c r="R390" s="5" t="str">
        <f>TEXT(Table13[[#This Row],[Closing Date]],"mmmm")</f>
        <v>January</v>
      </c>
      <c r="S390" s="5" t="s">
        <v>240</v>
      </c>
      <c r="T390" s="5" t="s">
        <v>301</v>
      </c>
    </row>
    <row r="391" spans="1:20" x14ac:dyDescent="0.25">
      <c r="A391" t="s">
        <v>201</v>
      </c>
      <c r="B391" t="s">
        <v>303</v>
      </c>
      <c r="C391" t="s">
        <v>16</v>
      </c>
      <c r="D391" t="s">
        <v>7</v>
      </c>
      <c r="E391" s="5"/>
      <c r="F391" s="7">
        <v>45320</v>
      </c>
      <c r="G391" t="s">
        <v>37</v>
      </c>
      <c r="H391">
        <v>240</v>
      </c>
      <c r="I391" s="5">
        <v>50054.65</v>
      </c>
      <c r="K391" s="5">
        <v>44734.8</v>
      </c>
      <c r="L391" s="5">
        <v>208.56104166666668</v>
      </c>
      <c r="M391" s="5">
        <v>186.39500000000001</v>
      </c>
      <c r="N391" s="5">
        <v>-5319.8499999999985</v>
      </c>
      <c r="O391" s="3">
        <v>-0.10628083504729327</v>
      </c>
      <c r="P391" s="9">
        <f>N391+P390</f>
        <v>443958.71256349672</v>
      </c>
      <c r="Q391" s="5" t="str">
        <f>TEXT(Table13[[#This Row],[Closing Date]],"yyyy")</f>
        <v>2024</v>
      </c>
      <c r="R391" s="5" t="str">
        <f>TEXT(Table13[[#This Row],[Closing Date]],"mmmm")</f>
        <v>January</v>
      </c>
      <c r="S391" s="5" t="s">
        <v>240</v>
      </c>
      <c r="T391" s="5" t="s">
        <v>301</v>
      </c>
    </row>
    <row r="392" spans="1:20" x14ac:dyDescent="0.25">
      <c r="A392" t="s">
        <v>201</v>
      </c>
      <c r="B392" t="s">
        <v>303</v>
      </c>
      <c r="C392" t="s">
        <v>16</v>
      </c>
      <c r="D392" t="s">
        <v>7</v>
      </c>
      <c r="E392" s="5"/>
      <c r="F392" s="7">
        <v>45320</v>
      </c>
      <c r="G392" t="s">
        <v>175</v>
      </c>
      <c r="H392">
        <v>1600</v>
      </c>
      <c r="I392" s="5">
        <v>316032</v>
      </c>
      <c r="K392" s="5">
        <v>328575.46999999997</v>
      </c>
      <c r="L392" s="5">
        <v>197.52</v>
      </c>
      <c r="M392" s="5">
        <v>205.35966874999997</v>
      </c>
      <c r="N392" s="5">
        <v>12543.469999999972</v>
      </c>
      <c r="O392" s="3">
        <v>3.9690506024706272E-2</v>
      </c>
      <c r="P392" s="9">
        <f>N392+P391</f>
        <v>456502.1825634967</v>
      </c>
      <c r="Q392" s="5" t="str">
        <f>TEXT(Table13[[#This Row],[Closing Date]],"yyyy")</f>
        <v>2024</v>
      </c>
      <c r="R392" s="5" t="str">
        <f>TEXT(Table13[[#This Row],[Closing Date]],"mmmm")</f>
        <v>January</v>
      </c>
      <c r="S392" s="5" t="s">
        <v>240</v>
      </c>
      <c r="T392" s="5" t="s">
        <v>301</v>
      </c>
    </row>
    <row r="393" spans="1:20" x14ac:dyDescent="0.25">
      <c r="A393" t="s">
        <v>201</v>
      </c>
      <c r="B393" t="s">
        <v>306</v>
      </c>
      <c r="C393" t="s">
        <v>12</v>
      </c>
      <c r="D393" t="s">
        <v>7</v>
      </c>
      <c r="E393" s="5"/>
      <c r="F393" s="7">
        <v>45320</v>
      </c>
      <c r="G393" t="s">
        <v>86</v>
      </c>
      <c r="H393">
        <v>200</v>
      </c>
      <c r="I393" s="5">
        <v>818464</v>
      </c>
      <c r="K393" s="5">
        <v>820086</v>
      </c>
      <c r="L393" s="5">
        <v>4.09232</v>
      </c>
      <c r="M393" s="5"/>
      <c r="N393" s="5">
        <v>1622</v>
      </c>
      <c r="O393" s="3">
        <v>1.9817609571099034E-3</v>
      </c>
      <c r="P393" s="9">
        <f>N393+P392</f>
        <v>458124.1825634967</v>
      </c>
      <c r="Q393" s="5" t="str">
        <f>TEXT(Table13[[#This Row],[Closing Date]],"yyyy")</f>
        <v>2024</v>
      </c>
      <c r="R393" s="5" t="str">
        <f>TEXT(Table13[[#This Row],[Closing Date]],"mmmm")</f>
        <v>January</v>
      </c>
      <c r="S393" s="5" t="s">
        <v>240</v>
      </c>
      <c r="T393" s="5" t="s">
        <v>301</v>
      </c>
    </row>
    <row r="394" spans="1:20" x14ac:dyDescent="0.25">
      <c r="A394" t="s">
        <v>201</v>
      </c>
      <c r="B394" t="s">
        <v>303</v>
      </c>
      <c r="C394" t="s">
        <v>12</v>
      </c>
      <c r="D394" t="s">
        <v>7</v>
      </c>
      <c r="E394" s="5"/>
      <c r="F394" s="7">
        <v>45322</v>
      </c>
      <c r="G394" t="s">
        <v>89</v>
      </c>
      <c r="H394">
        <v>7</v>
      </c>
      <c r="I394" s="5">
        <v>699070.4</v>
      </c>
      <c r="K394" s="5">
        <v>685055</v>
      </c>
      <c r="L394" s="5">
        <v>1997.3440000000001</v>
      </c>
      <c r="M394" s="5">
        <v>1957.3</v>
      </c>
      <c r="N394" s="5">
        <v>-14015.400000000023</v>
      </c>
      <c r="O394" s="3">
        <v>-2.0048624573433552E-2</v>
      </c>
      <c r="P394" s="9">
        <f>N394+P393</f>
        <v>444108.78256349667</v>
      </c>
      <c r="Q394" s="5" t="str">
        <f>TEXT(Table13[[#This Row],[Closing Date]],"yyyy")</f>
        <v>2024</v>
      </c>
      <c r="R394" s="5" t="str">
        <f>TEXT(Table13[[#This Row],[Closing Date]],"mmmm")</f>
        <v>January</v>
      </c>
      <c r="S394" s="5" t="s">
        <v>240</v>
      </c>
      <c r="T394" s="5" t="s">
        <v>301</v>
      </c>
    </row>
    <row r="395" spans="1:20" x14ac:dyDescent="0.25">
      <c r="A395" t="s">
        <v>201</v>
      </c>
      <c r="B395" t="s">
        <v>303</v>
      </c>
      <c r="C395" t="s">
        <v>4</v>
      </c>
      <c r="D395" t="s">
        <v>7</v>
      </c>
      <c r="E395" s="5"/>
      <c r="F395" s="7">
        <v>45322</v>
      </c>
      <c r="G395" t="s">
        <v>129</v>
      </c>
      <c r="H395">
        <v>2000000</v>
      </c>
      <c r="I395" s="5">
        <v>1775505.44</v>
      </c>
      <c r="K395" s="5">
        <v>1762410.19</v>
      </c>
      <c r="L395" s="5">
        <v>0.88775271999999994</v>
      </c>
      <c r="M395" s="5">
        <v>0.88120509499999999</v>
      </c>
      <c r="N395" s="5">
        <v>-13095.25</v>
      </c>
      <c r="O395" s="3">
        <v>-6.5476249999999996E-3</v>
      </c>
      <c r="P395" s="9">
        <f>N395+P394</f>
        <v>431013.53256349667</v>
      </c>
      <c r="Q395" s="5" t="str">
        <f>TEXT(Table13[[#This Row],[Closing Date]],"yyyy")</f>
        <v>2024</v>
      </c>
      <c r="R395" s="5" t="str">
        <f>TEXT(Table13[[#This Row],[Closing Date]],"mmmm")</f>
        <v>January</v>
      </c>
      <c r="S395" s="5" t="s">
        <v>240</v>
      </c>
      <c r="T395" s="5" t="s">
        <v>301</v>
      </c>
    </row>
    <row r="396" spans="1:20" x14ac:dyDescent="0.25">
      <c r="A396" t="s">
        <v>201</v>
      </c>
      <c r="B396" t="s">
        <v>303</v>
      </c>
      <c r="C396" t="s">
        <v>16</v>
      </c>
      <c r="D396" t="s">
        <v>7</v>
      </c>
      <c r="E396" s="5"/>
      <c r="F396" s="7">
        <v>45322</v>
      </c>
      <c r="G396" t="s">
        <v>179</v>
      </c>
      <c r="H396">
        <v>2750</v>
      </c>
      <c r="I396" s="5">
        <v>310653.75</v>
      </c>
      <c r="K396" s="5">
        <v>320565.87</v>
      </c>
      <c r="L396" s="5">
        <v>112.965</v>
      </c>
      <c r="M396" s="5">
        <v>183.18049714285715</v>
      </c>
      <c r="N396" s="5">
        <v>9912.1199999999953</v>
      </c>
      <c r="O396" s="3">
        <v>3.190729228280681E-2</v>
      </c>
      <c r="P396" s="9">
        <f>N396+P395</f>
        <v>440925.65256349667</v>
      </c>
      <c r="Q396" s="5" t="str">
        <f>TEXT(Table13[[#This Row],[Closing Date]],"yyyy")</f>
        <v>2024</v>
      </c>
      <c r="R396" s="5" t="str">
        <f>TEXT(Table13[[#This Row],[Closing Date]],"mmmm")</f>
        <v>January</v>
      </c>
      <c r="S396" s="5" t="s">
        <v>240</v>
      </c>
      <c r="T396" s="5" t="s">
        <v>301</v>
      </c>
    </row>
    <row r="397" spans="1:20" x14ac:dyDescent="0.25">
      <c r="A397" t="s">
        <v>201</v>
      </c>
      <c r="B397" t="s">
        <v>303</v>
      </c>
      <c r="C397" t="s">
        <v>16</v>
      </c>
      <c r="D397" t="s">
        <v>7</v>
      </c>
      <c r="E397" s="5"/>
      <c r="F397" s="7">
        <v>45323</v>
      </c>
      <c r="G397" t="s">
        <v>169</v>
      </c>
      <c r="H397">
        <v>3000</v>
      </c>
      <c r="I397" s="5">
        <v>104835</v>
      </c>
      <c r="K397" s="5">
        <v>94427.199999999997</v>
      </c>
      <c r="L397" s="5">
        <v>34.945</v>
      </c>
      <c r="M397" s="5">
        <v>31.475733333333331</v>
      </c>
      <c r="N397" s="5">
        <v>-10407.800000000003</v>
      </c>
      <c r="O397" s="3">
        <v>-9.9277912910764557E-2</v>
      </c>
      <c r="P397" s="9">
        <f>N397+P396</f>
        <v>430517.85256349668</v>
      </c>
      <c r="Q397" s="5" t="str">
        <f>TEXT(Table13[[#This Row],[Closing Date]],"yyyy")</f>
        <v>2024</v>
      </c>
      <c r="R397" s="5" t="str">
        <f>TEXT(Table13[[#This Row],[Closing Date]],"mmmm")</f>
        <v>February</v>
      </c>
      <c r="S397" s="5" t="s">
        <v>240</v>
      </c>
      <c r="T397" s="5" t="s">
        <v>301</v>
      </c>
    </row>
    <row r="398" spans="1:20" x14ac:dyDescent="0.25">
      <c r="A398" t="s">
        <v>201</v>
      </c>
      <c r="B398" t="s">
        <v>303</v>
      </c>
      <c r="C398" t="s">
        <v>16</v>
      </c>
      <c r="D398" t="s">
        <v>7</v>
      </c>
      <c r="E398" s="5"/>
      <c r="F398" s="7">
        <v>45323</v>
      </c>
      <c r="G398" t="s">
        <v>114</v>
      </c>
      <c r="H398">
        <v>2500</v>
      </c>
      <c r="I398" s="5">
        <v>107337.5</v>
      </c>
      <c r="K398" s="5">
        <v>98272.37</v>
      </c>
      <c r="L398" s="5">
        <v>42.935000000000002</v>
      </c>
      <c r="M398" s="5">
        <v>39.308948000000001</v>
      </c>
      <c r="N398" s="5">
        <v>-9065.1300000000047</v>
      </c>
      <c r="O398" s="3">
        <v>-8.4454454407825827E-2</v>
      </c>
      <c r="P398" s="9">
        <f>N398+P397</f>
        <v>421452.72256349667</v>
      </c>
      <c r="Q398" s="5" t="str">
        <f>TEXT(Table13[[#This Row],[Closing Date]],"yyyy")</f>
        <v>2024</v>
      </c>
      <c r="R398" s="5" t="str">
        <f>TEXT(Table13[[#This Row],[Closing Date]],"mmmm")</f>
        <v>February</v>
      </c>
      <c r="S398" s="5" t="s">
        <v>240</v>
      </c>
      <c r="T398" s="5" t="s">
        <v>301</v>
      </c>
    </row>
    <row r="399" spans="1:20" x14ac:dyDescent="0.25">
      <c r="A399" t="s">
        <v>201</v>
      </c>
      <c r="B399" t="s">
        <v>303</v>
      </c>
      <c r="C399" t="s">
        <v>16</v>
      </c>
      <c r="D399" t="s">
        <v>7</v>
      </c>
      <c r="E399" s="5"/>
      <c r="F399" s="7">
        <v>45323</v>
      </c>
      <c r="G399" t="s">
        <v>142</v>
      </c>
      <c r="H399">
        <v>2500</v>
      </c>
      <c r="I399" s="5">
        <v>111862.5</v>
      </c>
      <c r="K399" s="5">
        <v>105586.24000000001</v>
      </c>
      <c r="L399" s="5">
        <v>44.744999999999997</v>
      </c>
      <c r="M399" s="5">
        <v>42.234496</v>
      </c>
      <c r="N399" s="5">
        <v>-6276.2599999999948</v>
      </c>
      <c r="O399" s="3">
        <v>-5.6106916973963528E-2</v>
      </c>
      <c r="P399" s="9">
        <f>N399+P398</f>
        <v>415176.46256349667</v>
      </c>
      <c r="Q399" s="5" t="str">
        <f>TEXT(Table13[[#This Row],[Closing Date]],"yyyy")</f>
        <v>2024</v>
      </c>
      <c r="R399" s="5" t="str">
        <f>TEXT(Table13[[#This Row],[Closing Date]],"mmmm")</f>
        <v>February</v>
      </c>
      <c r="S399" s="5" t="s">
        <v>240</v>
      </c>
      <c r="T399" s="5" t="s">
        <v>301</v>
      </c>
    </row>
    <row r="400" spans="1:20" x14ac:dyDescent="0.25">
      <c r="A400" t="s">
        <v>201</v>
      </c>
      <c r="B400" t="s">
        <v>303</v>
      </c>
      <c r="C400" t="s">
        <v>16</v>
      </c>
      <c r="D400" t="s">
        <v>7</v>
      </c>
      <c r="E400" s="5"/>
      <c r="F400" s="7">
        <v>45323</v>
      </c>
      <c r="G400" t="s">
        <v>181</v>
      </c>
      <c r="H400">
        <v>750</v>
      </c>
      <c r="I400" s="5">
        <v>157143.75</v>
      </c>
      <c r="K400" s="5">
        <v>152515</v>
      </c>
      <c r="L400" s="5">
        <v>209.52500000000001</v>
      </c>
      <c r="M400" s="5">
        <v>203.35333333333332</v>
      </c>
      <c r="N400" s="5">
        <v>-4628.75</v>
      </c>
      <c r="O400" s="3">
        <v>-2.9455514457304221E-2</v>
      </c>
      <c r="P400" s="9">
        <f>N400+P399</f>
        <v>410547.71256349667</v>
      </c>
      <c r="Q400" s="5" t="str">
        <f>TEXT(Table13[[#This Row],[Closing Date]],"yyyy")</f>
        <v>2024</v>
      </c>
      <c r="R400" s="5" t="str">
        <f>TEXT(Table13[[#This Row],[Closing Date]],"mmmm")</f>
        <v>February</v>
      </c>
      <c r="S400" s="5" t="s">
        <v>240</v>
      </c>
      <c r="T400" s="5" t="s">
        <v>301</v>
      </c>
    </row>
    <row r="401" spans="1:20" x14ac:dyDescent="0.25">
      <c r="A401" t="s">
        <v>201</v>
      </c>
      <c r="B401" t="s">
        <v>303</v>
      </c>
      <c r="C401" t="s">
        <v>16</v>
      </c>
      <c r="D401" t="s">
        <v>7</v>
      </c>
      <c r="E401" s="5"/>
      <c r="F401" s="7">
        <v>45323</v>
      </c>
      <c r="G401" t="s">
        <v>150</v>
      </c>
      <c r="H401">
        <v>2500</v>
      </c>
      <c r="I401" s="5">
        <v>96902.5</v>
      </c>
      <c r="K401" s="5">
        <v>97098.81</v>
      </c>
      <c r="L401" s="5">
        <v>38.761000000000003</v>
      </c>
      <c r="M401" s="5">
        <v>38.839523999999997</v>
      </c>
      <c r="N401" s="5">
        <v>196.30999999999767</v>
      </c>
      <c r="O401" s="3">
        <v>2.0258507262454289E-3</v>
      </c>
      <c r="P401" s="9">
        <f>N401+P400</f>
        <v>410744.02256349666</v>
      </c>
      <c r="Q401" s="5" t="str">
        <f>TEXT(Table13[[#This Row],[Closing Date]],"yyyy")</f>
        <v>2024</v>
      </c>
      <c r="R401" s="5" t="str">
        <f>TEXT(Table13[[#This Row],[Closing Date]],"mmmm")</f>
        <v>February</v>
      </c>
      <c r="S401" s="5" t="s">
        <v>240</v>
      </c>
      <c r="T401" s="5" t="s">
        <v>301</v>
      </c>
    </row>
    <row r="402" spans="1:20" x14ac:dyDescent="0.25">
      <c r="A402" t="s">
        <v>201</v>
      </c>
      <c r="B402" t="s">
        <v>303</v>
      </c>
      <c r="C402" t="s">
        <v>16</v>
      </c>
      <c r="D402" t="s">
        <v>7</v>
      </c>
      <c r="E402" s="5"/>
      <c r="F402" s="7">
        <v>45323</v>
      </c>
      <c r="G402" t="s">
        <v>107</v>
      </c>
      <c r="H402">
        <v>3000</v>
      </c>
      <c r="I402" s="5">
        <v>372321</v>
      </c>
      <c r="K402" s="5">
        <v>382062.68</v>
      </c>
      <c r="L402" s="5">
        <v>124.107</v>
      </c>
      <c r="M402" s="5">
        <v>254.70845333333332</v>
      </c>
      <c r="N402" s="5">
        <v>9741.679999999993</v>
      </c>
      <c r="O402" s="3">
        <v>2.6164734194418237E-2</v>
      </c>
      <c r="P402" s="9">
        <f>N402+P401</f>
        <v>420485.70256349666</v>
      </c>
      <c r="Q402" s="5" t="str">
        <f>TEXT(Table13[[#This Row],[Closing Date]],"yyyy")</f>
        <v>2024</v>
      </c>
      <c r="R402" s="5" t="str">
        <f>TEXT(Table13[[#This Row],[Closing Date]],"mmmm")</f>
        <v>February</v>
      </c>
      <c r="S402" s="5" t="s">
        <v>240</v>
      </c>
      <c r="T402" s="5" t="s">
        <v>301</v>
      </c>
    </row>
    <row r="403" spans="1:20" x14ac:dyDescent="0.25">
      <c r="A403" t="s">
        <v>201</v>
      </c>
      <c r="B403" t="s">
        <v>306</v>
      </c>
      <c r="C403" t="s">
        <v>12</v>
      </c>
      <c r="D403" t="s">
        <v>7</v>
      </c>
      <c r="E403" s="5"/>
      <c r="F403" s="7">
        <v>45323</v>
      </c>
      <c r="G403" t="s">
        <v>86</v>
      </c>
      <c r="H403">
        <v>200</v>
      </c>
      <c r="I403" s="5">
        <v>815420</v>
      </c>
      <c r="K403" s="5">
        <v>778893</v>
      </c>
      <c r="L403" s="5">
        <v>4.0770999999999997</v>
      </c>
      <c r="M403" s="5"/>
      <c r="N403" s="5">
        <v>-36527</v>
      </c>
      <c r="O403" s="3">
        <v>-4.4795320203085527E-2</v>
      </c>
      <c r="P403" s="9">
        <f>N403+P402</f>
        <v>383958.70256349666</v>
      </c>
      <c r="Q403" s="5" t="str">
        <f>TEXT(Table13[[#This Row],[Closing Date]],"yyyy")</f>
        <v>2024</v>
      </c>
      <c r="R403" s="5" t="str">
        <f>TEXT(Table13[[#This Row],[Closing Date]],"mmmm")</f>
        <v>February</v>
      </c>
      <c r="S403" s="5" t="s">
        <v>240</v>
      </c>
      <c r="T403" s="5" t="s">
        <v>301</v>
      </c>
    </row>
    <row r="404" spans="1:20" x14ac:dyDescent="0.25">
      <c r="A404" t="s">
        <v>201</v>
      </c>
      <c r="B404" t="s">
        <v>306</v>
      </c>
      <c r="C404" t="s">
        <v>12</v>
      </c>
      <c r="D404" t="s">
        <v>7</v>
      </c>
      <c r="E404" s="5"/>
      <c r="F404" s="7">
        <v>45323</v>
      </c>
      <c r="G404" t="s">
        <v>13</v>
      </c>
      <c r="H404">
        <v>3</v>
      </c>
      <c r="I404" s="5">
        <v>227077.11</v>
      </c>
      <c r="K404" s="5">
        <v>221752.89</v>
      </c>
      <c r="L404" s="5">
        <v>75.692369999999997</v>
      </c>
      <c r="M404" s="5">
        <v>0</v>
      </c>
      <c r="N404" s="5">
        <v>-5324.2199999999721</v>
      </c>
      <c r="O404" s="3">
        <v>-2.344674899200528E-2</v>
      </c>
      <c r="P404" s="9">
        <f>N404+P403</f>
        <v>378634.48256349668</v>
      </c>
      <c r="Q404" s="5" t="str">
        <f>TEXT(Table13[[#This Row],[Closing Date]],"yyyy")</f>
        <v>2024</v>
      </c>
      <c r="R404" s="5" t="str">
        <f>TEXT(Table13[[#This Row],[Closing Date]],"mmmm")</f>
        <v>February</v>
      </c>
      <c r="S404" s="5" t="s">
        <v>240</v>
      </c>
      <c r="T404" s="5" t="s">
        <v>301</v>
      </c>
    </row>
    <row r="405" spans="1:20" x14ac:dyDescent="0.25">
      <c r="A405" t="s">
        <v>197</v>
      </c>
      <c r="B405" t="s">
        <v>302</v>
      </c>
      <c r="C405" t="s">
        <v>102</v>
      </c>
      <c r="D405" t="s">
        <v>7</v>
      </c>
      <c r="E405" s="5"/>
      <c r="F405" s="7">
        <v>45324</v>
      </c>
      <c r="G405" t="s">
        <v>112</v>
      </c>
      <c r="H405">
        <v>25</v>
      </c>
      <c r="I405" s="5">
        <v>7248.67</v>
      </c>
      <c r="J405" s="13">
        <v>100</v>
      </c>
      <c r="K405" s="5">
        <v>18053.370000000003</v>
      </c>
      <c r="L405" s="5">
        <v>2.8994680000000002</v>
      </c>
      <c r="M405" s="5">
        <v>7.2213480000000017</v>
      </c>
      <c r="N405" s="5">
        <v>10804.700000000003</v>
      </c>
      <c r="O405" s="3">
        <v>1.4905768920367466</v>
      </c>
      <c r="P405" s="9">
        <f>N405+P404</f>
        <v>389439.1825634967</v>
      </c>
      <c r="Q405" s="5" t="str">
        <f>TEXT(Table13[[#This Row],[Closing Date]],"yyyy")</f>
        <v>2024</v>
      </c>
      <c r="R405" s="5" t="str">
        <f>TEXT(Table13[[#This Row],[Closing Date]],"mmmm")</f>
        <v>February</v>
      </c>
      <c r="S405" s="5" t="s">
        <v>240</v>
      </c>
      <c r="T405" s="5" t="s">
        <v>301</v>
      </c>
    </row>
    <row r="406" spans="1:20" x14ac:dyDescent="0.25">
      <c r="A406" t="s">
        <v>201</v>
      </c>
      <c r="B406" t="s">
        <v>303</v>
      </c>
      <c r="C406" t="s">
        <v>16</v>
      </c>
      <c r="D406" t="s">
        <v>7</v>
      </c>
      <c r="E406" s="5"/>
      <c r="F406" s="7">
        <v>45324</v>
      </c>
      <c r="G406" t="s">
        <v>182</v>
      </c>
      <c r="H406">
        <v>10000</v>
      </c>
      <c r="I406" s="5">
        <v>275285</v>
      </c>
      <c r="K406" s="5">
        <v>276321.87</v>
      </c>
      <c r="L406" s="5">
        <v>27.528500000000001</v>
      </c>
      <c r="M406" s="5">
        <v>27.632186999999998</v>
      </c>
      <c r="N406" s="5">
        <v>987</v>
      </c>
      <c r="O406" s="3">
        <v>3.5853751566558294E-3</v>
      </c>
      <c r="P406" s="9">
        <f>N406+P405</f>
        <v>390426.1825634967</v>
      </c>
      <c r="Q406" s="5" t="str">
        <f>TEXT(Table13[[#This Row],[Closing Date]],"yyyy")</f>
        <v>2024</v>
      </c>
      <c r="R406" s="5" t="str">
        <f>TEXT(Table13[[#This Row],[Closing Date]],"mmmm")</f>
        <v>February</v>
      </c>
      <c r="S406" s="5" t="s">
        <v>240</v>
      </c>
      <c r="T406" s="5" t="s">
        <v>301</v>
      </c>
    </row>
    <row r="407" spans="1:20" x14ac:dyDescent="0.25">
      <c r="A407" t="s">
        <v>201</v>
      </c>
      <c r="B407" t="s">
        <v>303</v>
      </c>
      <c r="C407" t="s">
        <v>16</v>
      </c>
      <c r="D407" t="s">
        <v>7</v>
      </c>
      <c r="E407" s="5"/>
      <c r="F407" s="7">
        <v>45327</v>
      </c>
      <c r="G407" t="s">
        <v>115</v>
      </c>
      <c r="H407">
        <v>18000</v>
      </c>
      <c r="I407" s="5">
        <v>284136.45</v>
      </c>
      <c r="K407" s="5">
        <v>301286.45</v>
      </c>
      <c r="L407" s="5">
        <v>15.785358333333335</v>
      </c>
      <c r="M407" s="5">
        <v>16.73813611111111</v>
      </c>
      <c r="N407" s="5">
        <v>-17150</v>
      </c>
      <c r="O407" s="3">
        <v>-6.0358324319178334E-2</v>
      </c>
      <c r="P407" s="9">
        <f>N407+P406</f>
        <v>373276.1825634967</v>
      </c>
      <c r="Q407" s="5" t="str">
        <f>TEXT(Table13[[#This Row],[Closing Date]],"yyyy")</f>
        <v>2024</v>
      </c>
      <c r="R407" s="5" t="str">
        <f>TEXT(Table13[[#This Row],[Closing Date]],"mmmm")</f>
        <v>February</v>
      </c>
      <c r="S407" s="5" t="s">
        <v>240</v>
      </c>
      <c r="T407" s="5" t="s">
        <v>301</v>
      </c>
    </row>
    <row r="408" spans="1:20" x14ac:dyDescent="0.25">
      <c r="A408" t="s">
        <v>201</v>
      </c>
      <c r="B408" t="s">
        <v>303</v>
      </c>
      <c r="C408" t="s">
        <v>16</v>
      </c>
      <c r="D408" t="s">
        <v>7</v>
      </c>
      <c r="E408" s="5"/>
      <c r="F408" s="7">
        <v>45327</v>
      </c>
      <c r="G408" t="s">
        <v>208</v>
      </c>
      <c r="H408">
        <v>20000</v>
      </c>
      <c r="I408" s="5">
        <v>871910.45</v>
      </c>
      <c r="K408" s="5">
        <v>860994.45</v>
      </c>
      <c r="L408" s="5">
        <v>43.595522499999994</v>
      </c>
      <c r="M408" s="5">
        <v>43.049722499999994</v>
      </c>
      <c r="N408" s="5">
        <v>-10956</v>
      </c>
      <c r="O408" s="3">
        <v>-1.2565510598020703E-2</v>
      </c>
      <c r="P408" s="9">
        <f>N408+P407</f>
        <v>362320.1825634967</v>
      </c>
      <c r="Q408" s="5" t="str">
        <f>TEXT(Table13[[#This Row],[Closing Date]],"yyyy")</f>
        <v>2024</v>
      </c>
      <c r="R408" s="5" t="str">
        <f>TEXT(Table13[[#This Row],[Closing Date]],"mmmm")</f>
        <v>February</v>
      </c>
      <c r="S408" s="5" t="s">
        <v>240</v>
      </c>
      <c r="T408" s="5" t="s">
        <v>301</v>
      </c>
    </row>
    <row r="409" spans="1:20" x14ac:dyDescent="0.25">
      <c r="A409" t="s">
        <v>201</v>
      </c>
      <c r="B409" t="s">
        <v>303</v>
      </c>
      <c r="C409" t="s">
        <v>16</v>
      </c>
      <c r="D409" t="s">
        <v>7</v>
      </c>
      <c r="E409" s="5"/>
      <c r="F409" s="7">
        <v>45328</v>
      </c>
      <c r="G409" t="s">
        <v>209</v>
      </c>
      <c r="H409">
        <v>4000</v>
      </c>
      <c r="I409" s="5">
        <v>156520</v>
      </c>
      <c r="K409" s="5">
        <v>150380</v>
      </c>
      <c r="L409" s="5">
        <v>39.130000000000003</v>
      </c>
      <c r="M409" s="5">
        <v>37.594999999999999</v>
      </c>
      <c r="N409" s="5">
        <v>-6182</v>
      </c>
      <c r="O409" s="3">
        <v>-3.9496549961666239E-2</v>
      </c>
      <c r="P409" s="9">
        <f>N409+P408</f>
        <v>356138.1825634967</v>
      </c>
      <c r="Q409" s="5" t="str">
        <f>TEXT(Table13[[#This Row],[Closing Date]],"yyyy")</f>
        <v>2024</v>
      </c>
      <c r="R409" s="5" t="str">
        <f>TEXT(Table13[[#This Row],[Closing Date]],"mmmm")</f>
        <v>February</v>
      </c>
      <c r="S409" s="5" t="s">
        <v>240</v>
      </c>
      <c r="T409" s="5" t="s">
        <v>301</v>
      </c>
    </row>
    <row r="410" spans="1:20" x14ac:dyDescent="0.25">
      <c r="A410" t="s">
        <v>201</v>
      </c>
      <c r="B410" t="s">
        <v>303</v>
      </c>
      <c r="C410" t="s">
        <v>16</v>
      </c>
      <c r="D410" t="s">
        <v>7</v>
      </c>
      <c r="E410" s="5"/>
      <c r="F410" s="7">
        <v>45328</v>
      </c>
      <c r="G410" t="s">
        <v>180</v>
      </c>
      <c r="H410">
        <v>8000</v>
      </c>
      <c r="I410" s="5">
        <v>163175.60999999999</v>
      </c>
      <c r="K410" s="5">
        <v>157159.93</v>
      </c>
      <c r="L410" s="5">
        <v>20.396951249999997</v>
      </c>
      <c r="M410" s="5">
        <v>19.64499125</v>
      </c>
      <c r="N410" s="5">
        <v>6015.679999999993</v>
      </c>
      <c r="O410" s="3">
        <v>3.6866293927137722E-2</v>
      </c>
      <c r="P410" s="9">
        <f>N410+P409</f>
        <v>362153.86256349669</v>
      </c>
      <c r="Q410" s="5" t="str">
        <f>TEXT(Table13[[#This Row],[Closing Date]],"yyyy")</f>
        <v>2024</v>
      </c>
      <c r="R410" s="5" t="str">
        <f>TEXT(Table13[[#This Row],[Closing Date]],"mmmm")</f>
        <v>February</v>
      </c>
      <c r="S410" s="5" t="s">
        <v>240</v>
      </c>
      <c r="T410" s="5" t="s">
        <v>301</v>
      </c>
    </row>
    <row r="411" spans="1:20" x14ac:dyDescent="0.25">
      <c r="A411" t="s">
        <v>201</v>
      </c>
      <c r="B411" t="s">
        <v>303</v>
      </c>
      <c r="C411" t="s">
        <v>16</v>
      </c>
      <c r="D411" t="s">
        <v>7</v>
      </c>
      <c r="E411" s="5"/>
      <c r="F411" s="7">
        <v>45328</v>
      </c>
      <c r="G411" t="s">
        <v>142</v>
      </c>
      <c r="H411">
        <v>10000</v>
      </c>
      <c r="I411" s="5">
        <v>437250</v>
      </c>
      <c r="K411" s="5">
        <v>457851.38</v>
      </c>
      <c r="L411" s="5">
        <v>43.725000000000001</v>
      </c>
      <c r="M411" s="5">
        <v>45.785138000000003</v>
      </c>
      <c r="N411" s="5">
        <v>20601.380000000005</v>
      </c>
      <c r="O411" s="3">
        <v>4.7115791881074912E-2</v>
      </c>
      <c r="P411" s="9">
        <f>N411+P410</f>
        <v>382755.24256349669</v>
      </c>
      <c r="Q411" s="5" t="str">
        <f>TEXT(Table13[[#This Row],[Closing Date]],"yyyy")</f>
        <v>2024</v>
      </c>
      <c r="R411" s="5" t="str">
        <f>TEXT(Table13[[#This Row],[Closing Date]],"mmmm")</f>
        <v>February</v>
      </c>
      <c r="S411" s="5" t="s">
        <v>240</v>
      </c>
      <c r="T411" s="5" t="s">
        <v>301</v>
      </c>
    </row>
    <row r="412" spans="1:20" x14ac:dyDescent="0.25">
      <c r="A412" t="s">
        <v>201</v>
      </c>
      <c r="B412" t="s">
        <v>303</v>
      </c>
      <c r="C412" t="s">
        <v>16</v>
      </c>
      <c r="D412" t="s">
        <v>7</v>
      </c>
      <c r="E412" s="5"/>
      <c r="F412" s="7">
        <v>45329</v>
      </c>
      <c r="G412" t="s">
        <v>209</v>
      </c>
      <c r="H412">
        <v>4500</v>
      </c>
      <c r="I412" s="5">
        <v>177193.2</v>
      </c>
      <c r="K412" s="5">
        <v>168032.82</v>
      </c>
      <c r="L412" s="5">
        <v>39.376266666666666</v>
      </c>
      <c r="M412" s="5">
        <v>37.340626666666665</v>
      </c>
      <c r="N412" s="5">
        <v>-9207.4700000000048</v>
      </c>
      <c r="O412" s="3">
        <v>-5.196288570893242E-2</v>
      </c>
      <c r="P412" s="9">
        <f>N412+P411</f>
        <v>373547.77256349666</v>
      </c>
      <c r="Q412" s="5" t="str">
        <f>TEXT(Table13[[#This Row],[Closing Date]],"yyyy")</f>
        <v>2024</v>
      </c>
      <c r="R412" s="5" t="str">
        <f>TEXT(Table13[[#This Row],[Closing Date]],"mmmm")</f>
        <v>February</v>
      </c>
      <c r="S412" s="5" t="s">
        <v>240</v>
      </c>
      <c r="T412" s="5" t="s">
        <v>301</v>
      </c>
    </row>
    <row r="413" spans="1:20" x14ac:dyDescent="0.25">
      <c r="A413" t="s">
        <v>201</v>
      </c>
      <c r="B413" t="s">
        <v>303</v>
      </c>
      <c r="C413" t="s">
        <v>16</v>
      </c>
      <c r="D413" t="s">
        <v>7</v>
      </c>
      <c r="E413" s="5"/>
      <c r="F413" s="7">
        <v>45330</v>
      </c>
      <c r="G413" t="s">
        <v>114</v>
      </c>
      <c r="H413">
        <v>1000</v>
      </c>
      <c r="I413" s="5">
        <v>50862</v>
      </c>
      <c r="K413" s="5">
        <v>45035</v>
      </c>
      <c r="L413" s="5">
        <v>50.862000000000002</v>
      </c>
      <c r="M413" s="5">
        <v>45.034999999999997</v>
      </c>
      <c r="N413" s="5">
        <v>-5874.09</v>
      </c>
      <c r="O413" s="3">
        <v>-0.11549073964846054</v>
      </c>
      <c r="P413" s="9">
        <f>N413+P412</f>
        <v>367673.68256349664</v>
      </c>
      <c r="Q413" s="5" t="str">
        <f>TEXT(Table13[[#This Row],[Closing Date]],"yyyy")</f>
        <v>2024</v>
      </c>
      <c r="R413" s="5" t="str">
        <f>TEXT(Table13[[#This Row],[Closing Date]],"mmmm")</f>
        <v>February</v>
      </c>
      <c r="S413" s="5" t="s">
        <v>240</v>
      </c>
      <c r="T413" s="5" t="s">
        <v>301</v>
      </c>
    </row>
    <row r="414" spans="1:20" x14ac:dyDescent="0.25">
      <c r="A414" t="s">
        <v>201</v>
      </c>
      <c r="B414" t="s">
        <v>303</v>
      </c>
      <c r="C414" t="s">
        <v>16</v>
      </c>
      <c r="D414" t="s">
        <v>7</v>
      </c>
      <c r="E414" s="5"/>
      <c r="F414" s="7">
        <v>45331</v>
      </c>
      <c r="G414" t="s">
        <v>153</v>
      </c>
      <c r="H414">
        <v>12000</v>
      </c>
      <c r="I414" s="5">
        <v>384159.63</v>
      </c>
      <c r="K414" s="5">
        <v>437647.33999999997</v>
      </c>
      <c r="L414" s="5">
        <v>32.013302500000002</v>
      </c>
      <c r="M414" s="5">
        <v>36.470611666666663</v>
      </c>
      <c r="N414" s="5">
        <v>53487.709999999963</v>
      </c>
      <c r="O414" s="3">
        <v>0.13923303185188918</v>
      </c>
      <c r="P414" s="9">
        <f>N414+P413</f>
        <v>421161.3925634966</v>
      </c>
      <c r="Q414" s="5" t="str">
        <f>TEXT(Table13[[#This Row],[Closing Date]],"yyyy")</f>
        <v>2024</v>
      </c>
      <c r="R414" s="5" t="str">
        <f>TEXT(Table13[[#This Row],[Closing Date]],"mmmm")</f>
        <v>February</v>
      </c>
      <c r="S414" s="5" t="s">
        <v>240</v>
      </c>
      <c r="T414" s="5" t="s">
        <v>301</v>
      </c>
    </row>
    <row r="415" spans="1:20" x14ac:dyDescent="0.25">
      <c r="A415" t="s">
        <v>201</v>
      </c>
      <c r="B415" t="s">
        <v>303</v>
      </c>
      <c r="C415" t="s">
        <v>16</v>
      </c>
      <c r="D415" t="s">
        <v>5</v>
      </c>
      <c r="E415" s="5"/>
      <c r="F415" s="7">
        <v>45334</v>
      </c>
      <c r="G415" t="s">
        <v>72</v>
      </c>
      <c r="H415">
        <v>200</v>
      </c>
      <c r="I415" s="5">
        <v>141889.93</v>
      </c>
      <c r="K415" s="5">
        <v>156783.74</v>
      </c>
      <c r="L415" s="5">
        <v>709.44965000000002</v>
      </c>
      <c r="M415" s="5">
        <v>783.91869999999994</v>
      </c>
      <c r="N415" s="5">
        <v>-14893.809999999998</v>
      </c>
      <c r="O415" s="3">
        <v>-0.10496735039618385</v>
      </c>
      <c r="P415" s="9">
        <f>N415+P414</f>
        <v>406267.5825634966</v>
      </c>
      <c r="Q415" s="5" t="str">
        <f>TEXT(Table13[[#This Row],[Closing Date]],"yyyy")</f>
        <v>2024</v>
      </c>
      <c r="R415" s="5" t="str">
        <f>TEXT(Table13[[#This Row],[Closing Date]],"mmmm")</f>
        <v>February</v>
      </c>
      <c r="S415" s="5" t="s">
        <v>240</v>
      </c>
      <c r="T415" s="5" t="s">
        <v>301</v>
      </c>
    </row>
    <row r="416" spans="1:20" x14ac:dyDescent="0.25">
      <c r="A416" t="s">
        <v>197</v>
      </c>
      <c r="B416" t="s">
        <v>302</v>
      </c>
      <c r="C416" t="s">
        <v>99</v>
      </c>
      <c r="D416" t="s">
        <v>7</v>
      </c>
      <c r="E416" s="5"/>
      <c r="F416" s="7">
        <v>45334</v>
      </c>
      <c r="G416" t="s">
        <v>133</v>
      </c>
      <c r="H416">
        <v>40</v>
      </c>
      <c r="I416" s="5">
        <v>10055.879999999999</v>
      </c>
      <c r="J416" s="13">
        <v>100</v>
      </c>
      <c r="K416" s="5">
        <v>0</v>
      </c>
      <c r="L416" s="5">
        <v>2.51397</v>
      </c>
      <c r="M416" s="5"/>
      <c r="N416" s="5">
        <v>-10055.879999999999</v>
      </c>
      <c r="O416" s="3">
        <v>-1</v>
      </c>
      <c r="P416" s="9">
        <f>N416+P415</f>
        <v>396211.7025634966</v>
      </c>
      <c r="Q416" s="5" t="str">
        <f>TEXT(Table13[[#This Row],[Closing Date]],"yyyy")</f>
        <v>2024</v>
      </c>
      <c r="R416" s="5" t="str">
        <f>TEXT(Table13[[#This Row],[Closing Date]],"mmmm")</f>
        <v>February</v>
      </c>
      <c r="S416" s="5" t="s">
        <v>240</v>
      </c>
      <c r="T416" s="5" t="s">
        <v>301</v>
      </c>
    </row>
    <row r="417" spans="1:20" x14ac:dyDescent="0.25">
      <c r="A417" t="s">
        <v>201</v>
      </c>
      <c r="B417" t="s">
        <v>303</v>
      </c>
      <c r="C417" t="s">
        <v>16</v>
      </c>
      <c r="D417" t="s">
        <v>7</v>
      </c>
      <c r="E417" s="5"/>
      <c r="F417" s="7">
        <v>45335</v>
      </c>
      <c r="G417" t="s">
        <v>206</v>
      </c>
      <c r="H417">
        <v>5350</v>
      </c>
      <c r="I417" s="5">
        <v>919469.25</v>
      </c>
      <c r="K417" s="5">
        <v>890261.85000000009</v>
      </c>
      <c r="L417" s="5">
        <v>171.86341121495326</v>
      </c>
      <c r="M417" s="5">
        <v>166.40408411214955</v>
      </c>
      <c r="N417" s="5">
        <v>-29207.399999999907</v>
      </c>
      <c r="O417" s="3">
        <v>-3.1765499498759647E-2</v>
      </c>
      <c r="P417" s="9">
        <f>N417+P416</f>
        <v>367004.30256349669</v>
      </c>
      <c r="Q417" s="5" t="str">
        <f>TEXT(Table13[[#This Row],[Closing Date]],"yyyy")</f>
        <v>2024</v>
      </c>
      <c r="R417" s="5" t="str">
        <f>TEXT(Table13[[#This Row],[Closing Date]],"mmmm")</f>
        <v>February</v>
      </c>
      <c r="S417" s="5" t="s">
        <v>240</v>
      </c>
      <c r="T417" s="5" t="s">
        <v>301</v>
      </c>
    </row>
    <row r="418" spans="1:20" x14ac:dyDescent="0.25">
      <c r="A418" t="s">
        <v>201</v>
      </c>
      <c r="B418" t="s">
        <v>303</v>
      </c>
      <c r="C418" t="s">
        <v>16</v>
      </c>
      <c r="D418" t="s">
        <v>7</v>
      </c>
      <c r="E418" s="5"/>
      <c r="F418" s="7">
        <v>45335</v>
      </c>
      <c r="G418" t="s">
        <v>163</v>
      </c>
      <c r="H418">
        <v>7500</v>
      </c>
      <c r="I418" s="5">
        <v>182887.5</v>
      </c>
      <c r="K418" s="5">
        <v>174997.19</v>
      </c>
      <c r="L418" s="5">
        <v>24.385000000000002</v>
      </c>
      <c r="M418" s="5">
        <v>23.332958666666666</v>
      </c>
      <c r="N418" s="5">
        <v>-7890.3099999999977</v>
      </c>
      <c r="O418" s="3">
        <v>-4.3142970405303793E-2</v>
      </c>
      <c r="P418" s="9">
        <f>N418+P417</f>
        <v>359113.99256349669</v>
      </c>
      <c r="Q418" s="5" t="str">
        <f>TEXT(Table13[[#This Row],[Closing Date]],"yyyy")</f>
        <v>2024</v>
      </c>
      <c r="R418" s="5" t="str">
        <f>TEXT(Table13[[#This Row],[Closing Date]],"mmmm")</f>
        <v>February</v>
      </c>
      <c r="S418" s="5" t="s">
        <v>240</v>
      </c>
      <c r="T418" s="5" t="s">
        <v>301</v>
      </c>
    </row>
    <row r="419" spans="1:20" x14ac:dyDescent="0.25">
      <c r="A419" t="s">
        <v>201</v>
      </c>
      <c r="B419" t="s">
        <v>303</v>
      </c>
      <c r="C419" t="s">
        <v>16</v>
      </c>
      <c r="D419" t="s">
        <v>7</v>
      </c>
      <c r="E419" s="5"/>
      <c r="F419" s="7">
        <v>45335</v>
      </c>
      <c r="G419" t="s">
        <v>159</v>
      </c>
      <c r="H419">
        <v>1250</v>
      </c>
      <c r="I419" s="5">
        <v>707866.5</v>
      </c>
      <c r="K419" s="5">
        <v>690823.5</v>
      </c>
      <c r="L419" s="5">
        <v>566.29319999999996</v>
      </c>
      <c r="M419" s="5">
        <v>552.65880000000004</v>
      </c>
      <c r="N419" s="5">
        <v>-17043</v>
      </c>
      <c r="O419" s="3">
        <v>-2.4076573760730306E-2</v>
      </c>
      <c r="P419" s="9">
        <f>N419+P418</f>
        <v>342070.99256349669</v>
      </c>
      <c r="Q419" s="5" t="str">
        <f>TEXT(Table13[[#This Row],[Closing Date]],"yyyy")</f>
        <v>2024</v>
      </c>
      <c r="R419" s="5" t="str">
        <f>TEXT(Table13[[#This Row],[Closing Date]],"mmmm")</f>
        <v>February</v>
      </c>
      <c r="S419" s="5" t="s">
        <v>240</v>
      </c>
      <c r="T419" s="5" t="s">
        <v>301</v>
      </c>
    </row>
    <row r="420" spans="1:20" x14ac:dyDescent="0.25">
      <c r="A420" t="s">
        <v>201</v>
      </c>
      <c r="B420" t="s">
        <v>306</v>
      </c>
      <c r="C420" t="s">
        <v>4</v>
      </c>
      <c r="D420" t="s">
        <v>7</v>
      </c>
      <c r="E420" s="5"/>
      <c r="F420" s="7">
        <v>45335</v>
      </c>
      <c r="G420" t="s">
        <v>220</v>
      </c>
      <c r="H420">
        <v>250000</v>
      </c>
      <c r="I420" s="5">
        <v>103525847.09999999</v>
      </c>
      <c r="K420" s="5">
        <v>102020459.37</v>
      </c>
      <c r="L420" s="5">
        <v>414.10338839999997</v>
      </c>
      <c r="M420" s="5">
        <v>413</v>
      </c>
      <c r="N420" s="5">
        <v>-4185</v>
      </c>
      <c r="O420" s="3">
        <v>-0.01</v>
      </c>
      <c r="P420" s="9">
        <f>N420+P419</f>
        <v>337885.99256349669</v>
      </c>
      <c r="Q420" s="5" t="str">
        <f>TEXT(Table13[[#This Row],[Closing Date]],"yyyy")</f>
        <v>2024</v>
      </c>
      <c r="R420" s="5" t="str">
        <f>TEXT(Table13[[#This Row],[Closing Date]],"mmmm")</f>
        <v>February</v>
      </c>
      <c r="S420" s="5" t="s">
        <v>240</v>
      </c>
      <c r="T420" s="5" t="s">
        <v>301</v>
      </c>
    </row>
    <row r="421" spans="1:20" x14ac:dyDescent="0.25">
      <c r="A421" t="s">
        <v>201</v>
      </c>
      <c r="B421" t="s">
        <v>303</v>
      </c>
      <c r="C421" t="s">
        <v>16</v>
      </c>
      <c r="D421" t="s">
        <v>7</v>
      </c>
      <c r="E421" s="5"/>
      <c r="F421" s="7">
        <v>45337</v>
      </c>
      <c r="G421" t="s">
        <v>159</v>
      </c>
      <c r="H421">
        <v>1000</v>
      </c>
      <c r="I421" s="5">
        <v>569167</v>
      </c>
      <c r="K421" s="5">
        <v>583154.04</v>
      </c>
      <c r="L421" s="5">
        <v>569.16700000000003</v>
      </c>
      <c r="M421" s="5">
        <v>583.15404000000001</v>
      </c>
      <c r="N421" s="5">
        <v>13987.040000000037</v>
      </c>
      <c r="O421" s="3">
        <v>2.4574580044169878E-2</v>
      </c>
      <c r="P421" s="9">
        <f>N421+P420</f>
        <v>351873.03256349673</v>
      </c>
      <c r="Q421" s="5" t="str">
        <f>TEXT(Table13[[#This Row],[Closing Date]],"yyyy")</f>
        <v>2024</v>
      </c>
      <c r="R421" s="5" t="str">
        <f>TEXT(Table13[[#This Row],[Closing Date]],"mmmm")</f>
        <v>February</v>
      </c>
      <c r="S421" s="5" t="s">
        <v>240</v>
      </c>
      <c r="T421" s="5" t="s">
        <v>301</v>
      </c>
    </row>
    <row r="422" spans="1:20" x14ac:dyDescent="0.25">
      <c r="A422" t="s">
        <v>201</v>
      </c>
      <c r="B422" t="s">
        <v>303</v>
      </c>
      <c r="C422" t="s">
        <v>16</v>
      </c>
      <c r="D422" t="s">
        <v>7</v>
      </c>
      <c r="E422" s="5"/>
      <c r="F422" s="7">
        <v>45338</v>
      </c>
      <c r="G422" t="s">
        <v>206</v>
      </c>
      <c r="H422">
        <v>2000</v>
      </c>
      <c r="I422" s="5">
        <v>354270</v>
      </c>
      <c r="K422" s="5">
        <v>347660.31</v>
      </c>
      <c r="L422" s="5">
        <v>177.13499999999999</v>
      </c>
      <c r="M422" s="5">
        <v>173.83015499999999</v>
      </c>
      <c r="N422" s="5">
        <v>-6609.6900000000023</v>
      </c>
      <c r="O422" s="3">
        <v>-1.8657210602083165E-2</v>
      </c>
      <c r="P422" s="9">
        <f>N422+P421</f>
        <v>345263.34256349673</v>
      </c>
      <c r="Q422" s="5" t="str">
        <f>TEXT(Table13[[#This Row],[Closing Date]],"yyyy")</f>
        <v>2024</v>
      </c>
      <c r="R422" s="5" t="str">
        <f>TEXT(Table13[[#This Row],[Closing Date]],"mmmm")</f>
        <v>February</v>
      </c>
      <c r="S422" s="5" t="s">
        <v>240</v>
      </c>
      <c r="T422" s="5" t="s">
        <v>301</v>
      </c>
    </row>
    <row r="423" spans="1:20" x14ac:dyDescent="0.25">
      <c r="A423" t="s">
        <v>201</v>
      </c>
      <c r="B423" t="s">
        <v>303</v>
      </c>
      <c r="C423" t="s">
        <v>16</v>
      </c>
      <c r="D423" t="s">
        <v>7</v>
      </c>
      <c r="E423" s="5"/>
      <c r="F423" s="7">
        <v>45338</v>
      </c>
      <c r="G423" t="s">
        <v>163</v>
      </c>
      <c r="H423">
        <v>10000</v>
      </c>
      <c r="I423" s="5">
        <v>245955</v>
      </c>
      <c r="K423" s="5">
        <v>243950.99</v>
      </c>
      <c r="L423" s="5">
        <v>24.595500000000001</v>
      </c>
      <c r="M423" s="5">
        <v>24.395098999999998</v>
      </c>
      <c r="N423" s="5">
        <v>-2004.0100000000093</v>
      </c>
      <c r="O423" s="3">
        <v>-8.1478725783172105E-3</v>
      </c>
      <c r="P423" s="9">
        <f>N423+P422</f>
        <v>343259.33256349672</v>
      </c>
      <c r="Q423" s="5" t="str">
        <f>TEXT(Table13[[#This Row],[Closing Date]],"yyyy")</f>
        <v>2024</v>
      </c>
      <c r="R423" s="5" t="str">
        <f>TEXT(Table13[[#This Row],[Closing Date]],"mmmm")</f>
        <v>February</v>
      </c>
      <c r="S423" s="5" t="s">
        <v>240</v>
      </c>
      <c r="T423" s="5" t="s">
        <v>301</v>
      </c>
    </row>
    <row r="424" spans="1:20" x14ac:dyDescent="0.25">
      <c r="A424" t="s">
        <v>201</v>
      </c>
      <c r="B424" t="s">
        <v>303</v>
      </c>
      <c r="C424" t="s">
        <v>16</v>
      </c>
      <c r="D424" t="s">
        <v>7</v>
      </c>
      <c r="E424" s="5"/>
      <c r="F424" s="7">
        <v>45338</v>
      </c>
      <c r="G424" t="s">
        <v>198</v>
      </c>
      <c r="H424">
        <v>7500</v>
      </c>
      <c r="I424" s="5">
        <v>527580</v>
      </c>
      <c r="K424" s="5">
        <v>527237.04</v>
      </c>
      <c r="L424" s="5">
        <v>70.343999999999994</v>
      </c>
      <c r="M424" s="5">
        <v>70.298272000000011</v>
      </c>
      <c r="N424" s="5">
        <v>-342.95999999996275</v>
      </c>
      <c r="O424" s="3">
        <v>-6.5006254975541672E-4</v>
      </c>
      <c r="P424" s="9">
        <f>N424+P423</f>
        <v>342916.37256349676</v>
      </c>
      <c r="Q424" s="5" t="str">
        <f>TEXT(Table13[[#This Row],[Closing Date]],"yyyy")</f>
        <v>2024</v>
      </c>
      <c r="R424" s="5" t="str">
        <f>TEXT(Table13[[#This Row],[Closing Date]],"mmmm")</f>
        <v>February</v>
      </c>
      <c r="S424" s="5" t="s">
        <v>240</v>
      </c>
      <c r="T424" s="5" t="s">
        <v>301</v>
      </c>
    </row>
    <row r="425" spans="1:20" x14ac:dyDescent="0.25">
      <c r="A425" t="s">
        <v>197</v>
      </c>
      <c r="B425" t="s">
        <v>306</v>
      </c>
      <c r="C425" t="s">
        <v>102</v>
      </c>
      <c r="D425" t="s">
        <v>7</v>
      </c>
      <c r="E425" s="5"/>
      <c r="F425" s="7">
        <v>45338</v>
      </c>
      <c r="G425" t="s">
        <v>221</v>
      </c>
      <c r="H425">
        <v>19</v>
      </c>
      <c r="I425" s="5">
        <v>9988.2999999999993</v>
      </c>
      <c r="J425" s="13">
        <v>100</v>
      </c>
      <c r="K425" s="5">
        <v>20904.84</v>
      </c>
      <c r="L425" s="5">
        <v>5.2569999999999997</v>
      </c>
      <c r="M425" s="5">
        <v>11.002547368421054</v>
      </c>
      <c r="N425" s="5">
        <v>10916.54</v>
      </c>
      <c r="O425" s="3">
        <v>1.0929327312956161</v>
      </c>
      <c r="P425" s="9">
        <f>N425+P424</f>
        <v>353832.91256349673</v>
      </c>
      <c r="Q425" s="5" t="str">
        <f>TEXT(Table13[[#This Row],[Closing Date]],"yyyy")</f>
        <v>2024</v>
      </c>
      <c r="R425" s="5" t="str">
        <f>TEXT(Table13[[#This Row],[Closing Date]],"mmmm")</f>
        <v>February</v>
      </c>
      <c r="S425" s="5" t="s">
        <v>240</v>
      </c>
      <c r="T425" s="5" t="s">
        <v>301</v>
      </c>
    </row>
    <row r="426" spans="1:20" x14ac:dyDescent="0.25">
      <c r="A426" t="s">
        <v>197</v>
      </c>
      <c r="B426" t="s">
        <v>303</v>
      </c>
      <c r="C426" t="s">
        <v>102</v>
      </c>
      <c r="D426" t="s">
        <v>7</v>
      </c>
      <c r="E426" s="5"/>
      <c r="F426" s="7">
        <v>45341</v>
      </c>
      <c r="G426" t="s">
        <v>206</v>
      </c>
      <c r="H426">
        <v>33</v>
      </c>
      <c r="I426" s="5">
        <v>13123</v>
      </c>
      <c r="J426" s="13">
        <v>100</v>
      </c>
      <c r="K426" s="5">
        <v>22428.58</v>
      </c>
      <c r="L426" s="5">
        <v>3.976666666666667</v>
      </c>
      <c r="M426" s="5">
        <v>6.796539393939395</v>
      </c>
      <c r="N426" s="5">
        <v>9305.5800000000017</v>
      </c>
      <c r="O426" s="3">
        <v>0.70910462546673791</v>
      </c>
      <c r="P426" s="9">
        <f>N426+P425</f>
        <v>363138.49256349675</v>
      </c>
      <c r="Q426" s="5" t="str">
        <f>TEXT(Table13[[#This Row],[Closing Date]],"yyyy")</f>
        <v>2024</v>
      </c>
      <c r="R426" s="5" t="str">
        <f>TEXT(Table13[[#This Row],[Closing Date]],"mmmm")</f>
        <v>February</v>
      </c>
      <c r="S426" s="5" t="s">
        <v>240</v>
      </c>
      <c r="T426" s="5" t="s">
        <v>301</v>
      </c>
    </row>
    <row r="427" spans="1:20" x14ac:dyDescent="0.25">
      <c r="A427" t="s">
        <v>201</v>
      </c>
      <c r="B427" t="s">
        <v>303</v>
      </c>
      <c r="C427" t="s">
        <v>16</v>
      </c>
      <c r="D427" t="s">
        <v>7</v>
      </c>
      <c r="E427" s="5"/>
      <c r="F427" s="7">
        <v>45342</v>
      </c>
      <c r="G427" t="s">
        <v>217</v>
      </c>
      <c r="H427">
        <v>1500</v>
      </c>
      <c r="I427" s="5">
        <v>194167.5</v>
      </c>
      <c r="K427" s="5">
        <v>179094.32</v>
      </c>
      <c r="L427" s="5">
        <v>129.44499999999999</v>
      </c>
      <c r="M427" s="5">
        <v>119.39621333333334</v>
      </c>
      <c r="N427" s="5">
        <v>-15073.179999999993</v>
      </c>
      <c r="O427" s="3">
        <v>-7.7629778412968142E-2</v>
      </c>
      <c r="P427" s="9">
        <f>N427+P426</f>
        <v>348065.31256349676</v>
      </c>
      <c r="Q427" s="5" t="str">
        <f>TEXT(Table13[[#This Row],[Closing Date]],"yyyy")</f>
        <v>2024</v>
      </c>
      <c r="R427" s="5" t="str">
        <f>TEXT(Table13[[#This Row],[Closing Date]],"mmmm")</f>
        <v>February</v>
      </c>
      <c r="S427" s="5" t="s">
        <v>240</v>
      </c>
      <c r="T427" s="5" t="s">
        <v>301</v>
      </c>
    </row>
    <row r="428" spans="1:20" x14ac:dyDescent="0.25">
      <c r="A428" t="s">
        <v>201</v>
      </c>
      <c r="B428" t="s">
        <v>303</v>
      </c>
      <c r="C428" t="s">
        <v>16</v>
      </c>
      <c r="D428" t="s">
        <v>7</v>
      </c>
      <c r="E428" s="5"/>
      <c r="F428" s="7">
        <v>45342</v>
      </c>
      <c r="G428" t="s">
        <v>218</v>
      </c>
      <c r="H428">
        <v>10000</v>
      </c>
      <c r="I428" s="5">
        <v>177021.54</v>
      </c>
      <c r="K428" s="5">
        <v>163383.54</v>
      </c>
      <c r="L428" s="5">
        <v>17.702154</v>
      </c>
      <c r="M428" s="5">
        <v>16.338354000000002</v>
      </c>
      <c r="N428" s="5">
        <v>-13638</v>
      </c>
      <c r="O428" s="3">
        <v>-7.7041471902232914E-2</v>
      </c>
      <c r="P428" s="9">
        <f>N428+P427</f>
        <v>334427.31256349676</v>
      </c>
      <c r="Q428" s="5" t="str">
        <f>TEXT(Table13[[#This Row],[Closing Date]],"yyyy")</f>
        <v>2024</v>
      </c>
      <c r="R428" s="5" t="str">
        <f>TEXT(Table13[[#This Row],[Closing Date]],"mmmm")</f>
        <v>February</v>
      </c>
      <c r="S428" s="5" t="s">
        <v>240</v>
      </c>
      <c r="T428" s="5" t="s">
        <v>301</v>
      </c>
    </row>
    <row r="429" spans="1:20" x14ac:dyDescent="0.25">
      <c r="A429" t="s">
        <v>201</v>
      </c>
      <c r="B429" t="s">
        <v>303</v>
      </c>
      <c r="C429" t="s">
        <v>16</v>
      </c>
      <c r="D429" t="s">
        <v>7</v>
      </c>
      <c r="E429" s="5"/>
      <c r="F429" s="7">
        <v>45342</v>
      </c>
      <c r="G429" t="s">
        <v>219</v>
      </c>
      <c r="H429">
        <v>3100</v>
      </c>
      <c r="I429" s="5">
        <v>582677</v>
      </c>
      <c r="K429" s="5">
        <v>571082</v>
      </c>
      <c r="L429" s="5">
        <v>187.96032258064517</v>
      </c>
      <c r="M429" s="5">
        <v>184.22</v>
      </c>
      <c r="N429" s="5">
        <v>-11595</v>
      </c>
      <c r="O429" s="3">
        <v>-1.9899532674191703E-2</v>
      </c>
      <c r="P429" s="9">
        <f>N429+P428</f>
        <v>322832.31256349676</v>
      </c>
      <c r="Q429" s="5" t="str">
        <f>TEXT(Table13[[#This Row],[Closing Date]],"yyyy")</f>
        <v>2024</v>
      </c>
      <c r="R429" s="5" t="str">
        <f>TEXT(Table13[[#This Row],[Closing Date]],"mmmm")</f>
        <v>February</v>
      </c>
      <c r="S429" s="5" t="s">
        <v>240</v>
      </c>
      <c r="T429" s="5" t="s">
        <v>301</v>
      </c>
    </row>
    <row r="430" spans="1:20" x14ac:dyDescent="0.25">
      <c r="A430" t="s">
        <v>201</v>
      </c>
      <c r="B430" t="s">
        <v>303</v>
      </c>
      <c r="C430" t="s">
        <v>28</v>
      </c>
      <c r="D430" t="s">
        <v>7</v>
      </c>
      <c r="E430" s="11">
        <v>45203</v>
      </c>
      <c r="F430" s="7">
        <v>45345</v>
      </c>
      <c r="G430" t="s">
        <v>192</v>
      </c>
      <c r="H430">
        <v>8300</v>
      </c>
      <c r="I430" s="5">
        <v>128650</v>
      </c>
      <c r="K430" s="5">
        <v>188877.48</v>
      </c>
      <c r="L430" s="5">
        <v>15.5</v>
      </c>
      <c r="M430" s="5">
        <v>0.22756322891566266</v>
      </c>
      <c r="N430" s="5">
        <v>60227.48000000001</v>
      </c>
      <c r="O430" s="3">
        <v>0.46814986397201719</v>
      </c>
      <c r="P430" s="9">
        <f>N430+P429</f>
        <v>383059.79256349674</v>
      </c>
      <c r="Q430" s="5" t="str">
        <f>TEXT(Table13[[#This Row],[Closing Date]],"yyyy")</f>
        <v>2024</v>
      </c>
      <c r="R430" s="5" t="str">
        <f>TEXT(Table13[[#This Row],[Closing Date]],"mmmm")</f>
        <v>February</v>
      </c>
      <c r="S430" s="5" t="s">
        <v>240</v>
      </c>
      <c r="T430" s="5" t="s">
        <v>203</v>
      </c>
    </row>
    <row r="431" spans="1:20" x14ac:dyDescent="0.25">
      <c r="A431" t="s">
        <v>201</v>
      </c>
      <c r="B431" t="s">
        <v>306</v>
      </c>
      <c r="C431" t="s">
        <v>12</v>
      </c>
      <c r="D431" t="s">
        <v>7</v>
      </c>
      <c r="E431" s="5"/>
      <c r="F431" s="7">
        <v>45345</v>
      </c>
      <c r="G431" t="s">
        <v>85</v>
      </c>
      <c r="H431">
        <v>33</v>
      </c>
      <c r="I431" s="5">
        <v>142021.41</v>
      </c>
      <c r="K431" s="5">
        <v>169936.49</v>
      </c>
      <c r="L431" s="5">
        <v>43036.790909090909</v>
      </c>
      <c r="M431" s="5">
        <v>51495.906060606059</v>
      </c>
      <c r="N431" s="5">
        <v>27915.079999999987</v>
      </c>
      <c r="O431" s="3">
        <v>0.19655543484605587</v>
      </c>
      <c r="P431" s="9">
        <f>N431+P430</f>
        <v>410974.8725634967</v>
      </c>
      <c r="Q431" s="5" t="str">
        <f>TEXT(Table13[[#This Row],[Closing Date]],"yyyy")</f>
        <v>2024</v>
      </c>
      <c r="R431" s="5" t="str">
        <f>TEXT(Table13[[#This Row],[Closing Date]],"mmmm")</f>
        <v>February</v>
      </c>
      <c r="S431" s="5" t="s">
        <v>240</v>
      </c>
      <c r="T431" s="5" t="s">
        <v>301</v>
      </c>
    </row>
    <row r="432" spans="1:20" x14ac:dyDescent="0.25">
      <c r="A432" t="s">
        <v>201</v>
      </c>
      <c r="B432" t="s">
        <v>303</v>
      </c>
      <c r="C432" t="s">
        <v>16</v>
      </c>
      <c r="D432" t="s">
        <v>7</v>
      </c>
      <c r="E432" s="5"/>
      <c r="F432" s="7">
        <v>45348</v>
      </c>
      <c r="G432" t="s">
        <v>190</v>
      </c>
      <c r="H432">
        <v>6000</v>
      </c>
      <c r="I432" s="5">
        <v>91230</v>
      </c>
      <c r="K432" s="5">
        <v>88678.29</v>
      </c>
      <c r="L432" s="5">
        <v>15.205</v>
      </c>
      <c r="M432" s="5">
        <v>14.779714999999999</v>
      </c>
      <c r="N432" s="5">
        <v>-2551.7100000000064</v>
      </c>
      <c r="O432" s="3">
        <v>-2.7970075633015526E-2</v>
      </c>
      <c r="P432" s="9">
        <f>N432+P431</f>
        <v>408423.16256349668</v>
      </c>
      <c r="Q432" s="5" t="str">
        <f>TEXT(Table13[[#This Row],[Closing Date]],"yyyy")</f>
        <v>2024</v>
      </c>
      <c r="R432" s="5" t="str">
        <f>TEXT(Table13[[#This Row],[Closing Date]],"mmmm")</f>
        <v>February</v>
      </c>
      <c r="S432" s="5" t="s">
        <v>240</v>
      </c>
      <c r="T432" s="5" t="s">
        <v>301</v>
      </c>
    </row>
    <row r="433" spans="1:20" x14ac:dyDescent="0.25">
      <c r="A433" t="s">
        <v>201</v>
      </c>
      <c r="B433" t="s">
        <v>303</v>
      </c>
      <c r="C433" t="s">
        <v>16</v>
      </c>
      <c r="D433" t="s">
        <v>7</v>
      </c>
      <c r="E433" s="5"/>
      <c r="F433" s="7">
        <v>45349</v>
      </c>
      <c r="G433" t="s">
        <v>223</v>
      </c>
      <c r="H433">
        <v>5000</v>
      </c>
      <c r="I433" s="5">
        <v>119775</v>
      </c>
      <c r="K433" s="5">
        <v>121923.19</v>
      </c>
      <c r="L433" s="5">
        <v>23.954999999999998</v>
      </c>
      <c r="M433" s="5">
        <v>24.384637999999999</v>
      </c>
      <c r="N433" s="5">
        <v>2148.1900000000023</v>
      </c>
      <c r="O433" s="3">
        <v>1.7935211855562534E-2</v>
      </c>
      <c r="P433" s="9">
        <f>N433+P432</f>
        <v>410571.35256349668</v>
      </c>
      <c r="Q433" s="5" t="str">
        <f>TEXT(Table13[[#This Row],[Closing Date]],"yyyy")</f>
        <v>2024</v>
      </c>
      <c r="R433" s="5" t="str">
        <f>TEXT(Table13[[#This Row],[Closing Date]],"mmmm")</f>
        <v>February</v>
      </c>
      <c r="S433" s="5" t="s">
        <v>240</v>
      </c>
      <c r="T433" s="5" t="s">
        <v>301</v>
      </c>
    </row>
    <row r="434" spans="1:20" x14ac:dyDescent="0.25">
      <c r="A434" t="s">
        <v>201</v>
      </c>
      <c r="B434" t="s">
        <v>303</v>
      </c>
      <c r="C434" t="s">
        <v>16</v>
      </c>
      <c r="D434" t="s">
        <v>7</v>
      </c>
      <c r="E434" s="5"/>
      <c r="F434" s="7">
        <v>45349</v>
      </c>
      <c r="G434" t="s">
        <v>218</v>
      </c>
      <c r="H434">
        <v>2400</v>
      </c>
      <c r="I434" s="5">
        <v>49521.51</v>
      </c>
      <c r="K434" s="5">
        <v>52863</v>
      </c>
      <c r="L434" s="5">
        <v>20.633962499999999</v>
      </c>
      <c r="M434" s="5">
        <v>22.026250000000001</v>
      </c>
      <c r="N434" s="5">
        <v>3341.489999999998</v>
      </c>
      <c r="O434" s="3">
        <v>6.7475527301166655E-2</v>
      </c>
      <c r="P434" s="9">
        <f>N434+P433</f>
        <v>413912.84256349667</v>
      </c>
      <c r="Q434" s="5" t="str">
        <f>TEXT(Table13[[#This Row],[Closing Date]],"yyyy")</f>
        <v>2024</v>
      </c>
      <c r="R434" s="5" t="str">
        <f>TEXT(Table13[[#This Row],[Closing Date]],"mmmm")</f>
        <v>February</v>
      </c>
      <c r="S434" s="5" t="s">
        <v>241</v>
      </c>
      <c r="T434" s="5" t="s">
        <v>301</v>
      </c>
    </row>
    <row r="435" spans="1:20" x14ac:dyDescent="0.25">
      <c r="A435" t="s">
        <v>201</v>
      </c>
      <c r="B435" t="s">
        <v>303</v>
      </c>
      <c r="C435" t="s">
        <v>16</v>
      </c>
      <c r="D435" t="s">
        <v>7</v>
      </c>
      <c r="E435" s="5"/>
      <c r="F435" s="7">
        <v>45349</v>
      </c>
      <c r="G435" t="s">
        <v>224</v>
      </c>
      <c r="H435">
        <v>3200</v>
      </c>
      <c r="I435" s="5">
        <v>49814.5</v>
      </c>
      <c r="K435" s="5">
        <v>51167.06</v>
      </c>
      <c r="L435" s="5">
        <v>15.567031249999999</v>
      </c>
      <c r="M435" s="5">
        <v>15.989706249999999</v>
      </c>
      <c r="N435" s="5">
        <v>1352.5599999999977</v>
      </c>
      <c r="O435" s="3">
        <v>2.7151933673930234E-2</v>
      </c>
      <c r="P435" s="9">
        <f>N435+P434</f>
        <v>415265.40256349667</v>
      </c>
      <c r="Q435" s="5" t="str">
        <f>TEXT(Table13[[#This Row],[Closing Date]],"yyyy")</f>
        <v>2024</v>
      </c>
      <c r="R435" s="5" t="str">
        <f>TEXT(Table13[[#This Row],[Closing Date]],"mmmm")</f>
        <v>February</v>
      </c>
      <c r="S435" s="5" t="s">
        <v>241</v>
      </c>
      <c r="T435" s="5" t="s">
        <v>301</v>
      </c>
    </row>
    <row r="436" spans="1:20" x14ac:dyDescent="0.25">
      <c r="A436" t="s">
        <v>201</v>
      </c>
      <c r="B436" t="s">
        <v>303</v>
      </c>
      <c r="C436" t="s">
        <v>16</v>
      </c>
      <c r="D436" t="s">
        <v>7</v>
      </c>
      <c r="E436" s="5"/>
      <c r="F436" s="7">
        <v>45349</v>
      </c>
      <c r="G436" t="s">
        <v>218</v>
      </c>
      <c r="H436">
        <v>3600</v>
      </c>
      <c r="I436" s="5">
        <v>73331.44</v>
      </c>
      <c r="K436" s="5">
        <v>75276</v>
      </c>
      <c r="L436" s="5">
        <v>20.369844444444446</v>
      </c>
      <c r="M436" s="5">
        <v>20.91</v>
      </c>
      <c r="N436" s="5">
        <v>1944.5599999999977</v>
      </c>
      <c r="O436" s="3">
        <v>2.6517411904089128E-2</v>
      </c>
      <c r="P436" s="9">
        <f>N436+P435</f>
        <v>417209.96256349667</v>
      </c>
      <c r="Q436" s="5" t="str">
        <f>TEXT(Table13[[#This Row],[Closing Date]],"yyyy")</f>
        <v>2024</v>
      </c>
      <c r="R436" s="5" t="str">
        <f>TEXT(Table13[[#This Row],[Closing Date]],"mmmm")</f>
        <v>February</v>
      </c>
      <c r="S436" s="5" t="s">
        <v>240</v>
      </c>
      <c r="T436" s="5" t="s">
        <v>301</v>
      </c>
    </row>
    <row r="437" spans="1:20" x14ac:dyDescent="0.25">
      <c r="A437" t="s">
        <v>201</v>
      </c>
      <c r="B437" t="s">
        <v>303</v>
      </c>
      <c r="C437" t="s">
        <v>16</v>
      </c>
      <c r="D437" t="s">
        <v>7</v>
      </c>
      <c r="E437" s="5"/>
      <c r="F437" s="7">
        <v>45349</v>
      </c>
      <c r="G437" t="s">
        <v>107</v>
      </c>
      <c r="H437">
        <v>257</v>
      </c>
      <c r="I437" s="5">
        <v>49635.31</v>
      </c>
      <c r="K437" s="5">
        <v>52641.31</v>
      </c>
      <c r="L437" s="5">
        <v>193.1335019455253</v>
      </c>
      <c r="M437" s="5">
        <v>204.82999999999998</v>
      </c>
      <c r="N437" s="5">
        <v>3006</v>
      </c>
      <c r="O437" s="3">
        <v>6.056172511061178E-2</v>
      </c>
      <c r="P437" s="9">
        <f>N437+P436</f>
        <v>420215.96256349667</v>
      </c>
      <c r="Q437" s="5" t="str">
        <f>TEXT(Table13[[#This Row],[Closing Date]],"yyyy")</f>
        <v>2024</v>
      </c>
      <c r="R437" s="5" t="str">
        <f>TEXT(Table13[[#This Row],[Closing Date]],"mmmm")</f>
        <v>February</v>
      </c>
      <c r="S437" s="5" t="s">
        <v>241</v>
      </c>
      <c r="T437" s="5" t="s">
        <v>301</v>
      </c>
    </row>
    <row r="438" spans="1:20" x14ac:dyDescent="0.25">
      <c r="A438" t="s">
        <v>201</v>
      </c>
      <c r="B438" t="s">
        <v>302</v>
      </c>
      <c r="C438" t="s">
        <v>12</v>
      </c>
      <c r="D438" t="s">
        <v>5</v>
      </c>
      <c r="E438" s="5"/>
      <c r="F438" s="7">
        <v>45349</v>
      </c>
      <c r="G438" t="s">
        <v>82</v>
      </c>
      <c r="H438">
        <v>2</v>
      </c>
      <c r="I438" s="5">
        <v>502295.5</v>
      </c>
      <c r="K438" s="5">
        <v>508504.5</v>
      </c>
      <c r="L438" s="5">
        <v>5022.9549999999999</v>
      </c>
      <c r="M438" s="5">
        <v>5085.0450000000001</v>
      </c>
      <c r="N438" s="5">
        <v>-6209</v>
      </c>
      <c r="O438" s="3">
        <v>-1.2361249503529298E-2</v>
      </c>
      <c r="P438" s="9">
        <f>N438+P437</f>
        <v>414006.96256349667</v>
      </c>
      <c r="Q438" s="5" t="str">
        <f>TEXT(Table13[[#This Row],[Closing Date]],"yyyy")</f>
        <v>2024</v>
      </c>
      <c r="R438" s="5" t="str">
        <f>TEXT(Table13[[#This Row],[Closing Date]],"mmmm")</f>
        <v>February</v>
      </c>
      <c r="S438" s="5" t="s">
        <v>240</v>
      </c>
      <c r="T438" s="5" t="s">
        <v>301</v>
      </c>
    </row>
    <row r="439" spans="1:20" x14ac:dyDescent="0.25">
      <c r="A439" t="s">
        <v>201</v>
      </c>
      <c r="B439" t="s">
        <v>303</v>
      </c>
      <c r="C439" t="s">
        <v>16</v>
      </c>
      <c r="D439" t="s">
        <v>7</v>
      </c>
      <c r="E439" s="5"/>
      <c r="F439" s="7">
        <v>45350</v>
      </c>
      <c r="G439" t="s">
        <v>222</v>
      </c>
      <c r="H439">
        <v>2300</v>
      </c>
      <c r="I439" s="5">
        <v>47602.75</v>
      </c>
      <c r="K439" s="5">
        <v>36248</v>
      </c>
      <c r="L439" s="5">
        <v>20.696847826086955</v>
      </c>
      <c r="M439" s="5">
        <v>15.76</v>
      </c>
      <c r="N439" s="5">
        <v>-11354.75</v>
      </c>
      <c r="O439" s="3">
        <v>-0.23853138736732646</v>
      </c>
      <c r="P439" s="9">
        <f>N439+P438</f>
        <v>402652.21256349667</v>
      </c>
      <c r="Q439" s="5" t="str">
        <f>TEXT(Table13[[#This Row],[Closing Date]],"yyyy")</f>
        <v>2024</v>
      </c>
      <c r="R439" s="5" t="str">
        <f>TEXT(Table13[[#This Row],[Closing Date]],"mmmm")</f>
        <v>February</v>
      </c>
      <c r="S439" s="5" t="s">
        <v>241</v>
      </c>
      <c r="T439" s="5" t="s">
        <v>301</v>
      </c>
    </row>
    <row r="440" spans="1:20" x14ac:dyDescent="0.25">
      <c r="A440" t="s">
        <v>201</v>
      </c>
      <c r="B440" t="s">
        <v>306</v>
      </c>
      <c r="C440" t="s">
        <v>12</v>
      </c>
      <c r="D440" t="s">
        <v>7</v>
      </c>
      <c r="E440" s="5"/>
      <c r="F440" s="7">
        <v>45350</v>
      </c>
      <c r="G440" t="s">
        <v>86</v>
      </c>
      <c r="H440">
        <v>172</v>
      </c>
      <c r="I440" s="5">
        <v>720442.04</v>
      </c>
      <c r="K440" s="5">
        <v>739987.96</v>
      </c>
      <c r="L440" s="5">
        <v>12.54261</v>
      </c>
      <c r="M440" s="5">
        <v>4.3022555813953485</v>
      </c>
      <c r="N440" s="5">
        <v>19545.919999999925</v>
      </c>
      <c r="O440" s="3">
        <v>2.7130454519283639E-2</v>
      </c>
      <c r="P440" s="9">
        <f>N440+P439</f>
        <v>422198.13256349659</v>
      </c>
      <c r="Q440" s="5" t="str">
        <f>TEXT(Table13[[#This Row],[Closing Date]],"yyyy")</f>
        <v>2024</v>
      </c>
      <c r="R440" s="5" t="str">
        <f>TEXT(Table13[[#This Row],[Closing Date]],"mmmm")</f>
        <v>February</v>
      </c>
      <c r="S440" s="5" t="s">
        <v>240</v>
      </c>
      <c r="T440" s="5" t="s">
        <v>301</v>
      </c>
    </row>
    <row r="441" spans="1:20" x14ac:dyDescent="0.25">
      <c r="A441" t="s">
        <v>201</v>
      </c>
      <c r="B441" t="s">
        <v>303</v>
      </c>
      <c r="C441" t="s">
        <v>16</v>
      </c>
      <c r="D441" t="s">
        <v>7</v>
      </c>
      <c r="E441" s="5"/>
      <c r="F441" s="7">
        <v>45350</v>
      </c>
      <c r="G441" t="s">
        <v>142</v>
      </c>
      <c r="H441">
        <v>860</v>
      </c>
      <c r="I441" s="5">
        <v>66900.800000000003</v>
      </c>
      <c r="K441" s="5">
        <v>64830.35</v>
      </c>
      <c r="L441" s="5">
        <v>77.791627906976743</v>
      </c>
      <c r="M441" s="5">
        <v>75.384127906976744</v>
      </c>
      <c r="N441" s="5">
        <v>-2070.4500000000044</v>
      </c>
      <c r="O441" s="3">
        <v>-3.0948060411833705E-2</v>
      </c>
      <c r="P441" s="9">
        <f>N441+P440</f>
        <v>420127.68256349658</v>
      </c>
      <c r="Q441" s="5" t="str">
        <f>TEXT(Table13[[#This Row],[Closing Date]],"yyyy")</f>
        <v>2024</v>
      </c>
      <c r="R441" s="5" t="str">
        <f>TEXT(Table13[[#This Row],[Closing Date]],"mmmm")</f>
        <v>February</v>
      </c>
      <c r="S441" s="5" t="s">
        <v>240</v>
      </c>
      <c r="T441" s="5" t="s">
        <v>301</v>
      </c>
    </row>
    <row r="442" spans="1:20" x14ac:dyDescent="0.25">
      <c r="A442" t="s">
        <v>201</v>
      </c>
      <c r="B442" t="s">
        <v>306</v>
      </c>
      <c r="C442" t="s">
        <v>16</v>
      </c>
      <c r="D442" t="s">
        <v>7</v>
      </c>
      <c r="E442" s="5"/>
      <c r="F442" s="7">
        <v>45351</v>
      </c>
      <c r="G442" t="s">
        <v>227</v>
      </c>
      <c r="H442">
        <v>8000</v>
      </c>
      <c r="I442" s="5">
        <v>133600</v>
      </c>
      <c r="K442" s="5">
        <v>123681.91</v>
      </c>
      <c r="L442" s="5">
        <v>16.7</v>
      </c>
      <c r="M442" s="5">
        <v>15.46023875</v>
      </c>
      <c r="N442" s="5">
        <v>-9918.0899999999965</v>
      </c>
      <c r="O442" s="3">
        <v>-7.4237200598802372E-2</v>
      </c>
      <c r="P442" s="9">
        <f>N442+P441</f>
        <v>410209.59256349655</v>
      </c>
      <c r="Q442" s="5" t="str">
        <f>TEXT(Table13[[#This Row],[Closing Date]],"yyyy")</f>
        <v>2024</v>
      </c>
      <c r="R442" s="5" t="str">
        <f>TEXT(Table13[[#This Row],[Closing Date]],"mmmm")</f>
        <v>February</v>
      </c>
      <c r="S442" s="5" t="s">
        <v>240</v>
      </c>
      <c r="T442" s="5" t="s">
        <v>301</v>
      </c>
    </row>
    <row r="443" spans="1:20" x14ac:dyDescent="0.25">
      <c r="A443" t="s">
        <v>197</v>
      </c>
      <c r="B443" t="s">
        <v>303</v>
      </c>
      <c r="C443" t="s">
        <v>102</v>
      </c>
      <c r="D443" t="s">
        <v>7</v>
      </c>
      <c r="E443" s="5"/>
      <c r="F443" s="7">
        <v>45351</v>
      </c>
      <c r="G443" t="s">
        <v>37</v>
      </c>
      <c r="H443">
        <v>5</v>
      </c>
      <c r="I443" s="5">
        <v>2073.59</v>
      </c>
      <c r="J443" s="13">
        <v>100</v>
      </c>
      <c r="K443" s="5">
        <v>1463.59</v>
      </c>
      <c r="L443" s="5">
        <v>4.1471800000000005</v>
      </c>
      <c r="M443" s="5">
        <v>2.9271799999999994</v>
      </c>
      <c r="N443" s="5">
        <v>-610.00000000000023</v>
      </c>
      <c r="O443" s="3">
        <v>-0.29417580138793131</v>
      </c>
      <c r="P443" s="9">
        <f>N443+P442</f>
        <v>409599.59256349655</v>
      </c>
      <c r="Q443" s="5" t="str">
        <f>TEXT(Table13[[#This Row],[Closing Date]],"yyyy")</f>
        <v>2024</v>
      </c>
      <c r="R443" s="5" t="str">
        <f>TEXT(Table13[[#This Row],[Closing Date]],"mmmm")</f>
        <v>February</v>
      </c>
      <c r="S443" s="5" t="s">
        <v>240</v>
      </c>
      <c r="T443" s="5" t="s">
        <v>301</v>
      </c>
    </row>
    <row r="444" spans="1:20" x14ac:dyDescent="0.25">
      <c r="A444" t="s">
        <v>201</v>
      </c>
      <c r="B444" t="s">
        <v>303</v>
      </c>
      <c r="C444" t="s">
        <v>16</v>
      </c>
      <c r="D444" t="s">
        <v>7</v>
      </c>
      <c r="E444" s="5"/>
      <c r="F444" s="7">
        <v>45351</v>
      </c>
      <c r="G444" t="s">
        <v>179</v>
      </c>
      <c r="H444">
        <v>3200</v>
      </c>
      <c r="I444" s="5">
        <v>420129.54</v>
      </c>
      <c r="K444" s="5">
        <v>454132.02</v>
      </c>
      <c r="L444" s="5">
        <v>131.29048125</v>
      </c>
      <c r="M444" s="5">
        <v>141.91625625</v>
      </c>
      <c r="N444" s="5">
        <v>34002.48000000004</v>
      </c>
      <c r="O444" s="3">
        <v>8.0933323564917725E-2</v>
      </c>
      <c r="P444" s="9">
        <f>N444+P443</f>
        <v>443602.07256349659</v>
      </c>
      <c r="Q444" s="5" t="str">
        <f>TEXT(Table13[[#This Row],[Closing Date]],"yyyy")</f>
        <v>2024</v>
      </c>
      <c r="R444" s="5" t="str">
        <f>TEXT(Table13[[#This Row],[Closing Date]],"mmmm")</f>
        <v>February</v>
      </c>
      <c r="S444" s="5"/>
      <c r="T444" s="5" t="s">
        <v>301</v>
      </c>
    </row>
    <row r="445" spans="1:20" x14ac:dyDescent="0.25">
      <c r="A445" t="s">
        <v>201</v>
      </c>
      <c r="B445" t="s">
        <v>305</v>
      </c>
      <c r="C445" t="s">
        <v>4</v>
      </c>
      <c r="D445" t="s">
        <v>5</v>
      </c>
      <c r="E445" s="5"/>
      <c r="F445" s="7">
        <v>45351</v>
      </c>
      <c r="G445" t="s">
        <v>249</v>
      </c>
      <c r="H445">
        <v>1500000</v>
      </c>
      <c r="I445" s="5">
        <v>1666633.87</v>
      </c>
      <c r="K445" s="5">
        <v>1674672.57</v>
      </c>
      <c r="L445" s="5">
        <v>1.1110892466666666</v>
      </c>
      <c r="M445" s="5"/>
      <c r="N445" s="5">
        <v>-9055</v>
      </c>
      <c r="O445" s="3">
        <v>0</v>
      </c>
      <c r="P445" s="9">
        <f>N445+P444</f>
        <v>434547.07256349659</v>
      </c>
      <c r="Q445" s="5" t="str">
        <f>TEXT(Table13[[#This Row],[Closing Date]],"yyyy")</f>
        <v>2024</v>
      </c>
      <c r="R445" s="5" t="str">
        <f>TEXT(Table13[[#This Row],[Closing Date]],"mmmm")</f>
        <v>February</v>
      </c>
      <c r="S445" s="5" t="s">
        <v>240</v>
      </c>
      <c r="T445" s="5" t="s">
        <v>301</v>
      </c>
    </row>
    <row r="446" spans="1:20" x14ac:dyDescent="0.25">
      <c r="A446" t="s">
        <v>197</v>
      </c>
      <c r="B446" t="s">
        <v>302</v>
      </c>
      <c r="C446" t="s">
        <v>99</v>
      </c>
      <c r="D446" t="s">
        <v>7</v>
      </c>
      <c r="E446" s="5"/>
      <c r="F446" s="7">
        <v>45352</v>
      </c>
      <c r="G446" t="s">
        <v>100</v>
      </c>
      <c r="H446">
        <v>90</v>
      </c>
      <c r="I446" s="5">
        <v>10411.82</v>
      </c>
      <c r="J446" s="13">
        <v>100</v>
      </c>
      <c r="K446" s="5">
        <v>4437</v>
      </c>
      <c r="L446" s="5">
        <v>1.1568688888888889</v>
      </c>
      <c r="M446" s="5">
        <v>0.49299999999999999</v>
      </c>
      <c r="N446" s="5">
        <v>-5974.82</v>
      </c>
      <c r="O446" s="3">
        <v>-0.57384972079809293</v>
      </c>
      <c r="P446" s="9">
        <f>N446+P445</f>
        <v>428572.25256349659</v>
      </c>
      <c r="Q446" s="5" t="str">
        <f>TEXT(Table13[[#This Row],[Closing Date]],"yyyy")</f>
        <v>2024</v>
      </c>
      <c r="R446" s="5" t="str">
        <f>TEXT(Table13[[#This Row],[Closing Date]],"mmmm")</f>
        <v>March</v>
      </c>
      <c r="S446" s="5" t="s">
        <v>240</v>
      </c>
      <c r="T446" s="5" t="s">
        <v>301</v>
      </c>
    </row>
    <row r="447" spans="1:20" x14ac:dyDescent="0.25">
      <c r="A447" t="s">
        <v>201</v>
      </c>
      <c r="B447" t="s">
        <v>303</v>
      </c>
      <c r="C447" t="s">
        <v>16</v>
      </c>
      <c r="D447" t="s">
        <v>7</v>
      </c>
      <c r="E447" s="5"/>
      <c r="F447" s="7">
        <v>45352</v>
      </c>
      <c r="G447" t="s">
        <v>247</v>
      </c>
      <c r="H447">
        <v>2600</v>
      </c>
      <c r="I447" s="5">
        <v>49744.34</v>
      </c>
      <c r="K447" s="5">
        <v>49750.89</v>
      </c>
      <c r="L447" s="5">
        <v>19.13243846153846</v>
      </c>
      <c r="M447" s="5">
        <v>19.134957692307694</v>
      </c>
      <c r="N447" s="5">
        <v>-7</v>
      </c>
      <c r="O447" s="3">
        <v>-1.4071952708589561E-4</v>
      </c>
      <c r="P447" s="9">
        <f>N447+P446</f>
        <v>428565.25256349659</v>
      </c>
      <c r="Q447" s="5" t="str">
        <f>TEXT(Table13[[#This Row],[Closing Date]],"yyyy")</f>
        <v>2024</v>
      </c>
      <c r="R447" s="5" t="str">
        <f>TEXT(Table13[[#This Row],[Closing Date]],"mmmm")</f>
        <v>March</v>
      </c>
      <c r="S447" s="5" t="s">
        <v>241</v>
      </c>
      <c r="T447" s="5" t="s">
        <v>301</v>
      </c>
    </row>
    <row r="448" spans="1:20" x14ac:dyDescent="0.25">
      <c r="A448" t="s">
        <v>201</v>
      </c>
      <c r="B448" t="s">
        <v>303</v>
      </c>
      <c r="C448" t="s">
        <v>16</v>
      </c>
      <c r="D448" t="s">
        <v>7</v>
      </c>
      <c r="E448" s="11">
        <v>45337</v>
      </c>
      <c r="F448" s="7">
        <v>45352</v>
      </c>
      <c r="G448" t="s">
        <v>291</v>
      </c>
      <c r="H448">
        <v>5000</v>
      </c>
      <c r="I448" s="5">
        <v>250450</v>
      </c>
      <c r="J448" s="13">
        <v>1</v>
      </c>
      <c r="K448" s="5">
        <v>251497.99</v>
      </c>
      <c r="L448" s="5">
        <f>Table13[[#This Row],[Open Value]]/Table13[[#This Row],[Shares]]/Table13[[#This Row],[Multiplier]]</f>
        <v>50.09</v>
      </c>
      <c r="M448" s="5">
        <f>Table13[[#This Row],[Close Value]]/Table13[[#This Row],[Shares]]/Table13[[#This Row],[Multiplier]]</f>
        <v>50.299597999999996</v>
      </c>
      <c r="N448" s="5">
        <f>Table13[[#This Row],[Close Value]]-Table13[[#This Row],[Open Value]]</f>
        <v>1047.9899999999907</v>
      </c>
      <c r="O448" s="3">
        <f>Table13[[#This Row],[PnL]]/Table13[[#This Row],[Open Value]]</f>
        <v>4.1844280295467787E-3</v>
      </c>
      <c r="P448" s="9">
        <f>N448+P447</f>
        <v>429613.24256349658</v>
      </c>
      <c r="Q448" s="5" t="str">
        <f>TEXT(Table13[[#This Row],[Closing Date]],"yyyy")</f>
        <v>2024</v>
      </c>
      <c r="R448" s="5" t="str">
        <f>TEXT(Table13[[#This Row],[Closing Date]],"mmmm")</f>
        <v>March</v>
      </c>
      <c r="S448" s="5" t="s">
        <v>240</v>
      </c>
      <c r="T448" s="5" t="s">
        <v>203</v>
      </c>
    </row>
    <row r="449" spans="1:20" x14ac:dyDescent="0.25">
      <c r="A449" t="s">
        <v>197</v>
      </c>
      <c r="B449" t="s">
        <v>303</v>
      </c>
      <c r="C449" t="s">
        <v>102</v>
      </c>
      <c r="D449" t="s">
        <v>7</v>
      </c>
      <c r="E449" s="11">
        <v>45309</v>
      </c>
      <c r="F449" s="7">
        <v>45352</v>
      </c>
      <c r="G449" t="s">
        <v>294</v>
      </c>
      <c r="H449">
        <v>30</v>
      </c>
      <c r="I449" s="5">
        <v>27919.5</v>
      </c>
      <c r="J449" s="13">
        <v>100</v>
      </c>
      <c r="K449" s="5">
        <v>23980.31</v>
      </c>
      <c r="L449" s="5">
        <f>Table13[[#This Row],[Open Value]]/Table13[[#This Row],[Shares]]/Table13[[#This Row],[Multiplier]]</f>
        <v>9.3064999999999998</v>
      </c>
      <c r="M449" s="5">
        <f>Table13[[#This Row],[Close Value]]/Table13[[#This Row],[Shares]]/Table13[[#This Row],[Multiplier]]</f>
        <v>7.9934366666666676</v>
      </c>
      <c r="N449" s="5">
        <f>Table13[[#This Row],[Close Value]]-Table13[[#This Row],[Open Value]]</f>
        <v>-3939.1899999999987</v>
      </c>
      <c r="O449" s="3">
        <f>Table13[[#This Row],[PnL]]/Table13[[#This Row],[Open Value]]</f>
        <v>-0.14109099374988801</v>
      </c>
      <c r="P449" s="14">
        <f>N449+P448</f>
        <v>425674.05256349657</v>
      </c>
      <c r="Q449" s="5" t="str">
        <f>TEXT(Table13[[#This Row],[Closing Date]],"yyyy")</f>
        <v>2024</v>
      </c>
      <c r="R449" s="5" t="str">
        <f>TEXT(Table13[[#This Row],[Closing Date]],"mmmm")</f>
        <v>March</v>
      </c>
      <c r="S449" s="5" t="s">
        <v>240</v>
      </c>
      <c r="T449" s="5" t="s">
        <v>203</v>
      </c>
    </row>
    <row r="450" spans="1:20" x14ac:dyDescent="0.25">
      <c r="A450" t="s">
        <v>197</v>
      </c>
      <c r="B450" t="s">
        <v>305</v>
      </c>
      <c r="C450" t="s">
        <v>102</v>
      </c>
      <c r="D450" t="s">
        <v>7</v>
      </c>
      <c r="E450" s="11">
        <v>45295</v>
      </c>
      <c r="F450" s="7">
        <v>45352</v>
      </c>
      <c r="G450" t="s">
        <v>300</v>
      </c>
      <c r="H450">
        <v>55</v>
      </c>
      <c r="I450" s="5">
        <v>24785.75</v>
      </c>
      <c r="J450" s="13">
        <v>100</v>
      </c>
      <c r="K450" s="5">
        <v>23614.06</v>
      </c>
      <c r="L450" s="5">
        <f>Table13[[#This Row],[Open Value]]/Table13[[#This Row],[Shares]]/Table13[[#This Row],[Multiplier]]</f>
        <v>4.5065</v>
      </c>
      <c r="M450" s="5">
        <f>Table13[[#This Row],[Close Value]]/Table13[[#This Row],[Shares]]/Table13[[#This Row],[Multiplier]]</f>
        <v>4.2934654545454549</v>
      </c>
      <c r="N450" s="5">
        <f>Table13[[#This Row],[Close Value]]-Table13[[#This Row],[Open Value]]</f>
        <v>-1171.6899999999987</v>
      </c>
      <c r="O450" s="3">
        <f>Table13[[#This Row],[PnL]]/Table13[[#This Row],[Open Value]]</f>
        <v>-4.7272727272727223E-2</v>
      </c>
      <c r="P450" s="14">
        <f>N450+P449</f>
        <v>424502.36256349657</v>
      </c>
      <c r="Q450" s="5" t="str">
        <f>TEXT(Table13[[#This Row],[Closing Date]],"yyyy")</f>
        <v>2024</v>
      </c>
      <c r="R450" s="5" t="str">
        <f>TEXT(Table13[[#This Row],[Closing Date]],"mmmm")</f>
        <v>March</v>
      </c>
      <c r="S450" s="5" t="s">
        <v>240</v>
      </c>
      <c r="T450" s="5" t="s">
        <v>203</v>
      </c>
    </row>
    <row r="451" spans="1:20" x14ac:dyDescent="0.25">
      <c r="A451" t="s">
        <v>201</v>
      </c>
      <c r="B451" t="s">
        <v>303</v>
      </c>
      <c r="C451" t="s">
        <v>16</v>
      </c>
      <c r="D451" t="s">
        <v>7</v>
      </c>
      <c r="E451" s="5"/>
      <c r="F451" s="7">
        <v>45355</v>
      </c>
      <c r="G451" t="s">
        <v>157</v>
      </c>
      <c r="H451">
        <v>1750</v>
      </c>
      <c r="I451" s="5">
        <v>110871.25</v>
      </c>
      <c r="K451" s="5">
        <v>114247.55</v>
      </c>
      <c r="L451" s="5">
        <v>63.354999999999997</v>
      </c>
      <c r="M451" s="5">
        <v>65.284314285714288</v>
      </c>
      <c r="N451" s="5">
        <v>3376.3000000000029</v>
      </c>
      <c r="O451" s="3">
        <v>3.0452439203129782E-2</v>
      </c>
      <c r="P451" s="9">
        <f>N451+P450</f>
        <v>427878.66256349656</v>
      </c>
      <c r="Q451" s="5" t="str">
        <f>TEXT(Table13[[#This Row],[Closing Date]],"yyyy")</f>
        <v>2024</v>
      </c>
      <c r="R451" s="5" t="str">
        <f>TEXT(Table13[[#This Row],[Closing Date]],"mmmm")</f>
        <v>March</v>
      </c>
      <c r="S451" s="5" t="s">
        <v>240</v>
      </c>
      <c r="T451" s="5" t="s">
        <v>301</v>
      </c>
    </row>
    <row r="452" spans="1:20" x14ac:dyDescent="0.25">
      <c r="A452" t="s">
        <v>201</v>
      </c>
      <c r="B452" t="s">
        <v>303</v>
      </c>
      <c r="C452" t="s">
        <v>16</v>
      </c>
      <c r="D452" t="s">
        <v>7</v>
      </c>
      <c r="E452" s="5"/>
      <c r="F452" s="7">
        <v>45355</v>
      </c>
      <c r="G452" t="s">
        <v>218</v>
      </c>
      <c r="H452">
        <v>1800</v>
      </c>
      <c r="I452" s="5">
        <v>31742.5</v>
      </c>
      <c r="K452" s="5">
        <v>29242.309999999998</v>
      </c>
      <c r="L452" s="5">
        <v>17.634722222222223</v>
      </c>
      <c r="M452" s="5">
        <v>16.245727777777777</v>
      </c>
      <c r="N452" s="5">
        <v>-2500.1900000000023</v>
      </c>
      <c r="O452" s="3">
        <v>-7.8764747578168148E-2</v>
      </c>
      <c r="P452" s="9">
        <f>N452+P451</f>
        <v>425378.47256349656</v>
      </c>
      <c r="Q452" s="5" t="str">
        <f>TEXT(Table13[[#This Row],[Closing Date]],"yyyy")</f>
        <v>2024</v>
      </c>
      <c r="R452" s="5" t="str">
        <f>TEXT(Table13[[#This Row],[Closing Date]],"mmmm")</f>
        <v>March</v>
      </c>
      <c r="S452" s="5" t="s">
        <v>240</v>
      </c>
      <c r="T452" s="5" t="s">
        <v>301</v>
      </c>
    </row>
    <row r="453" spans="1:20" x14ac:dyDescent="0.25">
      <c r="A453" t="s">
        <v>201</v>
      </c>
      <c r="B453" t="s">
        <v>303</v>
      </c>
      <c r="C453" t="s">
        <v>16</v>
      </c>
      <c r="D453" t="s">
        <v>7</v>
      </c>
      <c r="E453" s="5"/>
      <c r="F453" s="7">
        <v>45356</v>
      </c>
      <c r="G453" t="s">
        <v>229</v>
      </c>
      <c r="H453">
        <v>3000</v>
      </c>
      <c r="I453" s="5">
        <v>156756</v>
      </c>
      <c r="K453" s="5">
        <v>146568.43</v>
      </c>
      <c r="L453" s="5">
        <v>52.252000000000002</v>
      </c>
      <c r="M453" s="5">
        <v>48.856143333333328</v>
      </c>
      <c r="N453" s="5">
        <v>-10187.570000000007</v>
      </c>
      <c r="O453" s="3">
        <v>-6.4989984434407663E-2</v>
      </c>
      <c r="P453" s="9">
        <f>N453+P452</f>
        <v>415190.90256349655</v>
      </c>
      <c r="Q453" s="5" t="str">
        <f>TEXT(Table13[[#This Row],[Closing Date]],"yyyy")</f>
        <v>2024</v>
      </c>
      <c r="R453" s="5" t="str">
        <f>TEXT(Table13[[#This Row],[Closing Date]],"mmmm")</f>
        <v>March</v>
      </c>
      <c r="S453" s="5" t="s">
        <v>240</v>
      </c>
      <c r="T453" s="5" t="s">
        <v>301</v>
      </c>
    </row>
    <row r="454" spans="1:20" x14ac:dyDescent="0.25">
      <c r="A454" t="s">
        <v>201</v>
      </c>
      <c r="B454" t="s">
        <v>303</v>
      </c>
      <c r="C454" t="s">
        <v>16</v>
      </c>
      <c r="D454" t="s">
        <v>7</v>
      </c>
      <c r="E454" s="5"/>
      <c r="F454" s="7">
        <v>45356</v>
      </c>
      <c r="G454" t="s">
        <v>158</v>
      </c>
      <c r="H454">
        <v>3225</v>
      </c>
      <c r="I454" s="5">
        <v>101856.38</v>
      </c>
      <c r="K454" s="5">
        <v>92301.5</v>
      </c>
      <c r="L454" s="5">
        <v>31.583373643410855</v>
      </c>
      <c r="M454" s="5">
        <v>28.620620155038761</v>
      </c>
      <c r="N454" s="5">
        <v>-9554.8800000000047</v>
      </c>
      <c r="O454" s="3">
        <v>-9.3807378585416101E-2</v>
      </c>
      <c r="P454" s="9">
        <f>N454+P453</f>
        <v>405636.02256349655</v>
      </c>
      <c r="Q454" s="5" t="str">
        <f>TEXT(Table13[[#This Row],[Closing Date]],"yyyy")</f>
        <v>2024</v>
      </c>
      <c r="R454" s="5" t="str">
        <f>TEXT(Table13[[#This Row],[Closing Date]],"mmmm")</f>
        <v>March</v>
      </c>
      <c r="S454" s="5" t="s">
        <v>240</v>
      </c>
      <c r="T454" s="5" t="s">
        <v>301</v>
      </c>
    </row>
    <row r="455" spans="1:20" x14ac:dyDescent="0.25">
      <c r="A455" t="s">
        <v>201</v>
      </c>
      <c r="B455" t="s">
        <v>303</v>
      </c>
      <c r="C455" t="s">
        <v>16</v>
      </c>
      <c r="D455" t="s">
        <v>7</v>
      </c>
      <c r="E455" s="5"/>
      <c r="F455" s="7">
        <v>45356</v>
      </c>
      <c r="G455" t="s">
        <v>214</v>
      </c>
      <c r="H455">
        <v>850</v>
      </c>
      <c r="I455" s="5">
        <v>48840.63</v>
      </c>
      <c r="K455" s="5">
        <v>50638.2</v>
      </c>
      <c r="L455" s="5">
        <v>57.45956470588235</v>
      </c>
      <c r="M455" s="5">
        <v>59.574352941176464</v>
      </c>
      <c r="N455" s="5">
        <v>1797.5699999999997</v>
      </c>
      <c r="O455" s="3">
        <v>3.6804807800390776E-2</v>
      </c>
      <c r="P455" s="9">
        <f>N455+P454</f>
        <v>407433.59256349655</v>
      </c>
      <c r="Q455" s="5" t="str">
        <f>TEXT(Table13[[#This Row],[Closing Date]],"yyyy")</f>
        <v>2024</v>
      </c>
      <c r="R455" s="5" t="str">
        <f>TEXT(Table13[[#This Row],[Closing Date]],"mmmm")</f>
        <v>March</v>
      </c>
      <c r="S455" s="5" t="s">
        <v>241</v>
      </c>
      <c r="T455" s="5" t="s">
        <v>301</v>
      </c>
    </row>
    <row r="456" spans="1:20" x14ac:dyDescent="0.25">
      <c r="A456" t="s">
        <v>201</v>
      </c>
      <c r="B456" t="s">
        <v>303</v>
      </c>
      <c r="C456" t="s">
        <v>16</v>
      </c>
      <c r="D456" t="s">
        <v>7</v>
      </c>
      <c r="E456" s="11">
        <v>45351</v>
      </c>
      <c r="F456" s="7">
        <v>45356</v>
      </c>
      <c r="G456" t="s">
        <v>297</v>
      </c>
      <c r="H456">
        <v>1225</v>
      </c>
      <c r="I456" s="5">
        <v>221725</v>
      </c>
      <c r="J456" s="13">
        <v>1</v>
      </c>
      <c r="K456" s="5">
        <v>207035.62</v>
      </c>
      <c r="L456" s="5">
        <f>Table13[[#This Row],[Open Value]]/Table13[[#This Row],[Shares]]/Table13[[#This Row],[Multiplier]]</f>
        <v>181</v>
      </c>
      <c r="M456" s="5">
        <f>Table13[[#This Row],[Close Value]]/Table13[[#This Row],[Shares]]/Table13[[#This Row],[Multiplier]]</f>
        <v>169.00866938775511</v>
      </c>
      <c r="N456" s="5">
        <f>Table13[[#This Row],[Close Value]]-Table13[[#This Row],[Open Value]]</f>
        <v>-14689.380000000005</v>
      </c>
      <c r="O456" s="3">
        <f>Table13[[#This Row],[PnL]]/Table13[[#This Row],[Open Value]]</f>
        <v>-6.6250445371518793E-2</v>
      </c>
      <c r="P456" s="14">
        <f>N456+P455</f>
        <v>392744.21256349655</v>
      </c>
      <c r="Q456" s="5" t="str">
        <f>TEXT(Table13[[#This Row],[Closing Date]],"yyyy")</f>
        <v>2024</v>
      </c>
      <c r="R456" s="5" t="str">
        <f>TEXT(Table13[[#This Row],[Closing Date]],"mmmm")</f>
        <v>March</v>
      </c>
      <c r="S456" s="5" t="s">
        <v>240</v>
      </c>
      <c r="T456" s="5" t="s">
        <v>203</v>
      </c>
    </row>
    <row r="457" spans="1:20" x14ac:dyDescent="0.25">
      <c r="A457" t="s">
        <v>201</v>
      </c>
      <c r="B457" t="s">
        <v>303</v>
      </c>
      <c r="C457" t="s">
        <v>16</v>
      </c>
      <c r="D457" t="s">
        <v>7</v>
      </c>
      <c r="E457" s="5"/>
      <c r="F457" s="7">
        <v>45357</v>
      </c>
      <c r="G457" t="s">
        <v>155</v>
      </c>
      <c r="H457">
        <v>800</v>
      </c>
      <c r="I457" s="5">
        <v>267648</v>
      </c>
      <c r="K457" s="5">
        <v>262595.27</v>
      </c>
      <c r="L457" s="5">
        <v>334.56</v>
      </c>
      <c r="M457" s="5">
        <v>328.24408750000003</v>
      </c>
      <c r="N457" s="5">
        <v>-5063</v>
      </c>
      <c r="O457" s="3">
        <v>-1.8916636776661885E-2</v>
      </c>
      <c r="P457" s="9">
        <f>N457+P456</f>
        <v>387681.21256349655</v>
      </c>
      <c r="Q457" s="5" t="str">
        <f>TEXT(Table13[[#This Row],[Closing Date]],"yyyy")</f>
        <v>2024</v>
      </c>
      <c r="R457" s="5" t="str">
        <f>TEXT(Table13[[#This Row],[Closing Date]],"mmmm")</f>
        <v>March</v>
      </c>
      <c r="S457" s="5" t="s">
        <v>240</v>
      </c>
      <c r="T457" s="5" t="s">
        <v>301</v>
      </c>
    </row>
    <row r="458" spans="1:20" x14ac:dyDescent="0.25">
      <c r="A458" t="s">
        <v>201</v>
      </c>
      <c r="B458" t="s">
        <v>303</v>
      </c>
      <c r="C458" t="s">
        <v>16</v>
      </c>
      <c r="D458" t="s">
        <v>7</v>
      </c>
      <c r="E458" s="5"/>
      <c r="F458" s="7">
        <v>45357</v>
      </c>
      <c r="G458" t="s">
        <v>234</v>
      </c>
      <c r="H458">
        <v>1150</v>
      </c>
      <c r="I458" s="5">
        <v>106547</v>
      </c>
      <c r="K458" s="5">
        <v>105719.5</v>
      </c>
      <c r="L458" s="5">
        <v>92.649565217391299</v>
      </c>
      <c r="M458" s="5">
        <v>91.93</v>
      </c>
      <c r="N458" s="5">
        <v>-5063</v>
      </c>
      <c r="O458" s="3">
        <v>-4.7518935305545906E-2</v>
      </c>
      <c r="P458" s="9">
        <f>N458+P457</f>
        <v>382618.21256349655</v>
      </c>
      <c r="Q458" s="5" t="str">
        <f>TEXT(Table13[[#This Row],[Closing Date]],"yyyy")</f>
        <v>2024</v>
      </c>
      <c r="R458" s="5" t="str">
        <f>TEXT(Table13[[#This Row],[Closing Date]],"mmmm")</f>
        <v>March</v>
      </c>
      <c r="S458" s="5" t="s">
        <v>240</v>
      </c>
      <c r="T458" s="5" t="s">
        <v>301</v>
      </c>
    </row>
    <row r="459" spans="1:20" x14ac:dyDescent="0.25">
      <c r="A459" t="s">
        <v>201</v>
      </c>
      <c r="B459" t="s">
        <v>303</v>
      </c>
      <c r="C459" t="s">
        <v>4</v>
      </c>
      <c r="D459" t="s">
        <v>5</v>
      </c>
      <c r="E459" s="5"/>
      <c r="F459" s="7">
        <v>45357</v>
      </c>
      <c r="G459" t="s">
        <v>71</v>
      </c>
      <c r="H459">
        <v>585000</v>
      </c>
      <c r="I459" s="5">
        <v>88145475.900000006</v>
      </c>
      <c r="K459" s="5">
        <v>86983252.290000007</v>
      </c>
      <c r="L459" s="5">
        <v>150.67602717948719</v>
      </c>
      <c r="M459" s="5"/>
      <c r="N459" s="5">
        <v>-7713.3943053565108</v>
      </c>
      <c r="O459" s="3">
        <v>0</v>
      </c>
      <c r="P459" s="9">
        <f>N459+P458</f>
        <v>374904.81825814006</v>
      </c>
      <c r="Q459" s="5" t="str">
        <f>TEXT(Table13[[#This Row],[Closing Date]],"yyyy")</f>
        <v>2024</v>
      </c>
      <c r="R459" s="5" t="str">
        <f>TEXT(Table13[[#This Row],[Closing Date]],"mmmm")</f>
        <v>March</v>
      </c>
      <c r="S459" s="5" t="s">
        <v>240</v>
      </c>
      <c r="T459" s="5" t="s">
        <v>301</v>
      </c>
    </row>
    <row r="460" spans="1:20" x14ac:dyDescent="0.25">
      <c r="A460" t="s">
        <v>201</v>
      </c>
      <c r="B460" t="s">
        <v>303</v>
      </c>
      <c r="C460" t="s">
        <v>16</v>
      </c>
      <c r="D460" t="s">
        <v>5</v>
      </c>
      <c r="E460" s="5"/>
      <c r="F460" s="7">
        <v>45358</v>
      </c>
      <c r="G460" t="s">
        <v>230</v>
      </c>
      <c r="H460">
        <v>4800</v>
      </c>
      <c r="I460" s="5">
        <v>282415.69</v>
      </c>
      <c r="K460" s="5">
        <v>293209.86</v>
      </c>
      <c r="L460" s="5">
        <v>58.836602083333332</v>
      </c>
      <c r="M460" s="5">
        <v>61.085387499999996</v>
      </c>
      <c r="N460" s="5">
        <v>-10794.169999999984</v>
      </c>
      <c r="O460" s="3">
        <v>-3.8220858055018063E-2</v>
      </c>
      <c r="P460" s="9">
        <f>N460+P459</f>
        <v>364110.64825814008</v>
      </c>
      <c r="Q460" s="5" t="str">
        <f>TEXT(Table13[[#This Row],[Closing Date]],"yyyy")</f>
        <v>2024</v>
      </c>
      <c r="R460" s="5" t="str">
        <f>TEXT(Table13[[#This Row],[Closing Date]],"mmmm")</f>
        <v>March</v>
      </c>
      <c r="S460" s="5" t="s">
        <v>240</v>
      </c>
      <c r="T460" s="5" t="s">
        <v>301</v>
      </c>
    </row>
    <row r="461" spans="1:20" x14ac:dyDescent="0.25">
      <c r="A461" t="s">
        <v>201</v>
      </c>
      <c r="B461" t="s">
        <v>303</v>
      </c>
      <c r="C461" t="s">
        <v>16</v>
      </c>
      <c r="D461" t="s">
        <v>7</v>
      </c>
      <c r="E461" s="5"/>
      <c r="F461" s="7">
        <v>45358</v>
      </c>
      <c r="G461" t="s">
        <v>231</v>
      </c>
      <c r="H461">
        <v>10000</v>
      </c>
      <c r="I461" s="5">
        <v>189537.69</v>
      </c>
      <c r="K461" s="5">
        <v>179992</v>
      </c>
      <c r="L461" s="5">
        <v>18.953769000000001</v>
      </c>
      <c r="M461" s="5">
        <v>17.999199999999998</v>
      </c>
      <c r="N461" s="5">
        <v>-9545.6900000000023</v>
      </c>
      <c r="O461" s="3">
        <v>-5.0363017508549365E-2</v>
      </c>
      <c r="P461" s="9">
        <f>N461+P460</f>
        <v>354564.95825814008</v>
      </c>
      <c r="Q461" s="5" t="str">
        <f>TEXT(Table13[[#This Row],[Closing Date]],"yyyy")</f>
        <v>2024</v>
      </c>
      <c r="R461" s="5" t="str">
        <f>TEXT(Table13[[#This Row],[Closing Date]],"mmmm")</f>
        <v>March</v>
      </c>
      <c r="S461" s="5" t="s">
        <v>240</v>
      </c>
      <c r="T461" s="5" t="s">
        <v>301</v>
      </c>
    </row>
    <row r="462" spans="1:20" x14ac:dyDescent="0.25">
      <c r="A462" t="s">
        <v>201</v>
      </c>
      <c r="B462" t="s">
        <v>302</v>
      </c>
      <c r="C462" t="s">
        <v>12</v>
      </c>
      <c r="D462" t="s">
        <v>5</v>
      </c>
      <c r="E462" s="5"/>
      <c r="F462" s="7">
        <v>45358</v>
      </c>
      <c r="G462" t="s">
        <v>82</v>
      </c>
      <c r="H462">
        <v>3</v>
      </c>
      <c r="I462" s="5">
        <v>767829.75</v>
      </c>
      <c r="K462" s="5">
        <v>773931.75</v>
      </c>
      <c r="L462" s="5">
        <v>5118.8649999999998</v>
      </c>
      <c r="M462" s="5">
        <v>5159.5450000000001</v>
      </c>
      <c r="N462" s="5">
        <v>-6102</v>
      </c>
      <c r="O462" s="3">
        <v>-7.9470742049262879E-3</v>
      </c>
      <c r="P462" s="9">
        <f>N462+P461</f>
        <v>348462.95825814008</v>
      </c>
      <c r="Q462" s="5" t="str">
        <f>TEXT(Table13[[#This Row],[Closing Date]],"yyyy")</f>
        <v>2024</v>
      </c>
      <c r="R462" s="5" t="str">
        <f>TEXT(Table13[[#This Row],[Closing Date]],"mmmm")</f>
        <v>March</v>
      </c>
      <c r="S462" s="5" t="s">
        <v>240</v>
      </c>
      <c r="T462" s="5" t="s">
        <v>301</v>
      </c>
    </row>
    <row r="463" spans="1:20" x14ac:dyDescent="0.25">
      <c r="A463" t="s">
        <v>201</v>
      </c>
      <c r="B463" t="s">
        <v>303</v>
      </c>
      <c r="C463" t="s">
        <v>16</v>
      </c>
      <c r="D463" t="s">
        <v>7</v>
      </c>
      <c r="E463" s="5"/>
      <c r="F463" s="7">
        <v>45359</v>
      </c>
      <c r="G463" t="s">
        <v>228</v>
      </c>
      <c r="H463">
        <v>1000</v>
      </c>
      <c r="I463" s="5">
        <v>53351.519999999997</v>
      </c>
      <c r="K463" s="5">
        <v>55620.04</v>
      </c>
      <c r="L463" s="5">
        <v>53.351519999999994</v>
      </c>
      <c r="M463" s="5">
        <v>55.620040000000003</v>
      </c>
      <c r="N463" s="5">
        <v>2268.5200000000041</v>
      </c>
      <c r="O463" s="3">
        <v>4.2520250594547337E-2</v>
      </c>
      <c r="P463" s="9">
        <f>N463+P462</f>
        <v>350731.47825814009</v>
      </c>
      <c r="Q463" s="5" t="str">
        <f>TEXT(Table13[[#This Row],[Closing Date]],"yyyy")</f>
        <v>2024</v>
      </c>
      <c r="R463" s="5" t="str">
        <f>TEXT(Table13[[#This Row],[Closing Date]],"mmmm")</f>
        <v>March</v>
      </c>
      <c r="S463" s="5" t="s">
        <v>240</v>
      </c>
      <c r="T463" s="5" t="s">
        <v>301</v>
      </c>
    </row>
    <row r="464" spans="1:20" x14ac:dyDescent="0.25">
      <c r="A464" t="s">
        <v>201</v>
      </c>
      <c r="B464" t="s">
        <v>303</v>
      </c>
      <c r="C464" t="s">
        <v>16</v>
      </c>
      <c r="D464" t="s">
        <v>7</v>
      </c>
      <c r="E464" s="5"/>
      <c r="F464" s="7">
        <v>45359</v>
      </c>
      <c r="G464" t="s">
        <v>169</v>
      </c>
      <c r="H464">
        <v>4000</v>
      </c>
      <c r="I464" s="5">
        <v>100963.9292</v>
      </c>
      <c r="K464" s="5">
        <v>111374.33</v>
      </c>
      <c r="L464" s="5">
        <v>25.240982299999999</v>
      </c>
      <c r="M464" s="5">
        <v>27.8435825</v>
      </c>
      <c r="N464" s="5">
        <v>-10410.400800000003</v>
      </c>
      <c r="O464" s="3">
        <v>-0.10311009964140741</v>
      </c>
      <c r="P464" s="9">
        <f>N464+P463</f>
        <v>340321.07745814009</v>
      </c>
      <c r="Q464" s="5" t="str">
        <f>TEXT(Table13[[#This Row],[Closing Date]],"yyyy")</f>
        <v>2024</v>
      </c>
      <c r="R464" s="5" t="str">
        <f>TEXT(Table13[[#This Row],[Closing Date]],"mmmm")</f>
        <v>March</v>
      </c>
      <c r="S464" s="5" t="s">
        <v>240</v>
      </c>
      <c r="T464" s="5" t="s">
        <v>301</v>
      </c>
    </row>
    <row r="465" spans="1:20" x14ac:dyDescent="0.25">
      <c r="A465" t="s">
        <v>201</v>
      </c>
      <c r="B465" t="s">
        <v>303</v>
      </c>
      <c r="C465" t="s">
        <v>16</v>
      </c>
      <c r="D465" t="s">
        <v>7</v>
      </c>
      <c r="E465" s="5"/>
      <c r="F465" s="7">
        <v>45359</v>
      </c>
      <c r="G465" t="s">
        <v>142</v>
      </c>
      <c r="H465">
        <v>3000</v>
      </c>
      <c r="I465" s="5">
        <v>240579</v>
      </c>
      <c r="K465" s="5">
        <v>259212.43</v>
      </c>
      <c r="L465" s="5">
        <v>80.192999999999998</v>
      </c>
      <c r="M465" s="5">
        <v>86.404143333333337</v>
      </c>
      <c r="N465" s="5">
        <v>18633.429999999993</v>
      </c>
      <c r="O465" s="3">
        <v>7.7452437660809934E-2</v>
      </c>
      <c r="P465" s="9">
        <f>N465+P464</f>
        <v>358954.50745814008</v>
      </c>
      <c r="Q465" s="5" t="str">
        <f>TEXT(Table13[[#This Row],[Closing Date]],"yyyy")</f>
        <v>2024</v>
      </c>
      <c r="R465" s="5" t="str">
        <f>TEXT(Table13[[#This Row],[Closing Date]],"mmmm")</f>
        <v>March</v>
      </c>
      <c r="S465" s="5" t="s">
        <v>240</v>
      </c>
      <c r="T465" s="5" t="s">
        <v>301</v>
      </c>
    </row>
    <row r="466" spans="1:20" x14ac:dyDescent="0.25">
      <c r="A466" t="s">
        <v>201</v>
      </c>
      <c r="B466" t="s">
        <v>303</v>
      </c>
      <c r="C466" t="s">
        <v>16</v>
      </c>
      <c r="D466" t="s">
        <v>7</v>
      </c>
      <c r="E466" s="5"/>
      <c r="F466" s="7">
        <v>45359</v>
      </c>
      <c r="G466" t="s">
        <v>232</v>
      </c>
      <c r="H466">
        <v>12500</v>
      </c>
      <c r="I466" s="5">
        <v>144241.82</v>
      </c>
      <c r="K466" s="5">
        <v>142802.82</v>
      </c>
      <c r="L466" s="5">
        <v>11.539345600000001</v>
      </c>
      <c r="M466" s="5">
        <v>35.700704999999999</v>
      </c>
      <c r="N466" s="5">
        <v>-1439</v>
      </c>
      <c r="O466" s="3">
        <v>-9.9763022956865077E-3</v>
      </c>
      <c r="P466" s="9">
        <f>N466+P465</f>
        <v>357515.50745814008</v>
      </c>
      <c r="Q466" s="5" t="str">
        <f>TEXT(Table13[[#This Row],[Closing Date]],"yyyy")</f>
        <v>2024</v>
      </c>
      <c r="R466" s="5" t="str">
        <f>TEXT(Table13[[#This Row],[Closing Date]],"mmmm")</f>
        <v>March</v>
      </c>
      <c r="S466" s="5" t="s">
        <v>240</v>
      </c>
      <c r="T466" s="5" t="s">
        <v>301</v>
      </c>
    </row>
    <row r="467" spans="1:20" x14ac:dyDescent="0.25">
      <c r="A467" t="s">
        <v>201</v>
      </c>
      <c r="B467" t="s">
        <v>303</v>
      </c>
      <c r="C467" t="s">
        <v>16</v>
      </c>
      <c r="D467" t="s">
        <v>7</v>
      </c>
      <c r="E467" s="5"/>
      <c r="F467" s="7">
        <v>45359</v>
      </c>
      <c r="G467" t="s">
        <v>218</v>
      </c>
      <c r="H467">
        <v>2250</v>
      </c>
      <c r="I467" s="5">
        <v>37890</v>
      </c>
      <c r="K467" s="5">
        <v>43005</v>
      </c>
      <c r="L467" s="5">
        <v>16.84</v>
      </c>
      <c r="M467" s="5">
        <v>19.113333333333333</v>
      </c>
      <c r="N467" s="5">
        <v>5115</v>
      </c>
      <c r="O467" s="3">
        <v>0.13499604117181313</v>
      </c>
      <c r="P467" s="9">
        <f>N467+P466</f>
        <v>362630.50745814008</v>
      </c>
      <c r="Q467" s="5" t="str">
        <f>TEXT(Table13[[#This Row],[Closing Date]],"yyyy")</f>
        <v>2024</v>
      </c>
      <c r="R467" s="5" t="str">
        <f>TEXT(Table13[[#This Row],[Closing Date]],"mmmm")</f>
        <v>March</v>
      </c>
      <c r="S467" s="5" t="s">
        <v>240</v>
      </c>
      <c r="T467" s="5" t="s">
        <v>301</v>
      </c>
    </row>
    <row r="468" spans="1:20" x14ac:dyDescent="0.25">
      <c r="A468" t="s">
        <v>201</v>
      </c>
      <c r="B468" t="s">
        <v>303</v>
      </c>
      <c r="C468" t="s">
        <v>16</v>
      </c>
      <c r="D468" t="s">
        <v>7</v>
      </c>
      <c r="E468" s="5"/>
      <c r="F468" s="7">
        <v>45359</v>
      </c>
      <c r="G468" t="s">
        <v>151</v>
      </c>
      <c r="H468">
        <v>2500</v>
      </c>
      <c r="I468" s="5">
        <v>199750</v>
      </c>
      <c r="K468" s="5">
        <v>197650</v>
      </c>
      <c r="L468" s="5">
        <v>79.900000000000006</v>
      </c>
      <c r="M468" s="5">
        <v>79.06</v>
      </c>
      <c r="N468" s="5">
        <v>-2127</v>
      </c>
      <c r="O468" s="3">
        <v>-1.0648310387984982E-2</v>
      </c>
      <c r="P468" s="9">
        <f>N468+P467</f>
        <v>360503.50745814008</v>
      </c>
      <c r="Q468" s="5" t="str">
        <f>TEXT(Table13[[#This Row],[Closing Date]],"yyyy")</f>
        <v>2024</v>
      </c>
      <c r="R468" s="5" t="str">
        <f>TEXT(Table13[[#This Row],[Closing Date]],"mmmm")</f>
        <v>March</v>
      </c>
      <c r="S468" s="5" t="s">
        <v>240</v>
      </c>
      <c r="T468" s="5" t="s">
        <v>301</v>
      </c>
    </row>
    <row r="469" spans="1:20" x14ac:dyDescent="0.25">
      <c r="A469" t="s">
        <v>201</v>
      </c>
      <c r="B469" t="s">
        <v>306</v>
      </c>
      <c r="C469" t="s">
        <v>16</v>
      </c>
      <c r="D469" t="s">
        <v>7</v>
      </c>
      <c r="E469" s="5"/>
      <c r="F469" s="7">
        <v>45359</v>
      </c>
      <c r="G469" t="s">
        <v>233</v>
      </c>
      <c r="H469">
        <v>1100</v>
      </c>
      <c r="I469" s="5">
        <v>112703.85</v>
      </c>
      <c r="K469" s="5">
        <v>107895</v>
      </c>
      <c r="L469" s="5">
        <v>102.45804545454546</v>
      </c>
      <c r="M469" s="5">
        <v>98.086363636363643</v>
      </c>
      <c r="N469" s="5">
        <v>-4808.8500000000058</v>
      </c>
      <c r="O469" s="3">
        <v>-4.2668018883117172E-2</v>
      </c>
      <c r="P469" s="9">
        <f>N469+P468</f>
        <v>355694.65745814005</v>
      </c>
      <c r="Q469" s="5" t="str">
        <f>TEXT(Table13[[#This Row],[Closing Date]],"yyyy")</f>
        <v>2024</v>
      </c>
      <c r="R469" s="5" t="str">
        <f>TEXT(Table13[[#This Row],[Closing Date]],"mmmm")</f>
        <v>March</v>
      </c>
      <c r="S469" s="5" t="s">
        <v>240</v>
      </c>
      <c r="T469" s="5" t="s">
        <v>301</v>
      </c>
    </row>
    <row r="470" spans="1:20" x14ac:dyDescent="0.25">
      <c r="A470" t="s">
        <v>201</v>
      </c>
      <c r="B470" t="s">
        <v>303</v>
      </c>
      <c r="C470" t="s">
        <v>12</v>
      </c>
      <c r="D470" t="s">
        <v>7</v>
      </c>
      <c r="E470" s="5"/>
      <c r="F470" s="7">
        <v>45359</v>
      </c>
      <c r="G470" t="s">
        <v>89</v>
      </c>
      <c r="H470">
        <v>10</v>
      </c>
      <c r="I470" s="5">
        <v>1032977</v>
      </c>
      <c r="K470" s="5">
        <v>1038023</v>
      </c>
      <c r="L470" s="5">
        <v>2059.0439999999999</v>
      </c>
      <c r="M470" s="5">
        <v>2076.0459999999998</v>
      </c>
      <c r="N470" s="5">
        <v>5046</v>
      </c>
      <c r="O470" s="3">
        <v>4.8849103126207072E-3</v>
      </c>
      <c r="P470" s="9">
        <f>N470+P469</f>
        <v>360740.65745814005</v>
      </c>
      <c r="Q470" s="5" t="str">
        <f>TEXT(Table13[[#This Row],[Closing Date]],"yyyy")</f>
        <v>2024</v>
      </c>
      <c r="R470" s="5" t="str">
        <f>TEXT(Table13[[#This Row],[Closing Date]],"mmmm")</f>
        <v>March</v>
      </c>
      <c r="S470" s="5" t="s">
        <v>240</v>
      </c>
      <c r="T470" s="5" t="s">
        <v>301</v>
      </c>
    </row>
    <row r="471" spans="1:20" x14ac:dyDescent="0.25">
      <c r="A471" t="s">
        <v>201</v>
      </c>
      <c r="B471" t="s">
        <v>303</v>
      </c>
      <c r="C471" t="s">
        <v>12</v>
      </c>
      <c r="D471" t="s">
        <v>7</v>
      </c>
      <c r="E471" s="5"/>
      <c r="F471" s="7">
        <v>45359</v>
      </c>
      <c r="G471" t="s">
        <v>44</v>
      </c>
      <c r="H471">
        <v>2</v>
      </c>
      <c r="I471" s="5">
        <v>396856.04</v>
      </c>
      <c r="K471" s="5">
        <v>388493</v>
      </c>
      <c r="L471" s="5">
        <v>39685.603999999999</v>
      </c>
      <c r="M471" s="5">
        <v>38849.300000000003</v>
      </c>
      <c r="N471" s="5">
        <v>-8363.039999999979</v>
      </c>
      <c r="O471" s="3">
        <v>-2.107323350804987E-2</v>
      </c>
      <c r="P471" s="9">
        <f>N471+P470</f>
        <v>352377.61745814007</v>
      </c>
      <c r="Q471" s="5" t="str">
        <f>TEXT(Table13[[#This Row],[Closing Date]],"yyyy")</f>
        <v>2024</v>
      </c>
      <c r="R471" s="5" t="str">
        <f>TEXT(Table13[[#This Row],[Closing Date]],"mmmm")</f>
        <v>March</v>
      </c>
      <c r="S471" s="5" t="s">
        <v>240</v>
      </c>
      <c r="T471" s="5" t="s">
        <v>301</v>
      </c>
    </row>
    <row r="472" spans="1:20" x14ac:dyDescent="0.25">
      <c r="A472" t="s">
        <v>201</v>
      </c>
      <c r="B472" t="s">
        <v>303</v>
      </c>
      <c r="C472" t="s">
        <v>16</v>
      </c>
      <c r="D472" t="s">
        <v>5</v>
      </c>
      <c r="E472" s="5"/>
      <c r="F472" s="7">
        <v>45363</v>
      </c>
      <c r="G472" t="s">
        <v>236</v>
      </c>
      <c r="H472">
        <v>685</v>
      </c>
      <c r="I472" s="5">
        <v>40274.32</v>
      </c>
      <c r="K472" s="5">
        <v>39589.58</v>
      </c>
      <c r="L472" s="5">
        <v>58.794627737226278</v>
      </c>
      <c r="M472" s="5">
        <v>57.795007299270075</v>
      </c>
      <c r="N472" s="5">
        <v>684.73999999999796</v>
      </c>
      <c r="O472" s="3">
        <v>1.7001900963194361E-2</v>
      </c>
      <c r="P472" s="9">
        <f>N472+P471</f>
        <v>353062.35745814006</v>
      </c>
      <c r="Q472" s="5" t="str">
        <f>TEXT(Table13[[#This Row],[Closing Date]],"yyyy")</f>
        <v>2024</v>
      </c>
      <c r="R472" s="5" t="str">
        <f>TEXT(Table13[[#This Row],[Closing Date]],"mmmm")</f>
        <v>March</v>
      </c>
      <c r="S472" s="5" t="s">
        <v>240</v>
      </c>
      <c r="T472" s="5" t="s">
        <v>301</v>
      </c>
    </row>
    <row r="473" spans="1:20" x14ac:dyDescent="0.25">
      <c r="A473" t="s">
        <v>201</v>
      </c>
      <c r="B473" t="s">
        <v>305</v>
      </c>
      <c r="C473" t="s">
        <v>16</v>
      </c>
      <c r="D473" t="s">
        <v>7</v>
      </c>
      <c r="E473" s="11">
        <v>45293</v>
      </c>
      <c r="F473" s="7">
        <v>45363</v>
      </c>
      <c r="G473" t="s">
        <v>251</v>
      </c>
      <c r="H473">
        <v>600</v>
      </c>
      <c r="I473" s="5">
        <v>351432</v>
      </c>
      <c r="J473" s="13">
        <v>1</v>
      </c>
      <c r="K473" s="5">
        <f>161157+100309+58400+156+91059.47</f>
        <v>411081.47</v>
      </c>
      <c r="L473" s="5">
        <f>Table13[[#This Row],[Open Value]]/Table13[[#This Row],[Shares]]/Table13[[#This Row],[Multiplier]]</f>
        <v>585.72</v>
      </c>
      <c r="M473" s="5">
        <f>Table13[[#This Row],[Close Value]]/Table13[[#This Row],[Shares]]/Table13[[#This Row],[Multiplier]]</f>
        <v>685.13578333333328</v>
      </c>
      <c r="N473" s="5">
        <f>Table13[[#This Row],[Close Value]]-Table13[[#This Row],[Open Value]]</f>
        <v>59649.469999999972</v>
      </c>
      <c r="O473" s="3">
        <f>Table13[[#This Row],[PnL]]/Table13[[#This Row],[Open Value]]</f>
        <v>0.16973260829975634</v>
      </c>
      <c r="P473" s="14">
        <f>N473+P472</f>
        <v>412711.82745814003</v>
      </c>
      <c r="Q473" s="5" t="str">
        <f>TEXT(Table13[[#This Row],[Closing Date]],"yyyy")</f>
        <v>2024</v>
      </c>
      <c r="R473" s="5" t="str">
        <f>TEXT(Table13[[#This Row],[Closing Date]],"mmmm")</f>
        <v>March</v>
      </c>
      <c r="S473" s="5" t="s">
        <v>240</v>
      </c>
      <c r="T473" s="5" t="s">
        <v>203</v>
      </c>
    </row>
    <row r="474" spans="1:20" x14ac:dyDescent="0.25">
      <c r="A474" t="s">
        <v>201</v>
      </c>
      <c r="B474" t="s">
        <v>303</v>
      </c>
      <c r="C474" t="s">
        <v>16</v>
      </c>
      <c r="D474" t="s">
        <v>7</v>
      </c>
      <c r="E474" s="5"/>
      <c r="F474" s="7">
        <v>45364</v>
      </c>
      <c r="G474" t="s">
        <v>237</v>
      </c>
      <c r="H474">
        <v>1150</v>
      </c>
      <c r="I474" s="5">
        <v>50067.6</v>
      </c>
      <c r="K474" s="5">
        <v>49883.26</v>
      </c>
      <c r="L474" s="5">
        <v>43.53704347826087</v>
      </c>
      <c r="M474" s="5">
        <v>43.376747826086955</v>
      </c>
      <c r="N474" s="5">
        <v>-184.33999999999651</v>
      </c>
      <c r="O474" s="3">
        <v>-3.6818221764174141E-3</v>
      </c>
      <c r="P474" s="9">
        <f>N474+P473</f>
        <v>412527.48745814001</v>
      </c>
      <c r="Q474" s="5" t="str">
        <f>TEXT(Table13[[#This Row],[Closing Date]],"yyyy")</f>
        <v>2024</v>
      </c>
      <c r="R474" s="5" t="str">
        <f>TEXT(Table13[[#This Row],[Closing Date]],"mmmm")</f>
        <v>March</v>
      </c>
      <c r="S474" s="5" t="s">
        <v>241</v>
      </c>
      <c r="T474" s="5" t="s">
        <v>301</v>
      </c>
    </row>
    <row r="475" spans="1:20" x14ac:dyDescent="0.25">
      <c r="A475" t="s">
        <v>201</v>
      </c>
      <c r="B475" t="s">
        <v>303</v>
      </c>
      <c r="C475" t="s">
        <v>16</v>
      </c>
      <c r="D475" t="s">
        <v>7</v>
      </c>
      <c r="E475" s="5"/>
      <c r="F475" s="7">
        <v>45364</v>
      </c>
      <c r="G475" t="s">
        <v>238</v>
      </c>
      <c r="H475">
        <v>440</v>
      </c>
      <c r="I475" s="5">
        <v>49469.84</v>
      </c>
      <c r="K475" s="5">
        <v>47874.34</v>
      </c>
      <c r="L475" s="5">
        <v>112.43145454545454</v>
      </c>
      <c r="M475" s="5">
        <v>108.80531818181818</v>
      </c>
      <c r="N475" s="5">
        <v>-1595.5</v>
      </c>
      <c r="O475" s="3">
        <v>-3.2251974132117674E-2</v>
      </c>
      <c r="P475" s="9">
        <f>N475+P474</f>
        <v>410931.98745814001</v>
      </c>
      <c r="Q475" s="5" t="str">
        <f>TEXT(Table13[[#This Row],[Closing Date]],"yyyy")</f>
        <v>2024</v>
      </c>
      <c r="R475" s="5" t="str">
        <f>TEXT(Table13[[#This Row],[Closing Date]],"mmmm")</f>
        <v>March</v>
      </c>
      <c r="S475" s="5" t="s">
        <v>241</v>
      </c>
      <c r="T475" s="5" t="s">
        <v>301</v>
      </c>
    </row>
    <row r="476" spans="1:20" x14ac:dyDescent="0.25">
      <c r="A476" t="s">
        <v>201</v>
      </c>
      <c r="B476" t="s">
        <v>303</v>
      </c>
      <c r="C476" t="s">
        <v>16</v>
      </c>
      <c r="D476" t="s">
        <v>7</v>
      </c>
      <c r="E476" s="5"/>
      <c r="F476" s="7">
        <v>45364</v>
      </c>
      <c r="G476" t="s">
        <v>213</v>
      </c>
      <c r="H476">
        <v>1400</v>
      </c>
      <c r="I476" s="5">
        <v>49444.94</v>
      </c>
      <c r="K476" s="5">
        <v>47802.39</v>
      </c>
      <c r="L476" s="5">
        <v>35.317814285714284</v>
      </c>
      <c r="M476" s="5">
        <v>34.144564285714289</v>
      </c>
      <c r="N476" s="5">
        <v>-1642.5500000000029</v>
      </c>
      <c r="O476" s="3">
        <v>-3.3219779415244573E-2</v>
      </c>
      <c r="P476" s="9">
        <f>N476+P475</f>
        <v>409289.43745814002</v>
      </c>
      <c r="Q476" s="5" t="str">
        <f>TEXT(Table13[[#This Row],[Closing Date]],"yyyy")</f>
        <v>2024</v>
      </c>
      <c r="R476" s="5" t="str">
        <f>TEXT(Table13[[#This Row],[Closing Date]],"mmmm")</f>
        <v>March</v>
      </c>
      <c r="S476" s="5" t="s">
        <v>241</v>
      </c>
      <c r="T476" s="5" t="s">
        <v>301</v>
      </c>
    </row>
    <row r="477" spans="1:20" x14ac:dyDescent="0.25">
      <c r="A477" t="s">
        <v>201</v>
      </c>
      <c r="B477" t="s">
        <v>306</v>
      </c>
      <c r="C477" t="s">
        <v>12</v>
      </c>
      <c r="D477" t="s">
        <v>5</v>
      </c>
      <c r="E477" s="5"/>
      <c r="F477" s="7">
        <v>45365</v>
      </c>
      <c r="G477" t="s">
        <v>13</v>
      </c>
      <c r="H477">
        <v>6</v>
      </c>
      <c r="I477" s="5">
        <v>485760</v>
      </c>
      <c r="K477" s="5">
        <v>483180</v>
      </c>
      <c r="L477" s="5">
        <v>80.959999999999994</v>
      </c>
      <c r="M477" s="5">
        <v>1610.6000000000001</v>
      </c>
      <c r="N477" s="5">
        <v>2580</v>
      </c>
      <c r="O477" s="3">
        <v>5.311264822134387E-3</v>
      </c>
      <c r="P477" s="9">
        <f>N477+P476</f>
        <v>411869.43745814002</v>
      </c>
      <c r="Q477" s="5" t="str">
        <f>TEXT(Table13[[#This Row],[Closing Date]],"yyyy")</f>
        <v>2024</v>
      </c>
      <c r="R477" s="5" t="str">
        <f>TEXT(Table13[[#This Row],[Closing Date]],"mmmm")</f>
        <v>March</v>
      </c>
      <c r="S477" s="5" t="s">
        <v>240</v>
      </c>
      <c r="T477" s="5" t="s">
        <v>301</v>
      </c>
    </row>
    <row r="478" spans="1:20" x14ac:dyDescent="0.25">
      <c r="A478" t="s">
        <v>201</v>
      </c>
      <c r="B478" t="s">
        <v>303</v>
      </c>
      <c r="C478" t="s">
        <v>16</v>
      </c>
      <c r="D478" t="s">
        <v>7</v>
      </c>
      <c r="E478" s="5"/>
      <c r="F478" s="7">
        <v>45365</v>
      </c>
      <c r="G478" t="s">
        <v>206</v>
      </c>
      <c r="H478">
        <v>1200</v>
      </c>
      <c r="I478" s="5">
        <v>234997.8</v>
      </c>
      <c r="K478" s="5">
        <v>227983</v>
      </c>
      <c r="L478" s="5">
        <v>195.83149999999998</v>
      </c>
      <c r="M478" s="5">
        <v>189.98583333333335</v>
      </c>
      <c r="N478" s="5">
        <v>-7014.7999999999884</v>
      </c>
      <c r="O478" s="3">
        <v>-2.9850492217373903E-2</v>
      </c>
      <c r="P478" s="9">
        <f>N478+P477</f>
        <v>404854.63745814003</v>
      </c>
      <c r="Q478" s="5" t="str">
        <f>TEXT(Table13[[#This Row],[Closing Date]],"yyyy")</f>
        <v>2024</v>
      </c>
      <c r="R478" s="5" t="str">
        <f>TEXT(Table13[[#This Row],[Closing Date]],"mmmm")</f>
        <v>March</v>
      </c>
      <c r="S478" s="5" t="s">
        <v>240</v>
      </c>
      <c r="T478" s="5" t="s">
        <v>301</v>
      </c>
    </row>
    <row r="479" spans="1:20" x14ac:dyDescent="0.25">
      <c r="A479" t="s">
        <v>201</v>
      </c>
      <c r="B479" t="s">
        <v>303</v>
      </c>
      <c r="C479" t="s">
        <v>16</v>
      </c>
      <c r="D479" t="s">
        <v>7</v>
      </c>
      <c r="E479" s="5"/>
      <c r="F479" s="7">
        <v>45365</v>
      </c>
      <c r="G479" t="s">
        <v>245</v>
      </c>
      <c r="H479">
        <v>11000</v>
      </c>
      <c r="I479" s="5">
        <v>82165</v>
      </c>
      <c r="K479" s="5">
        <v>73365</v>
      </c>
      <c r="L479" s="5">
        <v>7.4695454545454547</v>
      </c>
      <c r="M479" s="5">
        <v>6.6695454545454549</v>
      </c>
      <c r="N479" s="5">
        <v>-8800</v>
      </c>
      <c r="O479" s="3">
        <v>-0.10710156392624597</v>
      </c>
      <c r="P479" s="9">
        <f>N479+P478</f>
        <v>396054.63745814003</v>
      </c>
      <c r="Q479" s="5" t="str">
        <f>TEXT(Table13[[#This Row],[Closing Date]],"yyyy")</f>
        <v>2024</v>
      </c>
      <c r="R479" s="5" t="str">
        <f>TEXT(Table13[[#This Row],[Closing Date]],"mmmm")</f>
        <v>March</v>
      </c>
      <c r="S479" s="5" t="s">
        <v>240</v>
      </c>
      <c r="T479" s="5" t="s">
        <v>301</v>
      </c>
    </row>
    <row r="480" spans="1:20" x14ac:dyDescent="0.25">
      <c r="A480" t="s">
        <v>197</v>
      </c>
      <c r="B480" t="s">
        <v>302</v>
      </c>
      <c r="C480" t="s">
        <v>99</v>
      </c>
      <c r="D480" t="s">
        <v>7</v>
      </c>
      <c r="E480" s="5"/>
      <c r="F480" s="7">
        <v>45366</v>
      </c>
      <c r="G480" t="s">
        <v>235</v>
      </c>
      <c r="H480">
        <v>50</v>
      </c>
      <c r="I480" s="5">
        <v>10272.34</v>
      </c>
      <c r="J480" s="13">
        <v>100</v>
      </c>
      <c r="K480" s="5">
        <v>8352.4500000000007</v>
      </c>
      <c r="L480" s="5">
        <v>2.054468</v>
      </c>
      <c r="M480" s="5">
        <v>1.67049</v>
      </c>
      <c r="N480" s="5">
        <v>-1919.8899999999994</v>
      </c>
      <c r="O480" s="3">
        <v>-0.18689899282928715</v>
      </c>
      <c r="P480" s="9">
        <f>N480+P479</f>
        <v>394134.74745814002</v>
      </c>
      <c r="Q480" s="5" t="str">
        <f>TEXT(Table13[[#This Row],[Closing Date]],"yyyy")</f>
        <v>2024</v>
      </c>
      <c r="R480" s="5" t="str">
        <f>TEXT(Table13[[#This Row],[Closing Date]],"mmmm")</f>
        <v>March</v>
      </c>
      <c r="S480" s="5" t="s">
        <v>240</v>
      </c>
      <c r="T480" s="5" t="s">
        <v>301</v>
      </c>
    </row>
    <row r="481" spans="1:20" x14ac:dyDescent="0.25">
      <c r="A481" t="s">
        <v>201</v>
      </c>
      <c r="B481" t="s">
        <v>305</v>
      </c>
      <c r="C481" t="s">
        <v>16</v>
      </c>
      <c r="D481" t="s">
        <v>7</v>
      </c>
      <c r="E481" s="5"/>
      <c r="F481" s="7">
        <v>45366</v>
      </c>
      <c r="G481" t="s">
        <v>242</v>
      </c>
      <c r="H481">
        <v>4100</v>
      </c>
      <c r="I481" s="5">
        <v>201658.5</v>
      </c>
      <c r="K481" s="5">
        <v>198548.1</v>
      </c>
      <c r="L481" s="5">
        <v>49.185000000000002</v>
      </c>
      <c r="M481" s="5">
        <v>48.426365853658538</v>
      </c>
      <c r="N481" s="5">
        <v>-3110.3999999999942</v>
      </c>
      <c r="O481" s="3">
        <v>-1.5424095686519508E-2</v>
      </c>
      <c r="P481" s="9">
        <f>N481+P480</f>
        <v>391024.34745813999</v>
      </c>
      <c r="Q481" s="5" t="str">
        <f>TEXT(Table13[[#This Row],[Closing Date]],"yyyy")</f>
        <v>2024</v>
      </c>
      <c r="R481" s="5" t="str">
        <f>TEXT(Table13[[#This Row],[Closing Date]],"mmmm")</f>
        <v>March</v>
      </c>
      <c r="S481" s="5" t="s">
        <v>240</v>
      </c>
      <c r="T481" s="5" t="s">
        <v>301</v>
      </c>
    </row>
    <row r="482" spans="1:20" x14ac:dyDescent="0.25">
      <c r="A482" t="s">
        <v>201</v>
      </c>
      <c r="B482" t="s">
        <v>306</v>
      </c>
      <c r="C482" t="s">
        <v>16</v>
      </c>
      <c r="D482" t="s">
        <v>7</v>
      </c>
      <c r="E482" s="5"/>
      <c r="F482" s="7">
        <v>45366</v>
      </c>
      <c r="G482" t="s">
        <v>243</v>
      </c>
      <c r="H482">
        <v>2650</v>
      </c>
      <c r="I482" s="5">
        <v>114631.31</v>
      </c>
      <c r="K482" s="5">
        <v>111845.88</v>
      </c>
      <c r="L482" s="5">
        <v>43.257098113207547</v>
      </c>
      <c r="M482" s="5">
        <v>42.205992452830188</v>
      </c>
      <c r="N482" s="5">
        <v>-2785.429999999993</v>
      </c>
      <c r="O482" s="3">
        <v>-2.4299033135013401E-2</v>
      </c>
      <c r="P482" s="9">
        <f>N482+P481</f>
        <v>388238.91745814</v>
      </c>
      <c r="Q482" s="5" t="str">
        <f>TEXT(Table13[[#This Row],[Closing Date]],"yyyy")</f>
        <v>2024</v>
      </c>
      <c r="R482" s="5" t="str">
        <f>TEXT(Table13[[#This Row],[Closing Date]],"mmmm")</f>
        <v>March</v>
      </c>
      <c r="S482" s="5" t="s">
        <v>240</v>
      </c>
      <c r="T482" s="5" t="s">
        <v>301</v>
      </c>
    </row>
    <row r="483" spans="1:20" x14ac:dyDescent="0.25">
      <c r="A483" t="s">
        <v>201</v>
      </c>
      <c r="B483" t="s">
        <v>305</v>
      </c>
      <c r="C483" t="s">
        <v>16</v>
      </c>
      <c r="D483" t="s">
        <v>7</v>
      </c>
      <c r="E483" s="5"/>
      <c r="F483" s="7">
        <v>45366</v>
      </c>
      <c r="G483" t="s">
        <v>41</v>
      </c>
      <c r="H483">
        <v>550</v>
      </c>
      <c r="I483" s="5">
        <v>227109.88</v>
      </c>
      <c r="K483" s="5">
        <v>229378.53</v>
      </c>
      <c r="L483" s="5">
        <v>412.92705454545455</v>
      </c>
      <c r="M483" s="5">
        <v>417.05187272727272</v>
      </c>
      <c r="N483" s="5">
        <v>2268.6499999999942</v>
      </c>
      <c r="O483" s="3">
        <v>9.9892175540755614E-3</v>
      </c>
      <c r="P483" s="9">
        <f>N483+P482</f>
        <v>390507.56745813997</v>
      </c>
      <c r="Q483" s="5" t="str">
        <f>TEXT(Table13[[#This Row],[Closing Date]],"yyyy")</f>
        <v>2024</v>
      </c>
      <c r="R483" s="5" t="str">
        <f>TEXT(Table13[[#This Row],[Closing Date]],"mmmm")</f>
        <v>March</v>
      </c>
      <c r="S483" s="5" t="s">
        <v>240</v>
      </c>
      <c r="T483" s="5" t="s">
        <v>301</v>
      </c>
    </row>
    <row r="484" spans="1:20" x14ac:dyDescent="0.25">
      <c r="A484" t="s">
        <v>201</v>
      </c>
      <c r="B484" t="s">
        <v>305</v>
      </c>
      <c r="C484" t="s">
        <v>16</v>
      </c>
      <c r="D484" t="s">
        <v>7</v>
      </c>
      <c r="E484" s="5"/>
      <c r="F484" s="7">
        <v>45366</v>
      </c>
      <c r="G484" t="s">
        <v>244</v>
      </c>
      <c r="H484">
        <v>3300</v>
      </c>
      <c r="I484" s="5">
        <v>192737.7</v>
      </c>
      <c r="K484" s="5">
        <v>188158.85</v>
      </c>
      <c r="L484" s="5">
        <v>58.405363636363639</v>
      </c>
      <c r="M484" s="5">
        <v>57.017833333333336</v>
      </c>
      <c r="N484" s="5">
        <v>-4578.8500000000058</v>
      </c>
      <c r="O484" s="3">
        <v>-2.3756898624399926E-2</v>
      </c>
      <c r="P484" s="9">
        <f>N484+P483</f>
        <v>385928.71745813999</v>
      </c>
      <c r="Q484" s="5" t="str">
        <f>TEXT(Table13[[#This Row],[Closing Date]],"yyyy")</f>
        <v>2024</v>
      </c>
      <c r="R484" s="5" t="str">
        <f>TEXT(Table13[[#This Row],[Closing Date]],"mmmm")</f>
        <v>March</v>
      </c>
      <c r="S484" s="5" t="s">
        <v>240</v>
      </c>
      <c r="T484" s="5" t="s">
        <v>301</v>
      </c>
    </row>
    <row r="485" spans="1:20" x14ac:dyDescent="0.25">
      <c r="A485" t="s">
        <v>197</v>
      </c>
      <c r="B485" t="s">
        <v>305</v>
      </c>
      <c r="C485" t="s">
        <v>99</v>
      </c>
      <c r="D485" t="s">
        <v>7</v>
      </c>
      <c r="E485" s="5"/>
      <c r="F485" s="7">
        <v>45366</v>
      </c>
      <c r="G485" t="s">
        <v>133</v>
      </c>
      <c r="H485">
        <v>15</v>
      </c>
      <c r="I485" s="5">
        <v>12310.3</v>
      </c>
      <c r="J485" s="13">
        <v>100</v>
      </c>
      <c r="K485" s="5">
        <v>0</v>
      </c>
      <c r="L485" s="5">
        <v>8.2068666666666665</v>
      </c>
      <c r="M485" s="5"/>
      <c r="N485" s="5">
        <v>-12310.3</v>
      </c>
      <c r="O485" s="3">
        <v>-1</v>
      </c>
      <c r="P485" s="9">
        <f>N485+P484</f>
        <v>373618.41745814</v>
      </c>
      <c r="Q485" s="5" t="str">
        <f>TEXT(Table13[[#This Row],[Closing Date]],"yyyy")</f>
        <v>2024</v>
      </c>
      <c r="R485" s="5" t="str">
        <f>TEXT(Table13[[#This Row],[Closing Date]],"mmmm")</f>
        <v>March</v>
      </c>
      <c r="S485" s="5" t="s">
        <v>240</v>
      </c>
      <c r="T485" s="5" t="s">
        <v>301</v>
      </c>
    </row>
    <row r="486" spans="1:20" x14ac:dyDescent="0.25">
      <c r="A486" t="s">
        <v>197</v>
      </c>
      <c r="B486" t="s">
        <v>306</v>
      </c>
      <c r="C486" t="s">
        <v>102</v>
      </c>
      <c r="D486" t="s">
        <v>7</v>
      </c>
      <c r="E486" s="5"/>
      <c r="F486" s="7">
        <v>45366</v>
      </c>
      <c r="G486" t="s">
        <v>250</v>
      </c>
      <c r="H486">
        <v>10</v>
      </c>
      <c r="I486" s="5">
        <v>7706.87</v>
      </c>
      <c r="J486" s="13">
        <v>100</v>
      </c>
      <c r="K486" s="5">
        <v>0</v>
      </c>
      <c r="L486" s="5">
        <v>7.7068700000000003</v>
      </c>
      <c r="M486" s="5">
        <v>0</v>
      </c>
      <c r="N486" s="5">
        <v>-7706.87</v>
      </c>
      <c r="O486" s="3">
        <v>-1</v>
      </c>
      <c r="P486" s="9">
        <f>N486+P485</f>
        <v>365911.54745814</v>
      </c>
      <c r="Q486" s="5" t="str">
        <f>TEXT(Table13[[#This Row],[Closing Date]],"yyyy")</f>
        <v>2024</v>
      </c>
      <c r="R486" s="5" t="str">
        <f>TEXT(Table13[[#This Row],[Closing Date]],"mmmm")</f>
        <v>March</v>
      </c>
      <c r="S486" s="5" t="s">
        <v>240</v>
      </c>
      <c r="T486" s="5" t="s">
        <v>301</v>
      </c>
    </row>
    <row r="487" spans="1:20" x14ac:dyDescent="0.25">
      <c r="A487" t="s">
        <v>197</v>
      </c>
      <c r="B487" t="s">
        <v>305</v>
      </c>
      <c r="C487" t="s">
        <v>99</v>
      </c>
      <c r="D487" t="s">
        <v>7</v>
      </c>
      <c r="E487" s="5"/>
      <c r="F487" s="7">
        <v>45366</v>
      </c>
      <c r="G487" t="s">
        <v>53</v>
      </c>
      <c r="H487">
        <v>50</v>
      </c>
      <c r="I487" s="5">
        <v>6482.34</v>
      </c>
      <c r="J487" s="13">
        <v>100</v>
      </c>
      <c r="K487" s="5">
        <v>0</v>
      </c>
      <c r="L487" s="5">
        <v>1.2964680000000002</v>
      </c>
      <c r="M487" s="5">
        <v>0</v>
      </c>
      <c r="N487" s="5">
        <v>-6482.34</v>
      </c>
      <c r="O487" s="3">
        <v>-1</v>
      </c>
      <c r="P487" s="9">
        <f>N487+P486</f>
        <v>359429.20745813998</v>
      </c>
      <c r="Q487" s="5" t="str">
        <f>TEXT(Table13[[#This Row],[Closing Date]],"yyyy")</f>
        <v>2024</v>
      </c>
      <c r="R487" s="5" t="str">
        <f>TEXT(Table13[[#This Row],[Closing Date]],"mmmm")</f>
        <v>March</v>
      </c>
      <c r="S487" s="5" t="s">
        <v>240</v>
      </c>
      <c r="T487" s="5" t="s">
        <v>301</v>
      </c>
    </row>
    <row r="488" spans="1:20" x14ac:dyDescent="0.25">
      <c r="A488" t="s">
        <v>201</v>
      </c>
      <c r="B488" t="s">
        <v>305</v>
      </c>
      <c r="C488" t="s">
        <v>16</v>
      </c>
      <c r="D488" t="s">
        <v>7</v>
      </c>
      <c r="E488" s="11">
        <v>45359</v>
      </c>
      <c r="F488" s="7">
        <v>45366</v>
      </c>
      <c r="G488" t="s">
        <v>252</v>
      </c>
      <c r="H488">
        <v>605</v>
      </c>
      <c r="I488" s="5">
        <v>101125.75</v>
      </c>
      <c r="J488" s="13">
        <v>1</v>
      </c>
      <c r="K488" s="5">
        <v>91158.05</v>
      </c>
      <c r="L488" s="5">
        <f>Table13[[#This Row],[Open Value]]/Table13[[#This Row],[Shares]]/Table13[[#This Row],[Multiplier]]</f>
        <v>167.15</v>
      </c>
      <c r="M488" s="5">
        <f>Table13[[#This Row],[Close Value]]/Table13[[#This Row],[Shares]]/Table13[[#This Row],[Multiplier]]</f>
        <v>150.67446280991737</v>
      </c>
      <c r="N488" s="5">
        <f>Table13[[#This Row],[Close Value]]-Table13[[#This Row],[Open Value]]</f>
        <v>-9967.6999999999971</v>
      </c>
      <c r="O488" s="3">
        <f>Table13[[#This Row],[PnL]]/Table13[[#This Row],[Open Value]]</f>
        <v>-9.856737774503524E-2</v>
      </c>
      <c r="P488" s="9">
        <f>N488+P487</f>
        <v>349461.50745813997</v>
      </c>
      <c r="Q488" s="5" t="str">
        <f>TEXT(Table13[[#This Row],[Closing Date]],"yyyy")</f>
        <v>2024</v>
      </c>
      <c r="R488" s="5" t="str">
        <f>TEXT(Table13[[#This Row],[Closing Date]],"mmmm")</f>
        <v>March</v>
      </c>
      <c r="S488" s="5" t="s">
        <v>240</v>
      </c>
      <c r="T488" s="5" t="s">
        <v>203</v>
      </c>
    </row>
    <row r="489" spans="1:20" x14ac:dyDescent="0.25">
      <c r="A489" t="s">
        <v>201</v>
      </c>
      <c r="B489" t="s">
        <v>303</v>
      </c>
      <c r="C489" t="s">
        <v>28</v>
      </c>
      <c r="D489" t="s">
        <v>7</v>
      </c>
      <c r="E489" s="5"/>
      <c r="F489" s="7">
        <v>45369</v>
      </c>
      <c r="G489" t="s">
        <v>246</v>
      </c>
      <c r="H489">
        <v>12000</v>
      </c>
      <c r="I489" s="5">
        <v>91524.3</v>
      </c>
      <c r="K489" s="5">
        <v>92757.27</v>
      </c>
      <c r="L489" s="5">
        <v>7.6270250000000006</v>
      </c>
      <c r="M489" s="5">
        <v>7.7297725000000002</v>
      </c>
      <c r="N489" s="5">
        <v>1232.9700000000012</v>
      </c>
      <c r="O489" s="3">
        <v>1.3471504289024895E-2</v>
      </c>
      <c r="P489" s="9">
        <f>N489+P488</f>
        <v>350694.47745814</v>
      </c>
      <c r="Q489" s="5" t="str">
        <f>TEXT(Table13[[#This Row],[Closing Date]],"yyyy")</f>
        <v>2024</v>
      </c>
      <c r="R489" s="5" t="str">
        <f>TEXT(Table13[[#This Row],[Closing Date]],"mmmm")</f>
        <v>March</v>
      </c>
      <c r="S489" s="5" t="s">
        <v>240</v>
      </c>
      <c r="T489" s="5" t="s">
        <v>301</v>
      </c>
    </row>
    <row r="490" spans="1:20" x14ac:dyDescent="0.25">
      <c r="A490" t="s">
        <v>201</v>
      </c>
      <c r="B490" t="s">
        <v>306</v>
      </c>
      <c r="C490" t="s">
        <v>16</v>
      </c>
      <c r="D490" t="s">
        <v>7</v>
      </c>
      <c r="E490" s="5"/>
      <c r="F490" s="7">
        <v>45370</v>
      </c>
      <c r="G490" t="s">
        <v>248</v>
      </c>
      <c r="H490">
        <v>300</v>
      </c>
      <c r="I490" s="5">
        <v>49200</v>
      </c>
      <c r="K490" s="5">
        <v>43996.1</v>
      </c>
      <c r="L490" s="5">
        <v>164</v>
      </c>
      <c r="M490" s="5">
        <v>146.65366666666665</v>
      </c>
      <c r="N490" s="5">
        <v>-5203.9000000000015</v>
      </c>
      <c r="O490" s="3">
        <v>-0.10577032520325207</v>
      </c>
      <c r="P490" s="9">
        <f>N490+P489</f>
        <v>345490.57745813997</v>
      </c>
      <c r="Q490" s="5" t="str">
        <f>TEXT(Table13[[#This Row],[Closing Date]],"yyyy")</f>
        <v>2024</v>
      </c>
      <c r="R490" s="5" t="str">
        <f>TEXT(Table13[[#This Row],[Closing Date]],"mmmm")</f>
        <v>March</v>
      </c>
      <c r="S490" s="5" t="s">
        <v>240</v>
      </c>
      <c r="T490" s="5" t="s">
        <v>301</v>
      </c>
    </row>
    <row r="491" spans="1:20" x14ac:dyDescent="0.25">
      <c r="A491" t="s">
        <v>201</v>
      </c>
      <c r="B491" t="s">
        <v>303</v>
      </c>
      <c r="C491" t="s">
        <v>16</v>
      </c>
      <c r="D491" t="s">
        <v>7</v>
      </c>
      <c r="E491" s="5"/>
      <c r="F491" s="7">
        <v>45370</v>
      </c>
      <c r="G491" t="s">
        <v>163</v>
      </c>
      <c r="H491">
        <v>4400</v>
      </c>
      <c r="I491" s="5">
        <v>108680</v>
      </c>
      <c r="K491" s="5">
        <v>101220.46</v>
      </c>
      <c r="L491" s="5">
        <v>24.7</v>
      </c>
      <c r="M491" s="5">
        <v>23.004650000000002</v>
      </c>
      <c r="N491" s="5">
        <v>-7459.5399999999936</v>
      </c>
      <c r="O491" s="3">
        <v>-6.8637651821862294E-2</v>
      </c>
      <c r="P491" s="9">
        <f>N491+P490</f>
        <v>338031.03745814</v>
      </c>
      <c r="Q491" s="5" t="str">
        <f>TEXT(Table13[[#This Row],[Closing Date]],"yyyy")</f>
        <v>2024</v>
      </c>
      <c r="R491" s="5" t="str">
        <f>TEXT(Table13[[#This Row],[Closing Date]],"mmmm")</f>
        <v>March</v>
      </c>
      <c r="S491" s="5" t="s">
        <v>240</v>
      </c>
      <c r="T491" s="5" t="s">
        <v>301</v>
      </c>
    </row>
    <row r="492" spans="1:20" x14ac:dyDescent="0.25">
      <c r="A492" t="s">
        <v>201</v>
      </c>
      <c r="B492" t="s">
        <v>303</v>
      </c>
      <c r="C492" t="s">
        <v>16</v>
      </c>
      <c r="D492" t="s">
        <v>7</v>
      </c>
      <c r="E492" s="5"/>
      <c r="F492" s="7">
        <v>45370</v>
      </c>
      <c r="G492" t="s">
        <v>218</v>
      </c>
      <c r="H492">
        <v>4500</v>
      </c>
      <c r="I492" s="5">
        <v>79681</v>
      </c>
      <c r="K492" s="5">
        <v>71778.11</v>
      </c>
      <c r="L492" s="5">
        <v>17.706888888888887</v>
      </c>
      <c r="M492" s="5">
        <v>15.95069111111111</v>
      </c>
      <c r="N492" s="5">
        <v>-7902.8899999999994</v>
      </c>
      <c r="O492" s="3">
        <v>-9.9181611676560283E-2</v>
      </c>
      <c r="P492" s="9">
        <f>N492+P491</f>
        <v>330128.14745813998</v>
      </c>
      <c r="Q492" s="5" t="str">
        <f>TEXT(Table13[[#This Row],[Closing Date]],"yyyy")</f>
        <v>2024</v>
      </c>
      <c r="R492" s="5" t="str">
        <f>TEXT(Table13[[#This Row],[Closing Date]],"mmmm")</f>
        <v>March</v>
      </c>
      <c r="S492" s="5" t="s">
        <v>240</v>
      </c>
      <c r="T492" s="5" t="s">
        <v>301</v>
      </c>
    </row>
    <row r="493" spans="1:20" x14ac:dyDescent="0.25">
      <c r="A493" t="s">
        <v>201</v>
      </c>
      <c r="B493" t="s">
        <v>303</v>
      </c>
      <c r="C493" t="s">
        <v>16</v>
      </c>
      <c r="D493" t="s">
        <v>7</v>
      </c>
      <c r="E493" s="5"/>
      <c r="F493" s="7">
        <v>45370</v>
      </c>
      <c r="G493" t="s">
        <v>142</v>
      </c>
      <c r="H493">
        <v>1500</v>
      </c>
      <c r="I493" s="5">
        <v>122752</v>
      </c>
      <c r="K493" s="5">
        <v>117060.94</v>
      </c>
      <c r="L493" s="5">
        <v>81.834666666666664</v>
      </c>
      <c r="M493" s="5">
        <v>78.040626666666668</v>
      </c>
      <c r="N493" s="5">
        <v>-5691.0599999999977</v>
      </c>
      <c r="O493" s="3">
        <v>-4.6362258863399355E-2</v>
      </c>
      <c r="P493" s="9">
        <f>N493+P492</f>
        <v>324437.08745813998</v>
      </c>
      <c r="Q493" s="5" t="str">
        <f>TEXT(Table13[[#This Row],[Closing Date]],"yyyy")</f>
        <v>2024</v>
      </c>
      <c r="R493" s="5" t="str">
        <f>TEXT(Table13[[#This Row],[Closing Date]],"mmmm")</f>
        <v>March</v>
      </c>
      <c r="S493" s="5" t="s">
        <v>240</v>
      </c>
      <c r="T493" s="5" t="s">
        <v>301</v>
      </c>
    </row>
    <row r="494" spans="1:20" x14ac:dyDescent="0.25">
      <c r="A494" t="s">
        <v>201</v>
      </c>
      <c r="B494" t="s">
        <v>303</v>
      </c>
      <c r="C494" t="s">
        <v>16</v>
      </c>
      <c r="D494" t="s">
        <v>7</v>
      </c>
      <c r="E494" s="5"/>
      <c r="F494" s="7">
        <v>45370</v>
      </c>
      <c r="G494" t="s">
        <v>157</v>
      </c>
      <c r="H494">
        <v>2000</v>
      </c>
      <c r="I494" s="5">
        <v>129910</v>
      </c>
      <c r="K494" s="5">
        <v>123590.43</v>
      </c>
      <c r="L494" s="5">
        <v>64.954999999999998</v>
      </c>
      <c r="M494" s="5">
        <v>61.795214999999999</v>
      </c>
      <c r="N494" s="5">
        <v>-6319.570000000007</v>
      </c>
      <c r="O494" s="3">
        <v>-4.864575475329079E-2</v>
      </c>
      <c r="P494" s="9">
        <f>N494+P493</f>
        <v>318117.51745813998</v>
      </c>
      <c r="Q494" s="5" t="str">
        <f>TEXT(Table13[[#This Row],[Closing Date]],"yyyy")</f>
        <v>2024</v>
      </c>
      <c r="R494" s="5" t="str">
        <f>TEXT(Table13[[#This Row],[Closing Date]],"mmmm")</f>
        <v>March</v>
      </c>
      <c r="S494" s="5" t="s">
        <v>240</v>
      </c>
      <c r="T494" s="5" t="s">
        <v>301</v>
      </c>
    </row>
    <row r="495" spans="1:20" x14ac:dyDescent="0.25">
      <c r="A495" t="s">
        <v>201</v>
      </c>
      <c r="B495" t="s">
        <v>303</v>
      </c>
      <c r="C495" t="s">
        <v>16</v>
      </c>
      <c r="D495" t="s">
        <v>7</v>
      </c>
      <c r="E495" s="5"/>
      <c r="F495" s="7">
        <v>45370</v>
      </c>
      <c r="G495" t="s">
        <v>153</v>
      </c>
      <c r="H495">
        <v>3600</v>
      </c>
      <c r="I495" s="5">
        <v>159602.29999999999</v>
      </c>
      <c r="K495" s="5">
        <v>141892.141</v>
      </c>
      <c r="L495" s="5">
        <v>44.333972222222222</v>
      </c>
      <c r="M495" s="5">
        <v>39.414483611111109</v>
      </c>
      <c r="N495" s="5">
        <v>-17710.158999999985</v>
      </c>
      <c r="O495" s="3">
        <v>-0.11096430941158107</v>
      </c>
      <c r="P495" s="9">
        <f>N495+P494</f>
        <v>300407.35845813999</v>
      </c>
      <c r="Q495" s="5" t="str">
        <f>TEXT(Table13[[#This Row],[Closing Date]],"yyyy")</f>
        <v>2024</v>
      </c>
      <c r="R495" s="5" t="str">
        <f>TEXT(Table13[[#This Row],[Closing Date]],"mmmm")</f>
        <v>March</v>
      </c>
      <c r="S495" s="5" t="s">
        <v>240</v>
      </c>
      <c r="T495" s="5" t="s">
        <v>301</v>
      </c>
    </row>
    <row r="496" spans="1:20" x14ac:dyDescent="0.25">
      <c r="A496" t="s">
        <v>201</v>
      </c>
      <c r="B496" t="s">
        <v>303</v>
      </c>
      <c r="C496" t="s">
        <v>16</v>
      </c>
      <c r="D496" t="s">
        <v>7</v>
      </c>
      <c r="E496" s="5"/>
      <c r="F496" s="7">
        <v>45371</v>
      </c>
      <c r="G496" t="s">
        <v>212</v>
      </c>
      <c r="H496">
        <v>11400</v>
      </c>
      <c r="I496" s="5">
        <v>99047.46</v>
      </c>
      <c r="K496" s="5">
        <v>85705</v>
      </c>
      <c r="L496" s="5">
        <v>8.6883736842105268</v>
      </c>
      <c r="M496" s="5">
        <v>7.5179824561403512</v>
      </c>
      <c r="N496" s="5">
        <v>-13342.460000000006</v>
      </c>
      <c r="O496" s="3">
        <v>-0.13470774515570622</v>
      </c>
      <c r="P496" s="9">
        <f>N496+P495</f>
        <v>287064.89845813997</v>
      </c>
      <c r="Q496" s="5" t="str">
        <f>TEXT(Table13[[#This Row],[Closing Date]],"yyyy")</f>
        <v>2024</v>
      </c>
      <c r="R496" s="5" t="str">
        <f>TEXT(Table13[[#This Row],[Closing Date]],"mmmm")</f>
        <v>March</v>
      </c>
      <c r="S496" s="5" t="s">
        <v>240</v>
      </c>
      <c r="T496" s="5" t="s">
        <v>301</v>
      </c>
    </row>
    <row r="497" spans="1:20" x14ac:dyDescent="0.25">
      <c r="A497" t="s">
        <v>197</v>
      </c>
      <c r="B497" t="s">
        <v>302</v>
      </c>
      <c r="C497" t="s">
        <v>99</v>
      </c>
      <c r="D497" t="s">
        <v>7</v>
      </c>
      <c r="E497" s="5"/>
      <c r="F497" s="7">
        <v>45371</v>
      </c>
      <c r="G497" t="s">
        <v>10</v>
      </c>
      <c r="H497">
        <v>60</v>
      </c>
      <c r="I497" s="5">
        <v>8460</v>
      </c>
      <c r="J497" s="13">
        <v>100</v>
      </c>
      <c r="K497" s="5">
        <v>7140</v>
      </c>
      <c r="L497" s="5">
        <v>1.41</v>
      </c>
      <c r="M497" s="5">
        <v>1.19</v>
      </c>
      <c r="N497" s="5">
        <v>-1320</v>
      </c>
      <c r="O497" s="3">
        <v>-0.15602836879432624</v>
      </c>
      <c r="P497" s="9">
        <f>N497+P496</f>
        <v>285744.89845813997</v>
      </c>
      <c r="Q497" s="5" t="str">
        <f>TEXT(Table13[[#This Row],[Closing Date]],"yyyy")</f>
        <v>2024</v>
      </c>
      <c r="R497" s="5" t="str">
        <f>TEXT(Table13[[#This Row],[Closing Date]],"mmmm")</f>
        <v>March</v>
      </c>
      <c r="S497" s="5" t="s">
        <v>240</v>
      </c>
      <c r="T497" s="5" t="s">
        <v>301</v>
      </c>
    </row>
    <row r="498" spans="1:20" x14ac:dyDescent="0.25">
      <c r="A498" t="s">
        <v>201</v>
      </c>
      <c r="B498" t="s">
        <v>303</v>
      </c>
      <c r="C498" t="s">
        <v>4</v>
      </c>
      <c r="D498" t="s">
        <v>7</v>
      </c>
      <c r="E498" s="5"/>
      <c r="F498" s="7">
        <v>45371</v>
      </c>
      <c r="G498" t="s">
        <v>71</v>
      </c>
      <c r="H498">
        <v>2000000</v>
      </c>
      <c r="I498" s="5">
        <v>52747473.460000001</v>
      </c>
      <c r="K498" s="5">
        <v>0</v>
      </c>
      <c r="L498" s="5">
        <v>26.373736730000001</v>
      </c>
      <c r="M498" s="5"/>
      <c r="N498" s="5">
        <v>37014</v>
      </c>
      <c r="O498" s="3">
        <v>2.5000000000000001E-2</v>
      </c>
      <c r="P498" s="9">
        <f>N498+P497</f>
        <v>322758.89845813997</v>
      </c>
      <c r="Q498" s="5" t="str">
        <f>TEXT(Table13[[#This Row],[Closing Date]],"yyyy")</f>
        <v>2024</v>
      </c>
      <c r="R498" s="5" t="str">
        <f>TEXT(Table13[[#This Row],[Closing Date]],"mmmm")</f>
        <v>March</v>
      </c>
      <c r="S498" s="5" t="s">
        <v>240</v>
      </c>
      <c r="T498" s="5" t="s">
        <v>301</v>
      </c>
    </row>
    <row r="499" spans="1:20" x14ac:dyDescent="0.25">
      <c r="A499" t="s">
        <v>201</v>
      </c>
      <c r="B499" t="s">
        <v>306</v>
      </c>
      <c r="C499" t="s">
        <v>4</v>
      </c>
      <c r="D499" t="s">
        <v>7</v>
      </c>
      <c r="E499" s="5"/>
      <c r="F499" s="7">
        <v>45371</v>
      </c>
      <c r="G499" t="s">
        <v>79</v>
      </c>
      <c r="H499">
        <v>450000</v>
      </c>
      <c r="I499" s="5">
        <v>75714016.680000007</v>
      </c>
      <c r="K499" s="5">
        <v>25513590.16</v>
      </c>
      <c r="L499" s="5">
        <v>168.25337040000002</v>
      </c>
      <c r="M499" s="5">
        <v>170.09060106666666</v>
      </c>
      <c r="N499" s="5">
        <v>4289</v>
      </c>
      <c r="O499" s="3">
        <v>2.8593333333333335E-2</v>
      </c>
      <c r="P499" s="9">
        <f>N499+P498</f>
        <v>327047.89845813997</v>
      </c>
      <c r="Q499" s="5" t="str">
        <f>TEXT(Table13[[#This Row],[Closing Date]],"yyyy")</f>
        <v>2024</v>
      </c>
      <c r="R499" s="5" t="str">
        <f>TEXT(Table13[[#This Row],[Closing Date]],"mmmm")</f>
        <v>March</v>
      </c>
      <c r="S499" s="5" t="s">
        <v>240</v>
      </c>
      <c r="T499" s="5" t="s">
        <v>301</v>
      </c>
    </row>
    <row r="500" spans="1:20" x14ac:dyDescent="0.25">
      <c r="A500" t="s">
        <v>201</v>
      </c>
      <c r="B500" t="s">
        <v>303</v>
      </c>
      <c r="C500" t="s">
        <v>12</v>
      </c>
      <c r="D500" t="s">
        <v>5</v>
      </c>
      <c r="E500" s="5"/>
      <c r="F500" s="7">
        <v>45371</v>
      </c>
      <c r="G500" t="s">
        <v>267</v>
      </c>
      <c r="H500">
        <v>10</v>
      </c>
      <c r="I500" s="5">
        <v>2403603.7999999998</v>
      </c>
      <c r="K500" s="5">
        <v>2391875.2199999997</v>
      </c>
      <c r="L500" s="5">
        <v>96.144151999999991</v>
      </c>
      <c r="M500" s="5">
        <v>95.675008799999986</v>
      </c>
      <c r="N500" s="5">
        <v>11728.580000000075</v>
      </c>
      <c r="O500" s="3">
        <v>4.8795812354765272E-3</v>
      </c>
      <c r="P500" s="9">
        <f>N500+P499</f>
        <v>338776.47845814005</v>
      </c>
      <c r="Q500" s="5" t="str">
        <f>TEXT(Table13[[#This Row],[Closing Date]],"yyyy")</f>
        <v>2024</v>
      </c>
      <c r="R500" s="5" t="str">
        <f>TEXT(Table13[[#This Row],[Closing Date]],"mmmm")</f>
        <v>March</v>
      </c>
      <c r="S500" s="5" t="s">
        <v>240</v>
      </c>
      <c r="T500" s="5" t="s">
        <v>301</v>
      </c>
    </row>
    <row r="501" spans="1:20" x14ac:dyDescent="0.25">
      <c r="A501" t="s">
        <v>197</v>
      </c>
      <c r="B501" t="s">
        <v>302</v>
      </c>
      <c r="C501" t="s">
        <v>102</v>
      </c>
      <c r="D501" t="s">
        <v>7</v>
      </c>
      <c r="E501" s="5"/>
      <c r="F501" s="7">
        <v>45372</v>
      </c>
      <c r="G501" t="s">
        <v>251</v>
      </c>
      <c r="H501">
        <v>10</v>
      </c>
      <c r="I501" s="5">
        <v>7850</v>
      </c>
      <c r="J501" s="13">
        <v>100</v>
      </c>
      <c r="K501" s="5">
        <v>6295</v>
      </c>
      <c r="L501" s="5">
        <v>7.85</v>
      </c>
      <c r="M501" s="5">
        <v>12.59</v>
      </c>
      <c r="N501" s="5">
        <v>-1555</v>
      </c>
      <c r="O501" s="3">
        <v>0.6038216560509555</v>
      </c>
      <c r="P501" s="9">
        <f>N501+P500</f>
        <v>337221.47845814005</v>
      </c>
      <c r="Q501" s="5" t="str">
        <f>TEXT(Table13[[#This Row],[Closing Date]],"yyyy")</f>
        <v>2024</v>
      </c>
      <c r="R501" s="5" t="str">
        <f>TEXT(Table13[[#This Row],[Closing Date]],"mmmm")</f>
        <v>March</v>
      </c>
      <c r="S501" s="5" t="s">
        <v>240</v>
      </c>
      <c r="T501" s="5" t="s">
        <v>301</v>
      </c>
    </row>
    <row r="502" spans="1:20" x14ac:dyDescent="0.25">
      <c r="A502" t="s">
        <v>197</v>
      </c>
      <c r="B502" t="s">
        <v>302</v>
      </c>
      <c r="C502" t="s">
        <v>102</v>
      </c>
      <c r="D502" t="s">
        <v>7</v>
      </c>
      <c r="E502" s="5"/>
      <c r="F502" s="7">
        <v>45372</v>
      </c>
      <c r="G502" t="s">
        <v>264</v>
      </c>
      <c r="H502">
        <v>100</v>
      </c>
      <c r="I502" s="5">
        <v>9981.49</v>
      </c>
      <c r="J502" s="13">
        <v>100</v>
      </c>
      <c r="K502" s="5">
        <v>5954.99</v>
      </c>
      <c r="L502" s="5">
        <v>0.99814899999999995</v>
      </c>
      <c r="M502" s="5">
        <v>0.595499</v>
      </c>
      <c r="N502" s="5">
        <v>-4026.5</v>
      </c>
      <c r="O502" s="3">
        <v>-0.40339668726813327</v>
      </c>
      <c r="P502" s="9">
        <f>N502+P501</f>
        <v>333194.97845814005</v>
      </c>
      <c r="Q502" s="5" t="str">
        <f>TEXT(Table13[[#This Row],[Closing Date]],"yyyy")</f>
        <v>2024</v>
      </c>
      <c r="R502" s="5" t="str">
        <f>TEXT(Table13[[#This Row],[Closing Date]],"mmmm")</f>
        <v>March</v>
      </c>
      <c r="S502" s="5" t="s">
        <v>240</v>
      </c>
      <c r="T502" s="5" t="s">
        <v>301</v>
      </c>
    </row>
    <row r="503" spans="1:20" x14ac:dyDescent="0.25">
      <c r="A503" t="s">
        <v>197</v>
      </c>
      <c r="B503" t="s">
        <v>302</v>
      </c>
      <c r="C503" t="s">
        <v>102</v>
      </c>
      <c r="D503" t="s">
        <v>7</v>
      </c>
      <c r="E503" s="5"/>
      <c r="F503" s="7">
        <v>45372</v>
      </c>
      <c r="G503" t="s">
        <v>251</v>
      </c>
      <c r="H503">
        <v>10</v>
      </c>
      <c r="I503" s="5">
        <v>7850</v>
      </c>
      <c r="J503" s="13">
        <v>100</v>
      </c>
      <c r="K503" s="5">
        <v>6295</v>
      </c>
      <c r="L503" s="5">
        <v>7.85</v>
      </c>
      <c r="M503" s="5">
        <v>12.59</v>
      </c>
      <c r="N503" s="5">
        <v>-1555</v>
      </c>
      <c r="O503" s="3">
        <v>0.6038216560509555</v>
      </c>
      <c r="P503" s="9">
        <f>N503+P502</f>
        <v>331639.97845814005</v>
      </c>
      <c r="Q503" s="5" t="str">
        <f>TEXT(Table13[[#This Row],[Closing Date]],"yyyy")</f>
        <v>2024</v>
      </c>
      <c r="R503" s="5" t="str">
        <f>TEXT(Table13[[#This Row],[Closing Date]],"mmmm")</f>
        <v>March</v>
      </c>
      <c r="S503" s="5" t="s">
        <v>240</v>
      </c>
      <c r="T503" s="5" t="s">
        <v>301</v>
      </c>
    </row>
    <row r="504" spans="1:20" x14ac:dyDescent="0.25">
      <c r="A504" t="s">
        <v>201</v>
      </c>
      <c r="B504" t="s">
        <v>302</v>
      </c>
      <c r="C504" t="s">
        <v>12</v>
      </c>
      <c r="D504" t="s">
        <v>7</v>
      </c>
      <c r="E504" s="5"/>
      <c r="F504" s="7">
        <v>45372</v>
      </c>
      <c r="G504" t="s">
        <v>92</v>
      </c>
      <c r="H504">
        <v>3</v>
      </c>
      <c r="I504" s="5">
        <v>654304.93999999994</v>
      </c>
      <c r="K504" s="5">
        <v>651435.06000000006</v>
      </c>
      <c r="L504" s="5">
        <v>2177.7247000000002</v>
      </c>
      <c r="M504" s="5">
        <v>13028.701200000001</v>
      </c>
      <c r="N504" s="5">
        <v>-2869.8799999998882</v>
      </c>
      <c r="O504" s="3">
        <v>-4.3861505921075402E-3</v>
      </c>
      <c r="P504" s="9">
        <f>N504+P503</f>
        <v>328770.09845814016</v>
      </c>
      <c r="Q504" s="5" t="str">
        <f>TEXT(Table13[[#This Row],[Closing Date]],"yyyy")</f>
        <v>2024</v>
      </c>
      <c r="R504" s="5" t="str">
        <f>TEXT(Table13[[#This Row],[Closing Date]],"mmmm")</f>
        <v>March</v>
      </c>
      <c r="S504" s="5" t="s">
        <v>240</v>
      </c>
      <c r="T504" s="5" t="s">
        <v>301</v>
      </c>
    </row>
    <row r="505" spans="1:20" x14ac:dyDescent="0.25">
      <c r="A505" t="s">
        <v>197</v>
      </c>
      <c r="B505" t="s">
        <v>303</v>
      </c>
      <c r="C505" t="s">
        <v>102</v>
      </c>
      <c r="D505" t="s">
        <v>7</v>
      </c>
      <c r="E505" s="5"/>
      <c r="F505" s="7">
        <v>45373</v>
      </c>
      <c r="G505" t="s">
        <v>153</v>
      </c>
      <c r="H505">
        <v>20</v>
      </c>
      <c r="I505" s="5">
        <v>4948.9399999999996</v>
      </c>
      <c r="J505" s="13">
        <v>100</v>
      </c>
      <c r="K505" s="5">
        <v>3562.98</v>
      </c>
      <c r="L505" s="5">
        <v>2.4744699999999997</v>
      </c>
      <c r="M505" s="5">
        <v>1.78149</v>
      </c>
      <c r="N505" s="5">
        <v>-1385.9599999999996</v>
      </c>
      <c r="O505" s="3">
        <v>-0.28005188989965518</v>
      </c>
      <c r="P505" s="9">
        <f>N505+P504</f>
        <v>327384.13845814014</v>
      </c>
      <c r="Q505" s="5" t="str">
        <f>TEXT(Table13[[#This Row],[Closing Date]],"yyyy")</f>
        <v>2024</v>
      </c>
      <c r="R505" s="5" t="str">
        <f>TEXT(Table13[[#This Row],[Closing Date]],"mmmm")</f>
        <v>March</v>
      </c>
      <c r="S505" s="5" t="s">
        <v>240</v>
      </c>
      <c r="T505" s="5" t="s">
        <v>301</v>
      </c>
    </row>
    <row r="506" spans="1:20" x14ac:dyDescent="0.25">
      <c r="A506" t="s">
        <v>197</v>
      </c>
      <c r="B506" t="s">
        <v>303</v>
      </c>
      <c r="C506" t="s">
        <v>102</v>
      </c>
      <c r="D506" t="s">
        <v>7</v>
      </c>
      <c r="E506" s="5"/>
      <c r="F506" s="7">
        <v>45373</v>
      </c>
      <c r="G506" t="s">
        <v>153</v>
      </c>
      <c r="H506">
        <v>18</v>
      </c>
      <c r="I506" s="5">
        <v>2978.04</v>
      </c>
      <c r="J506" s="13">
        <v>100</v>
      </c>
      <c r="K506" s="5">
        <v>11537.32</v>
      </c>
      <c r="L506" s="5">
        <v>1.6544666666666665</v>
      </c>
      <c r="M506" s="5">
        <v>6.4096222222222217</v>
      </c>
      <c r="N506" s="5">
        <v>8559.2799999999988</v>
      </c>
      <c r="O506" s="3">
        <v>2.8741319794227076</v>
      </c>
      <c r="P506" s="9">
        <f>N506+P505</f>
        <v>335943.41845814011</v>
      </c>
      <c r="Q506" s="5" t="str">
        <f>TEXT(Table13[[#This Row],[Closing Date]],"yyyy")</f>
        <v>2024</v>
      </c>
      <c r="R506" s="5" t="str">
        <f>TEXT(Table13[[#This Row],[Closing Date]],"mmmm")</f>
        <v>March</v>
      </c>
      <c r="S506" s="5" t="s">
        <v>240</v>
      </c>
      <c r="T506" s="5" t="s">
        <v>301</v>
      </c>
    </row>
    <row r="507" spans="1:20" x14ac:dyDescent="0.25">
      <c r="A507" t="s">
        <v>201</v>
      </c>
      <c r="B507" t="s">
        <v>305</v>
      </c>
      <c r="C507" t="s">
        <v>28</v>
      </c>
      <c r="D507" t="s">
        <v>7</v>
      </c>
      <c r="E507" s="5"/>
      <c r="F507" s="7">
        <v>45375</v>
      </c>
      <c r="G507" t="s">
        <v>130</v>
      </c>
      <c r="H507">
        <v>10000</v>
      </c>
      <c r="I507" s="5">
        <v>73446.490000000005</v>
      </c>
      <c r="K507" s="5">
        <v>62825.04</v>
      </c>
      <c r="L507" s="5">
        <v>7.3446490000000004</v>
      </c>
      <c r="M507" s="5">
        <v>6.2825040000000003</v>
      </c>
      <c r="N507" s="5">
        <v>-10621.450000000004</v>
      </c>
      <c r="O507" s="3">
        <v>-0.14461480732435278</v>
      </c>
      <c r="P507" s="9">
        <f>N507+P506</f>
        <v>325321.96845814009</v>
      </c>
      <c r="Q507" s="5" t="str">
        <f>TEXT(Table13[[#This Row],[Closing Date]],"yyyy")</f>
        <v>2024</v>
      </c>
      <c r="R507" s="5" t="str">
        <f>TEXT(Table13[[#This Row],[Closing Date]],"mmmm")</f>
        <v>March</v>
      </c>
      <c r="S507" s="5" t="s">
        <v>240</v>
      </c>
      <c r="T507" s="5" t="s">
        <v>301</v>
      </c>
    </row>
    <row r="508" spans="1:20" x14ac:dyDescent="0.25">
      <c r="A508" t="s">
        <v>201</v>
      </c>
      <c r="B508" t="s">
        <v>302</v>
      </c>
      <c r="C508" t="s">
        <v>16</v>
      </c>
      <c r="D508" t="s">
        <v>7</v>
      </c>
      <c r="E508" s="5"/>
      <c r="F508" s="7">
        <v>45376</v>
      </c>
      <c r="G508" t="s">
        <v>139</v>
      </c>
      <c r="H508">
        <v>1000</v>
      </c>
      <c r="I508" s="5">
        <v>114025</v>
      </c>
      <c r="K508" s="5">
        <v>113040.49</v>
      </c>
      <c r="L508" s="5">
        <v>114.02500000000001</v>
      </c>
      <c r="M508" s="5">
        <v>113.04049000000001</v>
      </c>
      <c r="N508" s="5">
        <v>-984.50999999999476</v>
      </c>
      <c r="O508" s="3">
        <v>-8.6341591756193357E-3</v>
      </c>
      <c r="P508" s="9">
        <f>N508+P507</f>
        <v>324337.45845814008</v>
      </c>
      <c r="Q508" s="5" t="str">
        <f>TEXT(Table13[[#This Row],[Closing Date]],"yyyy")</f>
        <v>2024</v>
      </c>
      <c r="R508" s="5" t="str">
        <f>TEXT(Table13[[#This Row],[Closing Date]],"mmmm")</f>
        <v>March</v>
      </c>
      <c r="S508" s="5" t="s">
        <v>240</v>
      </c>
      <c r="T508" s="5" t="s">
        <v>301</v>
      </c>
    </row>
    <row r="509" spans="1:20" x14ac:dyDescent="0.25">
      <c r="A509" t="s">
        <v>197</v>
      </c>
      <c r="B509" t="s">
        <v>303</v>
      </c>
      <c r="C509" t="s">
        <v>102</v>
      </c>
      <c r="D509" t="s">
        <v>7</v>
      </c>
      <c r="E509" s="5"/>
      <c r="F509" s="7">
        <v>45376</v>
      </c>
      <c r="G509" t="s">
        <v>217</v>
      </c>
      <c r="H509">
        <v>5</v>
      </c>
      <c r="I509" s="5">
        <v>4928.43</v>
      </c>
      <c r="J509" s="13">
        <v>100</v>
      </c>
      <c r="K509" s="5">
        <v>0</v>
      </c>
      <c r="L509" s="5">
        <v>9.8568600000000011</v>
      </c>
      <c r="M509" s="5">
        <v>0</v>
      </c>
      <c r="N509" s="5">
        <v>-4928.43</v>
      </c>
      <c r="O509" s="3">
        <v>-1</v>
      </c>
      <c r="P509" s="9">
        <f>N509+P508</f>
        <v>319409.02845814009</v>
      </c>
      <c r="Q509" s="5" t="str">
        <f>TEXT(Table13[[#This Row],[Closing Date]],"yyyy")</f>
        <v>2024</v>
      </c>
      <c r="R509" s="5" t="str">
        <f>TEXT(Table13[[#This Row],[Closing Date]],"mmmm")</f>
        <v>March</v>
      </c>
      <c r="S509" s="5" t="s">
        <v>240</v>
      </c>
      <c r="T509" s="5" t="s">
        <v>301</v>
      </c>
    </row>
    <row r="510" spans="1:20" x14ac:dyDescent="0.25">
      <c r="A510" t="s">
        <v>197</v>
      </c>
      <c r="B510" t="s">
        <v>305</v>
      </c>
      <c r="C510" t="s">
        <v>99</v>
      </c>
      <c r="D510" t="s">
        <v>7</v>
      </c>
      <c r="E510" s="11">
        <v>45328</v>
      </c>
      <c r="F510" s="7">
        <v>45376</v>
      </c>
      <c r="G510" t="s">
        <v>299</v>
      </c>
      <c r="H510">
        <v>310</v>
      </c>
      <c r="I510" s="5">
        <v>29980</v>
      </c>
      <c r="J510" s="13">
        <v>100</v>
      </c>
      <c r="K510" s="5">
        <v>0</v>
      </c>
      <c r="L510" s="5">
        <f>Table13[[#This Row],[Open Value]]/Table13[[#This Row],[Shares]]/Table13[[#This Row],[Multiplier]]</f>
        <v>0.96709677419354834</v>
      </c>
      <c r="M510" s="5">
        <f>Table13[[#This Row],[Close Value]]/Table13[[#This Row],[Shares]]/Table13[[#This Row],[Multiplier]]</f>
        <v>0</v>
      </c>
      <c r="N510" s="5">
        <f>Table13[[#This Row],[Close Value]]-Table13[[#This Row],[Open Value]]</f>
        <v>-29980</v>
      </c>
      <c r="O510" s="3">
        <f>Table13[[#This Row],[PnL]]/Table13[[#This Row],[Open Value]]</f>
        <v>-1</v>
      </c>
      <c r="P510" s="9">
        <f>N510+P509</f>
        <v>289429.02845814009</v>
      </c>
      <c r="Q510" s="5" t="str">
        <f>TEXT(Table13[[#This Row],[Closing Date]],"yyyy")</f>
        <v>2024</v>
      </c>
      <c r="R510" s="5" t="str">
        <f>TEXT(Table13[[#This Row],[Closing Date]],"mmmm")</f>
        <v>March</v>
      </c>
      <c r="S510" s="5" t="s">
        <v>240</v>
      </c>
      <c r="T510" s="5" t="s">
        <v>203</v>
      </c>
    </row>
    <row r="511" spans="1:20" x14ac:dyDescent="0.25">
      <c r="A511" t="s">
        <v>197</v>
      </c>
      <c r="B511" t="s">
        <v>306</v>
      </c>
      <c r="C511" t="s">
        <v>99</v>
      </c>
      <c r="D511" t="s">
        <v>7</v>
      </c>
      <c r="E511" s="11">
        <v>45328</v>
      </c>
      <c r="F511" s="7">
        <v>45376</v>
      </c>
      <c r="G511" t="s">
        <v>299</v>
      </c>
      <c r="H511">
        <v>310</v>
      </c>
      <c r="I511" s="5">
        <v>19990</v>
      </c>
      <c r="J511" s="13">
        <v>100</v>
      </c>
      <c r="K511" s="5">
        <v>0</v>
      </c>
      <c r="L511" s="5">
        <f>Table13[[#This Row],[Open Value]]/Table13[[#This Row],[Shares]]/Table13[[#This Row],[Multiplier]]</f>
        <v>0.64483870967741941</v>
      </c>
      <c r="M511" s="5">
        <f>Table13[[#This Row],[Close Value]]/Table13[[#This Row],[Shares]]/Table13[[#This Row],[Multiplier]]</f>
        <v>0</v>
      </c>
      <c r="N511" s="5">
        <f>Table13[[#This Row],[Close Value]]-Table13[[#This Row],[Open Value]]</f>
        <v>-19990</v>
      </c>
      <c r="O511" s="3">
        <f>Table13[[#This Row],[PnL]]/Table13[[#This Row],[Open Value]]</f>
        <v>-1</v>
      </c>
      <c r="P511" s="9">
        <f>N511+P510</f>
        <v>269439.02845814009</v>
      </c>
      <c r="Q511" s="5" t="str">
        <f>TEXT(Table13[[#This Row],[Closing Date]],"yyyy")</f>
        <v>2024</v>
      </c>
      <c r="R511" s="5" t="str">
        <f>TEXT(Table13[[#This Row],[Closing Date]],"mmmm")</f>
        <v>March</v>
      </c>
      <c r="S511" s="5" t="s">
        <v>240</v>
      </c>
      <c r="T511" s="5" t="s">
        <v>203</v>
      </c>
    </row>
    <row r="512" spans="1:20" x14ac:dyDescent="0.25">
      <c r="A512" t="s">
        <v>201</v>
      </c>
      <c r="B512" t="s">
        <v>303</v>
      </c>
      <c r="C512" t="s">
        <v>16</v>
      </c>
      <c r="D512" t="s">
        <v>7</v>
      </c>
      <c r="E512" s="5"/>
      <c r="F512" s="7">
        <v>45377</v>
      </c>
      <c r="G512" t="s">
        <v>11</v>
      </c>
      <c r="H512">
        <v>230</v>
      </c>
      <c r="I512" s="5">
        <v>205463.6</v>
      </c>
      <c r="K512" s="5">
        <v>208303.55</v>
      </c>
      <c r="L512" s="5">
        <v>893.32</v>
      </c>
      <c r="M512" s="5">
        <v>905.66760869565212</v>
      </c>
      <c r="N512" s="5">
        <v>2839.9499999999825</v>
      </c>
      <c r="O512" s="3">
        <v>1.3822156333287173E-2</v>
      </c>
      <c r="P512" s="9">
        <f>N512+P511</f>
        <v>272278.97845814005</v>
      </c>
      <c r="Q512" s="5" t="str">
        <f>TEXT(Table13[[#This Row],[Closing Date]],"yyyy")</f>
        <v>2024</v>
      </c>
      <c r="R512" s="5" t="str">
        <f>TEXT(Table13[[#This Row],[Closing Date]],"mmmm")</f>
        <v>March</v>
      </c>
      <c r="S512" s="5" t="s">
        <v>240</v>
      </c>
      <c r="T512" s="5" t="s">
        <v>301</v>
      </c>
    </row>
    <row r="513" spans="1:20" x14ac:dyDescent="0.25">
      <c r="A513" t="s">
        <v>201</v>
      </c>
      <c r="B513" t="s">
        <v>303</v>
      </c>
      <c r="C513" t="s">
        <v>16</v>
      </c>
      <c r="D513" t="s">
        <v>7</v>
      </c>
      <c r="E513" s="5"/>
      <c r="F513" s="7">
        <v>45378</v>
      </c>
      <c r="G513" t="s">
        <v>153</v>
      </c>
      <c r="H513">
        <v>3300</v>
      </c>
      <c r="I513" s="5">
        <v>155139.6</v>
      </c>
      <c r="K513" s="5">
        <v>146539.98000000001</v>
      </c>
      <c r="L513" s="5">
        <v>47.012</v>
      </c>
      <c r="M513" s="5">
        <v>44.406054545454552</v>
      </c>
      <c r="N513" s="5">
        <v>-8599.6199999999953</v>
      </c>
      <c r="O513" s="3">
        <v>-5.5431495246861501E-2</v>
      </c>
      <c r="P513" s="9">
        <f>N513+P512</f>
        <v>263679.35845814005</v>
      </c>
      <c r="Q513" s="5" t="str">
        <f>TEXT(Table13[[#This Row],[Closing Date]],"yyyy")</f>
        <v>2024</v>
      </c>
      <c r="R513" s="5" t="str">
        <f>TEXT(Table13[[#This Row],[Closing Date]],"mmmm")</f>
        <v>March</v>
      </c>
      <c r="S513" s="5" t="s">
        <v>240</v>
      </c>
      <c r="T513" s="5" t="s">
        <v>301</v>
      </c>
    </row>
    <row r="514" spans="1:20" x14ac:dyDescent="0.25">
      <c r="A514" t="s">
        <v>201</v>
      </c>
      <c r="B514" t="s">
        <v>305</v>
      </c>
      <c r="C514" t="s">
        <v>16</v>
      </c>
      <c r="D514" t="s">
        <v>7</v>
      </c>
      <c r="E514" s="5"/>
      <c r="F514" s="7">
        <v>45379</v>
      </c>
      <c r="G514" t="s">
        <v>146</v>
      </c>
      <c r="H514">
        <v>2500</v>
      </c>
      <c r="I514" s="5">
        <v>161975</v>
      </c>
      <c r="K514" s="5">
        <v>177295.45</v>
      </c>
      <c r="L514" s="5">
        <v>64.790000000000006</v>
      </c>
      <c r="M514" s="5">
        <v>70.918180000000007</v>
      </c>
      <c r="N514" s="5">
        <v>15320.450000000012</v>
      </c>
      <c r="O514" s="3">
        <v>9.4585275505479308E-2</v>
      </c>
      <c r="P514" s="9">
        <f>N514+P513</f>
        <v>278999.80845814006</v>
      </c>
      <c r="Q514" s="5" t="str">
        <f>TEXT(Table13[[#This Row],[Closing Date]],"yyyy")</f>
        <v>2024</v>
      </c>
      <c r="R514" s="5" t="str">
        <f>TEXT(Table13[[#This Row],[Closing Date]],"mmmm")</f>
        <v>March</v>
      </c>
      <c r="S514" s="5" t="s">
        <v>240</v>
      </c>
      <c r="T514" s="5" t="s">
        <v>301</v>
      </c>
    </row>
    <row r="515" spans="1:20" x14ac:dyDescent="0.25">
      <c r="A515" t="s">
        <v>201</v>
      </c>
      <c r="B515" t="s">
        <v>303</v>
      </c>
      <c r="C515" t="s">
        <v>16</v>
      </c>
      <c r="D515" t="s">
        <v>7</v>
      </c>
      <c r="E515" s="5"/>
      <c r="F515" s="7">
        <v>45379</v>
      </c>
      <c r="G515" t="s">
        <v>206</v>
      </c>
      <c r="H515">
        <v>900</v>
      </c>
      <c r="I515" s="5">
        <v>160677.56</v>
      </c>
      <c r="K515" s="5">
        <v>162144</v>
      </c>
      <c r="L515" s="5">
        <v>178.53062222222221</v>
      </c>
      <c r="M515" s="5">
        <v>180.16</v>
      </c>
      <c r="N515" s="5">
        <v>1466.4400000000023</v>
      </c>
      <c r="O515" s="3">
        <v>9.1266011258821847E-3</v>
      </c>
      <c r="P515" s="9">
        <f>N515+P514</f>
        <v>280466.24845814006</v>
      </c>
      <c r="Q515" s="5" t="str">
        <f>TEXT(Table13[[#This Row],[Closing Date]],"yyyy")</f>
        <v>2024</v>
      </c>
      <c r="R515" s="5" t="str">
        <f>TEXT(Table13[[#This Row],[Closing Date]],"mmmm")</f>
        <v>March</v>
      </c>
      <c r="S515" s="5" t="s">
        <v>240</v>
      </c>
      <c r="T515" s="5" t="s">
        <v>301</v>
      </c>
    </row>
    <row r="516" spans="1:20" x14ac:dyDescent="0.25">
      <c r="A516" t="s">
        <v>201</v>
      </c>
      <c r="B516" t="s">
        <v>303</v>
      </c>
      <c r="C516" t="s">
        <v>16</v>
      </c>
      <c r="D516" t="s">
        <v>7</v>
      </c>
      <c r="E516" s="5"/>
      <c r="F516" s="7">
        <v>45379</v>
      </c>
      <c r="G516" t="s">
        <v>157</v>
      </c>
      <c r="H516">
        <v>1400</v>
      </c>
      <c r="I516" s="5">
        <v>90129.5</v>
      </c>
      <c r="K516" s="5">
        <v>86282.62</v>
      </c>
      <c r="L516" s="5">
        <v>64.378214285714279</v>
      </c>
      <c r="M516" s="5">
        <v>61.630442857142853</v>
      </c>
      <c r="N516" s="5">
        <v>-3846.8800000000047</v>
      </c>
      <c r="O516" s="3">
        <v>-4.2681696891694779E-2</v>
      </c>
      <c r="P516" s="9">
        <f>N516+P515</f>
        <v>276619.36845814006</v>
      </c>
      <c r="Q516" s="5" t="str">
        <f>TEXT(Table13[[#This Row],[Closing Date]],"yyyy")</f>
        <v>2024</v>
      </c>
      <c r="R516" s="5" t="str">
        <f>TEXT(Table13[[#This Row],[Closing Date]],"mmmm")</f>
        <v>March</v>
      </c>
      <c r="S516" s="5" t="s">
        <v>240</v>
      </c>
      <c r="T516" s="5" t="s">
        <v>301</v>
      </c>
    </row>
    <row r="517" spans="1:20" x14ac:dyDescent="0.25">
      <c r="A517" t="s">
        <v>201</v>
      </c>
      <c r="B517" t="s">
        <v>306</v>
      </c>
      <c r="C517" t="s">
        <v>16</v>
      </c>
      <c r="D517" t="s">
        <v>7</v>
      </c>
      <c r="E517" s="5"/>
      <c r="F517" s="7">
        <v>45383</v>
      </c>
      <c r="G517" t="s">
        <v>251</v>
      </c>
      <c r="H517">
        <v>500</v>
      </c>
      <c r="I517" s="5">
        <v>386250</v>
      </c>
      <c r="K517" s="5">
        <v>378425</v>
      </c>
      <c r="L517" s="5">
        <v>772.5</v>
      </c>
      <c r="M517" s="5">
        <v>756.85</v>
      </c>
      <c r="N517" s="5">
        <v>-7825</v>
      </c>
      <c r="O517" s="3">
        <v>-2.0258899676375404E-2</v>
      </c>
      <c r="P517" s="9">
        <f>N517+P516</f>
        <v>268794.36845814006</v>
      </c>
      <c r="Q517" s="5" t="str">
        <f>TEXT(Table13[[#This Row],[Closing Date]],"yyyy")</f>
        <v>2024</v>
      </c>
      <c r="R517" s="5" t="str">
        <f>TEXT(Table13[[#This Row],[Closing Date]],"mmmm")</f>
        <v>April</v>
      </c>
      <c r="S517" s="5" t="s">
        <v>240</v>
      </c>
      <c r="T517" s="5" t="s">
        <v>301</v>
      </c>
    </row>
    <row r="518" spans="1:20" x14ac:dyDescent="0.25">
      <c r="A518" t="s">
        <v>201</v>
      </c>
      <c r="B518" t="s">
        <v>306</v>
      </c>
      <c r="C518" t="s">
        <v>12</v>
      </c>
      <c r="D518" t="s">
        <v>5</v>
      </c>
      <c r="E518" s="5"/>
      <c r="F518" s="7">
        <v>45383</v>
      </c>
      <c r="G518" t="s">
        <v>81</v>
      </c>
      <c r="H518">
        <v>1</v>
      </c>
      <c r="I518" s="5">
        <v>94827.03</v>
      </c>
      <c r="K518" s="5">
        <v>100832.97</v>
      </c>
      <c r="L518" s="5">
        <v>9482.7029999999995</v>
      </c>
      <c r="M518" s="5">
        <v>100.83297</v>
      </c>
      <c r="N518" s="5">
        <v>-6005.9400000000023</v>
      </c>
      <c r="O518" s="3">
        <v>-6.3335738765624136E-2</v>
      </c>
      <c r="P518" s="9">
        <f>N518+P517</f>
        <v>262788.42845814006</v>
      </c>
      <c r="Q518" s="5" t="str">
        <f>TEXT(Table13[[#This Row],[Closing Date]],"yyyy")</f>
        <v>2024</v>
      </c>
      <c r="R518" s="5" t="str">
        <f>TEXT(Table13[[#This Row],[Closing Date]],"mmmm")</f>
        <v>April</v>
      </c>
      <c r="S518" s="5" t="s">
        <v>240</v>
      </c>
      <c r="T518" s="5" t="s">
        <v>301</v>
      </c>
    </row>
    <row r="519" spans="1:20" x14ac:dyDescent="0.25">
      <c r="A519" t="s">
        <v>201</v>
      </c>
      <c r="B519" t="s">
        <v>305</v>
      </c>
      <c r="C519" t="s">
        <v>16</v>
      </c>
      <c r="D519" t="s">
        <v>7</v>
      </c>
      <c r="E519" s="11">
        <v>45355</v>
      </c>
      <c r="F519" s="7">
        <v>45383</v>
      </c>
      <c r="G519" t="s">
        <v>160</v>
      </c>
      <c r="H519">
        <v>1500</v>
      </c>
      <c r="I519" s="5">
        <f>81884.44+42950</f>
        <v>124834.44</v>
      </c>
      <c r="J519" s="13">
        <v>1</v>
      </c>
      <c r="K519" s="5">
        <v>122871.07</v>
      </c>
      <c r="L519" s="5">
        <f>Table13[[#This Row],[Open Value]]/Table13[[#This Row],[Shares]]/Table13[[#This Row],[Multiplier]]</f>
        <v>83.22296</v>
      </c>
      <c r="M519" s="5">
        <f>Table13[[#This Row],[Close Value]]/Table13[[#This Row],[Shares]]/Table13[[#This Row],[Multiplier]]</f>
        <v>81.914046666666678</v>
      </c>
      <c r="N519" s="5">
        <f>Table13[[#This Row],[Close Value]]-Table13[[#This Row],[Open Value]]</f>
        <v>-1963.3699999999953</v>
      </c>
      <c r="O519" s="3">
        <f>Table13[[#This Row],[PnL]]/Table13[[#This Row],[Open Value]]</f>
        <v>-1.5727791144815449E-2</v>
      </c>
      <c r="P519" s="9">
        <f>N519+P518</f>
        <v>260825.05845814006</v>
      </c>
      <c r="Q519" s="5" t="str">
        <f>TEXT(Table13[[#This Row],[Closing Date]],"yyyy")</f>
        <v>2024</v>
      </c>
      <c r="R519" s="5" t="str">
        <f>TEXT(Table13[[#This Row],[Closing Date]],"mmmm")</f>
        <v>April</v>
      </c>
      <c r="S519" s="5" t="s">
        <v>240</v>
      </c>
      <c r="T519" s="5" t="s">
        <v>203</v>
      </c>
    </row>
    <row r="520" spans="1:20" x14ac:dyDescent="0.25">
      <c r="A520" t="s">
        <v>201</v>
      </c>
      <c r="B520" t="s">
        <v>302</v>
      </c>
      <c r="C520" t="s">
        <v>16</v>
      </c>
      <c r="D520" t="s">
        <v>7</v>
      </c>
      <c r="E520" s="5"/>
      <c r="F520" s="7">
        <v>45384</v>
      </c>
      <c r="G520" t="s">
        <v>166</v>
      </c>
      <c r="H520">
        <v>3000</v>
      </c>
      <c r="I520" s="5">
        <v>110298</v>
      </c>
      <c r="K520" s="5">
        <v>104306.42</v>
      </c>
      <c r="L520" s="5">
        <v>36.765999999999998</v>
      </c>
      <c r="M520" s="5">
        <v>34.768806666666663</v>
      </c>
      <c r="N520" s="5">
        <v>-5991.5800000000017</v>
      </c>
      <c r="O520" s="3">
        <v>-5.4321746541188431E-2</v>
      </c>
      <c r="P520" s="9">
        <f>N520+P519</f>
        <v>254833.47845814005</v>
      </c>
      <c r="Q520" s="5" t="str">
        <f>TEXT(Table13[[#This Row],[Closing Date]],"yyyy")</f>
        <v>2024</v>
      </c>
      <c r="R520" s="5" t="str">
        <f>TEXT(Table13[[#This Row],[Closing Date]],"mmmm")</f>
        <v>April</v>
      </c>
      <c r="S520" s="5" t="s">
        <v>240</v>
      </c>
      <c r="T520" s="5" t="s">
        <v>301</v>
      </c>
    </row>
    <row r="521" spans="1:20" x14ac:dyDescent="0.25">
      <c r="A521" t="s">
        <v>201</v>
      </c>
      <c r="B521" t="s">
        <v>302</v>
      </c>
      <c r="C521" t="s">
        <v>16</v>
      </c>
      <c r="D521" t="s">
        <v>7</v>
      </c>
      <c r="E521" s="5"/>
      <c r="F521" s="7">
        <v>45384</v>
      </c>
      <c r="G521" t="s">
        <v>252</v>
      </c>
      <c r="H521">
        <v>1000</v>
      </c>
      <c r="I521" s="5">
        <v>150505</v>
      </c>
      <c r="K521" s="5">
        <v>146229.01999999999</v>
      </c>
      <c r="L521" s="5">
        <v>150.505</v>
      </c>
      <c r="M521" s="5">
        <v>146.22901999999999</v>
      </c>
      <c r="N521" s="5">
        <v>-4275.9800000000105</v>
      </c>
      <c r="O521" s="3">
        <v>-2.8410883359356903E-2</v>
      </c>
      <c r="P521" s="9">
        <f>N521+P520</f>
        <v>250557.49845814003</v>
      </c>
      <c r="Q521" s="5" t="str">
        <f>TEXT(Table13[[#This Row],[Closing Date]],"yyyy")</f>
        <v>2024</v>
      </c>
      <c r="R521" s="5" t="str">
        <f>TEXT(Table13[[#This Row],[Closing Date]],"mmmm")</f>
        <v>April</v>
      </c>
      <c r="S521" s="5" t="s">
        <v>240</v>
      </c>
      <c r="T521" s="5" t="s">
        <v>301</v>
      </c>
    </row>
    <row r="522" spans="1:20" x14ac:dyDescent="0.25">
      <c r="A522" t="s">
        <v>201</v>
      </c>
      <c r="B522" t="s">
        <v>306</v>
      </c>
      <c r="C522" t="s">
        <v>16</v>
      </c>
      <c r="D522" t="s">
        <v>7</v>
      </c>
      <c r="E522" s="5"/>
      <c r="F522" s="7">
        <v>45384</v>
      </c>
      <c r="G522" t="s">
        <v>255</v>
      </c>
      <c r="H522">
        <v>380</v>
      </c>
      <c r="I522" s="5">
        <v>121628.5</v>
      </c>
      <c r="K522" s="5">
        <v>117219.5</v>
      </c>
      <c r="L522" s="5">
        <v>320.07499999999999</v>
      </c>
      <c r="M522" s="5">
        <v>308.47236842105264</v>
      </c>
      <c r="N522" s="5">
        <v>-4409</v>
      </c>
      <c r="O522" s="3">
        <v>-3.6249727654291554E-2</v>
      </c>
      <c r="P522" s="9">
        <f>N522+P521</f>
        <v>246148.49845814003</v>
      </c>
      <c r="Q522" s="5" t="str">
        <f>TEXT(Table13[[#This Row],[Closing Date]],"yyyy")</f>
        <v>2024</v>
      </c>
      <c r="R522" s="5" t="str">
        <f>TEXT(Table13[[#This Row],[Closing Date]],"mmmm")</f>
        <v>April</v>
      </c>
      <c r="S522" s="5" t="s">
        <v>240</v>
      </c>
      <c r="T522" s="5" t="s">
        <v>301</v>
      </c>
    </row>
    <row r="523" spans="1:20" x14ac:dyDescent="0.25">
      <c r="A523" t="s">
        <v>201</v>
      </c>
      <c r="B523" t="s">
        <v>302</v>
      </c>
      <c r="C523" t="s">
        <v>16</v>
      </c>
      <c r="D523" t="s">
        <v>7</v>
      </c>
      <c r="E523" s="5"/>
      <c r="F523" s="7">
        <v>45384</v>
      </c>
      <c r="G523" t="s">
        <v>257</v>
      </c>
      <c r="H523">
        <v>700</v>
      </c>
      <c r="I523" s="5">
        <v>133636.15</v>
      </c>
      <c r="K523" s="5">
        <v>129639.15</v>
      </c>
      <c r="L523" s="5">
        <v>190.9087857142857</v>
      </c>
      <c r="M523" s="5">
        <v>185.19878571428572</v>
      </c>
      <c r="N523" s="5">
        <v>-3997</v>
      </c>
      <c r="O523" s="3">
        <v>-2.9909571624145113E-2</v>
      </c>
      <c r="P523" s="9">
        <f>N523+P522</f>
        <v>242151.49845814003</v>
      </c>
      <c r="Q523" s="5" t="str">
        <f>TEXT(Table13[[#This Row],[Closing Date]],"yyyy")</f>
        <v>2024</v>
      </c>
      <c r="R523" s="5" t="str">
        <f>TEXT(Table13[[#This Row],[Closing Date]],"mmmm")</f>
        <v>April</v>
      </c>
      <c r="S523" s="5" t="s">
        <v>240</v>
      </c>
      <c r="T523" s="5" t="s">
        <v>301</v>
      </c>
    </row>
    <row r="524" spans="1:20" x14ac:dyDescent="0.25">
      <c r="A524" t="s">
        <v>201</v>
      </c>
      <c r="B524" t="s">
        <v>306</v>
      </c>
      <c r="C524" t="s">
        <v>12</v>
      </c>
      <c r="D524" t="s">
        <v>7</v>
      </c>
      <c r="E524" s="5"/>
      <c r="F524" s="7">
        <v>45384</v>
      </c>
      <c r="G524" t="s">
        <v>86</v>
      </c>
      <c r="H524">
        <v>170</v>
      </c>
      <c r="I524" s="5">
        <v>737139</v>
      </c>
      <c r="K524" s="5">
        <v>789597.3</v>
      </c>
      <c r="L524" s="5">
        <v>4.3343999999999996</v>
      </c>
      <c r="M524" s="5">
        <v>4.6446899999999998</v>
      </c>
      <c r="N524" s="5">
        <v>52458.300000000047</v>
      </c>
      <c r="O524" s="3">
        <v>7.1164732838718409E-2</v>
      </c>
      <c r="P524" s="9">
        <f>N524+P523</f>
        <v>294609.79845814011</v>
      </c>
      <c r="Q524" s="5" t="str">
        <f>TEXT(Table13[[#This Row],[Closing Date]],"yyyy")</f>
        <v>2024</v>
      </c>
      <c r="R524" s="5" t="str">
        <f>TEXT(Table13[[#This Row],[Closing Date]],"mmmm")</f>
        <v>April</v>
      </c>
      <c r="S524" s="5" t="s">
        <v>240</v>
      </c>
      <c r="T524" s="5" t="s">
        <v>301</v>
      </c>
    </row>
    <row r="525" spans="1:20" x14ac:dyDescent="0.25">
      <c r="A525" t="s">
        <v>201</v>
      </c>
      <c r="B525" t="s">
        <v>306</v>
      </c>
      <c r="C525" t="s">
        <v>16</v>
      </c>
      <c r="D525" t="s">
        <v>7</v>
      </c>
      <c r="E525" s="5"/>
      <c r="F525" s="7">
        <v>45386</v>
      </c>
      <c r="G525" t="s">
        <v>139</v>
      </c>
      <c r="H525">
        <v>3100</v>
      </c>
      <c r="I525" s="5">
        <v>356050.5</v>
      </c>
      <c r="K525" s="5">
        <v>398756.8</v>
      </c>
      <c r="L525" s="5">
        <v>114.855</v>
      </c>
      <c r="M525" s="5">
        <v>128.6312258064516</v>
      </c>
      <c r="N525" s="5">
        <v>42706.299999999988</v>
      </c>
      <c r="O525" s="3">
        <v>0.11994450225459588</v>
      </c>
      <c r="P525" s="9">
        <f>N525+P524</f>
        <v>337316.0984581401</v>
      </c>
      <c r="Q525" s="5" t="str">
        <f>TEXT(Table13[[#This Row],[Closing Date]],"yyyy")</f>
        <v>2024</v>
      </c>
      <c r="R525" s="5" t="str">
        <f>TEXT(Table13[[#This Row],[Closing Date]],"mmmm")</f>
        <v>April</v>
      </c>
      <c r="S525" s="5" t="s">
        <v>240</v>
      </c>
      <c r="T525" s="5" t="s">
        <v>301</v>
      </c>
    </row>
    <row r="526" spans="1:20" x14ac:dyDescent="0.25">
      <c r="A526" t="s">
        <v>201</v>
      </c>
      <c r="B526" t="s">
        <v>303</v>
      </c>
      <c r="C526" t="s">
        <v>16</v>
      </c>
      <c r="D526" t="s">
        <v>7</v>
      </c>
      <c r="E526" s="5"/>
      <c r="F526" s="7">
        <v>45386</v>
      </c>
      <c r="G526" t="s">
        <v>182</v>
      </c>
      <c r="H526">
        <v>10000</v>
      </c>
      <c r="I526" s="5">
        <v>226978.44</v>
      </c>
      <c r="K526" s="5">
        <v>231025.12</v>
      </c>
      <c r="L526" s="5">
        <v>22.697844</v>
      </c>
      <c r="M526" s="5">
        <v>23.102512000000001</v>
      </c>
      <c r="N526" s="5">
        <v>-4046.679999999993</v>
      </c>
      <c r="O526" s="3">
        <v>-1.7828477453629487E-2</v>
      </c>
      <c r="P526" s="9">
        <f>N526+P525</f>
        <v>333269.41845814011</v>
      </c>
      <c r="Q526" s="5" t="str">
        <f>TEXT(Table13[[#This Row],[Closing Date]],"yyyy")</f>
        <v>2024</v>
      </c>
      <c r="R526" s="5" t="str">
        <f>TEXT(Table13[[#This Row],[Closing Date]],"mmmm")</f>
        <v>April</v>
      </c>
      <c r="S526" s="5" t="s">
        <v>240</v>
      </c>
      <c r="T526" s="5" t="s">
        <v>301</v>
      </c>
    </row>
    <row r="527" spans="1:20" x14ac:dyDescent="0.25">
      <c r="A527" t="s">
        <v>201</v>
      </c>
      <c r="B527" t="s">
        <v>306</v>
      </c>
      <c r="C527" t="s">
        <v>16</v>
      </c>
      <c r="D527" t="s">
        <v>7</v>
      </c>
      <c r="E527" s="5"/>
      <c r="F527" s="7">
        <v>45386</v>
      </c>
      <c r="G527" t="s">
        <v>258</v>
      </c>
      <c r="H527">
        <v>13000</v>
      </c>
      <c r="I527" s="5">
        <v>198935.57</v>
      </c>
      <c r="K527" s="5">
        <v>189197.68</v>
      </c>
      <c r="L527" s="5">
        <v>15.302736153846155</v>
      </c>
      <c r="M527" s="5">
        <v>14.553667692307691</v>
      </c>
      <c r="N527" s="5">
        <v>-9737.890000000014</v>
      </c>
      <c r="O527" s="3">
        <v>-4.8949969077928167E-2</v>
      </c>
      <c r="P527" s="9">
        <f>N527+P526</f>
        <v>323531.52845814009</v>
      </c>
      <c r="Q527" s="5" t="str">
        <f>TEXT(Table13[[#This Row],[Closing Date]],"yyyy")</f>
        <v>2024</v>
      </c>
      <c r="R527" s="5" t="str">
        <f>TEXT(Table13[[#This Row],[Closing Date]],"mmmm")</f>
        <v>April</v>
      </c>
      <c r="S527" s="5" t="s">
        <v>240</v>
      </c>
      <c r="T527" s="5" t="s">
        <v>301</v>
      </c>
    </row>
    <row r="528" spans="1:20" x14ac:dyDescent="0.25">
      <c r="A528" t="s">
        <v>197</v>
      </c>
      <c r="B528" t="s">
        <v>302</v>
      </c>
      <c r="C528" t="s">
        <v>99</v>
      </c>
      <c r="D528" t="s">
        <v>7</v>
      </c>
      <c r="E528" s="11">
        <v>45367</v>
      </c>
      <c r="F528" s="7">
        <v>45386</v>
      </c>
      <c r="G528" t="s">
        <v>265</v>
      </c>
      <c r="H528">
        <v>200</v>
      </c>
      <c r="I528" s="5">
        <v>9020</v>
      </c>
      <c r="J528" s="13">
        <v>100</v>
      </c>
      <c r="K528" s="5">
        <v>3600</v>
      </c>
      <c r="L528" s="5">
        <v>0.45100000000000001</v>
      </c>
      <c r="M528" s="5">
        <v>0.18</v>
      </c>
      <c r="N528" s="5">
        <v>-5420</v>
      </c>
      <c r="O528" s="3">
        <v>-0.60088691796008875</v>
      </c>
      <c r="P528" s="9">
        <f>N528+P527</f>
        <v>318111.52845814009</v>
      </c>
      <c r="Q528" s="5" t="str">
        <f>TEXT(Table13[[#This Row],[Closing Date]],"yyyy")</f>
        <v>2024</v>
      </c>
      <c r="R528" s="5" t="str">
        <f>TEXT(Table13[[#This Row],[Closing Date]],"mmmm")</f>
        <v>April</v>
      </c>
      <c r="S528" s="5" t="s">
        <v>240</v>
      </c>
      <c r="T528" s="5" t="s">
        <v>301</v>
      </c>
    </row>
    <row r="529" spans="1:20" x14ac:dyDescent="0.25">
      <c r="A529" t="s">
        <v>201</v>
      </c>
      <c r="B529" t="s">
        <v>305</v>
      </c>
      <c r="C529" t="s">
        <v>16</v>
      </c>
      <c r="D529" t="s">
        <v>7</v>
      </c>
      <c r="E529" s="11">
        <v>45362</v>
      </c>
      <c r="F529" s="7">
        <v>45386</v>
      </c>
      <c r="G529" t="s">
        <v>166</v>
      </c>
      <c r="H529">
        <v>1350</v>
      </c>
      <c r="I529" s="5">
        <v>53392.5</v>
      </c>
      <c r="J529" s="13">
        <v>1</v>
      </c>
      <c r="K529" s="5">
        <v>45751.13</v>
      </c>
      <c r="L529" s="5">
        <f>Table13[[#This Row],[Open Value]]/Table13[[#This Row],[Shares]]/Table13[[#This Row],[Multiplier]]</f>
        <v>39.549999999999997</v>
      </c>
      <c r="M529" s="5">
        <f>Table13[[#This Row],[Close Value]]/Table13[[#This Row],[Shares]]/Table13[[#This Row],[Multiplier]]</f>
        <v>33.889725925925923</v>
      </c>
      <c r="N529" s="5">
        <f>Table13[[#This Row],[Close Value]]-Table13[[#This Row],[Open Value]]</f>
        <v>-7641.3700000000026</v>
      </c>
      <c r="O529" s="3">
        <f>Table13[[#This Row],[PnL]]/Table13[[#This Row],[Open Value]]</f>
        <v>-0.14311691717001457</v>
      </c>
      <c r="P529" s="9">
        <f>N529+P528</f>
        <v>310470.1584581401</v>
      </c>
      <c r="Q529" s="5" t="str">
        <f>TEXT(Table13[[#This Row],[Closing Date]],"yyyy")</f>
        <v>2024</v>
      </c>
      <c r="R529" s="5" t="str">
        <f>TEXT(Table13[[#This Row],[Closing Date]],"mmmm")</f>
        <v>April</v>
      </c>
      <c r="S529" s="5" t="s">
        <v>240</v>
      </c>
      <c r="T529" s="5" t="s">
        <v>203</v>
      </c>
    </row>
    <row r="530" spans="1:20" x14ac:dyDescent="0.25">
      <c r="A530" t="s">
        <v>201</v>
      </c>
      <c r="B530" t="s">
        <v>306</v>
      </c>
      <c r="C530" t="s">
        <v>12</v>
      </c>
      <c r="D530" t="s">
        <v>7</v>
      </c>
      <c r="E530" s="5"/>
      <c r="F530" s="7">
        <v>45387</v>
      </c>
      <c r="G530" t="s">
        <v>268</v>
      </c>
      <c r="H530">
        <v>3</v>
      </c>
      <c r="I530" s="5">
        <v>300007.40999999997</v>
      </c>
      <c r="K530" s="5">
        <v>331120.06</v>
      </c>
      <c r="L530" s="5">
        <v>4.0000988</v>
      </c>
      <c r="M530" s="5">
        <v>13.244802399999999</v>
      </c>
      <c r="N530" s="5">
        <v>37295.650000000023</v>
      </c>
      <c r="O530" s="3">
        <v>0.12431576273399389</v>
      </c>
      <c r="P530" s="9">
        <f>N530+P529</f>
        <v>347765.80845814012</v>
      </c>
      <c r="Q530" s="5" t="str">
        <f>TEXT(Table13[[#This Row],[Closing Date]],"yyyy")</f>
        <v>2024</v>
      </c>
      <c r="R530" s="5" t="str">
        <f>TEXT(Table13[[#This Row],[Closing Date]],"mmmm")</f>
        <v>April</v>
      </c>
      <c r="S530" s="5" t="s">
        <v>240</v>
      </c>
      <c r="T530" s="5" t="s">
        <v>301</v>
      </c>
    </row>
    <row r="531" spans="1:20" x14ac:dyDescent="0.25">
      <c r="A531" t="s">
        <v>197</v>
      </c>
      <c r="B531" t="s">
        <v>305</v>
      </c>
      <c r="C531" t="s">
        <v>102</v>
      </c>
      <c r="D531" t="s">
        <v>7</v>
      </c>
      <c r="E531" s="11">
        <v>45356</v>
      </c>
      <c r="F531" s="7">
        <v>45387</v>
      </c>
      <c r="G531" t="s">
        <v>104</v>
      </c>
      <c r="H531">
        <v>5</v>
      </c>
      <c r="I531" s="5">
        <f>18481.95+15881.3</f>
        <v>34363.25</v>
      </c>
      <c r="J531" s="13">
        <v>100</v>
      </c>
      <c r="K531" s="5">
        <v>31246.5</v>
      </c>
      <c r="L531" s="5">
        <f>Table13[[#This Row],[Open Value]]/Table13[[#This Row],[Shares]]/Table13[[#This Row],[Multiplier]]</f>
        <v>68.726500000000001</v>
      </c>
      <c r="M531" s="5">
        <f>Table13[[#This Row],[Close Value]]/Table13[[#This Row],[Shares]]/Table13[[#This Row],[Multiplier]]</f>
        <v>62.493000000000002</v>
      </c>
      <c r="N531" s="5">
        <f>Table13[[#This Row],[Close Value]]-Table13[[#This Row],[Open Value]]</f>
        <v>-3116.75</v>
      </c>
      <c r="O531" s="3">
        <f>Table13[[#This Row],[PnL]]/Table13[[#This Row],[Open Value]]</f>
        <v>-9.0700093850261537E-2</v>
      </c>
      <c r="P531" s="9">
        <f>N531+P530</f>
        <v>344649.05845814012</v>
      </c>
      <c r="Q531" s="5" t="str">
        <f>TEXT(Table13[[#This Row],[Closing Date]],"yyyy")</f>
        <v>2024</v>
      </c>
      <c r="R531" s="5" t="str">
        <f>TEXT(Table13[[#This Row],[Closing Date]],"mmmm")</f>
        <v>April</v>
      </c>
      <c r="S531" s="5" t="s">
        <v>240</v>
      </c>
      <c r="T531" s="5" t="s">
        <v>203</v>
      </c>
    </row>
    <row r="532" spans="1:20" x14ac:dyDescent="0.25">
      <c r="A532" t="s">
        <v>197</v>
      </c>
      <c r="B532" t="s">
        <v>302</v>
      </c>
      <c r="C532" t="s">
        <v>102</v>
      </c>
      <c r="D532" t="s">
        <v>7</v>
      </c>
      <c r="E532" s="11">
        <v>45379</v>
      </c>
      <c r="F532" s="7">
        <v>45390</v>
      </c>
      <c r="G532" t="s">
        <v>10</v>
      </c>
      <c r="H532">
        <v>15</v>
      </c>
      <c r="I532" s="5">
        <v>4680</v>
      </c>
      <c r="J532" s="13">
        <v>100</v>
      </c>
      <c r="K532" s="5">
        <v>0</v>
      </c>
      <c r="L532" s="5">
        <v>3.12</v>
      </c>
      <c r="M532" s="5">
        <v>0</v>
      </c>
      <c r="N532" s="5">
        <v>-4680</v>
      </c>
      <c r="O532" s="3">
        <v>-1</v>
      </c>
      <c r="P532" s="9">
        <f>N532+P531</f>
        <v>339969.05845814012</v>
      </c>
      <c r="Q532" s="5" t="str">
        <f>TEXT(Table13[[#This Row],[Closing Date]],"yyyy")</f>
        <v>2024</v>
      </c>
      <c r="R532" s="5" t="str">
        <f>TEXT(Table13[[#This Row],[Closing Date]],"mmmm")</f>
        <v>April</v>
      </c>
      <c r="S532" s="5" t="s">
        <v>240</v>
      </c>
      <c r="T532" s="5" t="s">
        <v>301</v>
      </c>
    </row>
    <row r="533" spans="1:20" x14ac:dyDescent="0.25">
      <c r="A533" t="s">
        <v>201</v>
      </c>
      <c r="B533" t="s">
        <v>303</v>
      </c>
      <c r="C533" t="s">
        <v>16</v>
      </c>
      <c r="D533" t="s">
        <v>7</v>
      </c>
      <c r="E533" s="5"/>
      <c r="F533" s="7">
        <v>45391</v>
      </c>
      <c r="G533" t="s">
        <v>256</v>
      </c>
      <c r="H533">
        <v>1800</v>
      </c>
      <c r="I533" s="5">
        <v>218187</v>
      </c>
      <c r="K533" s="5">
        <v>225029.4</v>
      </c>
      <c r="L533" s="5">
        <v>121.215</v>
      </c>
      <c r="M533" s="5">
        <v>125.01633333333334</v>
      </c>
      <c r="N533" s="5">
        <v>6842.3999999999942</v>
      </c>
      <c r="O533" s="3">
        <v>3.1360255193939118E-2</v>
      </c>
      <c r="P533" s="9">
        <f>N533+P532</f>
        <v>346811.45845814014</v>
      </c>
      <c r="Q533" s="5" t="str">
        <f>TEXT(Table13[[#This Row],[Closing Date]],"yyyy")</f>
        <v>2024</v>
      </c>
      <c r="R533" s="5" t="str">
        <f>TEXT(Table13[[#This Row],[Closing Date]],"mmmm")</f>
        <v>April</v>
      </c>
      <c r="S533" s="5" t="s">
        <v>240</v>
      </c>
      <c r="T533" s="5" t="s">
        <v>301</v>
      </c>
    </row>
    <row r="534" spans="1:20" x14ac:dyDescent="0.25">
      <c r="A534" t="s">
        <v>201</v>
      </c>
      <c r="B534" t="s">
        <v>306</v>
      </c>
      <c r="C534" t="s">
        <v>16</v>
      </c>
      <c r="D534" t="s">
        <v>7</v>
      </c>
      <c r="E534" s="5"/>
      <c r="F534" s="7">
        <v>45392</v>
      </c>
      <c r="G534" t="s">
        <v>72</v>
      </c>
      <c r="H534">
        <v>170</v>
      </c>
      <c r="I534" s="5">
        <v>152256.9</v>
      </c>
      <c r="K534" s="5">
        <v>147114.12</v>
      </c>
      <c r="L534" s="5">
        <v>895.62882352941176</v>
      </c>
      <c r="M534" s="5">
        <v>865.37717647058821</v>
      </c>
      <c r="N534" s="5">
        <v>-5142.7799999999988</v>
      </c>
      <c r="O534" s="3">
        <v>-3.3776991387582431E-2</v>
      </c>
      <c r="P534" s="9">
        <f>N534+P533</f>
        <v>341668.67845814012</v>
      </c>
      <c r="Q534" s="5" t="str">
        <f>TEXT(Table13[[#This Row],[Closing Date]],"yyyy")</f>
        <v>2024</v>
      </c>
      <c r="R534" s="5" t="str">
        <f>TEXT(Table13[[#This Row],[Closing Date]],"mmmm")</f>
        <v>April</v>
      </c>
      <c r="S534" s="5" t="s">
        <v>240</v>
      </c>
      <c r="T534" s="5" t="s">
        <v>301</v>
      </c>
    </row>
    <row r="535" spans="1:20" x14ac:dyDescent="0.25">
      <c r="A535" t="s">
        <v>201</v>
      </c>
      <c r="B535" t="s">
        <v>305</v>
      </c>
      <c r="C535" t="s">
        <v>4</v>
      </c>
      <c r="D535" t="s">
        <v>5</v>
      </c>
      <c r="E535" s="5"/>
      <c r="F535" s="7">
        <v>45392</v>
      </c>
      <c r="G535" t="s">
        <v>249</v>
      </c>
      <c r="H535">
        <v>1000000</v>
      </c>
      <c r="I535" s="5">
        <v>1143163</v>
      </c>
      <c r="K535" s="5">
        <v>1149287</v>
      </c>
      <c r="L535" s="5">
        <v>1.1431629999999999</v>
      </c>
      <c r="M535" s="5"/>
      <c r="N535" s="5">
        <v>-6124</v>
      </c>
      <c r="O535" s="3">
        <v>0</v>
      </c>
      <c r="P535" s="9">
        <f>N535+P534</f>
        <v>335544.67845814012</v>
      </c>
      <c r="Q535" s="5" t="str">
        <f>TEXT(Table13[[#This Row],[Closing Date]],"yyyy")</f>
        <v>2024</v>
      </c>
      <c r="R535" s="5" t="str">
        <f>TEXT(Table13[[#This Row],[Closing Date]],"mmmm")</f>
        <v>April</v>
      </c>
      <c r="S535" s="5" t="s">
        <v>240</v>
      </c>
      <c r="T535" s="5" t="s">
        <v>301</v>
      </c>
    </row>
    <row r="536" spans="1:20" x14ac:dyDescent="0.25">
      <c r="A536" t="s">
        <v>201</v>
      </c>
      <c r="B536" t="s">
        <v>302</v>
      </c>
      <c r="C536" t="s">
        <v>12</v>
      </c>
      <c r="D536" t="s">
        <v>7</v>
      </c>
      <c r="E536" s="5"/>
      <c r="F536" s="7">
        <v>45392</v>
      </c>
      <c r="G536" t="s">
        <v>82</v>
      </c>
      <c r="H536">
        <v>2</v>
      </c>
      <c r="I536" s="5">
        <v>522729.5</v>
      </c>
      <c r="K536" s="5">
        <v>515219.5</v>
      </c>
      <c r="L536" s="5">
        <v>5227.2950000000001</v>
      </c>
      <c r="M536" s="5">
        <v>5152.1949999999997</v>
      </c>
      <c r="N536" s="5">
        <v>-7510</v>
      </c>
      <c r="O536" s="3">
        <v>-1.4366895306272174E-2</v>
      </c>
      <c r="P536" s="9">
        <f>N536+P535</f>
        <v>328034.67845814012</v>
      </c>
      <c r="Q536" s="5" t="str">
        <f>TEXT(Table13[[#This Row],[Closing Date]],"yyyy")</f>
        <v>2024</v>
      </c>
      <c r="R536" s="5" t="str">
        <f>TEXT(Table13[[#This Row],[Closing Date]],"mmmm")</f>
        <v>April</v>
      </c>
      <c r="S536" s="5" t="s">
        <v>240</v>
      </c>
      <c r="T536" s="5" t="s">
        <v>301</v>
      </c>
    </row>
    <row r="537" spans="1:20" x14ac:dyDescent="0.25">
      <c r="A537" t="s">
        <v>201</v>
      </c>
      <c r="B537" t="s">
        <v>303</v>
      </c>
      <c r="C537" t="s">
        <v>16</v>
      </c>
      <c r="D537" t="s">
        <v>7</v>
      </c>
      <c r="E537" s="5"/>
      <c r="F537" s="7">
        <v>45393</v>
      </c>
      <c r="G537" t="s">
        <v>253</v>
      </c>
      <c r="H537">
        <v>4200</v>
      </c>
      <c r="I537" s="5">
        <v>48720</v>
      </c>
      <c r="K537" s="5">
        <v>49427.39</v>
      </c>
      <c r="L537" s="5">
        <v>11.6</v>
      </c>
      <c r="M537" s="5">
        <v>11.768426190476191</v>
      </c>
      <c r="N537" s="5">
        <v>707.38999999999942</v>
      </c>
      <c r="O537" s="3">
        <v>1.4519499178981926E-2</v>
      </c>
      <c r="P537" s="9">
        <f>N537+P536</f>
        <v>328742.06845814013</v>
      </c>
      <c r="Q537" s="5" t="str">
        <f>TEXT(Table13[[#This Row],[Closing Date]],"yyyy")</f>
        <v>2024</v>
      </c>
      <c r="R537" s="5" t="str">
        <f>TEXT(Table13[[#This Row],[Closing Date]],"mmmm")</f>
        <v>April</v>
      </c>
      <c r="S537" s="5" t="s">
        <v>241</v>
      </c>
      <c r="T537" s="5" t="s">
        <v>301</v>
      </c>
    </row>
    <row r="538" spans="1:20" x14ac:dyDescent="0.25">
      <c r="A538" t="s">
        <v>201</v>
      </c>
      <c r="B538" t="s">
        <v>303</v>
      </c>
      <c r="C538" t="s">
        <v>16</v>
      </c>
      <c r="D538" t="s">
        <v>7</v>
      </c>
      <c r="E538" s="5"/>
      <c r="F538" s="7">
        <v>45393</v>
      </c>
      <c r="G538" t="s">
        <v>254</v>
      </c>
      <c r="H538">
        <v>965</v>
      </c>
      <c r="I538" s="5">
        <v>49802.95</v>
      </c>
      <c r="K538" s="5">
        <v>51554.55</v>
      </c>
      <c r="L538" s="5">
        <v>51.609274611398959</v>
      </c>
      <c r="M538" s="5">
        <v>53.424404145077723</v>
      </c>
      <c r="N538" s="5">
        <v>1751.6000000000058</v>
      </c>
      <c r="O538" s="3">
        <v>3.5170607363620147E-2</v>
      </c>
      <c r="P538" s="9">
        <f>N538+P537</f>
        <v>330493.66845814011</v>
      </c>
      <c r="Q538" s="5" t="str">
        <f>TEXT(Table13[[#This Row],[Closing Date]],"yyyy")</f>
        <v>2024</v>
      </c>
      <c r="R538" s="5" t="str">
        <f>TEXT(Table13[[#This Row],[Closing Date]],"mmmm")</f>
        <v>April</v>
      </c>
      <c r="S538" s="5" t="s">
        <v>241</v>
      </c>
      <c r="T538" s="5" t="s">
        <v>301</v>
      </c>
    </row>
    <row r="539" spans="1:20" x14ac:dyDescent="0.25">
      <c r="A539" t="s">
        <v>201</v>
      </c>
      <c r="B539" t="s">
        <v>303</v>
      </c>
      <c r="C539" t="s">
        <v>16</v>
      </c>
      <c r="D539" t="s">
        <v>7</v>
      </c>
      <c r="E539" s="5"/>
      <c r="F539" s="7">
        <v>45393</v>
      </c>
      <c r="G539" t="s">
        <v>218</v>
      </c>
      <c r="H539">
        <v>4800</v>
      </c>
      <c r="I539" s="5">
        <v>80250</v>
      </c>
      <c r="K539" s="5">
        <v>73894.61</v>
      </c>
      <c r="L539" s="5">
        <v>16.71875</v>
      </c>
      <c r="M539" s="5">
        <v>15.394710416666667</v>
      </c>
      <c r="N539" s="5">
        <v>-6355.3899999999994</v>
      </c>
      <c r="O539" s="3">
        <v>-7.9194890965732082E-2</v>
      </c>
      <c r="P539" s="9">
        <f>N539+P538</f>
        <v>324138.27845814009</v>
      </c>
      <c r="Q539" s="5" t="str">
        <f>TEXT(Table13[[#This Row],[Closing Date]],"yyyy")</f>
        <v>2024</v>
      </c>
      <c r="R539" s="5" t="str">
        <f>TEXT(Table13[[#This Row],[Closing Date]],"mmmm")</f>
        <v>April</v>
      </c>
      <c r="S539" s="5" t="s">
        <v>240</v>
      </c>
      <c r="T539" s="5" t="s">
        <v>301</v>
      </c>
    </row>
    <row r="540" spans="1:20" x14ac:dyDescent="0.25">
      <c r="A540" t="s">
        <v>201</v>
      </c>
      <c r="B540" t="s">
        <v>306</v>
      </c>
      <c r="C540" t="s">
        <v>12</v>
      </c>
      <c r="D540" t="s">
        <v>5</v>
      </c>
      <c r="E540" s="5"/>
      <c r="F540" s="7">
        <v>45393</v>
      </c>
      <c r="G540" t="s">
        <v>81</v>
      </c>
      <c r="H540">
        <v>1</v>
      </c>
      <c r="I540" s="5">
        <v>99997.03</v>
      </c>
      <c r="K540" s="5">
        <v>106522.97</v>
      </c>
      <c r="L540" s="5">
        <v>9999.7029999999995</v>
      </c>
      <c r="M540" s="5">
        <v>106.52297</v>
      </c>
      <c r="N540" s="5">
        <v>-6525.9400000000023</v>
      </c>
      <c r="O540" s="3">
        <v>-6.5261338261746404E-2</v>
      </c>
      <c r="P540" s="9">
        <f>N540+P539</f>
        <v>317612.33845814009</v>
      </c>
      <c r="Q540" s="5" t="str">
        <f>TEXT(Table13[[#This Row],[Closing Date]],"yyyy")</f>
        <v>2024</v>
      </c>
      <c r="R540" s="5" t="str">
        <f>TEXT(Table13[[#This Row],[Closing Date]],"mmmm")</f>
        <v>April</v>
      </c>
      <c r="S540" s="5" t="s">
        <v>240</v>
      </c>
      <c r="T540" s="5" t="s">
        <v>301</v>
      </c>
    </row>
    <row r="541" spans="1:20" x14ac:dyDescent="0.25">
      <c r="A541" t="s">
        <v>201</v>
      </c>
      <c r="B541" t="s">
        <v>303</v>
      </c>
      <c r="C541" t="s">
        <v>16</v>
      </c>
      <c r="D541" t="s">
        <v>7</v>
      </c>
      <c r="E541" s="5"/>
      <c r="F541" s="7">
        <v>45394</v>
      </c>
      <c r="G541" t="s">
        <v>153</v>
      </c>
      <c r="H541">
        <v>2500</v>
      </c>
      <c r="I541" s="5">
        <v>113015</v>
      </c>
      <c r="K541" s="5">
        <v>104216.9</v>
      </c>
      <c r="L541" s="5">
        <v>45.206000000000003</v>
      </c>
      <c r="M541" s="5">
        <v>41.68676</v>
      </c>
      <c r="N541" s="5">
        <v>-8798.1000000000058</v>
      </c>
      <c r="O541" s="3">
        <v>-7.7848958102906748E-2</v>
      </c>
      <c r="P541" s="9">
        <f>N541+P540</f>
        <v>308814.23845814005</v>
      </c>
      <c r="Q541" s="5" t="str">
        <f>TEXT(Table13[[#This Row],[Closing Date]],"yyyy")</f>
        <v>2024</v>
      </c>
      <c r="R541" s="5" t="str">
        <f>TEXT(Table13[[#This Row],[Closing Date]],"mmmm")</f>
        <v>April</v>
      </c>
      <c r="S541" s="5" t="s">
        <v>240</v>
      </c>
      <c r="T541" s="5" t="s">
        <v>301</v>
      </c>
    </row>
    <row r="542" spans="1:20" x14ac:dyDescent="0.25">
      <c r="A542" t="s">
        <v>197</v>
      </c>
      <c r="B542" t="s">
        <v>302</v>
      </c>
      <c r="C542" t="s">
        <v>102</v>
      </c>
      <c r="D542" t="s">
        <v>7</v>
      </c>
      <c r="E542" s="11">
        <v>45359</v>
      </c>
      <c r="F542" s="7">
        <v>45394</v>
      </c>
      <c r="G542" t="s">
        <v>52</v>
      </c>
      <c r="H542">
        <v>150</v>
      </c>
      <c r="I542" s="5">
        <f>12691+806.5</f>
        <v>13497.5</v>
      </c>
      <c r="J542" s="13">
        <v>100</v>
      </c>
      <c r="K542" s="5">
        <v>38302.19</v>
      </c>
      <c r="L542" s="5">
        <f>Table13[[#This Row],[Open Value]]/Table13[[#This Row],[Shares]]/Table13[[#This Row],[Multiplier]]</f>
        <v>0.89983333333333337</v>
      </c>
      <c r="M542" s="5">
        <f>Table13[[#This Row],[Close Value]]/Table13[[#This Row],[Shares]]/Table13[[#This Row],[Multiplier]]</f>
        <v>2.5534793333333337</v>
      </c>
      <c r="N542" s="5">
        <f>Table13[[#This Row],[Close Value]]-Table13[[#This Row],[Open Value]]</f>
        <v>24804.690000000002</v>
      </c>
      <c r="O542" s="3">
        <f>Table13[[#This Row],[PnL]]/Table13[[#This Row],[Open Value]]</f>
        <v>1.8377247638451566</v>
      </c>
      <c r="P542" s="9">
        <f>N542+P541</f>
        <v>333618.92845814006</v>
      </c>
      <c r="Q542" s="5" t="str">
        <f>TEXT(Table13[[#This Row],[Closing Date]],"yyyy")</f>
        <v>2024</v>
      </c>
      <c r="R542" s="5" t="str">
        <f>TEXT(Table13[[#This Row],[Closing Date]],"mmmm")</f>
        <v>April</v>
      </c>
      <c r="S542" s="5" t="s">
        <v>240</v>
      </c>
      <c r="T542" s="5" t="s">
        <v>203</v>
      </c>
    </row>
    <row r="543" spans="1:20" x14ac:dyDescent="0.25">
      <c r="A543" t="s">
        <v>201</v>
      </c>
      <c r="B543" t="s">
        <v>303</v>
      </c>
      <c r="C543" t="s">
        <v>16</v>
      </c>
      <c r="D543" t="s">
        <v>7</v>
      </c>
      <c r="E543" s="5"/>
      <c r="F543" s="7">
        <v>45397</v>
      </c>
      <c r="G543" t="s">
        <v>41</v>
      </c>
      <c r="H543">
        <v>2000</v>
      </c>
      <c r="I543" s="5">
        <v>852967.5</v>
      </c>
      <c r="K543" s="5">
        <v>827943.04</v>
      </c>
      <c r="L543" s="5">
        <v>426.48374999999999</v>
      </c>
      <c r="M543" s="5">
        <v>413.97152</v>
      </c>
      <c r="N543" s="5">
        <v>-25024.459999999963</v>
      </c>
      <c r="O543" s="3">
        <v>-2.9338116633986597E-2</v>
      </c>
      <c r="P543" s="9">
        <f>N543+P542</f>
        <v>308594.46845814009</v>
      </c>
      <c r="Q543" s="5" t="str">
        <f>TEXT(Table13[[#This Row],[Closing Date]],"yyyy")</f>
        <v>2024</v>
      </c>
      <c r="R543" s="5" t="str">
        <f>TEXT(Table13[[#This Row],[Closing Date]],"mmmm")</f>
        <v>April</v>
      </c>
      <c r="S543" s="5" t="s">
        <v>240</v>
      </c>
      <c r="T543" s="5" t="s">
        <v>301</v>
      </c>
    </row>
    <row r="544" spans="1:20" x14ac:dyDescent="0.25">
      <c r="A544" t="s">
        <v>201</v>
      </c>
      <c r="B544" t="s">
        <v>306</v>
      </c>
      <c r="C544" t="s">
        <v>16</v>
      </c>
      <c r="D544" t="s">
        <v>7</v>
      </c>
      <c r="E544" s="5"/>
      <c r="F544" s="7">
        <v>45397</v>
      </c>
      <c r="G544" t="s">
        <v>259</v>
      </c>
      <c r="H544">
        <v>10000</v>
      </c>
      <c r="I544" s="5">
        <v>248500</v>
      </c>
      <c r="K544" s="5">
        <v>245143.64</v>
      </c>
      <c r="L544" s="5">
        <v>24.85</v>
      </c>
      <c r="M544" s="5">
        <v>24.514364</v>
      </c>
      <c r="N544" s="5">
        <v>-3356.359999999986</v>
      </c>
      <c r="O544" s="3">
        <v>-1.3506478873239381E-2</v>
      </c>
      <c r="P544" s="9">
        <f>N544+P543</f>
        <v>305238.10845814011</v>
      </c>
      <c r="Q544" s="5" t="str">
        <f>TEXT(Table13[[#This Row],[Closing Date]],"yyyy")</f>
        <v>2024</v>
      </c>
      <c r="R544" s="5" t="str">
        <f>TEXT(Table13[[#This Row],[Closing Date]],"mmmm")</f>
        <v>April</v>
      </c>
      <c r="S544" s="5" t="s">
        <v>240</v>
      </c>
      <c r="T544" s="5" t="s">
        <v>301</v>
      </c>
    </row>
    <row r="545" spans="1:20" x14ac:dyDescent="0.25">
      <c r="A545" t="s">
        <v>201</v>
      </c>
      <c r="B545" t="s">
        <v>306</v>
      </c>
      <c r="C545" t="s">
        <v>16</v>
      </c>
      <c r="D545" t="s">
        <v>7</v>
      </c>
      <c r="E545" s="5"/>
      <c r="F545" s="7">
        <v>45397</v>
      </c>
      <c r="G545" t="s">
        <v>260</v>
      </c>
      <c r="H545">
        <v>700</v>
      </c>
      <c r="I545" s="5">
        <v>54180</v>
      </c>
      <c r="K545" s="5">
        <v>50203</v>
      </c>
      <c r="L545" s="5">
        <v>77.400000000000006</v>
      </c>
      <c r="M545" s="5">
        <v>71.718571428571423</v>
      </c>
      <c r="N545" s="5">
        <v>-3977</v>
      </c>
      <c r="O545" s="3">
        <v>-7.3403469915097816E-2</v>
      </c>
      <c r="P545" s="9">
        <f>N545+P544</f>
        <v>301261.10845814011</v>
      </c>
      <c r="Q545" s="5" t="str">
        <f>TEXT(Table13[[#This Row],[Closing Date]],"yyyy")</f>
        <v>2024</v>
      </c>
      <c r="R545" s="5" t="str">
        <f>TEXT(Table13[[#This Row],[Closing Date]],"mmmm")</f>
        <v>April</v>
      </c>
      <c r="S545" s="5" t="s">
        <v>240</v>
      </c>
      <c r="T545" s="5" t="s">
        <v>301</v>
      </c>
    </row>
    <row r="546" spans="1:20" x14ac:dyDescent="0.25">
      <c r="A546" t="s">
        <v>201</v>
      </c>
      <c r="B546" t="s">
        <v>306</v>
      </c>
      <c r="C546" t="s">
        <v>16</v>
      </c>
      <c r="D546" t="s">
        <v>7</v>
      </c>
      <c r="E546" s="5"/>
      <c r="F546" s="7">
        <v>45397</v>
      </c>
      <c r="G546" t="s">
        <v>261</v>
      </c>
      <c r="H546">
        <v>2500</v>
      </c>
      <c r="I546" s="5">
        <v>41650</v>
      </c>
      <c r="K546" s="5">
        <v>36927.269999999997</v>
      </c>
      <c r="L546" s="5">
        <v>16.66</v>
      </c>
      <c r="M546" s="5">
        <v>14.770907999999999</v>
      </c>
      <c r="N546" s="5">
        <v>-4722.7300000000032</v>
      </c>
      <c r="O546" s="3">
        <v>-0.11339087635054029</v>
      </c>
      <c r="P546" s="9">
        <f>N546+P545</f>
        <v>296538.37845814013</v>
      </c>
      <c r="Q546" s="5" t="str">
        <f>TEXT(Table13[[#This Row],[Closing Date]],"yyyy")</f>
        <v>2024</v>
      </c>
      <c r="R546" s="5" t="str">
        <f>TEXT(Table13[[#This Row],[Closing Date]],"mmmm")</f>
        <v>April</v>
      </c>
      <c r="S546" s="5" t="s">
        <v>240</v>
      </c>
      <c r="T546" s="5" t="s">
        <v>301</v>
      </c>
    </row>
    <row r="547" spans="1:20" x14ac:dyDescent="0.25">
      <c r="A547" t="s">
        <v>201</v>
      </c>
      <c r="B547" t="s">
        <v>303</v>
      </c>
      <c r="C547" t="s">
        <v>16</v>
      </c>
      <c r="D547" t="s">
        <v>7</v>
      </c>
      <c r="E547" s="5"/>
      <c r="F547" s="7">
        <v>45398</v>
      </c>
      <c r="G547" t="s">
        <v>262</v>
      </c>
      <c r="H547">
        <v>15000</v>
      </c>
      <c r="I547" s="5">
        <v>165968.85999999999</v>
      </c>
      <c r="K547" s="5">
        <v>171273.94</v>
      </c>
      <c r="L547" s="5">
        <v>11.064590666666666</v>
      </c>
      <c r="M547" s="5">
        <v>11.418262666666667</v>
      </c>
      <c r="N547" s="5">
        <v>5305.0800000000163</v>
      </c>
      <c r="O547" s="3">
        <v>3.1964309449375124E-2</v>
      </c>
      <c r="P547" s="9">
        <f>N547+P546</f>
        <v>301843.45845814014</v>
      </c>
      <c r="Q547" s="5" t="str">
        <f>TEXT(Table13[[#This Row],[Closing Date]],"yyyy")</f>
        <v>2024</v>
      </c>
      <c r="R547" s="5" t="str">
        <f>TEXT(Table13[[#This Row],[Closing Date]],"mmmm")</f>
        <v>April</v>
      </c>
      <c r="S547" s="5" t="s">
        <v>240</v>
      </c>
      <c r="T547" s="5" t="s">
        <v>301</v>
      </c>
    </row>
    <row r="548" spans="1:20" x14ac:dyDescent="0.25">
      <c r="A548" t="s">
        <v>201</v>
      </c>
      <c r="B548" t="s">
        <v>302</v>
      </c>
      <c r="C548" t="s">
        <v>12</v>
      </c>
      <c r="D548" t="s">
        <v>7</v>
      </c>
      <c r="E548" s="5"/>
      <c r="F548" s="7">
        <v>45398</v>
      </c>
      <c r="G548" t="s">
        <v>82</v>
      </c>
      <c r="H548">
        <v>4</v>
      </c>
      <c r="I548" s="5">
        <v>1021000</v>
      </c>
      <c r="K548" s="5">
        <v>1016882</v>
      </c>
      <c r="L548" s="5">
        <v>5105</v>
      </c>
      <c r="M548" s="5">
        <v>254.22049999999999</v>
      </c>
      <c r="N548" s="5">
        <v>-4118</v>
      </c>
      <c r="O548" s="3">
        <v>-4.033300685602351E-3</v>
      </c>
      <c r="P548" s="9">
        <f>N548+P547</f>
        <v>297725.45845814014</v>
      </c>
      <c r="Q548" s="5" t="str">
        <f>TEXT(Table13[[#This Row],[Closing Date]],"yyyy")</f>
        <v>2024</v>
      </c>
      <c r="R548" s="5" t="str">
        <f>TEXT(Table13[[#This Row],[Closing Date]],"mmmm")</f>
        <v>April</v>
      </c>
      <c r="S548" s="5" t="s">
        <v>240</v>
      </c>
      <c r="T548" s="5" t="s">
        <v>301</v>
      </c>
    </row>
    <row r="549" spans="1:20" x14ac:dyDescent="0.25">
      <c r="A549" t="s">
        <v>201</v>
      </c>
      <c r="B549" t="s">
        <v>303</v>
      </c>
      <c r="C549" t="s">
        <v>16</v>
      </c>
      <c r="D549" t="s">
        <v>7</v>
      </c>
      <c r="E549" s="5"/>
      <c r="F549" s="7">
        <v>45400</v>
      </c>
      <c r="G549" t="s">
        <v>11</v>
      </c>
      <c r="H549">
        <v>150</v>
      </c>
      <c r="I549" s="5">
        <v>128626.5</v>
      </c>
      <c r="K549" s="5">
        <v>122797.47</v>
      </c>
      <c r="L549" s="5">
        <v>857.51</v>
      </c>
      <c r="M549" s="5">
        <v>818.64980000000003</v>
      </c>
      <c r="N549" s="5">
        <v>-5829.0299999999988</v>
      </c>
      <c r="O549" s="3">
        <v>-4.5317489008874522E-2</v>
      </c>
      <c r="P549" s="9">
        <f>N549+P548</f>
        <v>291896.42845814012</v>
      </c>
      <c r="Q549" s="5" t="str">
        <f>TEXT(Table13[[#This Row],[Closing Date]],"yyyy")</f>
        <v>2024</v>
      </c>
      <c r="R549" s="5" t="str">
        <f>TEXT(Table13[[#This Row],[Closing Date]],"mmmm")</f>
        <v>April</v>
      </c>
      <c r="S549" s="5" t="s">
        <v>240</v>
      </c>
      <c r="T549" s="5" t="s">
        <v>301</v>
      </c>
    </row>
    <row r="550" spans="1:20" x14ac:dyDescent="0.25">
      <c r="A550" t="s">
        <v>201</v>
      </c>
      <c r="B550" t="s">
        <v>306</v>
      </c>
      <c r="C550" t="s">
        <v>12</v>
      </c>
      <c r="D550" t="s">
        <v>7</v>
      </c>
      <c r="E550" s="5"/>
      <c r="F550" s="7">
        <v>45400</v>
      </c>
      <c r="G550" t="s">
        <v>85</v>
      </c>
      <c r="H550">
        <v>10</v>
      </c>
      <c r="I550" s="5">
        <v>64052</v>
      </c>
      <c r="K550" s="5">
        <v>59905.3</v>
      </c>
      <c r="L550" s="5">
        <v>64052</v>
      </c>
      <c r="M550" s="5">
        <v>5.9905300000000006</v>
      </c>
      <c r="N550" s="5">
        <v>-4146.6999999999971</v>
      </c>
      <c r="O550" s="3">
        <v>-6.4739586585898914E-2</v>
      </c>
      <c r="P550" s="9">
        <f>N550+P549</f>
        <v>287749.7284581401</v>
      </c>
      <c r="Q550" s="5" t="str">
        <f>TEXT(Table13[[#This Row],[Closing Date]],"yyyy")</f>
        <v>2024</v>
      </c>
      <c r="R550" s="5" t="str">
        <f>TEXT(Table13[[#This Row],[Closing Date]],"mmmm")</f>
        <v>April</v>
      </c>
      <c r="S550" s="5" t="s">
        <v>240</v>
      </c>
      <c r="T550" s="5" t="s">
        <v>301</v>
      </c>
    </row>
    <row r="551" spans="1:20" x14ac:dyDescent="0.25">
      <c r="A551" t="s">
        <v>201</v>
      </c>
      <c r="B551" t="s">
        <v>303</v>
      </c>
      <c r="C551" t="s">
        <v>12</v>
      </c>
      <c r="D551" t="s">
        <v>7</v>
      </c>
      <c r="E551" s="5"/>
      <c r="F551" s="7">
        <v>45401</v>
      </c>
      <c r="G551" t="s">
        <v>44</v>
      </c>
      <c r="H551">
        <v>2</v>
      </c>
      <c r="I551" s="5">
        <v>394006.04</v>
      </c>
      <c r="K551" s="5">
        <v>376525</v>
      </c>
      <c r="L551" s="5">
        <v>39400.603999999999</v>
      </c>
      <c r="M551" s="5">
        <v>3765.25</v>
      </c>
      <c r="N551" s="5">
        <v>-17481.039999999979</v>
      </c>
      <c r="O551" s="3">
        <v>-4.4367441676782367E-2</v>
      </c>
      <c r="P551" s="9">
        <f>N551+P550</f>
        <v>270268.68845814012</v>
      </c>
      <c r="Q551" s="5" t="str">
        <f>TEXT(Table13[[#This Row],[Closing Date]],"yyyy")</f>
        <v>2024</v>
      </c>
      <c r="R551" s="5" t="str">
        <f>TEXT(Table13[[#This Row],[Closing Date]],"mmmm")</f>
        <v>April</v>
      </c>
      <c r="S551" s="5" t="s">
        <v>240</v>
      </c>
      <c r="T551" s="5" t="s">
        <v>301</v>
      </c>
    </row>
    <row r="552" spans="1:20" x14ac:dyDescent="0.25">
      <c r="A552" t="s">
        <v>201</v>
      </c>
      <c r="B552" t="s">
        <v>302</v>
      </c>
      <c r="C552" t="s">
        <v>12</v>
      </c>
      <c r="D552" t="s">
        <v>7</v>
      </c>
      <c r="E552" s="5"/>
      <c r="F552" s="7">
        <v>45404</v>
      </c>
      <c r="G552" t="s">
        <v>89</v>
      </c>
      <c r="H552">
        <v>4</v>
      </c>
      <c r="I552" s="5">
        <v>415923.8</v>
      </c>
      <c r="K552" s="5">
        <v>415890.8</v>
      </c>
      <c r="L552" s="5">
        <v>2079.6190000000001</v>
      </c>
      <c r="M552" s="5">
        <v>2079.4539999999997</v>
      </c>
      <c r="N552" s="5">
        <v>-33</v>
      </c>
      <c r="O552" s="3">
        <v>-7.9341456295600301E-5</v>
      </c>
      <c r="P552" s="9">
        <f>N552+P551</f>
        <v>270235.68845814012</v>
      </c>
      <c r="Q552" s="5" t="str">
        <f>TEXT(Table13[[#This Row],[Closing Date]],"yyyy")</f>
        <v>2024</v>
      </c>
      <c r="R552" s="5" t="str">
        <f>TEXT(Table13[[#This Row],[Closing Date]],"mmmm")</f>
        <v>April</v>
      </c>
      <c r="S552" s="5" t="s">
        <v>240</v>
      </c>
      <c r="T552" s="5" t="s">
        <v>301</v>
      </c>
    </row>
    <row r="553" spans="1:20" x14ac:dyDescent="0.25">
      <c r="A553" t="s">
        <v>201</v>
      </c>
      <c r="B553" t="s">
        <v>302</v>
      </c>
      <c r="C553" t="s">
        <v>16</v>
      </c>
      <c r="D553" t="s">
        <v>7</v>
      </c>
      <c r="E553" s="5"/>
      <c r="F553" s="7">
        <v>45405</v>
      </c>
      <c r="G553" t="s">
        <v>182</v>
      </c>
      <c r="H553">
        <v>10000</v>
      </c>
      <c r="I553" s="5">
        <v>206728.24</v>
      </c>
      <c r="K553" s="5">
        <v>218874.94</v>
      </c>
      <c r="L553" s="5">
        <v>20.672823999999999</v>
      </c>
      <c r="M553" s="5">
        <v>21.887494</v>
      </c>
      <c r="N553" s="5">
        <v>12146.700000000012</v>
      </c>
      <c r="O553" s="3">
        <v>5.8756849088445834E-2</v>
      </c>
      <c r="P553" s="9">
        <f>N553+P552</f>
        <v>282382.38845814014</v>
      </c>
      <c r="Q553" s="5" t="str">
        <f>TEXT(Table13[[#This Row],[Closing Date]],"yyyy")</f>
        <v>2024</v>
      </c>
      <c r="R553" s="5" t="str">
        <f>TEXT(Table13[[#This Row],[Closing Date]],"mmmm")</f>
        <v>April</v>
      </c>
      <c r="S553" s="5" t="s">
        <v>240</v>
      </c>
      <c r="T553" s="5" t="s">
        <v>301</v>
      </c>
    </row>
    <row r="554" spans="1:20" x14ac:dyDescent="0.25">
      <c r="A554" t="s">
        <v>201</v>
      </c>
      <c r="B554" t="s">
        <v>303</v>
      </c>
      <c r="C554" t="s">
        <v>16</v>
      </c>
      <c r="D554" t="s">
        <v>7</v>
      </c>
      <c r="E554" s="5"/>
      <c r="F554" s="7">
        <v>45407</v>
      </c>
      <c r="G554" t="s">
        <v>263</v>
      </c>
      <c r="H554">
        <v>5000</v>
      </c>
      <c r="I554" s="5">
        <v>64872.5</v>
      </c>
      <c r="K554" s="5">
        <v>61623.68</v>
      </c>
      <c r="L554" s="5">
        <v>12.974500000000001</v>
      </c>
      <c r="M554" s="5">
        <v>12.324736</v>
      </c>
      <c r="N554" s="5">
        <v>-3248.8199999999997</v>
      </c>
      <c r="O554" s="3">
        <v>-5.0080080157231491E-2</v>
      </c>
      <c r="P554" s="9">
        <f>N554+P553</f>
        <v>279133.56845814013</v>
      </c>
      <c r="Q554" s="5" t="str">
        <f>TEXT(Table13[[#This Row],[Closing Date]],"yyyy")</f>
        <v>2024</v>
      </c>
      <c r="R554" s="5" t="str">
        <f>TEXT(Table13[[#This Row],[Closing Date]],"mmmm")</f>
        <v>April</v>
      </c>
      <c r="S554" s="5" t="s">
        <v>240</v>
      </c>
      <c r="T554" s="5" t="s">
        <v>301</v>
      </c>
    </row>
    <row r="555" spans="1:20" x14ac:dyDescent="0.25">
      <c r="A555" t="s">
        <v>201</v>
      </c>
      <c r="B555" t="s">
        <v>303</v>
      </c>
      <c r="C555" t="s">
        <v>16</v>
      </c>
      <c r="D555" t="s">
        <v>7</v>
      </c>
      <c r="E555" s="5"/>
      <c r="F555" s="7">
        <v>45407</v>
      </c>
      <c r="G555" t="s">
        <v>259</v>
      </c>
      <c r="H555">
        <v>3200</v>
      </c>
      <c r="I555" s="5">
        <v>79821.53</v>
      </c>
      <c r="K555" s="5">
        <v>91182.74</v>
      </c>
      <c r="L555" s="5">
        <v>24.944228124999999</v>
      </c>
      <c r="M555" s="5">
        <v>28.49460625</v>
      </c>
      <c r="N555" s="5">
        <v>11361.210000000006</v>
      </c>
      <c r="O555" s="3">
        <v>0.14233265135358852</v>
      </c>
      <c r="P555" s="9">
        <f>N555+P554</f>
        <v>290494.77845814015</v>
      </c>
      <c r="Q555" s="5" t="str">
        <f>TEXT(Table13[[#This Row],[Closing Date]],"yyyy")</f>
        <v>2024</v>
      </c>
      <c r="R555" s="5" t="str">
        <f>TEXT(Table13[[#This Row],[Closing Date]],"mmmm")</f>
        <v>April</v>
      </c>
      <c r="S555" s="5" t="s">
        <v>240</v>
      </c>
      <c r="T555" s="5" t="s">
        <v>301</v>
      </c>
    </row>
    <row r="556" spans="1:20" x14ac:dyDescent="0.25">
      <c r="A556" t="s">
        <v>201</v>
      </c>
      <c r="B556" t="s">
        <v>303</v>
      </c>
      <c r="C556" t="s">
        <v>16</v>
      </c>
      <c r="D556" t="s">
        <v>7</v>
      </c>
      <c r="E556" s="5"/>
      <c r="F556" s="7">
        <v>45408</v>
      </c>
      <c r="G556" t="s">
        <v>260</v>
      </c>
      <c r="H556">
        <v>1400</v>
      </c>
      <c r="I556" s="5">
        <v>115675</v>
      </c>
      <c r="K556" s="5">
        <v>111118.24</v>
      </c>
      <c r="L556" s="5">
        <v>82.625</v>
      </c>
      <c r="M556" s="5">
        <v>79.370171428571439</v>
      </c>
      <c r="N556" s="5">
        <v>-4726</v>
      </c>
      <c r="O556" s="3">
        <v>-4.0855846120596499E-2</v>
      </c>
      <c r="P556" s="9">
        <f>N556+P555</f>
        <v>285768.77845814015</v>
      </c>
      <c r="Q556" s="5" t="str">
        <f>TEXT(Table13[[#This Row],[Closing Date]],"yyyy")</f>
        <v>2024</v>
      </c>
      <c r="R556" s="5" t="str">
        <f>TEXT(Table13[[#This Row],[Closing Date]],"mmmm")</f>
        <v>April</v>
      </c>
      <c r="S556" s="5" t="s">
        <v>240</v>
      </c>
      <c r="T556" s="5" t="s">
        <v>301</v>
      </c>
    </row>
    <row r="557" spans="1:20" x14ac:dyDescent="0.25">
      <c r="A557" t="s">
        <v>201</v>
      </c>
      <c r="B557" t="s">
        <v>303</v>
      </c>
      <c r="C557" t="s">
        <v>16</v>
      </c>
      <c r="D557" t="s">
        <v>7</v>
      </c>
      <c r="E557" s="5"/>
      <c r="F557" s="7">
        <v>45408</v>
      </c>
      <c r="G557" t="s">
        <v>256</v>
      </c>
      <c r="H557">
        <v>1000</v>
      </c>
      <c r="I557" s="5">
        <v>110109.87</v>
      </c>
      <c r="K557" s="5">
        <v>109954.87</v>
      </c>
      <c r="L557" s="5">
        <v>110.10987</v>
      </c>
      <c r="M557" s="5">
        <v>109.95487</v>
      </c>
      <c r="N557" s="5">
        <v>-155</v>
      </c>
      <c r="O557" s="3">
        <v>-4.2920766321856527E-2</v>
      </c>
      <c r="P557" s="9">
        <f>N557+P556</f>
        <v>285613.77845814015</v>
      </c>
      <c r="Q557" s="5" t="str">
        <f>TEXT(Table13[[#This Row],[Closing Date]],"yyyy")</f>
        <v>2024</v>
      </c>
      <c r="R557" s="5" t="str">
        <f>TEXT(Table13[[#This Row],[Closing Date]],"mmmm")</f>
        <v>April</v>
      </c>
      <c r="S557" s="5" t="s">
        <v>240</v>
      </c>
      <c r="T557" s="5" t="s">
        <v>301</v>
      </c>
    </row>
    <row r="558" spans="1:20" x14ac:dyDescent="0.25">
      <c r="A558" t="s">
        <v>201</v>
      </c>
      <c r="B558" t="s">
        <v>306</v>
      </c>
      <c r="C558" t="s">
        <v>12</v>
      </c>
      <c r="D558" t="s">
        <v>7</v>
      </c>
      <c r="E558" s="5"/>
      <c r="F558" s="7">
        <v>45408</v>
      </c>
      <c r="G558" t="s">
        <v>86</v>
      </c>
      <c r="H558">
        <v>60</v>
      </c>
      <c r="I558" s="5">
        <v>281760</v>
      </c>
      <c r="K558" s="5">
        <v>273265.8</v>
      </c>
      <c r="L558" s="5">
        <v>4.6959999999999997</v>
      </c>
      <c r="M558" s="5">
        <v>4.55443</v>
      </c>
      <c r="N558" s="5">
        <v>-8494.2000000000116</v>
      </c>
      <c r="O558" s="3">
        <v>-3.0146933560477044E-2</v>
      </c>
      <c r="P558" s="9">
        <f>N558+P557</f>
        <v>277119.57845814014</v>
      </c>
      <c r="Q558" s="5" t="str">
        <f>TEXT(Table13[[#This Row],[Closing Date]],"yyyy")</f>
        <v>2024</v>
      </c>
      <c r="R558" s="5" t="str">
        <f>TEXT(Table13[[#This Row],[Closing Date]],"mmmm")</f>
        <v>April</v>
      </c>
      <c r="S558" s="5" t="s">
        <v>240</v>
      </c>
      <c r="T558" s="5" t="s">
        <v>301</v>
      </c>
    </row>
    <row r="559" spans="1:20" x14ac:dyDescent="0.25">
      <c r="A559" t="s">
        <v>197</v>
      </c>
      <c r="B559" t="s">
        <v>302</v>
      </c>
      <c r="C559" t="s">
        <v>102</v>
      </c>
      <c r="D559" t="s">
        <v>7</v>
      </c>
      <c r="E559" s="7">
        <v>45404</v>
      </c>
      <c r="F559" s="7">
        <v>45411</v>
      </c>
      <c r="G559" t="s">
        <v>15</v>
      </c>
      <c r="H559">
        <v>30</v>
      </c>
      <c r="I559" s="5">
        <v>6410.98</v>
      </c>
      <c r="J559" s="13">
        <v>100</v>
      </c>
      <c r="K559" s="5">
        <v>15997.11</v>
      </c>
      <c r="L559" s="5">
        <v>2.1369933333333333</v>
      </c>
      <c r="M559" s="5">
        <v>5.3323700000000001</v>
      </c>
      <c r="N559" s="5">
        <v>9586.130000000001</v>
      </c>
      <c r="O559" s="3">
        <v>1.4952674942052542</v>
      </c>
      <c r="P559" s="9">
        <f>N559+P558</f>
        <v>286705.70845814014</v>
      </c>
      <c r="Q559" s="5" t="str">
        <f>TEXT(Table13[[#This Row],[Closing Date]],"yyyy")</f>
        <v>2024</v>
      </c>
      <c r="R559" s="5" t="str">
        <f>TEXT(Table13[[#This Row],[Closing Date]],"mmmm")</f>
        <v>April</v>
      </c>
      <c r="S559" s="5" t="s">
        <v>240</v>
      </c>
      <c r="T559" s="5" t="s">
        <v>301</v>
      </c>
    </row>
    <row r="560" spans="1:20" x14ac:dyDescent="0.25">
      <c r="A560" t="s">
        <v>201</v>
      </c>
      <c r="B560" t="s">
        <v>303</v>
      </c>
      <c r="C560" t="s">
        <v>16</v>
      </c>
      <c r="D560" t="s">
        <v>7</v>
      </c>
      <c r="E560" s="5"/>
      <c r="F560" s="7">
        <v>45413</v>
      </c>
      <c r="G560" t="s">
        <v>160</v>
      </c>
      <c r="H560">
        <v>2300</v>
      </c>
      <c r="I560" s="5">
        <v>171361.5</v>
      </c>
      <c r="K560" s="5">
        <v>171206.5</v>
      </c>
      <c r="L560" s="5">
        <v>74.504999999999995</v>
      </c>
      <c r="M560" s="5">
        <v>74.437608695652173</v>
      </c>
      <c r="N560" s="5">
        <v>-5306.1000000000058</v>
      </c>
      <c r="O560" s="3">
        <v>-2.7579123665467449E-2</v>
      </c>
      <c r="P560" s="9">
        <f>N560+P559</f>
        <v>281399.60845814017</v>
      </c>
      <c r="Q560" s="5" t="str">
        <f>TEXT(Table13[[#This Row],[Closing Date]],"yyyy")</f>
        <v>2024</v>
      </c>
      <c r="R560" s="5" t="str">
        <f>TEXT(Table13[[#This Row],[Closing Date]],"mmmm")</f>
        <v>May</v>
      </c>
      <c r="S560" s="5" t="s">
        <v>240</v>
      </c>
      <c r="T560" s="5" t="s">
        <v>301</v>
      </c>
    </row>
    <row r="561" spans="1:20" x14ac:dyDescent="0.25">
      <c r="A561" t="s">
        <v>197</v>
      </c>
      <c r="B561" t="s">
        <v>303</v>
      </c>
      <c r="C561" t="s">
        <v>102</v>
      </c>
      <c r="D561" t="s">
        <v>7</v>
      </c>
      <c r="E561" s="11">
        <v>45410</v>
      </c>
      <c r="F561" s="7">
        <v>45413</v>
      </c>
      <c r="G561" t="s">
        <v>155</v>
      </c>
      <c r="H561">
        <v>9</v>
      </c>
      <c r="I561" s="5">
        <v>4756.5</v>
      </c>
      <c r="J561" s="13">
        <v>100</v>
      </c>
      <c r="K561" s="5">
        <v>6867.5</v>
      </c>
      <c r="L561" s="5">
        <v>5.2850000000000001</v>
      </c>
      <c r="M561" s="5">
        <v>7.6305555555555555</v>
      </c>
      <c r="N561" s="5">
        <v>2111</v>
      </c>
      <c r="O561" s="3">
        <v>0.44381372858194046</v>
      </c>
      <c r="P561" s="9">
        <f>N561+P560</f>
        <v>283510.60845814017</v>
      </c>
      <c r="Q561" s="5" t="str">
        <f>TEXT(Table13[[#This Row],[Closing Date]],"yyyy")</f>
        <v>2024</v>
      </c>
      <c r="R561" s="5" t="str">
        <f>TEXT(Table13[[#This Row],[Closing Date]],"mmmm")</f>
        <v>May</v>
      </c>
      <c r="S561" s="5" t="s">
        <v>240</v>
      </c>
      <c r="T561" s="5" t="s">
        <v>301</v>
      </c>
    </row>
    <row r="562" spans="1:20" x14ac:dyDescent="0.25">
      <c r="A562" t="s">
        <v>201</v>
      </c>
      <c r="B562" t="s">
        <v>303</v>
      </c>
      <c r="C562" t="s">
        <v>12</v>
      </c>
      <c r="D562" t="s">
        <v>7</v>
      </c>
      <c r="E562" s="5"/>
      <c r="F562" s="7">
        <v>45414</v>
      </c>
      <c r="G562" t="s">
        <v>269</v>
      </c>
      <c r="H562">
        <v>10</v>
      </c>
      <c r="I562" s="5">
        <v>352986.2</v>
      </c>
      <c r="K562" s="5">
        <v>367993.8</v>
      </c>
      <c r="L562" s="5">
        <v>17649.310000000001</v>
      </c>
      <c r="M562" s="5">
        <v>36.799379999999999</v>
      </c>
      <c r="N562" s="5">
        <v>15007.599999999977</v>
      </c>
      <c r="O562" s="3">
        <v>4.2516109694939845E-2</v>
      </c>
      <c r="P562" s="9">
        <f>N562+P561</f>
        <v>298518.20845814014</v>
      </c>
      <c r="Q562" s="5" t="str">
        <f>TEXT(Table13[[#This Row],[Closing Date]],"yyyy")</f>
        <v>2024</v>
      </c>
      <c r="R562" s="5" t="str">
        <f>TEXT(Table13[[#This Row],[Closing Date]],"mmmm")</f>
        <v>May</v>
      </c>
      <c r="S562" s="5" t="s">
        <v>240</v>
      </c>
      <c r="T562" s="5" t="s">
        <v>301</v>
      </c>
    </row>
    <row r="563" spans="1:20" x14ac:dyDescent="0.25">
      <c r="A563" t="s">
        <v>197</v>
      </c>
      <c r="B563" t="s">
        <v>303</v>
      </c>
      <c r="C563" t="s">
        <v>102</v>
      </c>
      <c r="D563" t="s">
        <v>7</v>
      </c>
      <c r="E563" s="11">
        <v>45410</v>
      </c>
      <c r="F563" s="7">
        <v>45415</v>
      </c>
      <c r="G563" t="s">
        <v>139</v>
      </c>
      <c r="H563">
        <v>10</v>
      </c>
      <c r="I563" s="5">
        <v>1997.0000000000002</v>
      </c>
      <c r="J563" s="13">
        <v>100</v>
      </c>
      <c r="K563" s="5">
        <v>0</v>
      </c>
      <c r="L563" s="5">
        <v>1.9970000000000001</v>
      </c>
      <c r="M563" s="5">
        <v>0</v>
      </c>
      <c r="N563" s="5">
        <v>-1997.0000000000002</v>
      </c>
      <c r="O563" s="3">
        <v>-1</v>
      </c>
      <c r="P563" s="9">
        <f>N563+P562</f>
        <v>296521.20845814014</v>
      </c>
      <c r="Q563" s="5" t="str">
        <f>TEXT(Table13[[#This Row],[Closing Date]],"yyyy")</f>
        <v>2024</v>
      </c>
      <c r="R563" s="5" t="str">
        <f>TEXT(Table13[[#This Row],[Closing Date]],"mmmm")</f>
        <v>May</v>
      </c>
      <c r="S563" s="5" t="s">
        <v>240</v>
      </c>
      <c r="T563" s="5" t="s">
        <v>301</v>
      </c>
    </row>
    <row r="564" spans="1:20" x14ac:dyDescent="0.25">
      <c r="A564" t="s">
        <v>201</v>
      </c>
      <c r="B564" t="s">
        <v>303</v>
      </c>
      <c r="C564" t="s">
        <v>16</v>
      </c>
      <c r="D564" t="s">
        <v>7</v>
      </c>
      <c r="E564" s="5"/>
      <c r="F564" s="7">
        <v>45419</v>
      </c>
      <c r="G564" t="s">
        <v>138</v>
      </c>
      <c r="H564">
        <v>530</v>
      </c>
      <c r="I564" s="5">
        <v>109606.65</v>
      </c>
      <c r="K564" s="5">
        <v>104637.90000000001</v>
      </c>
      <c r="L564" s="5">
        <v>206.80499999999998</v>
      </c>
      <c r="M564" s="5">
        <v>197.43</v>
      </c>
      <c r="N564" s="5">
        <v>-4968.7499999999854</v>
      </c>
      <c r="O564" s="3">
        <v>-4.5332559657648382E-2</v>
      </c>
      <c r="P564" s="9">
        <f>N564+P563</f>
        <v>291552.45845814014</v>
      </c>
      <c r="Q564" s="5" t="str">
        <f>TEXT(Table13[[#This Row],[Closing Date]],"yyyy")</f>
        <v>2024</v>
      </c>
      <c r="R564" s="5" t="str">
        <f>TEXT(Table13[[#This Row],[Closing Date]],"mmmm")</f>
        <v>May</v>
      </c>
      <c r="S564" s="5" t="s">
        <v>240</v>
      </c>
      <c r="T564" s="5" t="s">
        <v>301</v>
      </c>
    </row>
    <row r="565" spans="1:20" x14ac:dyDescent="0.25">
      <c r="A565" t="s">
        <v>197</v>
      </c>
      <c r="B565" t="s">
        <v>305</v>
      </c>
      <c r="C565" t="s">
        <v>102</v>
      </c>
      <c r="D565" t="s">
        <v>7</v>
      </c>
      <c r="E565" s="11">
        <v>45314</v>
      </c>
      <c r="F565" s="7">
        <v>45419</v>
      </c>
      <c r="G565" t="s">
        <v>292</v>
      </c>
      <c r="H565">
        <v>10</v>
      </c>
      <c r="I565" s="5">
        <v>25006.5</v>
      </c>
      <c r="J565" s="13">
        <v>100</v>
      </c>
      <c r="K565" s="5">
        <f>15997.27+16398.57+13230.59+11498.61</f>
        <v>57125.04</v>
      </c>
      <c r="L565" s="5">
        <f>Table13[[#This Row],[Open Value]]/Table13[[#This Row],[Shares]]/Table13[[#This Row],[Multiplier]]</f>
        <v>25.006500000000003</v>
      </c>
      <c r="M565" s="5">
        <f>Table13[[#This Row],[Close Value]]/Table13[[#This Row],[Shares]]/Table13[[#This Row],[Multiplier]]</f>
        <v>57.125039999999998</v>
      </c>
      <c r="N565" s="5">
        <f>Table13[[#This Row],[Close Value]]-Table13[[#This Row],[Open Value]]</f>
        <v>32118.54</v>
      </c>
      <c r="O565" s="3">
        <f>Table13[[#This Row],[PnL]]/Table13[[#This Row],[Open Value]]</f>
        <v>1.2844076540099574</v>
      </c>
      <c r="P565" s="9">
        <f>N565+P564</f>
        <v>323670.99845814012</v>
      </c>
      <c r="Q565" s="5" t="str">
        <f>TEXT(Table13[[#This Row],[Closing Date]],"yyyy")</f>
        <v>2024</v>
      </c>
      <c r="R565" s="5" t="str">
        <f>TEXT(Table13[[#This Row],[Closing Date]],"mmmm")</f>
        <v>May</v>
      </c>
      <c r="S565" s="5" t="s">
        <v>240</v>
      </c>
      <c r="T565" s="5" t="s">
        <v>203</v>
      </c>
    </row>
    <row r="566" spans="1:20" x14ac:dyDescent="0.25">
      <c r="A566" t="s">
        <v>197</v>
      </c>
      <c r="B566" t="s">
        <v>302</v>
      </c>
      <c r="C566" t="s">
        <v>98</v>
      </c>
      <c r="D566" t="s">
        <v>7</v>
      </c>
      <c r="E566" s="11">
        <v>45412</v>
      </c>
      <c r="F566" s="7">
        <v>45422</v>
      </c>
      <c r="G566" t="s">
        <v>266</v>
      </c>
      <c r="H566">
        <v>100</v>
      </c>
      <c r="I566" s="5">
        <v>8110.0000000000009</v>
      </c>
      <c r="J566" s="13">
        <v>100</v>
      </c>
      <c r="K566" s="5">
        <v>800</v>
      </c>
      <c r="L566" s="5">
        <v>0.81100000000000005</v>
      </c>
      <c r="M566" s="5">
        <v>0.08</v>
      </c>
      <c r="N566" s="5">
        <v>-7310.0000000000009</v>
      </c>
      <c r="O566" s="3">
        <v>-0.90135635018495686</v>
      </c>
      <c r="P566" s="9">
        <f>N566+P565</f>
        <v>316360.99845814012</v>
      </c>
      <c r="Q566" s="5" t="str">
        <f>TEXT(Table13[[#This Row],[Closing Date]],"yyyy")</f>
        <v>2024</v>
      </c>
      <c r="R566" s="5" t="str">
        <f>TEXT(Table13[[#This Row],[Closing Date]],"mmmm")</f>
        <v>May</v>
      </c>
      <c r="S566" s="5" t="s">
        <v>240</v>
      </c>
      <c r="T566" s="5" t="s">
        <v>301</v>
      </c>
    </row>
    <row r="567" spans="1:20" x14ac:dyDescent="0.25">
      <c r="A567" t="s">
        <v>201</v>
      </c>
      <c r="B567" t="s">
        <v>303</v>
      </c>
      <c r="C567" t="s">
        <v>16</v>
      </c>
      <c r="D567" t="s">
        <v>7</v>
      </c>
      <c r="E567" s="5"/>
      <c r="F567" s="7">
        <v>45422</v>
      </c>
      <c r="G567" t="s">
        <v>266</v>
      </c>
      <c r="H567">
        <v>10000</v>
      </c>
      <c r="I567" s="5">
        <v>430000</v>
      </c>
      <c r="K567" s="5">
        <v>453604.79</v>
      </c>
      <c r="L567" s="5">
        <v>43</v>
      </c>
      <c r="M567" s="5">
        <v>45.360478999999998</v>
      </c>
      <c r="N567" s="5">
        <v>-14030</v>
      </c>
      <c r="O567" s="3">
        <v>-5.4894860465116227E-2</v>
      </c>
      <c r="P567" s="9">
        <f>N567+P566</f>
        <v>302330.99845814012</v>
      </c>
      <c r="Q567" s="5" t="str">
        <f>TEXT(Table13[[#This Row],[Closing Date]],"yyyy")</f>
        <v>2024</v>
      </c>
      <c r="R567" s="5" t="str">
        <f>TEXT(Table13[[#This Row],[Closing Date]],"mmmm")</f>
        <v>May</v>
      </c>
      <c r="S567" s="5" t="s">
        <v>240</v>
      </c>
      <c r="T567" s="5" t="s">
        <v>301</v>
      </c>
    </row>
    <row r="568" spans="1:20" x14ac:dyDescent="0.25">
      <c r="A568" t="s">
        <v>201</v>
      </c>
      <c r="B568" t="s">
        <v>303</v>
      </c>
      <c r="C568" t="s">
        <v>16</v>
      </c>
      <c r="D568" t="s">
        <v>7</v>
      </c>
      <c r="E568" s="5"/>
      <c r="F568" s="7">
        <v>45423</v>
      </c>
      <c r="G568" t="s">
        <v>272</v>
      </c>
      <c r="H568">
        <v>2700</v>
      </c>
      <c r="I568" s="5">
        <v>72913.5</v>
      </c>
      <c r="K568" s="5">
        <v>61986.05</v>
      </c>
      <c r="L568" s="5">
        <v>27.004999999999999</v>
      </c>
      <c r="M568" s="5">
        <v>22.957796296296298</v>
      </c>
      <c r="N568" s="5">
        <v>-10927.449999999997</v>
      </c>
      <c r="O568" s="3">
        <v>-0.14986868001124617</v>
      </c>
      <c r="P568" s="9">
        <f>N568+P567</f>
        <v>291403.54845814011</v>
      </c>
      <c r="Q568" s="5" t="str">
        <f>TEXT(Table13[[#This Row],[Closing Date]],"yyyy")</f>
        <v>2024</v>
      </c>
      <c r="R568" s="5" t="str">
        <f>TEXT(Table13[[#This Row],[Closing Date]],"mmmm")</f>
        <v>May</v>
      </c>
      <c r="S568" s="5" t="s">
        <v>240</v>
      </c>
      <c r="T568" s="5" t="s">
        <v>301</v>
      </c>
    </row>
    <row r="569" spans="1:20" x14ac:dyDescent="0.25">
      <c r="A569" t="s">
        <v>201</v>
      </c>
      <c r="B569" t="s">
        <v>303</v>
      </c>
      <c r="C569" t="s">
        <v>12</v>
      </c>
      <c r="D569" t="s">
        <v>7</v>
      </c>
      <c r="E569" s="5"/>
      <c r="F569" s="7">
        <v>45425</v>
      </c>
      <c r="G569" t="s">
        <v>88</v>
      </c>
      <c r="H569">
        <v>15</v>
      </c>
      <c r="I569" s="5">
        <v>335624</v>
      </c>
      <c r="K569" s="5">
        <v>315499</v>
      </c>
      <c r="L569" s="5">
        <v>19.977619047619047</v>
      </c>
      <c r="M569" s="5">
        <v>21.03326666666667</v>
      </c>
      <c r="N569" s="5">
        <v>-20123</v>
      </c>
      <c r="O569" s="3">
        <v>-5.99569756632422E-2</v>
      </c>
      <c r="P569" s="9">
        <f>N569+P568</f>
        <v>271280.54845814011</v>
      </c>
      <c r="Q569" s="5" t="str">
        <f>TEXT(Table13[[#This Row],[Closing Date]],"yyyy")</f>
        <v>2024</v>
      </c>
      <c r="R569" s="5" t="str">
        <f>TEXT(Table13[[#This Row],[Closing Date]],"mmmm")</f>
        <v>May</v>
      </c>
      <c r="S569" s="5" t="s">
        <v>240</v>
      </c>
      <c r="T569" s="5" t="s">
        <v>301</v>
      </c>
    </row>
    <row r="570" spans="1:20" x14ac:dyDescent="0.25">
      <c r="A570" t="s">
        <v>197</v>
      </c>
      <c r="B570" t="s">
        <v>306</v>
      </c>
      <c r="C570" t="s">
        <v>197</v>
      </c>
      <c r="D570" t="s">
        <v>7</v>
      </c>
      <c r="E570" s="11">
        <v>45330</v>
      </c>
      <c r="F570" s="7">
        <v>45426</v>
      </c>
      <c r="G570" t="s">
        <v>298</v>
      </c>
      <c r="H570">
        <v>210</v>
      </c>
      <c r="I570" s="5">
        <v>28878</v>
      </c>
      <c r="J570" s="13">
        <v>100</v>
      </c>
      <c r="K570" s="5">
        <f>16773.87+19483.59+30312.01</f>
        <v>66569.47</v>
      </c>
      <c r="L570" s="5">
        <f>Table13[[#This Row],[Open Value]]/Table13[[#This Row],[Shares]]/Table13[[#This Row],[Multiplier]]</f>
        <v>1.375142857142857</v>
      </c>
      <c r="M570" s="5">
        <f>Table13[[#This Row],[Close Value]]/Table13[[#This Row],[Shares]]/Table13[[#This Row],[Multiplier]]</f>
        <v>3.1699747619047622</v>
      </c>
      <c r="N570" s="5">
        <f>Table13[[#This Row],[Close Value]]-Table13[[#This Row],[Open Value]]</f>
        <v>37691.47</v>
      </c>
      <c r="O570" s="3">
        <f>Table13[[#This Row],[PnL]]/Table13[[#This Row],[Open Value]]</f>
        <v>1.3051966895214351</v>
      </c>
      <c r="P570" s="9">
        <f>N570+P569</f>
        <v>308972.01845814008</v>
      </c>
      <c r="Q570" s="5" t="str">
        <f>TEXT(Table13[[#This Row],[Closing Date]],"yyyy")</f>
        <v>2024</v>
      </c>
      <c r="R570" s="5" t="str">
        <f>TEXT(Table13[[#This Row],[Closing Date]],"mmmm")</f>
        <v>May</v>
      </c>
      <c r="S570" s="5" t="s">
        <v>240</v>
      </c>
      <c r="T570" s="5" t="s">
        <v>203</v>
      </c>
    </row>
    <row r="571" spans="1:20" x14ac:dyDescent="0.25">
      <c r="A571" t="s">
        <v>201</v>
      </c>
      <c r="B571" t="s">
        <v>305</v>
      </c>
      <c r="C571" t="s">
        <v>16</v>
      </c>
      <c r="D571" t="s">
        <v>7</v>
      </c>
      <c r="E571" s="5"/>
      <c r="F571" s="7">
        <v>45428</v>
      </c>
      <c r="G571" t="s">
        <v>52</v>
      </c>
      <c r="H571">
        <v>5000</v>
      </c>
      <c r="I571" s="5">
        <v>134805.20000000001</v>
      </c>
      <c r="K571" s="5">
        <v>134895.20000000001</v>
      </c>
      <c r="L571" s="5">
        <v>26.961040000000001</v>
      </c>
      <c r="M571" s="5">
        <v>26.979040000000001</v>
      </c>
      <c r="N571" s="5">
        <v>90</v>
      </c>
      <c r="O571" s="3">
        <v>6.6763003207591398E-4</v>
      </c>
      <c r="P571" s="9">
        <f>N571+P570</f>
        <v>309062.01845814008</v>
      </c>
      <c r="Q571" s="5" t="str">
        <f>TEXT(Table13[[#This Row],[Closing Date]],"yyyy")</f>
        <v>2024</v>
      </c>
      <c r="R571" s="5" t="str">
        <f>TEXT(Table13[[#This Row],[Closing Date]],"mmmm")</f>
        <v>May</v>
      </c>
      <c r="S571" s="5" t="s">
        <v>240</v>
      </c>
      <c r="T571" s="5" t="s">
        <v>301</v>
      </c>
    </row>
    <row r="572" spans="1:20" x14ac:dyDescent="0.25">
      <c r="A572" t="s">
        <v>201</v>
      </c>
      <c r="B572" t="s">
        <v>305</v>
      </c>
      <c r="C572" t="s">
        <v>16</v>
      </c>
      <c r="D572" t="s">
        <v>7</v>
      </c>
      <c r="E572" s="5"/>
      <c r="F572" s="7">
        <v>45428</v>
      </c>
      <c r="G572" t="s">
        <v>273</v>
      </c>
      <c r="H572">
        <v>2800</v>
      </c>
      <c r="I572" s="5">
        <v>32298</v>
      </c>
      <c r="K572" s="5">
        <v>27200.78</v>
      </c>
      <c r="L572" s="5">
        <v>11.535</v>
      </c>
      <c r="M572" s="5">
        <v>9.7145642857142853</v>
      </c>
      <c r="N572" s="5">
        <v>-5097.2200000000012</v>
      </c>
      <c r="O572" s="3">
        <v>-0.15781844077032636</v>
      </c>
      <c r="P572" s="9">
        <f>N572+P571</f>
        <v>303964.79845814011</v>
      </c>
      <c r="Q572" s="5" t="str">
        <f>TEXT(Table13[[#This Row],[Closing Date]],"yyyy")</f>
        <v>2024</v>
      </c>
      <c r="R572" s="5" t="str">
        <f>TEXT(Table13[[#This Row],[Closing Date]],"mmmm")</f>
        <v>May</v>
      </c>
      <c r="S572" s="5" t="s">
        <v>240</v>
      </c>
      <c r="T572" s="5" t="s">
        <v>301</v>
      </c>
    </row>
    <row r="573" spans="1:20" x14ac:dyDescent="0.25">
      <c r="A573" t="s">
        <v>201</v>
      </c>
      <c r="B573" t="s">
        <v>303</v>
      </c>
      <c r="C573" t="s">
        <v>16</v>
      </c>
      <c r="D573" t="s">
        <v>7</v>
      </c>
      <c r="E573" s="5"/>
      <c r="F573" s="7">
        <v>45429</v>
      </c>
      <c r="G573" t="s">
        <v>155</v>
      </c>
      <c r="H573">
        <v>610</v>
      </c>
      <c r="I573" s="5">
        <v>185504.05</v>
      </c>
      <c r="K573" s="5">
        <v>197936.24</v>
      </c>
      <c r="L573" s="5">
        <v>304.10499999999996</v>
      </c>
      <c r="M573" s="5">
        <v>942.55352380952377</v>
      </c>
      <c r="N573" s="5">
        <v>12432.190000000002</v>
      </c>
      <c r="O573" s="3">
        <v>6.7018428977696193E-2</v>
      </c>
      <c r="P573" s="9">
        <f>N573+P572</f>
        <v>316396.98845814011</v>
      </c>
      <c r="Q573" s="5" t="str">
        <f>TEXT(Table13[[#This Row],[Closing Date]],"yyyy")</f>
        <v>2024</v>
      </c>
      <c r="R573" s="5" t="str">
        <f>TEXT(Table13[[#This Row],[Closing Date]],"mmmm")</f>
        <v>May</v>
      </c>
      <c r="S573" s="5" t="s">
        <v>240</v>
      </c>
      <c r="T573" s="5" t="s">
        <v>301</v>
      </c>
    </row>
    <row r="574" spans="1:20" x14ac:dyDescent="0.25">
      <c r="A574" t="s">
        <v>201</v>
      </c>
      <c r="B574" t="s">
        <v>305</v>
      </c>
      <c r="C574" t="s">
        <v>16</v>
      </c>
      <c r="D574" t="s">
        <v>7</v>
      </c>
      <c r="E574" s="5"/>
      <c r="F574" s="7">
        <v>45429</v>
      </c>
      <c r="G574" t="s">
        <v>37</v>
      </c>
      <c r="H574">
        <v>820</v>
      </c>
      <c r="I574" s="5">
        <v>145729.4</v>
      </c>
      <c r="K574" s="5">
        <v>140579.98000000001</v>
      </c>
      <c r="L574" s="5">
        <v>177.71878048780488</v>
      </c>
      <c r="M574" s="5">
        <v>171.43900000000002</v>
      </c>
      <c r="N574" s="5">
        <v>-5149.4199999999837</v>
      </c>
      <c r="O574" s="3">
        <v>-3.5335491671550034E-2</v>
      </c>
      <c r="P574" s="9">
        <f>N574+P573</f>
        <v>311247.56845814013</v>
      </c>
      <c r="Q574" s="5" t="str">
        <f>TEXT(Table13[[#This Row],[Closing Date]],"yyyy")</f>
        <v>2024</v>
      </c>
      <c r="R574" s="5" t="str">
        <f>TEXT(Table13[[#This Row],[Closing Date]],"mmmm")</f>
        <v>May</v>
      </c>
      <c r="S574" s="5" t="s">
        <v>240</v>
      </c>
      <c r="T574" s="5" t="s">
        <v>301</v>
      </c>
    </row>
    <row r="575" spans="1:20" x14ac:dyDescent="0.25">
      <c r="A575" t="s">
        <v>201</v>
      </c>
      <c r="B575" t="s">
        <v>305</v>
      </c>
      <c r="C575" t="s">
        <v>16</v>
      </c>
      <c r="D575" t="s">
        <v>7</v>
      </c>
      <c r="E575" s="5"/>
      <c r="F575" s="7">
        <v>45430</v>
      </c>
      <c r="G575" t="s">
        <v>142</v>
      </c>
      <c r="H575">
        <v>800</v>
      </c>
      <c r="I575" s="5">
        <v>98573.94</v>
      </c>
      <c r="K575" s="5">
        <v>93249.78</v>
      </c>
      <c r="L575" s="5">
        <v>123.21742500000001</v>
      </c>
      <c r="M575" s="5">
        <v>116.562225</v>
      </c>
      <c r="N575" s="5">
        <v>-5324.1600000000035</v>
      </c>
      <c r="O575" s="3">
        <v>-5.4011841263522625E-2</v>
      </c>
      <c r="P575" s="9">
        <f>N575+P574</f>
        <v>305923.4084581401</v>
      </c>
      <c r="Q575" s="5" t="str">
        <f>TEXT(Table13[[#This Row],[Closing Date]],"yyyy")</f>
        <v>2024</v>
      </c>
      <c r="R575" s="5" t="str">
        <f>TEXT(Table13[[#This Row],[Closing Date]],"mmmm")</f>
        <v>May</v>
      </c>
      <c r="S575" s="5" t="s">
        <v>240</v>
      </c>
      <c r="T575" s="5" t="s">
        <v>301</v>
      </c>
    </row>
    <row r="576" spans="1:20" x14ac:dyDescent="0.25">
      <c r="A576" t="s">
        <v>201</v>
      </c>
      <c r="B576" t="s">
        <v>305</v>
      </c>
      <c r="C576" t="s">
        <v>16</v>
      </c>
      <c r="D576" t="s">
        <v>7</v>
      </c>
      <c r="E576" s="5"/>
      <c r="F576" s="7">
        <v>45432</v>
      </c>
      <c r="G576" t="s">
        <v>96</v>
      </c>
      <c r="H576">
        <v>1300</v>
      </c>
      <c r="I576" s="5">
        <v>240506.5</v>
      </c>
      <c r="K576" s="5">
        <v>233279.78</v>
      </c>
      <c r="L576" s="5">
        <v>185.005</v>
      </c>
      <c r="M576" s="5">
        <v>179.44598461538462</v>
      </c>
      <c r="N576" s="5">
        <v>-7226.7200000000012</v>
      </c>
      <c r="O576" s="3">
        <v>-3.0047919702793899E-2</v>
      </c>
      <c r="P576" s="9">
        <f>N576+P575</f>
        <v>298696.68845814012</v>
      </c>
      <c r="Q576" s="5" t="str">
        <f>TEXT(Table13[[#This Row],[Closing Date]],"yyyy")</f>
        <v>2024</v>
      </c>
      <c r="R576" s="5" t="str">
        <f>TEXT(Table13[[#This Row],[Closing Date]],"mmmm")</f>
        <v>May</v>
      </c>
      <c r="S576" s="5" t="s">
        <v>240</v>
      </c>
      <c r="T576" s="5" t="s">
        <v>301</v>
      </c>
    </row>
    <row r="577" spans="1:20" x14ac:dyDescent="0.25">
      <c r="A577" t="s">
        <v>201</v>
      </c>
      <c r="B577" t="s">
        <v>303</v>
      </c>
      <c r="C577" t="s">
        <v>16</v>
      </c>
      <c r="D577" t="s">
        <v>7</v>
      </c>
      <c r="E577" s="5"/>
      <c r="F577" s="7">
        <v>45432</v>
      </c>
      <c r="G577" t="s">
        <v>146</v>
      </c>
      <c r="H577">
        <v>2500</v>
      </c>
      <c r="I577" s="5">
        <v>209862.5</v>
      </c>
      <c r="K577" s="5">
        <v>199162.76</v>
      </c>
      <c r="L577" s="5">
        <v>83.944999999999993</v>
      </c>
      <c r="M577" s="5">
        <v>79.665103999999999</v>
      </c>
      <c r="N577" s="5">
        <v>-10699.739999999991</v>
      </c>
      <c r="O577" s="3">
        <v>-5.0984525582226416E-2</v>
      </c>
      <c r="P577" s="9">
        <f>N577+P576</f>
        <v>287996.94845814013</v>
      </c>
      <c r="Q577" s="5" t="str">
        <f>TEXT(Table13[[#This Row],[Closing Date]],"yyyy")</f>
        <v>2024</v>
      </c>
      <c r="R577" s="5" t="str">
        <f>TEXT(Table13[[#This Row],[Closing Date]],"mmmm")</f>
        <v>May</v>
      </c>
      <c r="S577" s="5" t="s">
        <v>240</v>
      </c>
      <c r="T577" s="5" t="s">
        <v>301</v>
      </c>
    </row>
    <row r="578" spans="1:20" x14ac:dyDescent="0.25">
      <c r="A578" t="s">
        <v>201</v>
      </c>
      <c r="B578" t="s">
        <v>303</v>
      </c>
      <c r="C578" t="s">
        <v>16</v>
      </c>
      <c r="D578" t="s">
        <v>7</v>
      </c>
      <c r="E578" s="5"/>
      <c r="F578" s="7">
        <v>45432</v>
      </c>
      <c r="G578" t="s">
        <v>23</v>
      </c>
      <c r="H578">
        <v>3500</v>
      </c>
      <c r="I578" s="5">
        <v>77717.5</v>
      </c>
      <c r="K578" s="5">
        <v>72920.5</v>
      </c>
      <c r="L578" s="5">
        <v>22.204999999999998</v>
      </c>
      <c r="M578" s="5">
        <v>20.834428571428571</v>
      </c>
      <c r="N578" s="5">
        <v>-4797</v>
      </c>
      <c r="O578" s="3">
        <v>-6.1723550036992952E-2</v>
      </c>
      <c r="P578" s="9">
        <f>N578+P577</f>
        <v>283199.94845814013</v>
      </c>
      <c r="Q578" s="5" t="str">
        <f>TEXT(Table13[[#This Row],[Closing Date]],"yyyy")</f>
        <v>2024</v>
      </c>
      <c r="R578" s="5" t="str">
        <f>TEXT(Table13[[#This Row],[Closing Date]],"mmmm")</f>
        <v>May</v>
      </c>
      <c r="S578" s="5" t="s">
        <v>240</v>
      </c>
      <c r="T578" s="5" t="s">
        <v>301</v>
      </c>
    </row>
    <row r="579" spans="1:20" x14ac:dyDescent="0.25">
      <c r="A579" t="s">
        <v>201</v>
      </c>
      <c r="B579" t="s">
        <v>303</v>
      </c>
      <c r="C579" t="s">
        <v>16</v>
      </c>
      <c r="D579" t="s">
        <v>7</v>
      </c>
      <c r="E579" s="5"/>
      <c r="F579" s="7">
        <v>45432</v>
      </c>
      <c r="G579" t="s">
        <v>72</v>
      </c>
      <c r="H579">
        <v>100</v>
      </c>
      <c r="I579" s="5">
        <v>89990.200000000012</v>
      </c>
      <c r="K579" s="5">
        <v>83797.650000000009</v>
      </c>
      <c r="L579" s="5">
        <v>899.90200000000016</v>
      </c>
      <c r="M579" s="5">
        <v>837.9765000000001</v>
      </c>
      <c r="N579" s="5">
        <v>-6192.5500000000029</v>
      </c>
      <c r="O579" s="3">
        <v>-6.8813604148007246E-2</v>
      </c>
      <c r="P579" s="9">
        <f>N579+P578</f>
        <v>277007.39845814015</v>
      </c>
      <c r="Q579" s="5" t="str">
        <f>TEXT(Table13[[#This Row],[Closing Date]],"yyyy")</f>
        <v>2024</v>
      </c>
      <c r="R579" s="5" t="str">
        <f>TEXT(Table13[[#This Row],[Closing Date]],"mmmm")</f>
        <v>May</v>
      </c>
      <c r="S579" s="5" t="s">
        <v>240</v>
      </c>
      <c r="T579" s="5" t="s">
        <v>301</v>
      </c>
    </row>
    <row r="580" spans="1:20" x14ac:dyDescent="0.25">
      <c r="A580" t="s">
        <v>201</v>
      </c>
      <c r="B580" t="s">
        <v>303</v>
      </c>
      <c r="C580" t="s">
        <v>12</v>
      </c>
      <c r="D580" t="s">
        <v>7</v>
      </c>
      <c r="E580" s="5"/>
      <c r="F580" s="7">
        <v>45433</v>
      </c>
      <c r="G580" t="s">
        <v>270</v>
      </c>
      <c r="H580">
        <v>5</v>
      </c>
      <c r="I580" s="5">
        <v>157514.85</v>
      </c>
      <c r="K580" s="5">
        <v>174985.15</v>
      </c>
      <c r="L580" s="5">
        <v>630.05939999999998</v>
      </c>
      <c r="M580" s="5">
        <v>34.997030000000002</v>
      </c>
      <c r="N580" s="5">
        <v>17470.299999999988</v>
      </c>
      <c r="O580" s="3">
        <v>0.11091208225764103</v>
      </c>
      <c r="P580" s="9">
        <f>N580+P579</f>
        <v>294477.69845814013</v>
      </c>
      <c r="Q580" s="5" t="str">
        <f>TEXT(Table13[[#This Row],[Closing Date]],"yyyy")</f>
        <v>2024</v>
      </c>
      <c r="R580" s="5" t="str">
        <f>TEXT(Table13[[#This Row],[Closing Date]],"mmmm")</f>
        <v>May</v>
      </c>
      <c r="S580" s="5" t="s">
        <v>240</v>
      </c>
      <c r="T580" s="5" t="s">
        <v>301</v>
      </c>
    </row>
    <row r="581" spans="1:20" x14ac:dyDescent="0.25">
      <c r="A581" t="s">
        <v>201</v>
      </c>
      <c r="B581" t="s">
        <v>303</v>
      </c>
      <c r="C581" t="s">
        <v>16</v>
      </c>
      <c r="D581" t="s">
        <v>7</v>
      </c>
      <c r="E581" s="5"/>
      <c r="F581" s="7">
        <v>45433</v>
      </c>
      <c r="G581" t="s">
        <v>274</v>
      </c>
      <c r="H581">
        <v>5000</v>
      </c>
      <c r="I581" s="5">
        <v>204145</v>
      </c>
      <c r="K581" s="5">
        <v>196498.3</v>
      </c>
      <c r="L581" s="5">
        <v>40.829000000000001</v>
      </c>
      <c r="M581" s="5">
        <v>39.299659999999996</v>
      </c>
      <c r="N581" s="5">
        <v>-7646.7000000000116</v>
      </c>
      <c r="O581" s="3">
        <v>-3.7457199539543032E-2</v>
      </c>
      <c r="P581" s="9">
        <f>N581+P580</f>
        <v>286830.99845814012</v>
      </c>
      <c r="Q581" s="5" t="str">
        <f>TEXT(Table13[[#This Row],[Closing Date]],"yyyy")</f>
        <v>2024</v>
      </c>
      <c r="R581" s="5" t="str">
        <f>TEXT(Table13[[#This Row],[Closing Date]],"mmmm")</f>
        <v>May</v>
      </c>
      <c r="S581" s="5" t="s">
        <v>240</v>
      </c>
      <c r="T581" s="5" t="s">
        <v>301</v>
      </c>
    </row>
    <row r="582" spans="1:20" x14ac:dyDescent="0.25">
      <c r="A582" t="s">
        <v>201</v>
      </c>
      <c r="B582" t="s">
        <v>305</v>
      </c>
      <c r="C582" t="s">
        <v>16</v>
      </c>
      <c r="D582" t="s">
        <v>7</v>
      </c>
      <c r="E582" s="11">
        <v>45427</v>
      </c>
      <c r="F582" s="7">
        <v>45434</v>
      </c>
      <c r="G582" t="s">
        <v>300</v>
      </c>
      <c r="H582">
        <v>1200</v>
      </c>
      <c r="I582" s="5">
        <v>141911.88</v>
      </c>
      <c r="J582" s="13">
        <v>1</v>
      </c>
      <c r="K582" s="5">
        <v>137973.35999999999</v>
      </c>
      <c r="L582" s="5">
        <f>Table13[[#This Row],[Open Value]]/Table13[[#This Row],[Shares]]/Table13[[#This Row],[Multiplier]]</f>
        <v>118.2599</v>
      </c>
      <c r="M582" s="5">
        <f>Table13[[#This Row],[Close Value]]/Table13[[#This Row],[Shares]]/Table13[[#This Row],[Multiplier]]</f>
        <v>114.97779999999999</v>
      </c>
      <c r="N582" s="5">
        <f>Table13[[#This Row],[Close Value]]-Table13[[#This Row],[Open Value]]</f>
        <v>-3938.5200000000186</v>
      </c>
      <c r="O582" s="3">
        <f>Table13[[#This Row],[PnL]]/Table13[[#This Row],[Open Value]]</f>
        <v>-2.7753279006662575E-2</v>
      </c>
      <c r="P582" s="9">
        <f>N582+P581</f>
        <v>282892.4784581401</v>
      </c>
      <c r="Q582" s="5" t="str">
        <f>TEXT(Table13[[#This Row],[Closing Date]],"yyyy")</f>
        <v>2024</v>
      </c>
      <c r="R582" s="5" t="str">
        <f>TEXT(Table13[[#This Row],[Closing Date]],"mmmm")</f>
        <v>May</v>
      </c>
      <c r="S582" s="5" t="s">
        <v>240</v>
      </c>
      <c r="T582" s="5" t="s">
        <v>203</v>
      </c>
    </row>
    <row r="583" spans="1:20" x14ac:dyDescent="0.25">
      <c r="A583" t="s">
        <v>197</v>
      </c>
      <c r="B583" t="s">
        <v>306</v>
      </c>
      <c r="C583" t="s">
        <v>102</v>
      </c>
      <c r="D583" t="s">
        <v>7</v>
      </c>
      <c r="E583" s="11">
        <v>45428</v>
      </c>
      <c r="F583" s="7">
        <v>45435</v>
      </c>
      <c r="G583" t="s">
        <v>136</v>
      </c>
      <c r="H583">
        <v>5</v>
      </c>
      <c r="I583" s="5">
        <v>8698.48</v>
      </c>
      <c r="J583" s="13">
        <v>100</v>
      </c>
      <c r="K583" s="5">
        <v>6487</v>
      </c>
      <c r="L583" s="5">
        <v>17.39696</v>
      </c>
      <c r="M583" s="5">
        <v>12.974</v>
      </c>
      <c r="N583" s="5">
        <v>-2211.4799999999996</v>
      </c>
      <c r="O583" s="3">
        <v>-0.25423752195785931</v>
      </c>
      <c r="P583" s="9">
        <f>N583+P582</f>
        <v>280680.99845814012</v>
      </c>
      <c r="Q583" s="5" t="str">
        <f>TEXT(Table13[[#This Row],[Closing Date]],"yyyy")</f>
        <v>2024</v>
      </c>
      <c r="R583" s="5" t="str">
        <f>TEXT(Table13[[#This Row],[Closing Date]],"mmmm")</f>
        <v>May</v>
      </c>
      <c r="S583" s="5" t="s">
        <v>240</v>
      </c>
      <c r="T583" s="5" t="s">
        <v>301</v>
      </c>
    </row>
    <row r="584" spans="1:20" x14ac:dyDescent="0.25">
      <c r="A584" t="s">
        <v>197</v>
      </c>
      <c r="B584" t="s">
        <v>302</v>
      </c>
      <c r="C584" t="s">
        <v>102</v>
      </c>
      <c r="D584" t="s">
        <v>7</v>
      </c>
      <c r="E584" s="11">
        <v>45371</v>
      </c>
      <c r="F584" s="7">
        <v>45435</v>
      </c>
      <c r="G584" t="s">
        <v>209</v>
      </c>
      <c r="H584">
        <v>100</v>
      </c>
      <c r="I584" s="5">
        <v>9992.23</v>
      </c>
      <c r="J584" s="13">
        <v>100</v>
      </c>
      <c r="K584" s="5">
        <v>0</v>
      </c>
      <c r="L584" s="5">
        <f>Table13[[#This Row],[Open Value]]/Table13[[#This Row],[Shares]]/Table13[[#This Row],[Multiplier]]</f>
        <v>0.99922299999999997</v>
      </c>
      <c r="M584" s="5">
        <f>Table13[[#This Row],[Close Value]]/Table13[[#This Row],[Shares]]/Table13[[#This Row],[Multiplier]]</f>
        <v>0</v>
      </c>
      <c r="N584" s="5">
        <f>79.57-1870.97</f>
        <v>-1791.4</v>
      </c>
      <c r="O584" s="3">
        <f>Table13[[#This Row],[PnL]]/Table13[[#This Row],[Open Value]]</f>
        <v>-0.17927930001611253</v>
      </c>
      <c r="P584" s="9">
        <f>N584+P583</f>
        <v>278889.5984581401</v>
      </c>
      <c r="Q584" s="5" t="str">
        <f>TEXT(Table13[[#This Row],[Closing Date]],"yyyy")</f>
        <v>2024</v>
      </c>
      <c r="R584" s="5" t="str">
        <f>TEXT(Table13[[#This Row],[Closing Date]],"mmmm")</f>
        <v>May</v>
      </c>
      <c r="S584" s="5"/>
      <c r="T584" s="5"/>
    </row>
    <row r="585" spans="1:20" x14ac:dyDescent="0.25">
      <c r="A585" t="s">
        <v>197</v>
      </c>
      <c r="B585" t="s">
        <v>302</v>
      </c>
      <c r="C585" t="s">
        <v>102</v>
      </c>
      <c r="D585" t="s">
        <v>7</v>
      </c>
      <c r="E585" s="11">
        <v>45432</v>
      </c>
      <c r="F585" s="7">
        <v>45436</v>
      </c>
      <c r="G585" t="s">
        <v>37</v>
      </c>
      <c r="H585">
        <v>10</v>
      </c>
      <c r="I585" s="5">
        <v>2607</v>
      </c>
      <c r="J585" s="13">
        <v>100</v>
      </c>
      <c r="K585" s="5">
        <v>5535.96</v>
      </c>
      <c r="L585" s="5">
        <v>2.6069999999999998</v>
      </c>
      <c r="M585" s="5">
        <v>7.9085142857142854</v>
      </c>
      <c r="N585" s="5">
        <v>2928.96</v>
      </c>
      <c r="O585" s="3">
        <v>2.0335689626828866</v>
      </c>
      <c r="P585" s="9">
        <f>N585+P584</f>
        <v>281818.55845814012</v>
      </c>
      <c r="Q585" s="5" t="str">
        <f>TEXT(Table13[[#This Row],[Closing Date]],"yyyy")</f>
        <v>2024</v>
      </c>
      <c r="R585" s="5" t="str">
        <f>TEXT(Table13[[#This Row],[Closing Date]],"mmmm")</f>
        <v>May</v>
      </c>
      <c r="S585" s="5" t="s">
        <v>240</v>
      </c>
      <c r="T585" s="5" t="s">
        <v>301</v>
      </c>
    </row>
    <row r="586" spans="1:20" x14ac:dyDescent="0.25">
      <c r="A586" t="s">
        <v>201</v>
      </c>
      <c r="B586" t="s">
        <v>303</v>
      </c>
      <c r="C586" t="s">
        <v>12</v>
      </c>
      <c r="D586" t="s">
        <v>7</v>
      </c>
      <c r="E586" s="5"/>
      <c r="F586" s="7">
        <v>45440</v>
      </c>
      <c r="G586" t="s">
        <v>85</v>
      </c>
      <c r="H586">
        <v>13</v>
      </c>
      <c r="I586" s="5">
        <v>84173.51</v>
      </c>
      <c r="K586" s="5">
        <v>88161</v>
      </c>
      <c r="L586" s="5">
        <v>64748.853846153841</v>
      </c>
      <c r="M586" s="5">
        <v>6.7816153846153844</v>
      </c>
      <c r="N586" s="5">
        <v>3987.4900000000052</v>
      </c>
      <c r="O586" s="3">
        <v>4.7372267118241898E-2</v>
      </c>
      <c r="P586" s="9">
        <f>N586+P585</f>
        <v>285806.04845814011</v>
      </c>
      <c r="Q586" s="5" t="str">
        <f>TEXT(Table13[[#This Row],[Closing Date]],"yyyy")</f>
        <v>2024</v>
      </c>
      <c r="R586" s="5" t="str">
        <f>TEXT(Table13[[#This Row],[Closing Date]],"mmmm")</f>
        <v>May</v>
      </c>
      <c r="S586" s="5" t="s">
        <v>240</v>
      </c>
      <c r="T586" s="5" t="s">
        <v>301</v>
      </c>
    </row>
    <row r="587" spans="1:20" x14ac:dyDescent="0.25">
      <c r="A587" t="s">
        <v>201</v>
      </c>
      <c r="B587" t="s">
        <v>303</v>
      </c>
      <c r="C587" t="s">
        <v>12</v>
      </c>
      <c r="D587" t="s">
        <v>7</v>
      </c>
      <c r="E587" s="5"/>
      <c r="F587" s="7">
        <v>45440</v>
      </c>
      <c r="G587" t="s">
        <v>271</v>
      </c>
      <c r="H587">
        <v>350</v>
      </c>
      <c r="I587" s="5">
        <v>100234</v>
      </c>
      <c r="K587" s="5">
        <v>111571.65</v>
      </c>
      <c r="L587" s="5">
        <v>0.25569897959183674</v>
      </c>
      <c r="M587" s="5">
        <v>0.31877614285714284</v>
      </c>
      <c r="N587" s="5">
        <v>11337.649999999994</v>
      </c>
      <c r="O587" s="3">
        <v>0.11311181834507247</v>
      </c>
      <c r="P587" s="9">
        <f>N587+P586</f>
        <v>297143.69845814013</v>
      </c>
      <c r="Q587" s="5" t="str">
        <f>TEXT(Table13[[#This Row],[Closing Date]],"yyyy")</f>
        <v>2024</v>
      </c>
      <c r="R587" s="5" t="str">
        <f>TEXT(Table13[[#This Row],[Closing Date]],"mmmm")</f>
        <v>May</v>
      </c>
      <c r="S587" s="5" t="s">
        <v>240</v>
      </c>
      <c r="T587" s="5" t="s">
        <v>301</v>
      </c>
    </row>
    <row r="588" spans="1:20" x14ac:dyDescent="0.25">
      <c r="A588" t="s">
        <v>201</v>
      </c>
      <c r="B588" t="s">
        <v>303</v>
      </c>
      <c r="C588" t="s">
        <v>16</v>
      </c>
      <c r="D588" t="s">
        <v>7</v>
      </c>
      <c r="E588" s="5"/>
      <c r="F588" s="7">
        <v>45440</v>
      </c>
      <c r="G588" t="s">
        <v>218</v>
      </c>
      <c r="H588">
        <v>3800</v>
      </c>
      <c r="I588" s="5">
        <v>70699</v>
      </c>
      <c r="K588" s="5">
        <v>63360.93</v>
      </c>
      <c r="L588" s="5">
        <v>18.605</v>
      </c>
      <c r="M588" s="5">
        <v>16.67392894736842</v>
      </c>
      <c r="N588" s="5">
        <v>-7338.07</v>
      </c>
      <c r="O588" s="3">
        <v>-0.10379312295789191</v>
      </c>
      <c r="P588" s="9">
        <f>N588+P587</f>
        <v>289805.62845814013</v>
      </c>
      <c r="Q588" s="5" t="str">
        <f>TEXT(Table13[[#This Row],[Closing Date]],"yyyy")</f>
        <v>2024</v>
      </c>
      <c r="R588" s="5" t="str">
        <f>TEXT(Table13[[#This Row],[Closing Date]],"mmmm")</f>
        <v>May</v>
      </c>
      <c r="S588" s="5" t="s">
        <v>240</v>
      </c>
      <c r="T588" s="5" t="s">
        <v>301</v>
      </c>
    </row>
    <row r="589" spans="1:20" x14ac:dyDescent="0.25">
      <c r="A589" t="s">
        <v>201</v>
      </c>
      <c r="B589" t="s">
        <v>303</v>
      </c>
      <c r="C589" t="s">
        <v>16</v>
      </c>
      <c r="D589" t="s">
        <v>7</v>
      </c>
      <c r="E589" s="5"/>
      <c r="F589" s="7">
        <v>45440</v>
      </c>
      <c r="G589" t="s">
        <v>23</v>
      </c>
      <c r="H589">
        <v>2700</v>
      </c>
      <c r="I589" s="5">
        <v>61030.689999999995</v>
      </c>
      <c r="K589" s="5">
        <v>55792.92</v>
      </c>
      <c r="L589" s="5">
        <v>22.603959259259259</v>
      </c>
      <c r="M589" s="5">
        <v>20.664044444444443</v>
      </c>
      <c r="N589" s="5">
        <v>-5237.7699999999968</v>
      </c>
      <c r="O589" s="3">
        <v>-8.5821903701236171E-2</v>
      </c>
      <c r="P589" s="9">
        <f>N589+P588</f>
        <v>284567.85845814011</v>
      </c>
      <c r="Q589" s="5" t="str">
        <f>TEXT(Table13[[#This Row],[Closing Date]],"yyyy")</f>
        <v>2024</v>
      </c>
      <c r="R589" s="5" t="str">
        <f>TEXT(Table13[[#This Row],[Closing Date]],"mmmm")</f>
        <v>May</v>
      </c>
      <c r="S589" s="5" t="s">
        <v>240</v>
      </c>
      <c r="T589" s="5" t="s">
        <v>301</v>
      </c>
    </row>
    <row r="590" spans="1:20" x14ac:dyDescent="0.25">
      <c r="A590" t="s">
        <v>201</v>
      </c>
      <c r="B590" t="s">
        <v>303</v>
      </c>
      <c r="C590" t="s">
        <v>12</v>
      </c>
      <c r="D590" t="s">
        <v>7</v>
      </c>
      <c r="E590" s="5"/>
      <c r="F590" s="7">
        <v>45440</v>
      </c>
      <c r="G590" t="s">
        <v>271</v>
      </c>
      <c r="H590">
        <v>300</v>
      </c>
      <c r="I590" s="5">
        <v>116851</v>
      </c>
      <c r="K590" s="5">
        <v>106275.2</v>
      </c>
      <c r="L590" s="5">
        <v>3895.0333333333333</v>
      </c>
      <c r="M590" s="5">
        <v>0.35425066666666666</v>
      </c>
      <c r="N590" s="5">
        <v>-10575.800000000003</v>
      </c>
      <c r="O590" s="3">
        <v>-9.050671367810291E-2</v>
      </c>
      <c r="P590" s="9">
        <f>N590+P589</f>
        <v>273992.05845814012</v>
      </c>
      <c r="Q590" s="5" t="str">
        <f>TEXT(Table13[[#This Row],[Closing Date]],"yyyy")</f>
        <v>2024</v>
      </c>
      <c r="R590" s="5" t="str">
        <f>TEXT(Table13[[#This Row],[Closing Date]],"mmmm")</f>
        <v>May</v>
      </c>
      <c r="S590" s="5" t="s">
        <v>240</v>
      </c>
      <c r="T590" s="5" t="s">
        <v>301</v>
      </c>
    </row>
    <row r="591" spans="1:20" x14ac:dyDescent="0.25">
      <c r="A591" t="s">
        <v>201</v>
      </c>
      <c r="B591" t="s">
        <v>303</v>
      </c>
      <c r="C591" t="s">
        <v>12</v>
      </c>
      <c r="D591" t="s">
        <v>7</v>
      </c>
      <c r="E591" s="5"/>
      <c r="F591" s="7">
        <v>45442</v>
      </c>
      <c r="G591" t="s">
        <v>13</v>
      </c>
      <c r="H591">
        <v>7</v>
      </c>
      <c r="I591" s="5">
        <v>539086.59</v>
      </c>
      <c r="K591" s="5">
        <v>529533.40999999992</v>
      </c>
      <c r="L591" s="5">
        <v>77.01236999999999</v>
      </c>
      <c r="M591" s="5">
        <v>75.647629999999978</v>
      </c>
      <c r="N591" s="5">
        <v>-9553.1800000000512</v>
      </c>
      <c r="O591" s="3">
        <v>-1.7721049228844762E-2</v>
      </c>
      <c r="P591" s="9">
        <f>N591+P590</f>
        <v>264438.87845814007</v>
      </c>
      <c r="Q591" s="5" t="str">
        <f>TEXT(Table13[[#This Row],[Closing Date]],"yyyy")</f>
        <v>2024</v>
      </c>
      <c r="R591" s="5" t="str">
        <f>TEXT(Table13[[#This Row],[Closing Date]],"mmmm")</f>
        <v>May</v>
      </c>
      <c r="S591" s="5" t="s">
        <v>240</v>
      </c>
      <c r="T591" s="5" t="s">
        <v>301</v>
      </c>
    </row>
    <row r="592" spans="1:20" x14ac:dyDescent="0.25">
      <c r="A592" t="s">
        <v>201</v>
      </c>
      <c r="B592" t="s">
        <v>303</v>
      </c>
      <c r="C592" t="s">
        <v>16</v>
      </c>
      <c r="D592" t="s">
        <v>7</v>
      </c>
      <c r="E592" s="5"/>
      <c r="F592" s="7">
        <v>45442</v>
      </c>
      <c r="G592" t="s">
        <v>146</v>
      </c>
      <c r="H592">
        <v>1500</v>
      </c>
      <c r="I592" s="5">
        <v>125954</v>
      </c>
      <c r="K592" s="5">
        <v>116454.26</v>
      </c>
      <c r="L592" s="5">
        <v>83.969333333333338</v>
      </c>
      <c r="M592" s="5">
        <v>77.636173333333332</v>
      </c>
      <c r="N592" s="5">
        <v>-9499.7400000000052</v>
      </c>
      <c r="O592" s="3">
        <v>-7.5422297029074145E-2</v>
      </c>
      <c r="P592" s="9">
        <f>N592+P591</f>
        <v>254939.13845814008</v>
      </c>
      <c r="Q592" s="5" t="str">
        <f>TEXT(Table13[[#This Row],[Closing Date]],"yyyy")</f>
        <v>2024</v>
      </c>
      <c r="R592" s="5" t="str">
        <f>TEXT(Table13[[#This Row],[Closing Date]],"mmmm")</f>
        <v>May</v>
      </c>
      <c r="S592" s="5" t="s">
        <v>240</v>
      </c>
      <c r="T592" s="5" t="s">
        <v>301</v>
      </c>
    </row>
    <row r="593" spans="1:20" x14ac:dyDescent="0.25">
      <c r="A593" t="s">
        <v>201</v>
      </c>
      <c r="B593" t="s">
        <v>305</v>
      </c>
      <c r="C593" t="s">
        <v>16</v>
      </c>
      <c r="D593" t="s">
        <v>7</v>
      </c>
      <c r="E593" s="11">
        <v>45432</v>
      </c>
      <c r="F593" s="7">
        <v>45443</v>
      </c>
      <c r="G593" t="s">
        <v>96</v>
      </c>
      <c r="H593">
        <v>650</v>
      </c>
      <c r="I593" s="5">
        <v>121296.37</v>
      </c>
      <c r="J593" s="13">
        <v>1</v>
      </c>
      <c r="K593" s="5">
        <v>116285.32</v>
      </c>
      <c r="L593" s="5">
        <f>Table13[[#This Row],[Open Value]]/Table13[[#This Row],[Shares]]/Table13[[#This Row],[Multiplier]]</f>
        <v>186.60980000000001</v>
      </c>
      <c r="M593" s="5">
        <f>Table13[[#This Row],[Close Value]]/Table13[[#This Row],[Shares]]/Table13[[#This Row],[Multiplier]]</f>
        <v>178.90049230769233</v>
      </c>
      <c r="N593" s="5">
        <f>Table13[[#This Row],[Close Value]]-Table13[[#This Row],[Open Value]]</f>
        <v>-5011.0499999999884</v>
      </c>
      <c r="O593" s="3">
        <f>Table13[[#This Row],[PnL]]/Table13[[#This Row],[Open Value]]</f>
        <v>-4.1312448179611549E-2</v>
      </c>
      <c r="P593" s="9">
        <f>N593+P592</f>
        <v>249928.08845814009</v>
      </c>
      <c r="Q593" s="5" t="str">
        <f>TEXT(Table13[[#This Row],[Closing Date]],"yyyy")</f>
        <v>2024</v>
      </c>
      <c r="R593" s="5" t="str">
        <f>TEXT(Table13[[#This Row],[Closing Date]],"mmmm")</f>
        <v>May</v>
      </c>
      <c r="S593" s="5" t="s">
        <v>240</v>
      </c>
      <c r="T593" s="5" t="s">
        <v>203</v>
      </c>
    </row>
    <row r="594" spans="1:20" x14ac:dyDescent="0.25">
      <c r="A594" t="s">
        <v>201</v>
      </c>
      <c r="B594" t="s">
        <v>303</v>
      </c>
      <c r="C594" t="s">
        <v>12</v>
      </c>
      <c r="D594" t="s">
        <v>7</v>
      </c>
      <c r="E594" s="5"/>
      <c r="F594" s="7">
        <v>45446</v>
      </c>
      <c r="G594" t="s">
        <v>87</v>
      </c>
      <c r="H594">
        <v>5</v>
      </c>
      <c r="I594" s="5">
        <v>304000</v>
      </c>
      <c r="K594" s="5">
        <v>299295.3</v>
      </c>
      <c r="L594" s="5">
        <v>1216</v>
      </c>
      <c r="M594" s="5">
        <v>59.859059999999999</v>
      </c>
      <c r="N594" s="5">
        <v>-4704.7000000000116</v>
      </c>
      <c r="O594" s="3">
        <v>-1.5475986842105301E-2</v>
      </c>
      <c r="P594" s="9">
        <f>N594+P593</f>
        <v>245223.38845814008</v>
      </c>
      <c r="Q594" s="5" t="str">
        <f>TEXT(Table13[[#This Row],[Closing Date]],"yyyy")</f>
        <v>2024</v>
      </c>
      <c r="R594" s="5" t="str">
        <f>TEXT(Table13[[#This Row],[Closing Date]],"mmmm")</f>
        <v>June</v>
      </c>
      <c r="S594" s="5" t="s">
        <v>240</v>
      </c>
      <c r="T594" s="5" t="s">
        <v>301</v>
      </c>
    </row>
    <row r="595" spans="1:20" x14ac:dyDescent="0.25">
      <c r="A595" t="s">
        <v>201</v>
      </c>
      <c r="B595" t="s">
        <v>303</v>
      </c>
      <c r="C595" t="s">
        <v>12</v>
      </c>
      <c r="D595" t="s">
        <v>7</v>
      </c>
      <c r="E595" s="5"/>
      <c r="F595" s="7">
        <v>45448</v>
      </c>
      <c r="G595" t="s">
        <v>270</v>
      </c>
      <c r="H595">
        <v>4</v>
      </c>
      <c r="I595" s="5">
        <v>139150</v>
      </c>
      <c r="K595" s="5">
        <v>130050</v>
      </c>
      <c r="L595" s="5">
        <v>695.75</v>
      </c>
      <c r="M595" s="5">
        <v>32.512500000000003</v>
      </c>
      <c r="N595" s="5">
        <v>-9100</v>
      </c>
      <c r="O595" s="3">
        <v>-6.5397053539346023E-2</v>
      </c>
      <c r="P595" s="9">
        <f>N595+P594</f>
        <v>236123.38845814008</v>
      </c>
      <c r="Q595" s="5" t="str">
        <f>TEXT(Table13[[#This Row],[Closing Date]],"yyyy")</f>
        <v>2024</v>
      </c>
      <c r="R595" s="5" t="str">
        <f>TEXT(Table13[[#This Row],[Closing Date]],"mmmm")</f>
        <v>June</v>
      </c>
      <c r="S595" s="5" t="s">
        <v>240</v>
      </c>
      <c r="T595" s="5" t="s">
        <v>301</v>
      </c>
    </row>
    <row r="596" spans="1:20" x14ac:dyDescent="0.25">
      <c r="A596" t="s">
        <v>197</v>
      </c>
      <c r="B596" t="s">
        <v>302</v>
      </c>
      <c r="C596" t="s">
        <v>102</v>
      </c>
      <c r="D596" t="s">
        <v>7</v>
      </c>
      <c r="E596" s="11">
        <v>45440</v>
      </c>
      <c r="F596" s="7">
        <v>45450</v>
      </c>
      <c r="G596" t="s">
        <v>105</v>
      </c>
      <c r="H596">
        <v>10</v>
      </c>
      <c r="I596" s="5">
        <v>3296.97</v>
      </c>
      <c r="J596" s="13">
        <v>100</v>
      </c>
      <c r="K596" s="5">
        <v>0</v>
      </c>
      <c r="L596" s="5">
        <v>3.29697</v>
      </c>
      <c r="M596" s="5">
        <v>0</v>
      </c>
      <c r="N596" s="5">
        <v>-3296.97</v>
      </c>
      <c r="O596" s="3">
        <v>-1</v>
      </c>
      <c r="P596" s="9">
        <f>N596+P595</f>
        <v>232826.41845814008</v>
      </c>
      <c r="Q596" s="5" t="str">
        <f>TEXT(Table13[[#This Row],[Closing Date]],"yyyy")</f>
        <v>2024</v>
      </c>
      <c r="R596" s="5" t="str">
        <f>TEXT(Table13[[#This Row],[Closing Date]],"mmmm")</f>
        <v>June</v>
      </c>
      <c r="S596" s="5" t="s">
        <v>240</v>
      </c>
      <c r="T596" s="5" t="s">
        <v>301</v>
      </c>
    </row>
    <row r="597" spans="1:20" x14ac:dyDescent="0.25">
      <c r="A597" t="s">
        <v>201</v>
      </c>
      <c r="B597" t="s">
        <v>303</v>
      </c>
      <c r="C597" t="s">
        <v>16</v>
      </c>
      <c r="D597" t="s">
        <v>7</v>
      </c>
      <c r="E597" s="5"/>
      <c r="F597" s="7">
        <v>45450</v>
      </c>
      <c r="G597" t="s">
        <v>139</v>
      </c>
      <c r="H597">
        <v>1000</v>
      </c>
      <c r="I597" s="5">
        <v>138552.85</v>
      </c>
      <c r="K597" s="5">
        <v>128582.36</v>
      </c>
      <c r="L597" s="5">
        <v>138.55285000000001</v>
      </c>
      <c r="M597" s="5">
        <v>128.58235999999999</v>
      </c>
      <c r="N597" s="5">
        <v>-9970.4900000000052</v>
      </c>
      <c r="O597" s="3">
        <v>-7.1961637743287163E-2</v>
      </c>
      <c r="P597" s="9">
        <f>N597+P596</f>
        <v>222855.92845814006</v>
      </c>
      <c r="Q597" s="5" t="str">
        <f>TEXT(Table13[[#This Row],[Closing Date]],"yyyy")</f>
        <v>2024</v>
      </c>
      <c r="R597" s="5" t="str">
        <f>TEXT(Table13[[#This Row],[Closing Date]],"mmmm")</f>
        <v>June</v>
      </c>
      <c r="S597" s="5" t="s">
        <v>240</v>
      </c>
      <c r="T597" s="5" t="s">
        <v>301</v>
      </c>
    </row>
    <row r="598" spans="1:20" x14ac:dyDescent="0.25">
      <c r="A598" t="s">
        <v>197</v>
      </c>
      <c r="B598" t="s">
        <v>302</v>
      </c>
      <c r="C598" t="s">
        <v>97</v>
      </c>
      <c r="D598" t="s">
        <v>7</v>
      </c>
      <c r="E598" s="11">
        <v>45433</v>
      </c>
      <c r="F598" s="7">
        <v>45450</v>
      </c>
      <c r="G598" t="s">
        <v>162</v>
      </c>
      <c r="H598">
        <v>4</v>
      </c>
      <c r="I598" s="5">
        <v>3202.79</v>
      </c>
      <c r="J598" s="13">
        <v>100</v>
      </c>
      <c r="K598" s="5">
        <v>9321</v>
      </c>
      <c r="L598" s="5">
        <v>8.0069750000000006</v>
      </c>
      <c r="M598" s="5">
        <v>23.302499999999998</v>
      </c>
      <c r="N598" s="5">
        <v>6118.21</v>
      </c>
      <c r="O598" s="3">
        <v>1.9102751038937922</v>
      </c>
      <c r="P598" s="9">
        <f>N598+P597</f>
        <v>228974.13845814005</v>
      </c>
      <c r="Q598" s="5" t="str">
        <f>TEXT(Table13[[#This Row],[Closing Date]],"yyyy")</f>
        <v>2024</v>
      </c>
      <c r="R598" s="5" t="str">
        <f>TEXT(Table13[[#This Row],[Closing Date]],"mmmm")</f>
        <v>June</v>
      </c>
      <c r="S598" s="5" t="s">
        <v>240</v>
      </c>
      <c r="T598" s="5" t="s">
        <v>301</v>
      </c>
    </row>
    <row r="599" spans="1:20" x14ac:dyDescent="0.25">
      <c r="A599" t="s">
        <v>201</v>
      </c>
      <c r="B599" t="s">
        <v>306</v>
      </c>
      <c r="C599" t="s">
        <v>16</v>
      </c>
      <c r="D599" t="s">
        <v>7</v>
      </c>
      <c r="E599" s="11">
        <v>45385</v>
      </c>
      <c r="F599" s="7">
        <v>45450</v>
      </c>
      <c r="G599" t="s">
        <v>192</v>
      </c>
      <c r="H599">
        <v>9000</v>
      </c>
      <c r="I599" s="5">
        <v>195120</v>
      </c>
      <c r="J599" s="13">
        <v>1</v>
      </c>
      <c r="K599" s="5">
        <v>169908.09</v>
      </c>
      <c r="L599" s="5">
        <f>Table13[[#This Row],[Open Value]]/Table13[[#This Row],[Shares]]/Table13[[#This Row],[Multiplier]]</f>
        <v>21.68</v>
      </c>
      <c r="M599" s="5">
        <f>Table13[[#This Row],[Close Value]]/Table13[[#This Row],[Shares]]/Table13[[#This Row],[Multiplier]]</f>
        <v>18.878676666666667</v>
      </c>
      <c r="N599" s="5">
        <f>Table13[[#This Row],[Close Value]]-Table13[[#This Row],[Open Value]]</f>
        <v>-25211.910000000003</v>
      </c>
      <c r="O599" s="3">
        <f>Table13[[#This Row],[PnL]]/Table13[[#This Row],[Open Value]]</f>
        <v>-0.12921233087330875</v>
      </c>
      <c r="P599" s="9">
        <f>N599+P598</f>
        <v>203762.22845814005</v>
      </c>
      <c r="Q599" s="5" t="str">
        <f>TEXT(Table13[[#This Row],[Closing Date]],"yyyy")</f>
        <v>2024</v>
      </c>
      <c r="R599" s="5" t="str">
        <f>TEXT(Table13[[#This Row],[Closing Date]],"mmmm")</f>
        <v>June</v>
      </c>
      <c r="S599" s="5" t="s">
        <v>240</v>
      </c>
      <c r="T599" s="5" t="s">
        <v>203</v>
      </c>
    </row>
    <row r="600" spans="1:20" x14ac:dyDescent="0.25">
      <c r="A600" t="s">
        <v>201</v>
      </c>
      <c r="B600" t="s">
        <v>303</v>
      </c>
      <c r="C600" t="s">
        <v>16</v>
      </c>
      <c r="D600" t="s">
        <v>7</v>
      </c>
      <c r="E600" s="5"/>
      <c r="F600" s="7">
        <v>45453</v>
      </c>
      <c r="G600" t="s">
        <v>275</v>
      </c>
      <c r="H600">
        <v>1100</v>
      </c>
      <c r="I600" s="5">
        <v>25724</v>
      </c>
      <c r="K600" s="5">
        <v>36888.239999999998</v>
      </c>
      <c r="L600" s="5">
        <v>23.385454545454547</v>
      </c>
      <c r="M600" s="5">
        <v>46.110299999999995</v>
      </c>
      <c r="N600" s="5">
        <v>11164.239999999998</v>
      </c>
      <c r="O600" s="3">
        <v>0.43400093298087383</v>
      </c>
      <c r="P600" s="9">
        <f>N600+P599</f>
        <v>214926.46845814004</v>
      </c>
      <c r="Q600" s="5" t="str">
        <f>TEXT(Table13[[#This Row],[Closing Date]],"yyyy")</f>
        <v>2024</v>
      </c>
      <c r="R600" s="5" t="str">
        <f>TEXT(Table13[[#This Row],[Closing Date]],"mmmm")</f>
        <v>June</v>
      </c>
      <c r="S600" s="5" t="s">
        <v>240</v>
      </c>
      <c r="T600" s="5" t="s">
        <v>301</v>
      </c>
    </row>
    <row r="601" spans="1:20" x14ac:dyDescent="0.25">
      <c r="A601" t="s">
        <v>201</v>
      </c>
      <c r="B601" t="s">
        <v>305</v>
      </c>
      <c r="C601" t="s">
        <v>16</v>
      </c>
      <c r="D601" t="s">
        <v>7</v>
      </c>
      <c r="E601" s="11">
        <v>45364</v>
      </c>
      <c r="F601" s="7">
        <v>45454</v>
      </c>
      <c r="G601" t="s">
        <v>295</v>
      </c>
      <c r="H601">
        <v>1000</v>
      </c>
      <c r="I601" s="5">
        <v>93000</v>
      </c>
      <c r="J601" s="13">
        <v>1</v>
      </c>
      <c r="K601" s="5">
        <f>23.73+54949.56+53433.52</f>
        <v>108406.81</v>
      </c>
      <c r="L601" s="5">
        <f>Table13[[#This Row],[Open Value]]/Table13[[#This Row],[Shares]]/Table13[[#This Row],[Multiplier]]</f>
        <v>93</v>
      </c>
      <c r="M601" s="5">
        <f>Table13[[#This Row],[Close Value]]/Table13[[#This Row],[Shares]]/Table13[[#This Row],[Multiplier]]</f>
        <v>108.40680999999999</v>
      </c>
      <c r="N601" s="5">
        <f>Table13[[#This Row],[Close Value]]-Table13[[#This Row],[Open Value]]</f>
        <v>15406.809999999998</v>
      </c>
      <c r="O601" s="3">
        <f>Table13[[#This Row],[PnL]]/Table13[[#This Row],[Open Value]]</f>
        <v>0.16566462365591395</v>
      </c>
      <c r="P601" s="9">
        <f>N601+P600</f>
        <v>230333.27845814003</v>
      </c>
      <c r="Q601" s="5" t="str">
        <f>TEXT(Table13[[#This Row],[Closing Date]],"yyyy")</f>
        <v>2024</v>
      </c>
      <c r="R601" s="5" t="str">
        <f>TEXT(Table13[[#This Row],[Closing Date]],"mmmm")</f>
        <v>June</v>
      </c>
      <c r="S601" s="5" t="s">
        <v>240</v>
      </c>
      <c r="T601" s="5" t="s">
        <v>203</v>
      </c>
    </row>
    <row r="602" spans="1:20" x14ac:dyDescent="0.25">
      <c r="A602" t="s">
        <v>197</v>
      </c>
      <c r="B602" t="s">
        <v>302</v>
      </c>
      <c r="C602" t="s">
        <v>102</v>
      </c>
      <c r="D602" t="s">
        <v>7</v>
      </c>
      <c r="E602" s="11">
        <v>45443</v>
      </c>
      <c r="F602" s="7">
        <v>45455</v>
      </c>
      <c r="G602" t="s">
        <v>10</v>
      </c>
      <c r="H602">
        <v>7</v>
      </c>
      <c r="I602" s="5">
        <v>3853.13</v>
      </c>
      <c r="J602" s="13">
        <v>100</v>
      </c>
      <c r="K602" s="5">
        <f>Table13[[#This Row],[Open Value]]+Table13[[#This Row],[PnL]]</f>
        <v>5502.24</v>
      </c>
      <c r="L602" s="5">
        <f>Table13[[#This Row],[Open Value]]/Table13[[#This Row],[Shares]]</f>
        <v>550.44714285714292</v>
      </c>
      <c r="M602" s="5">
        <f>Table13[[#This Row],[Close Value]]/Table13[[#This Row],[Shares]]/Table13[[#This Row],[Multiplier]]</f>
        <v>7.8603428571428573</v>
      </c>
      <c r="N602" s="5">
        <v>1649.11</v>
      </c>
      <c r="O602" s="3">
        <f>Table13[[#This Row],[PnL]]/Table13[[#This Row],[Open Value]]</f>
        <v>0.42799230755256112</v>
      </c>
      <c r="P602" s="9">
        <f>N602+P601</f>
        <v>231982.38845814002</v>
      </c>
      <c r="Q602" s="5" t="str">
        <f>TEXT(Table13[[#This Row],[Closing Date]],"yyyy")</f>
        <v>2024</v>
      </c>
      <c r="R602" s="5" t="str">
        <f>TEXT(Table13[[#This Row],[Closing Date]],"mmmm")</f>
        <v>June</v>
      </c>
      <c r="S602" s="5" t="s">
        <v>240</v>
      </c>
      <c r="T602" s="5" t="s">
        <v>301</v>
      </c>
    </row>
    <row r="603" spans="1:20" x14ac:dyDescent="0.25">
      <c r="A603" t="s">
        <v>201</v>
      </c>
      <c r="B603" t="s">
        <v>303</v>
      </c>
      <c r="C603" t="s">
        <v>16</v>
      </c>
      <c r="D603" t="s">
        <v>7</v>
      </c>
      <c r="E603" s="5"/>
      <c r="F603" s="7">
        <v>45456</v>
      </c>
      <c r="G603" t="s">
        <v>263</v>
      </c>
      <c r="H603">
        <v>6000</v>
      </c>
      <c r="I603" s="5">
        <v>78450</v>
      </c>
      <c r="K603" s="5">
        <v>73169.95</v>
      </c>
      <c r="L603" s="5">
        <v>13.074999999999999</v>
      </c>
      <c r="M603" s="5">
        <v>12.194991666666667</v>
      </c>
      <c r="N603" s="5">
        <v>-5280.0500000000029</v>
      </c>
      <c r="O603" s="3">
        <v>-6.7304652644996854E-2</v>
      </c>
      <c r="P603" s="9">
        <f>N603+P602</f>
        <v>226702.33845814003</v>
      </c>
      <c r="Q603" s="5" t="str">
        <f>TEXT(Table13[[#This Row],[Closing Date]],"yyyy")</f>
        <v>2024</v>
      </c>
      <c r="R603" s="5" t="str">
        <f>TEXT(Table13[[#This Row],[Closing Date]],"mmmm")</f>
        <v>June</v>
      </c>
      <c r="S603" s="5" t="s">
        <v>240</v>
      </c>
      <c r="T603" s="5" t="s">
        <v>301</v>
      </c>
    </row>
    <row r="604" spans="1:20" x14ac:dyDescent="0.25">
      <c r="A604" t="s">
        <v>201</v>
      </c>
      <c r="B604" t="s">
        <v>303</v>
      </c>
      <c r="C604" t="s">
        <v>16</v>
      </c>
      <c r="D604" t="s">
        <v>7</v>
      </c>
      <c r="E604" s="5"/>
      <c r="F604" s="7">
        <v>45456</v>
      </c>
      <c r="G604" t="s">
        <v>281</v>
      </c>
      <c r="H604">
        <v>2600</v>
      </c>
      <c r="I604" s="5">
        <v>42913</v>
      </c>
      <c r="K604" s="5">
        <v>40075.11</v>
      </c>
      <c r="L604" s="5">
        <v>16.504999999999999</v>
      </c>
      <c r="M604" s="5">
        <v>15.413503846153846</v>
      </c>
      <c r="N604" s="5">
        <v>-2837.8899999999994</v>
      </c>
      <c r="O604" s="3">
        <v>-6.6131242280893884E-2</v>
      </c>
      <c r="P604" s="9">
        <f>N604+P603</f>
        <v>223864.44845814002</v>
      </c>
      <c r="Q604" s="5" t="str">
        <f>TEXT(Table13[[#This Row],[Closing Date]],"yyyy")</f>
        <v>2024</v>
      </c>
      <c r="R604" s="5" t="str">
        <f>TEXT(Table13[[#This Row],[Closing Date]],"mmmm")</f>
        <v>June</v>
      </c>
      <c r="S604" s="5" t="s">
        <v>240</v>
      </c>
      <c r="T604" s="5" t="s">
        <v>301</v>
      </c>
    </row>
    <row r="605" spans="1:20" x14ac:dyDescent="0.25">
      <c r="A605" t="s">
        <v>197</v>
      </c>
      <c r="B605" t="s">
        <v>302</v>
      </c>
      <c r="C605" t="s">
        <v>97</v>
      </c>
      <c r="D605" t="s">
        <v>7</v>
      </c>
      <c r="E605" s="11">
        <v>45448</v>
      </c>
      <c r="F605" s="7">
        <v>45457</v>
      </c>
      <c r="G605" t="s">
        <v>277</v>
      </c>
      <c r="H605">
        <v>15</v>
      </c>
      <c r="I605" s="5">
        <v>3555</v>
      </c>
      <c r="J605" s="13">
        <v>100</v>
      </c>
      <c r="K605" s="5">
        <v>2435</v>
      </c>
      <c r="L605" s="5">
        <v>2.37</v>
      </c>
      <c r="M605" s="5">
        <v>1.6233333333333335</v>
      </c>
      <c r="N605" s="5">
        <v>-1120</v>
      </c>
      <c r="O605" s="3">
        <v>-0.31504922644163147</v>
      </c>
      <c r="P605" s="9">
        <f>N605+P604</f>
        <v>222744.44845814002</v>
      </c>
      <c r="Q605" s="5" t="str">
        <f>TEXT(Table13[[#This Row],[Closing Date]],"yyyy")</f>
        <v>2024</v>
      </c>
      <c r="R605" s="5" t="str">
        <f>TEXT(Table13[[#This Row],[Closing Date]],"mmmm")</f>
        <v>June</v>
      </c>
      <c r="S605" s="5" t="s">
        <v>240</v>
      </c>
      <c r="T605" s="5" t="s">
        <v>301</v>
      </c>
    </row>
    <row r="606" spans="1:20" x14ac:dyDescent="0.25">
      <c r="A606" t="s">
        <v>201</v>
      </c>
      <c r="B606" t="s">
        <v>302</v>
      </c>
      <c r="C606" t="s">
        <v>16</v>
      </c>
      <c r="D606" t="s">
        <v>7</v>
      </c>
      <c r="E606" s="11">
        <v>45457</v>
      </c>
      <c r="F606" s="7">
        <v>45457</v>
      </c>
      <c r="G606" t="s">
        <v>170</v>
      </c>
      <c r="H606">
        <v>3000</v>
      </c>
      <c r="I606" s="5">
        <v>106233</v>
      </c>
      <c r="K606" s="5">
        <v>103655.87</v>
      </c>
      <c r="L606" s="5">
        <v>35.411000000000001</v>
      </c>
      <c r="M606" s="5">
        <v>34.551956666666662</v>
      </c>
      <c r="N606" s="5">
        <v>-2577.1300000000047</v>
      </c>
      <c r="O606" s="3">
        <v>-2.4259222652094969E-2</v>
      </c>
      <c r="P606" s="9">
        <f>N606+P605</f>
        <v>220167.31845814001</v>
      </c>
      <c r="Q606" s="5" t="str">
        <f>TEXT(Table13[[#This Row],[Closing Date]],"yyyy")</f>
        <v>2024</v>
      </c>
      <c r="R606" s="5" t="str">
        <f>TEXT(Table13[[#This Row],[Closing Date]],"mmmm")</f>
        <v>June</v>
      </c>
      <c r="S606" s="5" t="s">
        <v>240</v>
      </c>
      <c r="T606" s="5" t="s">
        <v>301</v>
      </c>
    </row>
    <row r="607" spans="1:20" x14ac:dyDescent="0.25">
      <c r="A607" t="s">
        <v>197</v>
      </c>
      <c r="B607" t="s">
        <v>303</v>
      </c>
      <c r="C607" t="s">
        <v>97</v>
      </c>
      <c r="D607" t="s">
        <v>7</v>
      </c>
      <c r="E607" s="11">
        <v>45448</v>
      </c>
      <c r="F607" s="7">
        <v>45457</v>
      </c>
      <c r="G607" t="s">
        <v>277</v>
      </c>
      <c r="H607">
        <v>15</v>
      </c>
      <c r="I607" s="5">
        <f>-275.4+3849.55</f>
        <v>3574.15</v>
      </c>
      <c r="J607" s="13">
        <v>100</v>
      </c>
      <c r="K607" s="5">
        <f>Table13[[#This Row],[Open Value]]+Table13[[#This Row],[PnL]]</f>
        <v>2427.91</v>
      </c>
      <c r="L607" s="5">
        <f>Table13[[#This Row],[Open Value]]/Table13[[#This Row],[Shares]]</f>
        <v>238.27666666666667</v>
      </c>
      <c r="M607" s="5">
        <f>Table13[[#This Row],[Close Value]]/Table13[[#This Row],[Shares]]/Table13[[#This Row],[Multiplier]]</f>
        <v>1.6186066666666665</v>
      </c>
      <c r="N607" s="5">
        <f>-1218.14+71.9</f>
        <v>-1146.24</v>
      </c>
      <c r="O607" s="3">
        <f>Table13[[#This Row],[PnL]]/Table13[[#This Row],[Open Value]]</f>
        <v>-0.32070282444777082</v>
      </c>
      <c r="P607" s="9">
        <f>N607+P606</f>
        <v>219021.07845814002</v>
      </c>
      <c r="Q607" s="5" t="str">
        <f>TEXT(Table13[[#This Row],[Closing Date]],"yyyy")</f>
        <v>2024</v>
      </c>
      <c r="R607" s="5" t="str">
        <f>TEXT(Table13[[#This Row],[Closing Date]],"mmmm")</f>
        <v>June</v>
      </c>
      <c r="S607" s="5" t="s">
        <v>240</v>
      </c>
      <c r="T607" s="5" t="s">
        <v>301</v>
      </c>
    </row>
    <row r="608" spans="1:20" x14ac:dyDescent="0.25">
      <c r="A608" t="s">
        <v>201</v>
      </c>
      <c r="B608" t="s">
        <v>303</v>
      </c>
      <c r="C608" t="s">
        <v>16</v>
      </c>
      <c r="D608" t="s">
        <v>7</v>
      </c>
      <c r="E608" s="11">
        <v>45449</v>
      </c>
      <c r="F608" s="7">
        <v>45460</v>
      </c>
      <c r="G608" t="s">
        <v>280</v>
      </c>
      <c r="H608">
        <v>575</v>
      </c>
      <c r="I608" s="5">
        <v>101214.38</v>
      </c>
      <c r="K608" s="5">
        <v>105561.07</v>
      </c>
      <c r="L608" s="5">
        <v>176.02500869565219</v>
      </c>
      <c r="M608" s="5">
        <v>183.5844695652174</v>
      </c>
      <c r="N608" s="5">
        <v>4346.6900000000023</v>
      </c>
      <c r="O608" s="3">
        <v>4.2945379895623546E-2</v>
      </c>
      <c r="P608" s="9">
        <f>N608+P607</f>
        <v>223367.76845814002</v>
      </c>
      <c r="Q608" s="5" t="str">
        <f>TEXT(Table13[[#This Row],[Closing Date]],"yyyy")</f>
        <v>2024</v>
      </c>
      <c r="R608" s="5" t="str">
        <f>TEXT(Table13[[#This Row],[Closing Date]],"mmmm")</f>
        <v>June</v>
      </c>
      <c r="S608" s="5" t="s">
        <v>240</v>
      </c>
      <c r="T608" s="5" t="s">
        <v>301</v>
      </c>
    </row>
    <row r="609" spans="1:20" x14ac:dyDescent="0.25">
      <c r="A609" t="s">
        <v>201</v>
      </c>
      <c r="B609" t="s">
        <v>303</v>
      </c>
      <c r="C609" t="s">
        <v>12</v>
      </c>
      <c r="D609" t="s">
        <v>7</v>
      </c>
      <c r="E609" s="11">
        <v>45437</v>
      </c>
      <c r="F609" s="7">
        <v>45460</v>
      </c>
      <c r="G609" t="s">
        <v>286</v>
      </c>
      <c r="H609">
        <v>2</v>
      </c>
      <c r="I609" s="5">
        <v>154280.94</v>
      </c>
      <c r="J609" s="13">
        <v>375</v>
      </c>
      <c r="K609" s="5">
        <f>Table13[[#This Row],[Open Value]]+Table13[[#This Row],[PnL]]</f>
        <v>170356.56</v>
      </c>
      <c r="L609" s="5">
        <f>Table13[[#This Row],[Open Value]]/Table13[[#This Row],[Shares]]/Table13[[#This Row],[Multiplier]]</f>
        <v>205.70792</v>
      </c>
      <c r="M609" s="5">
        <f>Table13[[#This Row],[Close Value]]/Table13[[#This Row],[Shares]]/Table13[[#This Row],[Multiplier]]</f>
        <v>227.14207999999999</v>
      </c>
      <c r="N609" s="5">
        <v>16075.62</v>
      </c>
      <c r="O609" s="3">
        <f>Table13[[#This Row],[PnL]]/Table13[[#This Row],[Open Value]]</f>
        <v>0.10419705765339517</v>
      </c>
      <c r="P609" s="9">
        <f>N609+P608</f>
        <v>239443.38845814002</v>
      </c>
      <c r="Q609" s="5" t="str">
        <f>TEXT(Table13[[#This Row],[Closing Date]],"yyyy")</f>
        <v>2024</v>
      </c>
      <c r="R609" s="5" t="str">
        <f>TEXT(Table13[[#This Row],[Closing Date]],"mmmm")</f>
        <v>June</v>
      </c>
      <c r="S609" s="5" t="s">
        <v>240</v>
      </c>
      <c r="T609" s="5" t="s">
        <v>301</v>
      </c>
    </row>
    <row r="610" spans="1:20" x14ac:dyDescent="0.25">
      <c r="A610" t="s">
        <v>197</v>
      </c>
      <c r="B610" t="s">
        <v>303</v>
      </c>
      <c r="C610" t="s">
        <v>102</v>
      </c>
      <c r="D610" t="s">
        <v>7</v>
      </c>
      <c r="E610" s="11">
        <v>45436</v>
      </c>
      <c r="F610" s="7">
        <v>45461</v>
      </c>
      <c r="G610" t="s">
        <v>9</v>
      </c>
      <c r="H610">
        <v>40</v>
      </c>
      <c r="I610" s="5">
        <v>10064</v>
      </c>
      <c r="J610" s="13">
        <v>100</v>
      </c>
      <c r="K610" s="5">
        <v>10584</v>
      </c>
      <c r="L610" s="5">
        <f>Table13[[#This Row],[Open Value]]/Table13[[#This Row],[Shares]]/Table13[[#This Row],[Multiplier]]</f>
        <v>2.516</v>
      </c>
      <c r="M610" s="5">
        <f>Table13[[#This Row],[Close Value]]/Table13[[#This Row],[Shares]]/Table13[[#This Row],[Multiplier]]</f>
        <v>2.6460000000000004</v>
      </c>
      <c r="N610" s="5">
        <v>520</v>
      </c>
      <c r="O610" s="3">
        <v>5.1669316375198865E-2</v>
      </c>
      <c r="P610" s="9">
        <f>N610+P609</f>
        <v>239963.38845814002</v>
      </c>
      <c r="Q610" s="5" t="str">
        <f>TEXT(Table13[[#This Row],[Closing Date]],"yyyy")</f>
        <v>2024</v>
      </c>
      <c r="R610" s="5" t="str">
        <f>TEXT(Table13[[#This Row],[Closing Date]],"mmmm")</f>
        <v>June</v>
      </c>
      <c r="S610" s="5" t="s">
        <v>240</v>
      </c>
      <c r="T610" s="5" t="s">
        <v>301</v>
      </c>
    </row>
    <row r="611" spans="1:20" x14ac:dyDescent="0.25">
      <c r="A611" t="s">
        <v>201</v>
      </c>
      <c r="B611" t="s">
        <v>303</v>
      </c>
      <c r="C611" t="s">
        <v>12</v>
      </c>
      <c r="D611" t="s">
        <v>7</v>
      </c>
      <c r="E611" s="11">
        <v>45448</v>
      </c>
      <c r="F611" s="7">
        <v>45461</v>
      </c>
      <c r="G611" t="s">
        <v>85</v>
      </c>
      <c r="H611">
        <v>7</v>
      </c>
      <c r="I611" s="5">
        <v>50530.89</v>
      </c>
      <c r="J611" s="13">
        <v>0.1</v>
      </c>
      <c r="K611" s="5">
        <f>Table13[[#This Row],[Open Value]]+Table13[[#This Row],[PnL]]</f>
        <v>45325.89</v>
      </c>
      <c r="L611" s="5">
        <f>Table13[[#This Row],[Open Value]]/Table13[[#This Row],[Shares]]/Table13[[#This Row],[Multiplier]]</f>
        <v>72186.985714285707</v>
      </c>
      <c r="M611" s="5">
        <f>Table13[[#This Row],[Close Value]]/Table13[[#This Row],[Shares]]/Table13[[#This Row],[Multiplier]]</f>
        <v>64751.271428571425</v>
      </c>
      <c r="N611" s="5">
        <v>-5205</v>
      </c>
      <c r="O611" s="3">
        <f>Table13[[#This Row],[PnL]]/Table13[[#This Row],[Open Value]]</f>
        <v>-0.1030062997109293</v>
      </c>
      <c r="P611" s="9">
        <f>N611+P610</f>
        <v>234758.38845814002</v>
      </c>
      <c r="Q611" s="5" t="str">
        <f>TEXT(Table13[[#This Row],[Closing Date]],"yyyy")</f>
        <v>2024</v>
      </c>
      <c r="R611" s="5" t="str">
        <f>TEXT(Table13[[#This Row],[Closing Date]],"mmmm")</f>
        <v>June</v>
      </c>
      <c r="S611" s="5" t="s">
        <v>240</v>
      </c>
      <c r="T611" s="5" t="s">
        <v>301</v>
      </c>
    </row>
    <row r="612" spans="1:20" x14ac:dyDescent="0.25">
      <c r="A612" t="s">
        <v>201</v>
      </c>
      <c r="B612" t="s">
        <v>303</v>
      </c>
      <c r="C612" t="s">
        <v>16</v>
      </c>
      <c r="D612" t="s">
        <v>7</v>
      </c>
      <c r="E612" s="11">
        <v>45449</v>
      </c>
      <c r="F612" s="7">
        <v>45463</v>
      </c>
      <c r="G612" t="s">
        <v>224</v>
      </c>
      <c r="H612">
        <v>5000</v>
      </c>
      <c r="I612" s="5">
        <v>75421</v>
      </c>
      <c r="J612" s="13">
        <v>1</v>
      </c>
      <c r="K612" s="5">
        <f>Table13[[#This Row],[Open Value]]+Table13[[#This Row],[PnL]]</f>
        <v>78684.73</v>
      </c>
      <c r="L612" s="5">
        <f>Table13[[#This Row],[Open Value]]/Table13[[#This Row],[Shares]]/Table13[[#This Row],[Multiplier]]</f>
        <v>15.084199999999999</v>
      </c>
      <c r="M612" s="5">
        <f>Table13[[#This Row],[Close Value]]/Table13[[#This Row],[Shares]]/Table13[[#This Row],[Multiplier]]</f>
        <v>15.736946</v>
      </c>
      <c r="N612" s="5">
        <v>3263.73</v>
      </c>
      <c r="O612" s="3">
        <f>Table13[[#This Row],[PnL]]/Table13[[#This Row],[Open Value]]</f>
        <v>4.3273491467893554E-2</v>
      </c>
      <c r="P612" s="9">
        <f>N612+P611</f>
        <v>238022.11845814003</v>
      </c>
      <c r="Q612" s="5" t="str">
        <f>TEXT(Table13[[#This Row],[Closing Date]],"yyyy")</f>
        <v>2024</v>
      </c>
      <c r="R612" s="5" t="str">
        <f>TEXT(Table13[[#This Row],[Closing Date]],"mmmm")</f>
        <v>June</v>
      </c>
      <c r="S612" s="5" t="s">
        <v>240</v>
      </c>
      <c r="T612" s="5" t="s">
        <v>301</v>
      </c>
    </row>
    <row r="613" spans="1:20" x14ac:dyDescent="0.25">
      <c r="A613" t="s">
        <v>197</v>
      </c>
      <c r="B613" t="s">
        <v>302</v>
      </c>
      <c r="C613" t="s">
        <v>97</v>
      </c>
      <c r="D613" t="s">
        <v>7</v>
      </c>
      <c r="E613" s="11">
        <v>45453</v>
      </c>
      <c r="F613" s="7">
        <v>45463</v>
      </c>
      <c r="G613" t="s">
        <v>130</v>
      </c>
      <c r="H613">
        <v>40</v>
      </c>
      <c r="I613" s="5">
        <f>4682.68-1037.17</f>
        <v>3645.51</v>
      </c>
      <c r="J613" s="13">
        <v>100</v>
      </c>
      <c r="K613" s="5">
        <f>Table13[[#This Row],[Open Value]]+Table13[[#This Row],[PnL]]</f>
        <v>1333.0100000000002</v>
      </c>
      <c r="L613" s="5">
        <f>Table13[[#This Row],[Open Value]]/Table13[[#This Row],[Shares]]/Table13[[#This Row],[Multiplier]]</f>
        <v>0.91137750000000006</v>
      </c>
      <c r="M613" s="5">
        <f>Table13[[#This Row],[Close Value]]/Table13[[#This Row],[Shares]]/Table13[[#This Row],[Multiplier]]</f>
        <v>0.33325250000000006</v>
      </c>
      <c r="N613" s="5">
        <f>-3025.76+713.26</f>
        <v>-2312.5</v>
      </c>
      <c r="O613" s="3">
        <f>Table13[[#This Row],[PnL]]/Table13[[#This Row],[Open Value]]</f>
        <v>-0.63434197135654546</v>
      </c>
      <c r="P613" s="9">
        <f>N613+P612</f>
        <v>235709.61845814003</v>
      </c>
      <c r="Q613" s="5" t="str">
        <f>TEXT(Table13[[#This Row],[Closing Date]],"yyyy")</f>
        <v>2024</v>
      </c>
      <c r="R613" s="5" t="str">
        <f>TEXT(Table13[[#This Row],[Closing Date]],"mmmm")</f>
        <v>June</v>
      </c>
      <c r="S613" s="5" t="s">
        <v>240</v>
      </c>
      <c r="T613" s="5" t="s">
        <v>301</v>
      </c>
    </row>
    <row r="614" spans="1:20" x14ac:dyDescent="0.25">
      <c r="A614" t="s">
        <v>197</v>
      </c>
      <c r="B614" t="s">
        <v>302</v>
      </c>
      <c r="C614" t="s">
        <v>99</v>
      </c>
      <c r="D614" t="s">
        <v>7</v>
      </c>
      <c r="E614" s="11">
        <v>45453</v>
      </c>
      <c r="F614" s="7">
        <v>45464</v>
      </c>
      <c r="G614" t="s">
        <v>133</v>
      </c>
      <c r="H614">
        <v>10</v>
      </c>
      <c r="I614" s="5">
        <v>3326.92</v>
      </c>
      <c r="J614" s="13">
        <v>100</v>
      </c>
      <c r="K614" s="5">
        <v>0</v>
      </c>
      <c r="L614" s="5">
        <f>Table13[[#This Row],[Open Value]]/Table13[[#This Row],[Shares]]/Table13[[#This Row],[Multiplier]]</f>
        <v>3.3269199999999999</v>
      </c>
      <c r="M614" s="5">
        <f>Table13[[#This Row],[Close Value]]/Table13[[#This Row],[Shares]]/Table13[[#This Row],[Multiplier]]</f>
        <v>0</v>
      </c>
      <c r="N614" s="5">
        <v>-3326.92</v>
      </c>
      <c r="O614" s="3">
        <v>-1</v>
      </c>
      <c r="P614" s="9">
        <f>N614+P613</f>
        <v>232382.69845814002</v>
      </c>
      <c r="Q614" s="5" t="str">
        <f>TEXT(Table13[[#This Row],[Closing Date]],"yyyy")</f>
        <v>2024</v>
      </c>
      <c r="R614" s="5" t="str">
        <f>TEXT(Table13[[#This Row],[Closing Date]],"mmmm")</f>
        <v>June</v>
      </c>
      <c r="S614" s="5" t="s">
        <v>240</v>
      </c>
      <c r="T614" s="5" t="s">
        <v>301</v>
      </c>
    </row>
    <row r="615" spans="1:20" x14ac:dyDescent="0.25">
      <c r="A615" t="s">
        <v>201</v>
      </c>
      <c r="B615" t="s">
        <v>303</v>
      </c>
      <c r="C615" t="s">
        <v>16</v>
      </c>
      <c r="D615" t="s">
        <v>7</v>
      </c>
      <c r="E615" s="5"/>
      <c r="F615" s="7">
        <v>45464</v>
      </c>
      <c r="G615" t="s">
        <v>11</v>
      </c>
      <c r="H615">
        <v>125</v>
      </c>
      <c r="I615" s="5">
        <v>112327.5</v>
      </c>
      <c r="J615" s="13">
        <v>1</v>
      </c>
      <c r="K615" s="5">
        <v>140081.62</v>
      </c>
      <c r="L615" s="5">
        <f>Table13[[#This Row],[Open Value]]/Table13[[#This Row],[Shares]]/Table13[[#This Row],[Multiplier]]</f>
        <v>898.62</v>
      </c>
      <c r="M615" s="5">
        <f>Table13[[#This Row],[Close Value]]/Table13[[#This Row],[Shares]]/Table13[[#This Row],[Multiplier]]</f>
        <v>1120.6529599999999</v>
      </c>
      <c r="N615" s="5">
        <v>27401</v>
      </c>
      <c r="O615" s="3">
        <v>0.24708214818276911</v>
      </c>
      <c r="P615" s="9">
        <f>N615+P614</f>
        <v>259783.69845814002</v>
      </c>
      <c r="Q615" s="5" t="str">
        <f>TEXT(Table13[[#This Row],[Closing Date]],"yyyy")</f>
        <v>2024</v>
      </c>
      <c r="R615" s="5" t="str">
        <f>TEXT(Table13[[#This Row],[Closing Date]],"mmmm")</f>
        <v>June</v>
      </c>
      <c r="S615" s="5" t="s">
        <v>240</v>
      </c>
      <c r="T615" s="5" t="s">
        <v>301</v>
      </c>
    </row>
    <row r="616" spans="1:20" x14ac:dyDescent="0.25">
      <c r="A616" t="s">
        <v>201</v>
      </c>
      <c r="B616" t="s">
        <v>303</v>
      </c>
      <c r="C616" t="s">
        <v>16</v>
      </c>
      <c r="D616" t="s">
        <v>7</v>
      </c>
      <c r="E616" s="5"/>
      <c r="F616" s="7">
        <v>45464</v>
      </c>
      <c r="G616" t="s">
        <v>72</v>
      </c>
      <c r="H616">
        <v>200</v>
      </c>
      <c r="I616" s="5">
        <v>42913</v>
      </c>
      <c r="J616" s="13">
        <v>1</v>
      </c>
      <c r="K616" s="5">
        <v>40260.79</v>
      </c>
      <c r="L616" s="5">
        <f>Table13[[#This Row],[Open Value]]/Table13[[#This Row],[Shares]]/Table13[[#This Row],[Multiplier]]</f>
        <v>214.565</v>
      </c>
      <c r="M616" s="5">
        <f>Table13[[#This Row],[Close Value]]/Table13[[#This Row],[Shares]]/Table13[[#This Row],[Multiplier]]</f>
        <v>201.30395000000001</v>
      </c>
      <c r="N616" s="5">
        <v>-2652.2099999999991</v>
      </c>
      <c r="O616" s="3">
        <v>-2.5000000000000001E-2</v>
      </c>
      <c r="P616" s="9">
        <f>N616+P615</f>
        <v>257131.48845814003</v>
      </c>
      <c r="Q616" s="5" t="str">
        <f>TEXT(Table13[[#This Row],[Closing Date]],"yyyy")</f>
        <v>2024</v>
      </c>
      <c r="R616" s="5" t="str">
        <f>TEXT(Table13[[#This Row],[Closing Date]],"mmmm")</f>
        <v>June</v>
      </c>
      <c r="S616" s="5" t="s">
        <v>240</v>
      </c>
      <c r="T616" s="5" t="s">
        <v>301</v>
      </c>
    </row>
    <row r="617" spans="1:20" x14ac:dyDescent="0.25">
      <c r="A617" t="s">
        <v>201</v>
      </c>
      <c r="B617" t="s">
        <v>302</v>
      </c>
      <c r="C617" t="s">
        <v>12</v>
      </c>
      <c r="D617" t="s">
        <v>7</v>
      </c>
      <c r="E617" s="11">
        <v>45464</v>
      </c>
      <c r="F617" s="7">
        <v>45467</v>
      </c>
      <c r="G617" t="s">
        <v>268</v>
      </c>
      <c r="H617">
        <v>3</v>
      </c>
      <c r="I617" s="5">
        <v>335182.40999999997</v>
      </c>
      <c r="J617" s="13">
        <v>25000</v>
      </c>
      <c r="K617" s="5">
        <f>Table13[[#This Row],[Open Value]]+Table13[[#This Row],[PnL]]</f>
        <v>332355.08999999997</v>
      </c>
      <c r="L617" s="5">
        <f>Table13[[#This Row],[Open Value]]/Table13[[#This Row],[Shares]]/Table13[[#This Row],[Multiplier]]</f>
        <v>4.4690987999999994</v>
      </c>
      <c r="M617" s="5">
        <f>Table13[[#This Row],[Close Value]]/Table13[[#This Row],[Shares]]/Table13[[#This Row],[Multiplier]]</f>
        <v>4.4314011999999989</v>
      </c>
      <c r="N617" s="5">
        <v>-2827.32</v>
      </c>
      <c r="O617" s="3">
        <f>Table13[[#This Row],[PnL]]/Table13[[#This Row],[Open Value]]</f>
        <v>-8.4351681820057332E-3</v>
      </c>
      <c r="P617" s="9">
        <f>N617+P616</f>
        <v>254304.16845814002</v>
      </c>
      <c r="Q617" s="5" t="str">
        <f>TEXT(Table13[[#This Row],[Closing Date]],"yyyy")</f>
        <v>2024</v>
      </c>
      <c r="R617" s="5" t="str">
        <f>TEXT(Table13[[#This Row],[Closing Date]],"mmmm")</f>
        <v>June</v>
      </c>
      <c r="S617" s="5" t="s">
        <v>240</v>
      </c>
      <c r="T617" s="5" t="s">
        <v>301</v>
      </c>
    </row>
    <row r="618" spans="1:20" x14ac:dyDescent="0.25">
      <c r="A618" t="s">
        <v>197</v>
      </c>
      <c r="B618" t="s">
        <v>305</v>
      </c>
      <c r="C618" t="s">
        <v>102</v>
      </c>
      <c r="D618" t="s">
        <v>7</v>
      </c>
      <c r="E618" s="11">
        <v>45359</v>
      </c>
      <c r="F618" s="7">
        <v>45467</v>
      </c>
      <c r="G618" t="s">
        <v>15</v>
      </c>
      <c r="H618">
        <v>50</v>
      </c>
      <c r="I618" s="5">
        <v>30282.5</v>
      </c>
      <c r="J618" s="13">
        <v>1</v>
      </c>
      <c r="K618" s="5">
        <v>0</v>
      </c>
      <c r="L618" s="5">
        <f>Table13[[#This Row],[Open Value]]/Table13[[#This Row],[Shares]]/Table13[[#This Row],[Multiplier]]</f>
        <v>605.65</v>
      </c>
      <c r="M618" s="5">
        <f>Table13[[#This Row],[Close Value]]/Table13[[#This Row],[Shares]]/Table13[[#This Row],[Multiplier]]</f>
        <v>0</v>
      </c>
      <c r="N618" s="5">
        <f>Table13[[#This Row],[Close Value]]-Table13[[#This Row],[Open Value]]</f>
        <v>-30282.5</v>
      </c>
      <c r="O618" s="3">
        <f>Table13[[#This Row],[PnL]]/Table13[[#This Row],[Open Value]]</f>
        <v>-1</v>
      </c>
      <c r="P618" s="9">
        <f>N618+P617</f>
        <v>224021.66845814002</v>
      </c>
      <c r="Q618" s="5" t="str">
        <f>TEXT(Table13[[#This Row],[Closing Date]],"yyyy")</f>
        <v>2024</v>
      </c>
      <c r="R618" s="5" t="str">
        <f>TEXT(Table13[[#This Row],[Closing Date]],"mmmm")</f>
        <v>June</v>
      </c>
      <c r="S618" s="5" t="s">
        <v>240</v>
      </c>
      <c r="T618" s="5" t="s">
        <v>203</v>
      </c>
    </row>
    <row r="619" spans="1:20" x14ac:dyDescent="0.25">
      <c r="A619" t="s">
        <v>197</v>
      </c>
      <c r="B619" t="s">
        <v>303</v>
      </c>
      <c r="C619" t="s">
        <v>102</v>
      </c>
      <c r="D619" t="s">
        <v>7</v>
      </c>
      <c r="E619" s="11">
        <v>45356</v>
      </c>
      <c r="F619" s="7">
        <v>45467</v>
      </c>
      <c r="G619" t="s">
        <v>293</v>
      </c>
      <c r="H619">
        <v>400</v>
      </c>
      <c r="I619" s="5">
        <v>30260</v>
      </c>
      <c r="J619" s="13">
        <v>100</v>
      </c>
      <c r="K619" s="5">
        <v>0</v>
      </c>
      <c r="L619" s="5">
        <f>Table13[[#This Row],[Open Value]]/Table13[[#This Row],[Shares]]/Table13[[#This Row],[Multiplier]]</f>
        <v>0.75650000000000006</v>
      </c>
      <c r="M619" s="5">
        <f>Table13[[#This Row],[Close Value]]/Table13[[#This Row],[Shares]]/Table13[[#This Row],[Multiplier]]</f>
        <v>0</v>
      </c>
      <c r="N619" s="5">
        <f>Table13[[#This Row],[Close Value]]-Table13[[#This Row],[Open Value]]</f>
        <v>-30260</v>
      </c>
      <c r="O619" s="3">
        <f>Table13[[#This Row],[PnL]]/Table13[[#This Row],[Open Value]]</f>
        <v>-1</v>
      </c>
      <c r="P619" s="9">
        <f>N619+P618</f>
        <v>193761.66845814002</v>
      </c>
      <c r="Q619" s="5" t="str">
        <f>TEXT(Table13[[#This Row],[Closing Date]],"yyyy")</f>
        <v>2024</v>
      </c>
      <c r="R619" s="5" t="str">
        <f>TEXT(Table13[[#This Row],[Closing Date]],"mmmm")</f>
        <v>June</v>
      </c>
      <c r="S619" s="5" t="s">
        <v>240</v>
      </c>
      <c r="T619" s="5" t="s">
        <v>203</v>
      </c>
    </row>
    <row r="620" spans="1:20" x14ac:dyDescent="0.25">
      <c r="A620" t="s">
        <v>201</v>
      </c>
      <c r="B620" t="s">
        <v>303</v>
      </c>
      <c r="C620" t="s">
        <v>16</v>
      </c>
      <c r="D620" t="s">
        <v>7</v>
      </c>
      <c r="E620" s="5"/>
      <c r="F620" s="7">
        <v>45468</v>
      </c>
      <c r="G620" t="s">
        <v>195</v>
      </c>
      <c r="H620">
        <v>1450</v>
      </c>
      <c r="I620" s="5">
        <v>71920</v>
      </c>
      <c r="J620" s="13">
        <v>1</v>
      </c>
      <c r="K620" s="5">
        <v>72664.66</v>
      </c>
      <c r="L620" s="5">
        <f>Table13[[#This Row],[Open Value]]/Table13[[#This Row],[Shares]]/Table13[[#This Row],[Multiplier]]</f>
        <v>49.6</v>
      </c>
      <c r="M620" s="5">
        <f>Table13[[#This Row],[Close Value]]/Table13[[#This Row],[Shares]]/Table13[[#This Row],[Multiplier]]</f>
        <v>50.113558620689659</v>
      </c>
      <c r="N620" s="5">
        <v>744.66000000000349</v>
      </c>
      <c r="O620" s="3">
        <v>1.0354004449388257E-2</v>
      </c>
      <c r="P620" s="9">
        <f>N620+P619</f>
        <v>194506.32845814002</v>
      </c>
      <c r="Q620" s="5" t="str">
        <f>TEXT(Table13[[#This Row],[Closing Date]],"yyyy")</f>
        <v>2024</v>
      </c>
      <c r="R620" s="5" t="str">
        <f>TEXT(Table13[[#This Row],[Closing Date]],"mmmm")</f>
        <v>June</v>
      </c>
      <c r="S620" s="5" t="s">
        <v>240</v>
      </c>
      <c r="T620" s="5" t="s">
        <v>301</v>
      </c>
    </row>
    <row r="621" spans="1:20" x14ac:dyDescent="0.25">
      <c r="A621" t="s">
        <v>201</v>
      </c>
      <c r="B621" t="s">
        <v>303</v>
      </c>
      <c r="C621" t="s">
        <v>16</v>
      </c>
      <c r="D621" t="s">
        <v>7</v>
      </c>
      <c r="E621" s="11">
        <v>45461</v>
      </c>
      <c r="F621" s="7">
        <v>45468</v>
      </c>
      <c r="G621" t="s">
        <v>284</v>
      </c>
      <c r="H621">
        <v>6500</v>
      </c>
      <c r="I621" s="5">
        <v>275625.15999999997</v>
      </c>
      <c r="J621" s="13">
        <v>1</v>
      </c>
      <c r="K621" s="5">
        <f>Table13[[#This Row],[Open Value]]+Table13[[#This Row],[PnL]]</f>
        <v>270801.52999999997</v>
      </c>
      <c r="L621" s="5">
        <f>Table13[[#This Row],[Open Value]]/Table13[[#This Row],[Shares]]/Table13[[#This Row],[Multiplier]]</f>
        <v>42.403870769230764</v>
      </c>
      <c r="M621" s="5">
        <f>Table13[[#This Row],[Close Value]]/Table13[[#This Row],[Shares]]/Table13[[#This Row],[Multiplier]]</f>
        <v>41.661773846153842</v>
      </c>
      <c r="N621" s="5">
        <v>-4823.63</v>
      </c>
      <c r="O621" s="3">
        <f>Table13[[#This Row],[PnL]]/Table13[[#This Row],[Open Value]]</f>
        <v>-1.7500688253568725E-2</v>
      </c>
      <c r="P621" s="9">
        <f>N621+P620</f>
        <v>189682.69845814002</v>
      </c>
      <c r="Q621" s="5" t="str">
        <f>TEXT(Table13[[#This Row],[Closing Date]],"yyyy")</f>
        <v>2024</v>
      </c>
      <c r="R621" s="5" t="str">
        <f>TEXT(Table13[[#This Row],[Closing Date]],"mmmm")</f>
        <v>June</v>
      </c>
      <c r="S621" s="5" t="s">
        <v>240</v>
      </c>
      <c r="T621" s="5" t="s">
        <v>301</v>
      </c>
    </row>
    <row r="622" spans="1:20" x14ac:dyDescent="0.25">
      <c r="A622" t="s">
        <v>201</v>
      </c>
      <c r="B622" t="s">
        <v>302</v>
      </c>
      <c r="C622" t="s">
        <v>12</v>
      </c>
      <c r="D622" t="s">
        <v>7</v>
      </c>
      <c r="E622" s="11">
        <v>45467</v>
      </c>
      <c r="F622" s="7">
        <v>45468</v>
      </c>
      <c r="G622" t="s">
        <v>268</v>
      </c>
      <c r="H622">
        <v>3</v>
      </c>
      <c r="I622" s="5">
        <v>331762.5</v>
      </c>
      <c r="J622" s="13">
        <v>25000</v>
      </c>
      <c r="K622" s="5">
        <f>Table13[[#This Row],[Open Value]]+Table13[[#This Row],[PnL]]</f>
        <v>326835.18</v>
      </c>
      <c r="L622" s="5">
        <f>Table13[[#This Row],[Open Value]]/Table13[[#This Row],[Shares]]/Table13[[#This Row],[Multiplier]]</f>
        <v>4.4234999999999998</v>
      </c>
      <c r="M622" s="5">
        <f>Table13[[#This Row],[Close Value]]/Table13[[#This Row],[Shares]]/Table13[[#This Row],[Multiplier]]</f>
        <v>4.3578023999999997</v>
      </c>
      <c r="N622" s="5">
        <v>-4927.32</v>
      </c>
      <c r="O622" s="3">
        <f>Table13[[#This Row],[PnL]]/Table13[[#This Row],[Open Value]]</f>
        <v>-1.48519498134961E-2</v>
      </c>
      <c r="P622" s="9">
        <f>N622+P621</f>
        <v>184755.37845814001</v>
      </c>
      <c r="Q622" s="5" t="str">
        <f>TEXT(Table13[[#This Row],[Closing Date]],"yyyy")</f>
        <v>2024</v>
      </c>
      <c r="R622" s="5" t="str">
        <f>TEXT(Table13[[#This Row],[Closing Date]],"mmmm")</f>
        <v>June</v>
      </c>
      <c r="S622" s="5" t="s">
        <v>240</v>
      </c>
      <c r="T622" s="5" t="s">
        <v>301</v>
      </c>
    </row>
    <row r="623" spans="1:20" x14ac:dyDescent="0.25">
      <c r="A623" t="s">
        <v>201</v>
      </c>
      <c r="B623" t="s">
        <v>303</v>
      </c>
      <c r="C623" t="s">
        <v>12</v>
      </c>
      <c r="D623" t="s">
        <v>7</v>
      </c>
      <c r="E623" s="11">
        <v>45448</v>
      </c>
      <c r="F623" s="7">
        <v>45469</v>
      </c>
      <c r="G623" t="s">
        <v>88</v>
      </c>
      <c r="H623">
        <v>10</v>
      </c>
      <c r="I623" s="5">
        <v>210544.9</v>
      </c>
      <c r="J623" s="13">
        <v>1120</v>
      </c>
      <c r="K623" s="5">
        <f>Table13[[#This Row],[Open Value]]+Table13[[#This Row],[PnL]]</f>
        <v>213106.3</v>
      </c>
      <c r="L623" s="5">
        <f>Table13[[#This Row],[Open Value]]/Table13[[#This Row],[Shares]]/Table13[[#This Row],[Multiplier]]</f>
        <v>18.798651785714284</v>
      </c>
      <c r="M623" s="5">
        <f>Table13[[#This Row],[Close Value]]/Table13[[#This Row],[Shares]]/Table13[[#This Row],[Multiplier]]</f>
        <v>19.027348214285713</v>
      </c>
      <c r="N623" s="5">
        <v>2561.4</v>
      </c>
      <c r="O623" s="3">
        <f>Table13[[#This Row],[PnL]]/Table13[[#This Row],[Open Value]]</f>
        <v>1.2165576083771206E-2</v>
      </c>
      <c r="P623" s="9">
        <f>N623+P622</f>
        <v>187316.77845814</v>
      </c>
      <c r="Q623" s="5" t="str">
        <f>TEXT(Table13[[#This Row],[Closing Date]],"yyyy")</f>
        <v>2024</v>
      </c>
      <c r="R623" s="5" t="str">
        <f>TEXT(Table13[[#This Row],[Closing Date]],"mmmm")</f>
        <v>June</v>
      </c>
      <c r="S623" s="5" t="s">
        <v>240</v>
      </c>
      <c r="T623" s="5" t="s">
        <v>301</v>
      </c>
    </row>
    <row r="624" spans="1:20" x14ac:dyDescent="0.25">
      <c r="A624" t="s">
        <v>197</v>
      </c>
      <c r="B624" t="s">
        <v>302</v>
      </c>
      <c r="C624" t="s">
        <v>97</v>
      </c>
      <c r="D624" t="s">
        <v>7</v>
      </c>
      <c r="E624" s="11">
        <v>45457</v>
      </c>
      <c r="F624" s="7">
        <v>45470</v>
      </c>
      <c r="G624" t="s">
        <v>186</v>
      </c>
      <c r="H624">
        <v>8</v>
      </c>
      <c r="I624" s="5">
        <v>2824</v>
      </c>
      <c r="J624" s="13">
        <v>100</v>
      </c>
      <c r="K624" s="5">
        <v>3020.57</v>
      </c>
      <c r="L624" s="5">
        <v>3.53</v>
      </c>
      <c r="M624" s="5">
        <v>3.7757125</v>
      </c>
      <c r="N624" s="5">
        <v>196.57000000000016</v>
      </c>
      <c r="O624" s="3">
        <v>6.9606940509915075E-2</v>
      </c>
      <c r="P624" s="9">
        <f>N624+P623</f>
        <v>187513.34845814001</v>
      </c>
      <c r="Q624" s="5" t="str">
        <f>TEXT(Table13[[#This Row],[Closing Date]],"yyyy")</f>
        <v>2024</v>
      </c>
      <c r="R624" s="5" t="str">
        <f>TEXT(Table13[[#This Row],[Closing Date]],"mmmm")</f>
        <v>June</v>
      </c>
      <c r="S624" s="5" t="s">
        <v>240</v>
      </c>
      <c r="T624" s="5" t="s">
        <v>301</v>
      </c>
    </row>
    <row r="625" spans="1:20" x14ac:dyDescent="0.25">
      <c r="A625" t="s">
        <v>197</v>
      </c>
      <c r="B625" t="s">
        <v>302</v>
      </c>
      <c r="C625" t="s">
        <v>98</v>
      </c>
      <c r="D625" t="s">
        <v>7</v>
      </c>
      <c r="E625" s="11">
        <v>45464</v>
      </c>
      <c r="F625" s="7">
        <v>45470</v>
      </c>
      <c r="G625" t="s">
        <v>251</v>
      </c>
      <c r="H625">
        <v>2</v>
      </c>
      <c r="I625" s="5">
        <f>3803.05-300.94</f>
        <v>3502.11</v>
      </c>
      <c r="J625" s="13">
        <v>100</v>
      </c>
      <c r="K625" s="5">
        <f>Table13[[#This Row],[Open Value]]+Table13[[#This Row],[PnL]]</f>
        <v>1705.15</v>
      </c>
      <c r="L625" s="5">
        <f>Table13[[#This Row],[Open Value]]/Table13[[#This Row],[Shares]]/Table13[[#This Row],[Multiplier]]</f>
        <v>17.510550000000002</v>
      </c>
      <c r="M625" s="5">
        <f>Table13[[#This Row],[Close Value]]/Table13[[#This Row],[Shares]]/Table13[[#This Row],[Multiplier]]</f>
        <v>8.5257500000000004</v>
      </c>
      <c r="N625" s="5">
        <f>201.54-1998.5</f>
        <v>-1796.96</v>
      </c>
      <c r="O625" s="3">
        <f>Table13[[#This Row],[PnL]]/Table13[[#This Row],[Open Value]]</f>
        <v>-0.51310781214753387</v>
      </c>
      <c r="P625" s="9">
        <f>N625+P624</f>
        <v>185716.38845814002</v>
      </c>
      <c r="Q625" s="5" t="str">
        <f>TEXT(Table13[[#This Row],[Closing Date]],"yyyy")</f>
        <v>2024</v>
      </c>
      <c r="R625" s="5" t="str">
        <f>TEXT(Table13[[#This Row],[Closing Date]],"mmmm")</f>
        <v>June</v>
      </c>
      <c r="S625" s="5" t="s">
        <v>240</v>
      </c>
      <c r="T625" s="5" t="s">
        <v>301</v>
      </c>
    </row>
    <row r="626" spans="1:20" x14ac:dyDescent="0.25">
      <c r="A626" t="s">
        <v>197</v>
      </c>
      <c r="B626" t="s">
        <v>302</v>
      </c>
      <c r="C626" t="s">
        <v>97</v>
      </c>
      <c r="D626" t="s">
        <v>7</v>
      </c>
      <c r="E626" s="11">
        <v>45464</v>
      </c>
      <c r="F626" s="7">
        <v>45471</v>
      </c>
      <c r="G626" t="s">
        <v>278</v>
      </c>
      <c r="H626">
        <v>10</v>
      </c>
      <c r="I626" s="5">
        <v>3150</v>
      </c>
      <c r="J626" s="13">
        <v>100</v>
      </c>
      <c r="K626" s="5">
        <v>3616.48</v>
      </c>
      <c r="L626" s="5">
        <f>Table13[[#This Row],[Open Value]]/Table13[[#This Row],[Shares]]/Table13[[#This Row],[Multiplier]]</f>
        <v>3.15</v>
      </c>
      <c r="M626" s="5">
        <f>Table13[[#This Row],[Close Value]]/Table13[[#This Row],[Shares]]/Table13[[#This Row],[Multiplier]]</f>
        <v>3.6164800000000001</v>
      </c>
      <c r="N626" s="5">
        <v>466.48</v>
      </c>
      <c r="O626" s="3">
        <v>0.14808888888888896</v>
      </c>
      <c r="P626" s="9">
        <f>N626+P625</f>
        <v>186182.86845814003</v>
      </c>
      <c r="Q626" s="5" t="str">
        <f>TEXT(Table13[[#This Row],[Closing Date]],"yyyy")</f>
        <v>2024</v>
      </c>
      <c r="R626" s="5" t="str">
        <f>TEXT(Table13[[#This Row],[Closing Date]],"mmmm")</f>
        <v>June</v>
      </c>
      <c r="S626" s="5" t="s">
        <v>240</v>
      </c>
      <c r="T626" s="5" t="s">
        <v>301</v>
      </c>
    </row>
    <row r="627" spans="1:20" x14ac:dyDescent="0.25">
      <c r="A627" t="s">
        <v>197</v>
      </c>
      <c r="B627" t="s">
        <v>302</v>
      </c>
      <c r="C627" t="s">
        <v>98</v>
      </c>
      <c r="D627" t="s">
        <v>7</v>
      </c>
      <c r="E627" s="11">
        <v>45455</v>
      </c>
      <c r="F627" s="7">
        <v>45471</v>
      </c>
      <c r="G627" t="s">
        <v>10</v>
      </c>
      <c r="H627">
        <v>20</v>
      </c>
      <c r="I627" s="5">
        <v>2460</v>
      </c>
      <c r="J627" s="13">
        <v>100</v>
      </c>
      <c r="K627" s="5">
        <v>0</v>
      </c>
      <c r="L627" s="5">
        <f>Table13[[#This Row],[Open Value]]/Table13[[#This Row],[Shares]]/Table13[[#This Row],[Multiplier]]</f>
        <v>1.23</v>
      </c>
      <c r="M627" s="5">
        <f>Table13[[#This Row],[Close Value]]/Table13[[#This Row],[Shares]]/Table13[[#This Row],[Multiplier]]</f>
        <v>0</v>
      </c>
      <c r="N627" s="5">
        <v>-2460</v>
      </c>
      <c r="O627" s="3">
        <v>-1</v>
      </c>
      <c r="P627" s="9">
        <f>N627+P626</f>
        <v>183722.86845814003</v>
      </c>
      <c r="Q627" s="5" t="str">
        <f>TEXT(Table13[[#This Row],[Closing Date]],"yyyy")</f>
        <v>2024</v>
      </c>
      <c r="R627" s="5" t="str">
        <f>TEXT(Table13[[#This Row],[Closing Date]],"mmmm")</f>
        <v>June</v>
      </c>
      <c r="S627" s="5" t="s">
        <v>240</v>
      </c>
      <c r="T627" s="5" t="s">
        <v>301</v>
      </c>
    </row>
    <row r="628" spans="1:20" x14ac:dyDescent="0.25">
      <c r="A628" t="s">
        <v>197</v>
      </c>
      <c r="B628" t="s">
        <v>302</v>
      </c>
      <c r="C628" t="s">
        <v>98</v>
      </c>
      <c r="D628" t="s">
        <v>7</v>
      </c>
      <c r="E628" s="11">
        <v>45467</v>
      </c>
      <c r="F628" s="7">
        <v>45471</v>
      </c>
      <c r="G628" t="s">
        <v>53</v>
      </c>
      <c r="H628">
        <v>125</v>
      </c>
      <c r="I628" s="5">
        <v>2896</v>
      </c>
      <c r="J628" s="13">
        <v>100</v>
      </c>
      <c r="K628" s="5">
        <v>5933.25</v>
      </c>
      <c r="L628" s="5">
        <f>Table13[[#This Row],[Open Value]]/Table13[[#This Row],[Shares]]/Table13[[#This Row],[Multiplier]]</f>
        <v>0.23168</v>
      </c>
      <c r="M628" s="5">
        <f>Table13[[#This Row],[Close Value]]/Table13[[#This Row],[Shares]]/Table13[[#This Row],[Multiplier]]</f>
        <v>0.47466000000000003</v>
      </c>
      <c r="N628" s="5">
        <v>3037.25</v>
      </c>
      <c r="O628" s="3">
        <v>1.0487741712707184</v>
      </c>
      <c r="P628" s="9">
        <f>N628+P627</f>
        <v>186760.11845814003</v>
      </c>
      <c r="Q628" s="5" t="str">
        <f>TEXT(Table13[[#This Row],[Closing Date]],"yyyy")</f>
        <v>2024</v>
      </c>
      <c r="R628" s="5" t="str">
        <f>TEXT(Table13[[#This Row],[Closing Date]],"mmmm")</f>
        <v>June</v>
      </c>
      <c r="S628" s="5" t="s">
        <v>240</v>
      </c>
      <c r="T628" s="5" t="s">
        <v>301</v>
      </c>
    </row>
    <row r="629" spans="1:20" x14ac:dyDescent="0.25">
      <c r="A629" t="s">
        <v>197</v>
      </c>
      <c r="B629" t="s">
        <v>302</v>
      </c>
      <c r="C629" t="s">
        <v>97</v>
      </c>
      <c r="D629" t="s">
        <v>7</v>
      </c>
      <c r="E629" s="11">
        <v>45464</v>
      </c>
      <c r="F629" s="7">
        <v>45471</v>
      </c>
      <c r="G629" t="s">
        <v>278</v>
      </c>
      <c r="H629">
        <v>10</v>
      </c>
      <c r="I629" s="5">
        <f>3371.47-212.5</f>
        <v>3158.97</v>
      </c>
      <c r="J629" s="13">
        <v>100</v>
      </c>
      <c r="K629" s="5">
        <f>Table13[[#This Row],[Open Value]]+Table13[[#This Row],[PnL]]</f>
        <v>3625.45</v>
      </c>
      <c r="L629" s="5">
        <f>Table13[[#This Row],[Open Value]]/Table13[[#This Row],[Shares]]/Table13[[#This Row],[Multiplier]]</f>
        <v>3.1589700000000001</v>
      </c>
      <c r="M629" s="5">
        <f>Table13[[#This Row],[Close Value]]/Table13[[#This Row],[Shares]]/Table13[[#This Row],[Multiplier]]</f>
        <v>3.6254499999999994</v>
      </c>
      <c r="N629" s="5">
        <f>350.42+116.06</f>
        <v>466.48</v>
      </c>
      <c r="O629" s="3">
        <f>Table13[[#This Row],[PnL]]/Table13[[#This Row],[Open Value]]</f>
        <v>0.14766838558137621</v>
      </c>
      <c r="P629" s="9">
        <f>N629+P628</f>
        <v>187226.59845814004</v>
      </c>
      <c r="Q629" s="5" t="str">
        <f>TEXT(Table13[[#This Row],[Closing Date]],"yyyy")</f>
        <v>2024</v>
      </c>
      <c r="R629" s="5" t="str">
        <f>TEXT(Table13[[#This Row],[Closing Date]],"mmmm")</f>
        <v>June</v>
      </c>
      <c r="S629" s="5" t="s">
        <v>240</v>
      </c>
      <c r="T629" s="5" t="s">
        <v>301</v>
      </c>
    </row>
    <row r="630" spans="1:20" x14ac:dyDescent="0.25">
      <c r="A630" t="s">
        <v>197</v>
      </c>
      <c r="B630" t="s">
        <v>302</v>
      </c>
      <c r="C630" t="s">
        <v>102</v>
      </c>
      <c r="D630" t="s">
        <v>7</v>
      </c>
      <c r="E630" s="11">
        <v>45455</v>
      </c>
      <c r="F630" s="7">
        <v>45471</v>
      </c>
      <c r="G630" t="s">
        <v>10</v>
      </c>
      <c r="H630">
        <v>5</v>
      </c>
      <c r="I630" s="5">
        <v>9575</v>
      </c>
      <c r="J630" s="13">
        <v>100</v>
      </c>
      <c r="K630" s="5">
        <f>Table13[[#This Row],[Open Value]]+Table13[[#This Row],[PnL]]</f>
        <v>13030</v>
      </c>
      <c r="L630" s="5">
        <f>Table13[[#This Row],[Open Value]]/Table13[[#This Row],[Shares]]/Table13[[#This Row],[Multiplier]]</f>
        <v>19.149999999999999</v>
      </c>
      <c r="M630" s="5">
        <f>Table13[[#This Row],[Close Value]]/Table13[[#This Row],[Shares]]/Table13[[#This Row],[Multiplier]]</f>
        <v>26.06</v>
      </c>
      <c r="N630" s="5">
        <v>3455</v>
      </c>
      <c r="O630" s="3">
        <f>Table13[[#This Row],[PnL]]/Table13[[#This Row],[Open Value]]</f>
        <v>0.36083550913838119</v>
      </c>
      <c r="P630" s="9">
        <f>N630+P629</f>
        <v>190681.59845814004</v>
      </c>
      <c r="Q630" s="5" t="str">
        <f>TEXT(Table13[[#This Row],[Closing Date]],"yyyy")</f>
        <v>2024</v>
      </c>
      <c r="R630" s="5" t="str">
        <f>TEXT(Table13[[#This Row],[Closing Date]],"mmmm")</f>
        <v>June</v>
      </c>
      <c r="S630" s="5" t="s">
        <v>240</v>
      </c>
      <c r="T630" s="5" t="s">
        <v>301</v>
      </c>
    </row>
    <row r="631" spans="1:20" x14ac:dyDescent="0.25">
      <c r="A631" t="s">
        <v>197</v>
      </c>
      <c r="B631" t="s">
        <v>302</v>
      </c>
      <c r="C631" t="s">
        <v>102</v>
      </c>
      <c r="D631" t="s">
        <v>7</v>
      </c>
      <c r="E631" s="11">
        <v>45397</v>
      </c>
      <c r="F631" s="7">
        <v>45473</v>
      </c>
      <c r="G631" t="s">
        <v>10</v>
      </c>
      <c r="H631">
        <v>8</v>
      </c>
      <c r="I631" s="5">
        <v>14405.49</v>
      </c>
      <c r="J631" s="13">
        <v>100</v>
      </c>
      <c r="K631" s="5">
        <v>27867</v>
      </c>
      <c r="L631" s="5">
        <v>18.0068625</v>
      </c>
      <c r="M631" s="5">
        <v>34.833750000000002</v>
      </c>
      <c r="N631" s="5">
        <v>13461.51</v>
      </c>
      <c r="O631" s="3">
        <v>0.93447081633460582</v>
      </c>
      <c r="P631" s="9">
        <f>N631+P630</f>
        <v>204143.10845814005</v>
      </c>
      <c r="Q631" s="5" t="str">
        <f>TEXT(Table13[[#This Row],[Closing Date]],"yyyy")</f>
        <v>2024</v>
      </c>
      <c r="R631" s="5" t="str">
        <f>TEXT(Table13[[#This Row],[Closing Date]],"mmmm")</f>
        <v>June</v>
      </c>
      <c r="S631" s="5" t="s">
        <v>240</v>
      </c>
      <c r="T631" s="5" t="s">
        <v>301</v>
      </c>
    </row>
    <row r="632" spans="1:20" x14ac:dyDescent="0.25">
      <c r="A632" t="s">
        <v>197</v>
      </c>
      <c r="B632" t="s">
        <v>302</v>
      </c>
      <c r="C632" t="s">
        <v>98</v>
      </c>
      <c r="D632" t="s">
        <v>7</v>
      </c>
      <c r="E632" s="11">
        <v>45448</v>
      </c>
      <c r="F632" s="7">
        <v>45473</v>
      </c>
      <c r="G632" t="s">
        <v>276</v>
      </c>
      <c r="H632">
        <v>30</v>
      </c>
      <c r="I632" s="5">
        <v>3621</v>
      </c>
      <c r="J632" s="13">
        <v>100</v>
      </c>
      <c r="K632" s="5">
        <v>5236</v>
      </c>
      <c r="L632" s="5">
        <f>Table13[[#This Row],[Open Value]]/Table13[[#This Row],[Shares]]/Table13[[#This Row],[Multiplier]]</f>
        <v>1.2070000000000001</v>
      </c>
      <c r="M632" s="5">
        <f>Table13[[#This Row],[Close Value]]/Table13[[#This Row],[Shares]]/Table13[[#This Row],[Multiplier]]</f>
        <v>1.7453333333333334</v>
      </c>
      <c r="N632" s="5">
        <v>1615</v>
      </c>
      <c r="O632" s="3">
        <v>0.4460093896713615</v>
      </c>
      <c r="P632" s="9">
        <f>N632+P631</f>
        <v>205758.10845814005</v>
      </c>
      <c r="Q632" s="5" t="str">
        <f>TEXT(Table13[[#This Row],[Closing Date]],"yyyy")</f>
        <v>2024</v>
      </c>
      <c r="R632" s="5" t="str">
        <f>TEXT(Table13[[#This Row],[Closing Date]],"mmmm")</f>
        <v>June</v>
      </c>
      <c r="S632" s="5" t="s">
        <v>240</v>
      </c>
      <c r="T632" s="5" t="s">
        <v>301</v>
      </c>
    </row>
    <row r="633" spans="1:20" x14ac:dyDescent="0.25">
      <c r="A633" t="s">
        <v>197</v>
      </c>
      <c r="B633" t="s">
        <v>302</v>
      </c>
      <c r="C633" t="s">
        <v>97</v>
      </c>
      <c r="D633" t="s">
        <v>7</v>
      </c>
      <c r="E633" s="11">
        <v>45474</v>
      </c>
      <c r="F633" s="7">
        <v>45474</v>
      </c>
      <c r="G633" t="s">
        <v>11</v>
      </c>
      <c r="H633">
        <v>12</v>
      </c>
      <c r="I633" s="5">
        <v>3788</v>
      </c>
      <c r="J633" s="13">
        <v>100</v>
      </c>
      <c r="K633" s="5">
        <v>4244</v>
      </c>
      <c r="L633" s="5">
        <f>Table13[[#This Row],[Open Value]]/Table13[[#This Row],[Shares]]/Table13[[#This Row],[Multiplier]]</f>
        <v>3.1566666666666667</v>
      </c>
      <c r="M633" s="5">
        <f>Table13[[#This Row],[Close Value]]/Table13[[#This Row],[Shares]]/Table13[[#This Row],[Multiplier]]</f>
        <v>3.5366666666666671</v>
      </c>
      <c r="N633" s="5">
        <v>456</v>
      </c>
      <c r="O633" s="3">
        <v>0.12038014783526937</v>
      </c>
      <c r="P633" s="9">
        <f>N633+P632</f>
        <v>206214.10845814005</v>
      </c>
      <c r="Q633" s="5" t="str">
        <f>TEXT(Table13[[#This Row],[Closing Date]],"yyyy")</f>
        <v>2024</v>
      </c>
      <c r="R633" s="5" t="str">
        <f>TEXT(Table13[[#This Row],[Closing Date]],"mmmm")</f>
        <v>July</v>
      </c>
      <c r="S633" s="5" t="s">
        <v>240</v>
      </c>
      <c r="T633" s="5" t="s">
        <v>301</v>
      </c>
    </row>
    <row r="634" spans="1:20" x14ac:dyDescent="0.25">
      <c r="A634" t="s">
        <v>201</v>
      </c>
      <c r="B634" t="s">
        <v>303</v>
      </c>
      <c r="C634" t="s">
        <v>4</v>
      </c>
      <c r="D634" t="s">
        <v>7</v>
      </c>
      <c r="E634" s="11">
        <v>45461</v>
      </c>
      <c r="F634" s="7">
        <v>45474</v>
      </c>
      <c r="G634" t="s">
        <v>287</v>
      </c>
      <c r="H634">
        <v>250000</v>
      </c>
      <c r="I634" s="5">
        <v>2058270</v>
      </c>
      <c r="J634" s="13">
        <v>1</v>
      </c>
      <c r="K634" s="5">
        <f>Table13[[#This Row],[Open Value]]+Table13[[#This Row],[PnL]]</f>
        <v>2053770.4748056266</v>
      </c>
      <c r="L634" s="5">
        <f>Table13[[#This Row],[Open Value]]/Table13[[#This Row],[Shares]]/Table13[[#This Row],[Multiplier]]</f>
        <v>8.2330799999999993</v>
      </c>
      <c r="M634" s="5">
        <f>Table13[[#This Row],[Close Value]]/Table13[[#This Row],[Shares]]/Table13[[#This Row],[Multiplier]]</f>
        <v>8.2150818992225059</v>
      </c>
      <c r="N634" s="5">
        <f>(2021880-Table13[[#This Row],[Open Value]])/8.08752</f>
        <v>-4499.5251943735539</v>
      </c>
      <c r="O634" s="3">
        <f>Table13[[#This Row],[PnL]]/Table13[[#This Row],[Open Value]]</f>
        <v>-2.1860714067510841E-3</v>
      </c>
      <c r="P634" s="9">
        <f>N634+P633</f>
        <v>201714.58326376649</v>
      </c>
      <c r="Q634" s="5" t="str">
        <f>TEXT(Table13[[#This Row],[Closing Date]],"yyyy")</f>
        <v>2024</v>
      </c>
      <c r="R634" s="5" t="str">
        <f>TEXT(Table13[[#This Row],[Closing Date]],"mmmm")</f>
        <v>July</v>
      </c>
      <c r="S634" s="5" t="s">
        <v>240</v>
      </c>
      <c r="T634" s="5" t="s">
        <v>301</v>
      </c>
    </row>
    <row r="635" spans="1:20" x14ac:dyDescent="0.25">
      <c r="A635" t="s">
        <v>201</v>
      </c>
      <c r="B635" t="s">
        <v>303</v>
      </c>
      <c r="C635" t="s">
        <v>4</v>
      </c>
      <c r="D635" t="s">
        <v>7</v>
      </c>
      <c r="E635" s="11">
        <v>45463</v>
      </c>
      <c r="F635" s="7">
        <v>45474</v>
      </c>
      <c r="G635" t="s">
        <v>288</v>
      </c>
      <c r="H635">
        <v>400000</v>
      </c>
      <c r="I635" s="5">
        <v>148146800</v>
      </c>
      <c r="J635" s="13">
        <v>1</v>
      </c>
      <c r="K635" s="5">
        <f>Table13[[#This Row],[Open Value]]+Table13[[#This Row],[PnL]]</f>
        <v>148142003.42833763</v>
      </c>
      <c r="L635" s="5">
        <f>Table13[[#This Row],[Open Value]]/Table13[[#This Row],[Shares]]/Table13[[#This Row],[Multiplier]]</f>
        <v>370.36700000000002</v>
      </c>
      <c r="M635" s="5">
        <f>Table13[[#This Row],[Close Value]]/Table13[[#This Row],[Shares]]/Table13[[#This Row],[Multiplier]]</f>
        <v>370.35500857084406</v>
      </c>
      <c r="N635" s="5">
        <f>(146400400-Table13[[#This Row],[Open Value]])/366.001-25</f>
        <v>-4796.5716623725075</v>
      </c>
      <c r="O635" s="3">
        <f>Table13[[#This Row],[PnL]]/Table13[[#This Row],[Open Value]]</f>
        <v>-3.237715335310994E-5</v>
      </c>
      <c r="P635" s="9">
        <f>N635+P634</f>
        <v>196918.01160139398</v>
      </c>
      <c r="Q635" s="5" t="str">
        <f>TEXT(Table13[[#This Row],[Closing Date]],"yyyy")</f>
        <v>2024</v>
      </c>
      <c r="R635" s="5" t="str">
        <f>TEXT(Table13[[#This Row],[Closing Date]],"mmmm")</f>
        <v>July</v>
      </c>
      <c r="S635" s="5" t="s">
        <v>240</v>
      </c>
      <c r="T635" s="5" t="s">
        <v>301</v>
      </c>
    </row>
    <row r="636" spans="1:20" x14ac:dyDescent="0.25">
      <c r="A636" t="s">
        <v>197</v>
      </c>
      <c r="B636" t="s">
        <v>302</v>
      </c>
      <c r="C636" t="s">
        <v>97</v>
      </c>
      <c r="D636" t="s">
        <v>7</v>
      </c>
      <c r="E636" s="11">
        <v>45468</v>
      </c>
      <c r="F636" s="7">
        <v>45476</v>
      </c>
      <c r="G636" t="s">
        <v>279</v>
      </c>
      <c r="H636">
        <v>10</v>
      </c>
      <c r="I636" s="5">
        <v>4050</v>
      </c>
      <c r="J636" s="13">
        <v>100</v>
      </c>
      <c r="K636" s="5">
        <v>4394.63</v>
      </c>
      <c r="L636" s="5">
        <f>Table13[[#This Row],[Open Value]]/Table13[[#This Row],[Shares]]/Table13[[#This Row],[Multiplier]]</f>
        <v>4.05</v>
      </c>
      <c r="M636" s="5">
        <f>Table13[[#This Row],[Close Value]]/Table13[[#This Row],[Shares]]/Table13[[#This Row],[Multiplier]]</f>
        <v>4.3946300000000003</v>
      </c>
      <c r="N636" s="5">
        <v>344.63000000000011</v>
      </c>
      <c r="O636" s="3">
        <v>8.5093827160493934E-2</v>
      </c>
      <c r="P636" s="9">
        <f>N636+P635</f>
        <v>197262.64160139399</v>
      </c>
      <c r="Q636" s="5" t="str">
        <f>TEXT(Table13[[#This Row],[Closing Date]],"yyyy")</f>
        <v>2024</v>
      </c>
      <c r="R636" s="5" t="str">
        <f>TEXT(Table13[[#This Row],[Closing Date]],"mmmm")</f>
        <v>July</v>
      </c>
      <c r="S636" s="5" t="s">
        <v>240</v>
      </c>
      <c r="T636" s="5" t="s">
        <v>301</v>
      </c>
    </row>
    <row r="637" spans="1:20" x14ac:dyDescent="0.25">
      <c r="A637" t="s">
        <v>197</v>
      </c>
      <c r="B637" t="s">
        <v>302</v>
      </c>
      <c r="C637" t="s">
        <v>99</v>
      </c>
      <c r="D637" t="s">
        <v>7</v>
      </c>
      <c r="E637" s="11">
        <v>45470</v>
      </c>
      <c r="F637" s="7">
        <v>45478</v>
      </c>
      <c r="G637" t="s">
        <v>266</v>
      </c>
      <c r="H637">
        <v>40</v>
      </c>
      <c r="I637" s="5">
        <v>2307.4699999999998</v>
      </c>
      <c r="J637" s="13">
        <v>100</v>
      </c>
      <c r="K637" s="5">
        <f>Table13[[#This Row],[Open Value]]+Table13[[#This Row],[PnL]]</f>
        <v>0</v>
      </c>
      <c r="L637" s="5">
        <f>Table13[[#This Row],[Open Value]]/Table13[[#This Row],[Shares]]/Table13[[#This Row],[Multiplier]]</f>
        <v>0.57686749999999998</v>
      </c>
      <c r="M637" s="5">
        <f>Table13[[#This Row],[Close Value]]/Table13[[#This Row],[Shares]]/Table13[[#This Row],[Multiplier]]</f>
        <v>0</v>
      </c>
      <c r="N637" s="5">
        <v>-2307.4699999999998</v>
      </c>
      <c r="O637" s="3">
        <f>Table13[[#This Row],[PnL]]/Table13[[#This Row],[Open Value]]</f>
        <v>-1</v>
      </c>
      <c r="P637" s="9">
        <f>N637+P636</f>
        <v>194955.17160139399</v>
      </c>
      <c r="Q637" s="5" t="str">
        <f>TEXT(Table13[[#This Row],[Closing Date]],"yyyy")</f>
        <v>2024</v>
      </c>
      <c r="R637" s="5" t="str">
        <f>TEXT(Table13[[#This Row],[Closing Date]],"mmmm")</f>
        <v>July</v>
      </c>
      <c r="S637" s="5" t="s">
        <v>240</v>
      </c>
      <c r="T637" s="5" t="s">
        <v>301</v>
      </c>
    </row>
    <row r="638" spans="1:20" x14ac:dyDescent="0.25">
      <c r="A638" t="s">
        <v>197</v>
      </c>
      <c r="B638" t="s">
        <v>302</v>
      </c>
      <c r="C638" t="s">
        <v>97</v>
      </c>
      <c r="D638" t="s">
        <v>7</v>
      </c>
      <c r="E638" s="11">
        <v>45474</v>
      </c>
      <c r="F638" s="7">
        <v>45478</v>
      </c>
      <c r="G638" t="s">
        <v>162</v>
      </c>
      <c r="H638">
        <v>6</v>
      </c>
      <c r="I638" s="5">
        <f>-93.9+3548.08</f>
        <v>3454.18</v>
      </c>
      <c r="J638" s="13">
        <v>100</v>
      </c>
      <c r="K638" s="5">
        <f>Table13[[#This Row],[Open Value]]+Table13[[#This Row],[PnL]]</f>
        <v>8453.09</v>
      </c>
      <c r="L638" s="5">
        <f>Table13[[#This Row],[Open Value]]/Table13[[#This Row],[Shares]]/Table13[[#This Row],[Multiplier]]</f>
        <v>5.7569666666666661</v>
      </c>
      <c r="M638" s="5">
        <f>Table13[[#This Row],[Close Value]]/Table13[[#This Row],[Shares]]/Table13[[#This Row],[Multiplier]]</f>
        <v>14.088483333333334</v>
      </c>
      <c r="N638" s="5">
        <f>4947.54+51.37</f>
        <v>4998.91</v>
      </c>
      <c r="O638" s="3">
        <f>Table13[[#This Row],[PnL]]/Table13[[#This Row],[Open Value]]</f>
        <v>1.4472059938972492</v>
      </c>
      <c r="P638" s="9">
        <f>N638+P637</f>
        <v>199954.08160139399</v>
      </c>
      <c r="Q638" s="5" t="str">
        <f>TEXT(Table13[[#This Row],[Closing Date]],"yyyy")</f>
        <v>2024</v>
      </c>
      <c r="R638" s="5" t="str">
        <f>TEXT(Table13[[#This Row],[Closing Date]],"mmmm")</f>
        <v>July</v>
      </c>
      <c r="S638" s="5" t="s">
        <v>240</v>
      </c>
      <c r="T638" s="5" t="s">
        <v>301</v>
      </c>
    </row>
    <row r="639" spans="1:20" x14ac:dyDescent="0.25">
      <c r="A639" t="s">
        <v>197</v>
      </c>
      <c r="B639" t="s">
        <v>302</v>
      </c>
      <c r="C639" t="s">
        <v>99</v>
      </c>
      <c r="D639" t="s">
        <v>7</v>
      </c>
      <c r="E639" s="11">
        <v>45463</v>
      </c>
      <c r="F639" s="7">
        <v>45483</v>
      </c>
      <c r="G639" t="s">
        <v>130</v>
      </c>
      <c r="H639">
        <v>25</v>
      </c>
      <c r="I639" s="5">
        <v>3642.17</v>
      </c>
      <c r="J639" s="13">
        <v>100</v>
      </c>
      <c r="K639" s="5">
        <f>Table13[[#This Row],[Open Value]]+Table13[[#This Row],[PnL]]</f>
        <v>6128.59</v>
      </c>
      <c r="L639" s="5">
        <f>Table13[[#This Row],[Open Value]]/Table13[[#This Row],[Shares]]/Table13[[#This Row],[Multiplier]]</f>
        <v>1.4568680000000001</v>
      </c>
      <c r="M639" s="5">
        <f>Table13[[#This Row],[Close Value]]/Table13[[#This Row],[Shares]]/Table13[[#This Row],[Multiplier]]</f>
        <v>2.4514359999999997</v>
      </c>
      <c r="N639" s="5">
        <v>2486.42</v>
      </c>
      <c r="O639" s="3">
        <f>Table13[[#This Row],[PnL]]/Table13[[#This Row],[Open Value]]</f>
        <v>0.68267543799438246</v>
      </c>
      <c r="P639" s="9">
        <f>N639+P638</f>
        <v>202440.501601394</v>
      </c>
      <c r="Q639" s="5" t="str">
        <f>TEXT(Table13[[#This Row],[Closing Date]],"yyyy")</f>
        <v>2024</v>
      </c>
      <c r="R639" s="5" t="str">
        <f>TEXT(Table13[[#This Row],[Closing Date]],"mmmm")</f>
        <v>July</v>
      </c>
      <c r="S639" s="5" t="s">
        <v>240</v>
      </c>
      <c r="T639" s="5" t="s">
        <v>301</v>
      </c>
    </row>
    <row r="640" spans="1:20" x14ac:dyDescent="0.25">
      <c r="A640" t="s">
        <v>201</v>
      </c>
      <c r="B640" t="s">
        <v>303</v>
      </c>
      <c r="C640" t="s">
        <v>12</v>
      </c>
      <c r="D640" t="s">
        <v>7</v>
      </c>
      <c r="E640" s="11">
        <v>45482</v>
      </c>
      <c r="F640" s="7">
        <v>45484</v>
      </c>
      <c r="G640" t="s">
        <v>86</v>
      </c>
      <c r="H640">
        <v>75</v>
      </c>
      <c r="I640" s="5">
        <v>323292.75</v>
      </c>
      <c r="J640" s="13">
        <v>1000</v>
      </c>
      <c r="K640" s="5">
        <f>Table13[[#This Row],[Open Value]]+Table13[[#This Row],[PnL]]</f>
        <v>313401.25</v>
      </c>
      <c r="L640" s="5">
        <f>Table13[[#This Row],[Open Value]]/Table13[[#This Row],[Shares]]/Table13[[#This Row],[Multiplier]]</f>
        <v>4.3105699999999993</v>
      </c>
      <c r="M640" s="5">
        <f>Table13[[#This Row],[Close Value]]/Table13[[#This Row],[Shares]]/Table13[[#This Row],[Multiplier]]</f>
        <v>4.1786833333333337</v>
      </c>
      <c r="N640" s="5">
        <v>-9891.5</v>
      </c>
      <c r="O640" s="3">
        <f>Table13[[#This Row],[PnL]]/Table13[[#This Row],[Open Value]]</f>
        <v>-3.0596108325967718E-2</v>
      </c>
      <c r="P640" s="9">
        <f>N640+P639</f>
        <v>192549.001601394</v>
      </c>
      <c r="Q640" s="5" t="str">
        <f>TEXT(Table13[[#This Row],[Closing Date]],"yyyy")</f>
        <v>2024</v>
      </c>
      <c r="R640" s="5" t="str">
        <f>TEXT(Table13[[#This Row],[Closing Date]],"mmmm")</f>
        <v>July</v>
      </c>
      <c r="S640" s="5" t="s">
        <v>240</v>
      </c>
      <c r="T640" s="5" t="s">
        <v>301</v>
      </c>
    </row>
    <row r="641" spans="1:20" x14ac:dyDescent="0.25">
      <c r="A641" t="s">
        <v>201</v>
      </c>
      <c r="B641" t="s">
        <v>303</v>
      </c>
      <c r="C641" t="s">
        <v>16</v>
      </c>
      <c r="D641" t="s">
        <v>7</v>
      </c>
      <c r="E641" s="11">
        <v>45447</v>
      </c>
      <c r="F641" s="7">
        <v>45485</v>
      </c>
      <c r="G641" t="s">
        <v>139</v>
      </c>
      <c r="H641">
        <v>650</v>
      </c>
      <c r="I641" s="5">
        <v>94680.27</v>
      </c>
      <c r="J641" s="13">
        <v>1</v>
      </c>
      <c r="K641" s="5">
        <f>Table13[[#This Row],[Open Value]]+Table13[[#This Row],[PnL]]</f>
        <v>89466.52</v>
      </c>
      <c r="L641" s="5">
        <f>Table13[[#This Row],[Open Value]]/Table13[[#This Row],[Shares]]/Table13[[#This Row],[Multiplier]]</f>
        <v>145.66195384615386</v>
      </c>
      <c r="M641" s="5">
        <f>Table13[[#This Row],[Close Value]]/Table13[[#This Row],[Shares]]/Table13[[#This Row],[Multiplier]]</f>
        <v>137.64080000000001</v>
      </c>
      <c r="N641" s="5">
        <v>-5213.75</v>
      </c>
      <c r="O641" s="3">
        <f>Table13[[#This Row],[PnL]]/Table13[[#This Row],[Open Value]]</f>
        <v>-5.5066910983671676E-2</v>
      </c>
      <c r="P641" s="9">
        <f>N641+P640</f>
        <v>187335.251601394</v>
      </c>
      <c r="Q641" s="5" t="str">
        <f>TEXT(Table13[[#This Row],[Closing Date]],"yyyy")</f>
        <v>2024</v>
      </c>
      <c r="R641" s="5" t="str">
        <f>TEXT(Table13[[#This Row],[Closing Date]],"mmmm")</f>
        <v>July</v>
      </c>
      <c r="S641" s="5" t="s">
        <v>240</v>
      </c>
      <c r="T641" s="5" t="s">
        <v>301</v>
      </c>
    </row>
    <row r="642" spans="1:20" x14ac:dyDescent="0.25">
      <c r="A642" t="s">
        <v>201</v>
      </c>
      <c r="B642" t="s">
        <v>303</v>
      </c>
      <c r="C642" t="s">
        <v>16</v>
      </c>
      <c r="D642" t="s">
        <v>7</v>
      </c>
      <c r="E642" s="11">
        <v>45454</v>
      </c>
      <c r="F642" s="7">
        <v>45485</v>
      </c>
      <c r="G642" t="s">
        <v>162</v>
      </c>
      <c r="H642">
        <v>800</v>
      </c>
      <c r="I642" s="5">
        <v>425352</v>
      </c>
      <c r="J642" s="13">
        <v>1</v>
      </c>
      <c r="K642" s="5">
        <f>Table13[[#This Row],[Open Value]]+Table13[[#This Row],[PnL]]</f>
        <v>405974.72</v>
      </c>
      <c r="L642" s="5">
        <f>Table13[[#This Row],[Open Value]]/Table13[[#This Row],[Shares]]/Table13[[#This Row],[Multiplier]]</f>
        <v>531.69000000000005</v>
      </c>
      <c r="M642" s="5">
        <f>Table13[[#This Row],[Close Value]]/Table13[[#This Row],[Shares]]/Table13[[#This Row],[Multiplier]]</f>
        <v>507.46839999999997</v>
      </c>
      <c r="N642" s="5">
        <v>-19377.28</v>
      </c>
      <c r="O642" s="3">
        <f>Table13[[#This Row],[PnL]]/Table13[[#This Row],[Open Value]]</f>
        <v>-4.5555869021422252E-2</v>
      </c>
      <c r="P642" s="9">
        <f>N642+P641</f>
        <v>167957.97160139401</v>
      </c>
      <c r="Q642" s="5" t="str">
        <f>TEXT(Table13[[#This Row],[Closing Date]],"yyyy")</f>
        <v>2024</v>
      </c>
      <c r="R642" s="5" t="str">
        <f>TEXT(Table13[[#This Row],[Closing Date]],"mmmm")</f>
        <v>July</v>
      </c>
      <c r="S642" s="5" t="s">
        <v>240</v>
      </c>
      <c r="T642" s="5" t="s">
        <v>301</v>
      </c>
    </row>
    <row r="643" spans="1:20" x14ac:dyDescent="0.25">
      <c r="A643" t="s">
        <v>201</v>
      </c>
      <c r="B643" t="s">
        <v>303</v>
      </c>
      <c r="C643" t="s">
        <v>16</v>
      </c>
      <c r="D643" t="s">
        <v>7</v>
      </c>
      <c r="E643" s="11">
        <v>45481</v>
      </c>
      <c r="F643" s="7">
        <v>45485</v>
      </c>
      <c r="G643" t="s">
        <v>285</v>
      </c>
      <c r="H643">
        <v>700</v>
      </c>
      <c r="I643" s="5">
        <v>52318</v>
      </c>
      <c r="J643" s="13">
        <v>1</v>
      </c>
      <c r="K643" s="5">
        <f>Table13[[#This Row],[Open Value]]+Table13[[#This Row],[PnL]]</f>
        <v>47293.72</v>
      </c>
      <c r="L643" s="5">
        <f>Table13[[#This Row],[Open Value]]/Table13[[#This Row],[Shares]]/Table13[[#This Row],[Multiplier]]</f>
        <v>74.739999999999995</v>
      </c>
      <c r="M643" s="5">
        <f>Table13[[#This Row],[Close Value]]/Table13[[#This Row],[Shares]]/Table13[[#This Row],[Multiplier]]</f>
        <v>67.562457142857141</v>
      </c>
      <c r="N643" s="5">
        <v>-5024.28</v>
      </c>
      <c r="O643" s="3">
        <f>Table13[[#This Row],[PnL]]/Table13[[#This Row],[Open Value]]</f>
        <v>-9.6033487518636024E-2</v>
      </c>
      <c r="P643" s="9">
        <f>N643+P642</f>
        <v>162933.69160139401</v>
      </c>
      <c r="Q643" s="5" t="str">
        <f>TEXT(Table13[[#This Row],[Closing Date]],"yyyy")</f>
        <v>2024</v>
      </c>
      <c r="R643" s="5" t="str">
        <f>TEXT(Table13[[#This Row],[Closing Date]],"mmmm")</f>
        <v>July</v>
      </c>
      <c r="S643" s="5" t="s">
        <v>240</v>
      </c>
      <c r="T643" s="5" t="s">
        <v>301</v>
      </c>
    </row>
    <row r="644" spans="1:20" x14ac:dyDescent="0.25">
      <c r="A644" t="s">
        <v>197</v>
      </c>
      <c r="B644" t="s">
        <v>302</v>
      </c>
      <c r="C644" t="s">
        <v>98</v>
      </c>
      <c r="D644" t="s">
        <v>7</v>
      </c>
      <c r="E644" s="11">
        <v>45471</v>
      </c>
      <c r="F644" s="7">
        <v>45485</v>
      </c>
      <c r="G644" t="s">
        <v>37</v>
      </c>
      <c r="H644">
        <v>5</v>
      </c>
      <c r="I644" s="5">
        <v>2010</v>
      </c>
      <c r="J644" s="13">
        <v>100</v>
      </c>
      <c r="K644" s="5">
        <f>Table13[[#This Row],[Open Value]]+Table13[[#This Row],[PnL]]</f>
        <v>0</v>
      </c>
      <c r="L644" s="5">
        <f>Table13[[#This Row],[Open Value]]/Table13[[#This Row],[Shares]]/Table13[[#This Row],[Multiplier]]</f>
        <v>4.0199999999999996</v>
      </c>
      <c r="M644" s="5">
        <f>Table13[[#This Row],[Close Value]]/Table13[[#This Row],[Shares]]/Table13[[#This Row],[Multiplier]]</f>
        <v>0</v>
      </c>
      <c r="N644" s="5">
        <v>-2010</v>
      </c>
      <c r="O644" s="3">
        <f>Table13[[#This Row],[PnL]]/Table13[[#This Row],[Open Value]]</f>
        <v>-1</v>
      </c>
      <c r="P644" s="9">
        <f>N644+P643</f>
        <v>160923.69160139401</v>
      </c>
      <c r="Q644" s="5" t="str">
        <f>TEXT(Table13[[#This Row],[Closing Date]],"yyyy")</f>
        <v>2024</v>
      </c>
      <c r="R644" s="5" t="str">
        <f>TEXT(Table13[[#This Row],[Closing Date]],"mmmm")</f>
        <v>July</v>
      </c>
      <c r="S644" s="5" t="s">
        <v>240</v>
      </c>
      <c r="T644" s="5" t="s">
        <v>301</v>
      </c>
    </row>
    <row r="645" spans="1:20" x14ac:dyDescent="0.25">
      <c r="A645" t="s">
        <v>201</v>
      </c>
      <c r="B645" t="s">
        <v>303</v>
      </c>
      <c r="C645" t="s">
        <v>12</v>
      </c>
      <c r="D645" t="s">
        <v>7</v>
      </c>
      <c r="E645" s="11">
        <v>45461</v>
      </c>
      <c r="F645" s="7">
        <v>45489</v>
      </c>
      <c r="G645" t="s">
        <v>13</v>
      </c>
      <c r="H645">
        <v>4</v>
      </c>
      <c r="I645" s="5">
        <v>311169.48</v>
      </c>
      <c r="J645" s="13">
        <v>1000</v>
      </c>
      <c r="K645" s="5">
        <f>Table13[[#This Row],[Open Value]]+Table13[[#This Row],[PnL]]</f>
        <v>310630.51999999996</v>
      </c>
      <c r="L645" s="5">
        <f>Table13[[#This Row],[Open Value]]/Table13[[#This Row],[Shares]]/Table13[[#This Row],[Multiplier]]</f>
        <v>77.792369999999991</v>
      </c>
      <c r="M645" s="5">
        <f>Table13[[#This Row],[Close Value]]/Table13[[#This Row],[Shares]]/Table13[[#This Row],[Multiplier]]</f>
        <v>77.657629999999983</v>
      </c>
      <c r="N645" s="5">
        <v>-538.96</v>
      </c>
      <c r="O645" s="3">
        <f>Table13[[#This Row],[PnL]]/Table13[[#This Row],[Open Value]]</f>
        <v>-1.7320464719097774E-3</v>
      </c>
      <c r="P645" s="9">
        <f>N645+P644</f>
        <v>160384.73160139401</v>
      </c>
      <c r="Q645" s="5" t="str">
        <f>TEXT(Table13[[#This Row],[Closing Date]],"yyyy")</f>
        <v>2024</v>
      </c>
      <c r="R645" s="5" t="str">
        <f>TEXT(Table13[[#This Row],[Closing Date]],"mmmm")</f>
        <v>July</v>
      </c>
      <c r="S645" s="5" t="s">
        <v>240</v>
      </c>
      <c r="T645" s="5" t="s">
        <v>301</v>
      </c>
    </row>
    <row r="646" spans="1:20" x14ac:dyDescent="0.25">
      <c r="A646" t="s">
        <v>201</v>
      </c>
      <c r="B646" t="s">
        <v>303</v>
      </c>
      <c r="C646" t="s">
        <v>12</v>
      </c>
      <c r="D646" t="s">
        <v>7</v>
      </c>
      <c r="E646" s="11">
        <v>45463</v>
      </c>
      <c r="F646" s="7">
        <v>45489</v>
      </c>
      <c r="G646" t="s">
        <v>91</v>
      </c>
      <c r="H646">
        <v>2</v>
      </c>
      <c r="I646" s="5">
        <v>207980.34</v>
      </c>
      <c r="J646" s="13">
        <v>42000</v>
      </c>
      <c r="K646" s="5">
        <f>Table13[[#This Row],[Open Value]]+Table13[[#This Row],[PnL]]</f>
        <v>207987.66</v>
      </c>
      <c r="L646" s="5">
        <f>Table13[[#This Row],[Open Value]]/Table13[[#This Row],[Shares]]/Table13[[#This Row],[Multiplier]]</f>
        <v>2.4759564285714286</v>
      </c>
      <c r="M646" s="5">
        <f>Table13[[#This Row],[Close Value]]/Table13[[#This Row],[Shares]]/Table13[[#This Row],[Multiplier]]</f>
        <v>2.4760435714285713</v>
      </c>
      <c r="N646" s="5">
        <v>7.32</v>
      </c>
      <c r="O646" s="3">
        <f>Table13[[#This Row],[PnL]]/Table13[[#This Row],[Open Value]]</f>
        <v>3.5195634356593517E-5</v>
      </c>
      <c r="P646" s="9">
        <f>N646+P645</f>
        <v>160392.05160139402</v>
      </c>
      <c r="Q646" s="5" t="str">
        <f>TEXT(Table13[[#This Row],[Closing Date]],"yyyy")</f>
        <v>2024</v>
      </c>
      <c r="R646" s="5" t="str">
        <f>TEXT(Table13[[#This Row],[Closing Date]],"mmmm")</f>
        <v>July</v>
      </c>
      <c r="S646" s="5" t="s">
        <v>240</v>
      </c>
      <c r="T646" s="5" t="s">
        <v>301</v>
      </c>
    </row>
    <row r="647" spans="1:20" x14ac:dyDescent="0.25">
      <c r="A647" t="s">
        <v>201</v>
      </c>
      <c r="B647" t="s">
        <v>302</v>
      </c>
      <c r="C647" t="s">
        <v>16</v>
      </c>
      <c r="D647" t="s">
        <v>7</v>
      </c>
      <c r="E647" s="11">
        <v>45490</v>
      </c>
      <c r="F647" s="7">
        <v>45490</v>
      </c>
      <c r="G647" t="s">
        <v>283</v>
      </c>
      <c r="H647">
        <v>500</v>
      </c>
      <c r="I647" s="5">
        <v>63767.5</v>
      </c>
      <c r="J647" s="13">
        <v>1</v>
      </c>
      <c r="K647" s="5">
        <f>Table13[[#This Row],[Open Value]]+Table13[[#This Row],[PnL]]</f>
        <v>61205.72</v>
      </c>
      <c r="L647" s="5">
        <f>Table13[[#This Row],[Open Value]]/Table13[[#This Row],[Shares]]/Table13[[#This Row],[Multiplier]]</f>
        <v>127.535</v>
      </c>
      <c r="M647" s="5">
        <f>Table13[[#This Row],[Close Value]]/Table13[[#This Row],[Shares]]/Table13[[#This Row],[Multiplier]]</f>
        <v>122.41144</v>
      </c>
      <c r="N647" s="5">
        <v>-2561.7800000000002</v>
      </c>
      <c r="O647" s="3">
        <f>Table13[[#This Row],[PnL]]/Table13[[#This Row],[Open Value]]</f>
        <v>-4.0173756223781713E-2</v>
      </c>
      <c r="P647" s="9">
        <f>N647+P646</f>
        <v>157830.27160139402</v>
      </c>
      <c r="Q647" s="5" t="str">
        <f>TEXT(Table13[[#This Row],[Closing Date]],"yyyy")</f>
        <v>2024</v>
      </c>
      <c r="R647" s="5" t="str">
        <f>TEXT(Table13[[#This Row],[Closing Date]],"mmmm")</f>
        <v>July</v>
      </c>
      <c r="S647" s="5" t="s">
        <v>240</v>
      </c>
      <c r="T647" s="5" t="s">
        <v>301</v>
      </c>
    </row>
    <row r="648" spans="1:20" x14ac:dyDescent="0.25">
      <c r="A648" t="s">
        <v>201</v>
      </c>
      <c r="B648" t="s">
        <v>303</v>
      </c>
      <c r="C648" t="s">
        <v>16</v>
      </c>
      <c r="D648" t="s">
        <v>7</v>
      </c>
      <c r="E648" s="11">
        <v>42931</v>
      </c>
      <c r="F648" s="7">
        <v>45490</v>
      </c>
      <c r="G648" t="s">
        <v>256</v>
      </c>
      <c r="H648">
        <v>2050</v>
      </c>
      <c r="I648" s="5">
        <v>312500</v>
      </c>
      <c r="J648" s="13">
        <v>1</v>
      </c>
      <c r="K648" s="5">
        <f>Table13[[#This Row],[Open Value]]+Table13[[#This Row],[PnL]]</f>
        <v>315728.03000000003</v>
      </c>
      <c r="L648" s="5">
        <f>Table13[[#This Row],[Open Value]]/Table13[[#This Row],[Shares]]/Table13[[#This Row],[Multiplier]]</f>
        <v>152.4390243902439</v>
      </c>
      <c r="M648" s="5">
        <f>Table13[[#This Row],[Close Value]]/Table13[[#This Row],[Shares]]/Table13[[#This Row],[Multiplier]]</f>
        <v>154.01367317073172</v>
      </c>
      <c r="N648" s="5">
        <v>3228.03</v>
      </c>
      <c r="O648" s="3">
        <f>Table13[[#This Row],[PnL]]/Table13[[#This Row],[Open Value]]</f>
        <v>1.0329696000000001E-2</v>
      </c>
      <c r="P648" s="9">
        <f>N648+P647</f>
        <v>161058.30160139402</v>
      </c>
      <c r="Q648" s="5" t="str">
        <f>TEXT(Table13[[#This Row],[Closing Date]],"yyyy")</f>
        <v>2024</v>
      </c>
      <c r="R648" s="5" t="str">
        <f>TEXT(Table13[[#This Row],[Closing Date]],"mmmm")</f>
        <v>July</v>
      </c>
      <c r="S648" s="5" t="s">
        <v>240</v>
      </c>
      <c r="T648" s="5" t="s">
        <v>301</v>
      </c>
    </row>
    <row r="649" spans="1:20" x14ac:dyDescent="0.25">
      <c r="A649" t="s">
        <v>201</v>
      </c>
      <c r="B649" t="s">
        <v>303</v>
      </c>
      <c r="C649" t="s">
        <v>16</v>
      </c>
      <c r="D649" t="s">
        <v>7</v>
      </c>
      <c r="E649" s="11">
        <v>45474</v>
      </c>
      <c r="F649" s="7">
        <v>45490</v>
      </c>
      <c r="G649" t="s">
        <v>153</v>
      </c>
      <c r="H649">
        <v>3000</v>
      </c>
      <c r="I649" s="5">
        <v>165000</v>
      </c>
      <c r="J649" s="13">
        <v>1</v>
      </c>
      <c r="K649" s="5">
        <f>Table13[[#This Row],[Open Value]]+Table13[[#This Row],[PnL]]</f>
        <v>181841.41999999998</v>
      </c>
      <c r="L649" s="5">
        <f>Table13[[#This Row],[Open Value]]/Table13[[#This Row],[Shares]]/Table13[[#This Row],[Multiplier]]</f>
        <v>55</v>
      </c>
      <c r="M649" s="5">
        <f>Table13[[#This Row],[Close Value]]/Table13[[#This Row],[Shares]]/Table13[[#This Row],[Multiplier]]</f>
        <v>60.613806666666662</v>
      </c>
      <c r="N649" s="5">
        <v>16841.419999999998</v>
      </c>
      <c r="O649" s="3">
        <f>Table13[[#This Row],[PnL]]/Table13[[#This Row],[Open Value]]</f>
        <v>0.10206921212121212</v>
      </c>
      <c r="P649" s="9">
        <f>N649+P648</f>
        <v>177899.72160139401</v>
      </c>
      <c r="Q649" s="5" t="str">
        <f>TEXT(Table13[[#This Row],[Closing Date]],"yyyy")</f>
        <v>2024</v>
      </c>
      <c r="R649" s="5" t="str">
        <f>TEXT(Table13[[#This Row],[Closing Date]],"mmmm")</f>
        <v>July</v>
      </c>
      <c r="S649" s="5" t="s">
        <v>240</v>
      </c>
      <c r="T649" s="5" t="s">
        <v>301</v>
      </c>
    </row>
    <row r="650" spans="1:20" x14ac:dyDescent="0.25">
      <c r="A650" t="s">
        <v>197</v>
      </c>
      <c r="B650" t="s">
        <v>302</v>
      </c>
      <c r="C650" t="s">
        <v>97</v>
      </c>
      <c r="D650" t="s">
        <v>7</v>
      </c>
      <c r="E650" s="11">
        <v>45467</v>
      </c>
      <c r="F650" s="7">
        <v>45490</v>
      </c>
      <c r="G650" t="s">
        <v>186</v>
      </c>
      <c r="H650">
        <v>6</v>
      </c>
      <c r="I650" s="5">
        <f>3399.14-92.84</f>
        <v>3306.2999999999997</v>
      </c>
      <c r="J650" s="13">
        <v>100</v>
      </c>
      <c r="K650" s="5">
        <f>Table13[[#This Row],[Open Value]]+Table13[[#This Row],[PnL]]</f>
        <v>6128.78</v>
      </c>
      <c r="L650" s="5">
        <f>Table13[[#This Row],[Open Value]]/Table13[[#This Row],[Shares]]/Table13[[#This Row],[Multiplier]]</f>
        <v>5.5104999999999995</v>
      </c>
      <c r="M650" s="5">
        <f>Table13[[#This Row],[Close Value]]/Table13[[#This Row],[Shares]]/Table13[[#This Row],[Multiplier]]</f>
        <v>10.214633333333332</v>
      </c>
      <c r="N650" s="5">
        <f>2822.48</f>
        <v>2822.48</v>
      </c>
      <c r="O650" s="3">
        <f>Table13[[#This Row],[PnL]]/Table13[[#This Row],[Open Value]]</f>
        <v>0.85366724132716332</v>
      </c>
      <c r="P650" s="9">
        <f>N650+P649</f>
        <v>180722.20160139402</v>
      </c>
      <c r="Q650" s="5" t="str">
        <f>TEXT(Table13[[#This Row],[Closing Date]],"yyyy")</f>
        <v>2024</v>
      </c>
      <c r="R650" s="5" t="str">
        <f>TEXT(Table13[[#This Row],[Closing Date]],"mmmm")</f>
        <v>July</v>
      </c>
      <c r="S650" s="5" t="s">
        <v>240</v>
      </c>
      <c r="T650" s="5" t="s">
        <v>301</v>
      </c>
    </row>
    <row r="651" spans="1:20" x14ac:dyDescent="0.25">
      <c r="A651" t="s">
        <v>197</v>
      </c>
      <c r="B651" t="s">
        <v>302</v>
      </c>
      <c r="C651" t="s">
        <v>102</v>
      </c>
      <c r="D651" t="s">
        <v>7</v>
      </c>
      <c r="E651" s="11">
        <v>45485</v>
      </c>
      <c r="F651" s="7">
        <v>45490</v>
      </c>
      <c r="G651" t="s">
        <v>9</v>
      </c>
      <c r="H651">
        <v>400</v>
      </c>
      <c r="I651" s="5">
        <v>6274.74</v>
      </c>
      <c r="J651" s="13">
        <v>100</v>
      </c>
      <c r="K651" s="5">
        <f>Table13[[#This Row],[Open Value]]+Table13[[#This Row],[PnL]]</f>
        <v>0</v>
      </c>
      <c r="L651" s="5">
        <f>Table13[[#This Row],[Open Value]]/Table13[[#This Row],[Shares]]/Table13[[#This Row],[Multiplier]]</f>
        <v>0.15686849999999999</v>
      </c>
      <c r="M651" s="5">
        <f>Table13[[#This Row],[Close Value]]/Table13[[#This Row],[Shares]]/Table13[[#This Row],[Multiplier]]</f>
        <v>0</v>
      </c>
      <c r="N651" s="5">
        <v>-6274.74</v>
      </c>
      <c r="O651" s="3">
        <f>Table13[[#This Row],[PnL]]/Table13[[#This Row],[Open Value]]</f>
        <v>-1</v>
      </c>
      <c r="P651" s="9">
        <f>N651+P650</f>
        <v>174447.46160139402</v>
      </c>
      <c r="Q651" s="5" t="str">
        <f>TEXT(Table13[[#This Row],[Closing Date]],"yyyy")</f>
        <v>2024</v>
      </c>
      <c r="R651" s="5" t="str">
        <f>TEXT(Table13[[#This Row],[Closing Date]],"mmmm")</f>
        <v>July</v>
      </c>
      <c r="S651" s="5" t="s">
        <v>240</v>
      </c>
      <c r="T651" s="5" t="s">
        <v>301</v>
      </c>
    </row>
    <row r="652" spans="1:20" x14ac:dyDescent="0.25">
      <c r="A652" t="s">
        <v>201</v>
      </c>
      <c r="B652" t="s">
        <v>305</v>
      </c>
      <c r="C652" t="s">
        <v>12</v>
      </c>
      <c r="D652" t="s">
        <v>7</v>
      </c>
      <c r="E652" s="11">
        <v>45468</v>
      </c>
      <c r="F652" s="7">
        <v>45490</v>
      </c>
      <c r="G652" t="s">
        <v>44</v>
      </c>
      <c r="H652">
        <v>2</v>
      </c>
      <c r="I652" s="5">
        <v>393656.04</v>
      </c>
      <c r="J652" s="13">
        <v>25</v>
      </c>
      <c r="K652" s="5">
        <f>Table13[[#This Row],[Open Value]]+Table13[[#This Row],[PnL]]</f>
        <v>407718.95999999996</v>
      </c>
      <c r="L652" s="5">
        <f>Table13[[#This Row],[Open Value]]/Table13[[#This Row],[Shares]]/Table13[[#This Row],[Multiplier]]</f>
        <v>7873.1207999999997</v>
      </c>
      <c r="M652" s="5">
        <f>Table13[[#This Row],[Close Value]]/Table13[[#This Row],[Shares]]/Table13[[#This Row],[Multiplier]]</f>
        <v>8154.3791999999994</v>
      </c>
      <c r="N652" s="5">
        <v>14062.92</v>
      </c>
      <c r="O652" s="3">
        <f>Table13[[#This Row],[PnL]]/Table13[[#This Row],[Open Value]]</f>
        <v>3.5723877118715115E-2</v>
      </c>
      <c r="P652" s="9">
        <f>N652+P651</f>
        <v>188510.38160139404</v>
      </c>
      <c r="Q652" s="5" t="str">
        <f>TEXT(Table13[[#This Row],[Closing Date]],"yyyy")</f>
        <v>2024</v>
      </c>
      <c r="R652" s="5" t="str">
        <f>TEXT(Table13[[#This Row],[Closing Date]],"mmmm")</f>
        <v>July</v>
      </c>
      <c r="S652" s="5" t="s">
        <v>240</v>
      </c>
      <c r="T652" s="5" t="s">
        <v>301</v>
      </c>
    </row>
    <row r="653" spans="1:20" x14ac:dyDescent="0.25">
      <c r="A653" t="s">
        <v>201</v>
      </c>
      <c r="B653" t="s">
        <v>303</v>
      </c>
      <c r="C653" t="s">
        <v>16</v>
      </c>
      <c r="D653" t="s">
        <v>7</v>
      </c>
      <c r="E653" s="11">
        <v>45460</v>
      </c>
      <c r="F653" s="7">
        <v>45491</v>
      </c>
      <c r="G653" t="s">
        <v>14</v>
      </c>
      <c r="H653">
        <v>1600</v>
      </c>
      <c r="I653" s="5">
        <v>283648</v>
      </c>
      <c r="J653" s="13">
        <v>1</v>
      </c>
      <c r="K653" s="5">
        <f>Table13[[#This Row],[Open Value]]+Table13[[#This Row],[PnL]]</f>
        <v>292875.59000000003</v>
      </c>
      <c r="L653" s="5">
        <f>Table13[[#This Row],[Open Value]]/Table13[[#This Row],[Shares]]/Table13[[#This Row],[Multiplier]]</f>
        <v>177.28</v>
      </c>
      <c r="M653" s="5">
        <f>Table13[[#This Row],[Close Value]]/Table13[[#This Row],[Shares]]/Table13[[#This Row],[Multiplier]]</f>
        <v>183.04724375000001</v>
      </c>
      <c r="N653" s="5">
        <v>9227.59</v>
      </c>
      <c r="O653" s="3">
        <f>Table13[[#This Row],[PnL]]/Table13[[#This Row],[Open Value]]</f>
        <v>3.2531835232400726E-2</v>
      </c>
      <c r="P653" s="9">
        <f>N653+P652</f>
        <v>197737.97160139403</v>
      </c>
      <c r="Q653" s="5" t="str">
        <f>TEXT(Table13[[#This Row],[Closing Date]],"yyyy")</f>
        <v>2024</v>
      </c>
      <c r="R653" s="5" t="str">
        <f>TEXT(Table13[[#This Row],[Closing Date]],"mmmm")</f>
        <v>July</v>
      </c>
      <c r="S653" s="5" t="s">
        <v>240</v>
      </c>
      <c r="T653" s="5" t="s">
        <v>301</v>
      </c>
    </row>
    <row r="654" spans="1:20" x14ac:dyDescent="0.25">
      <c r="A654" t="s">
        <v>201</v>
      </c>
      <c r="B654" t="s">
        <v>302</v>
      </c>
      <c r="C654" t="s">
        <v>16</v>
      </c>
      <c r="D654" t="s">
        <v>5</v>
      </c>
      <c r="E654" s="11">
        <v>45489</v>
      </c>
      <c r="F654" s="7">
        <v>45492</v>
      </c>
      <c r="G654" t="s">
        <v>10</v>
      </c>
      <c r="H654">
        <v>1000</v>
      </c>
      <c r="I654" s="5">
        <v>550000</v>
      </c>
      <c r="J654" s="13">
        <v>1</v>
      </c>
      <c r="K654" s="5">
        <f>Table13[[#This Row],[Open Value]]+Table13[[#This Row],[PnL]]</f>
        <v>545039.28</v>
      </c>
      <c r="L654" s="5">
        <f>Table13[[#This Row],[Open Value]]/Table13[[#This Row],[Shares]]/Table13[[#This Row],[Multiplier]]</f>
        <v>550</v>
      </c>
      <c r="M654" s="5">
        <f>Table13[[#This Row],[Close Value]]/Table13[[#This Row],[Shares]]/Table13[[#This Row],[Multiplier]]</f>
        <v>545.03928000000008</v>
      </c>
      <c r="N654" s="5">
        <v>-4960.72</v>
      </c>
      <c r="O654" s="3">
        <f>Table13[[#This Row],[PnL]]/Table13[[#This Row],[Open Value]]</f>
        <v>-9.01949090909091E-3</v>
      </c>
      <c r="P654" s="9">
        <f>N654+P653</f>
        <v>192777.25160139403</v>
      </c>
      <c r="Q654" s="5" t="str">
        <f>TEXT(Table13[[#This Row],[Closing Date]],"yyyy")</f>
        <v>2024</v>
      </c>
      <c r="R654" s="5" t="str">
        <f>TEXT(Table13[[#This Row],[Closing Date]],"mmmm")</f>
        <v>July</v>
      </c>
      <c r="S654" s="5" t="s">
        <v>240</v>
      </c>
      <c r="T654" s="5" t="s">
        <v>301</v>
      </c>
    </row>
    <row r="655" spans="1:20" x14ac:dyDescent="0.25">
      <c r="A655" t="s">
        <v>201</v>
      </c>
      <c r="B655" t="s">
        <v>303</v>
      </c>
      <c r="C655" t="s">
        <v>16</v>
      </c>
      <c r="D655" t="s">
        <v>7</v>
      </c>
      <c r="E655" s="11">
        <v>45489</v>
      </c>
      <c r="F655" s="7">
        <v>45492</v>
      </c>
      <c r="G655" t="s">
        <v>37</v>
      </c>
      <c r="H655">
        <v>325</v>
      </c>
      <c r="I655" s="5">
        <v>82933.460000000006</v>
      </c>
      <c r="J655" s="13">
        <v>1</v>
      </c>
      <c r="K655" s="5">
        <f>Table13[[#This Row],[Open Value]]+Table13[[#This Row],[PnL]]</f>
        <v>77946.03</v>
      </c>
      <c r="L655" s="5">
        <f>Table13[[#This Row],[Open Value]]/Table13[[#This Row],[Shares]]/Table13[[#This Row],[Multiplier]]</f>
        <v>255.17987692307693</v>
      </c>
      <c r="M655" s="5">
        <f>Table13[[#This Row],[Close Value]]/Table13[[#This Row],[Shares]]/Table13[[#This Row],[Multiplier]]</f>
        <v>239.83393846153845</v>
      </c>
      <c r="N655" s="5">
        <v>-4987.43</v>
      </c>
      <c r="O655" s="3">
        <f>Table13[[#This Row],[PnL]]/Table13[[#This Row],[Open Value]]</f>
        <v>-6.013772969317812E-2</v>
      </c>
      <c r="P655" s="9">
        <f>N655+P654</f>
        <v>187789.82160139404</v>
      </c>
      <c r="Q655" s="5" t="str">
        <f>TEXT(Table13[[#This Row],[Closing Date]],"yyyy")</f>
        <v>2024</v>
      </c>
      <c r="R655" s="5" t="str">
        <f>TEXT(Table13[[#This Row],[Closing Date]],"mmmm")</f>
        <v>July</v>
      </c>
      <c r="S655" s="5" t="s">
        <v>240</v>
      </c>
      <c r="T655" s="5" t="s">
        <v>301</v>
      </c>
    </row>
    <row r="656" spans="1:20" x14ac:dyDescent="0.25">
      <c r="A656" t="s">
        <v>197</v>
      </c>
      <c r="B656" t="s">
        <v>303</v>
      </c>
      <c r="C656" t="s">
        <v>97</v>
      </c>
      <c r="D656" t="s">
        <v>7</v>
      </c>
      <c r="E656" s="11">
        <v>45463</v>
      </c>
      <c r="F656" s="7">
        <v>45492</v>
      </c>
      <c r="G656" t="s">
        <v>76</v>
      </c>
      <c r="H656">
        <v>80</v>
      </c>
      <c r="I656" s="5">
        <v>6535.75</v>
      </c>
      <c r="J656" s="13">
        <v>100</v>
      </c>
      <c r="K656" s="5">
        <f>Table13[[#This Row],[Open Value]]+Table13[[#This Row],[PnL]]</f>
        <v>0</v>
      </c>
      <c r="L656" s="5">
        <f>Table13[[#This Row],[Open Value]]/Table13[[#This Row],[Shares]]/Table13[[#This Row],[Multiplier]]</f>
        <v>0.81696875000000002</v>
      </c>
      <c r="M656" s="5">
        <f>Table13[[#This Row],[Close Value]]/Table13[[#This Row],[Shares]]/Table13[[#This Row],[Multiplier]]</f>
        <v>0</v>
      </c>
      <c r="N656" s="5">
        <v>-6535.75</v>
      </c>
      <c r="O656" s="3">
        <f>Table13[[#This Row],[PnL]]/Table13[[#This Row],[Open Value]]</f>
        <v>-1</v>
      </c>
      <c r="P656" s="9">
        <f>N656+P655</f>
        <v>181254.07160139404</v>
      </c>
      <c r="Q656" s="5" t="str">
        <f>TEXT(Table13[[#This Row],[Closing Date]],"yyyy")</f>
        <v>2024</v>
      </c>
      <c r="R656" s="5" t="str">
        <f>TEXT(Table13[[#This Row],[Closing Date]],"mmmm")</f>
        <v>July</v>
      </c>
      <c r="S656" s="5" t="s">
        <v>240</v>
      </c>
      <c r="T656" s="5" t="s">
        <v>301</v>
      </c>
    </row>
    <row r="657" spans="1:20" x14ac:dyDescent="0.25">
      <c r="A657" t="s">
        <v>197</v>
      </c>
      <c r="B657" t="s">
        <v>302</v>
      </c>
      <c r="C657" t="s">
        <v>99</v>
      </c>
      <c r="D657" t="s">
        <v>7</v>
      </c>
      <c r="E657" s="11">
        <v>45488</v>
      </c>
      <c r="F657" s="7">
        <v>45492</v>
      </c>
      <c r="G657" t="s">
        <v>10</v>
      </c>
      <c r="H657">
        <v>100</v>
      </c>
      <c r="I657" s="5">
        <v>2902.68</v>
      </c>
      <c r="J657" s="13">
        <v>100</v>
      </c>
      <c r="K657" s="5">
        <f>Table13[[#This Row],[Open Value]]+Table13[[#This Row],[PnL]]</f>
        <v>10914.44</v>
      </c>
      <c r="L657" s="5">
        <f>Table13[[#This Row],[Open Value]]/Table13[[#This Row],[Shares]]/Table13[[#This Row],[Multiplier]]</f>
        <v>0.29026799999999997</v>
      </c>
      <c r="M657" s="5">
        <f>Table13[[#This Row],[Close Value]]/Table13[[#This Row],[Shares]]/Table13[[#This Row],[Multiplier]]</f>
        <v>1.0914440000000001</v>
      </c>
      <c r="N657" s="5">
        <f>6211.76+1800</f>
        <v>8011.76</v>
      </c>
      <c r="O657" s="3">
        <f>Table13[[#This Row],[PnL]]/Table13[[#This Row],[Open Value]]</f>
        <v>2.7601251257458626</v>
      </c>
      <c r="P657" s="9">
        <f>N657+P656</f>
        <v>189265.83160139405</v>
      </c>
      <c r="Q657" s="5" t="str">
        <f>TEXT(Table13[[#This Row],[Closing Date]],"yyyy")</f>
        <v>2024</v>
      </c>
      <c r="R657" s="5" t="str">
        <f>TEXT(Table13[[#This Row],[Closing Date]],"mmmm")</f>
        <v>July</v>
      </c>
      <c r="S657" s="5" t="s">
        <v>240</v>
      </c>
      <c r="T657" s="5" t="s">
        <v>301</v>
      </c>
    </row>
    <row r="658" spans="1:20" x14ac:dyDescent="0.25">
      <c r="A658" t="s">
        <v>201</v>
      </c>
      <c r="B658" t="s">
        <v>303</v>
      </c>
      <c r="C658" t="s">
        <v>12</v>
      </c>
      <c r="D658" t="s">
        <v>7</v>
      </c>
      <c r="E658" s="11">
        <v>45487</v>
      </c>
      <c r="F658" s="7">
        <v>45492</v>
      </c>
      <c r="G658" t="s">
        <v>85</v>
      </c>
      <c r="H658">
        <v>8</v>
      </c>
      <c r="I658" s="5">
        <v>48753.16</v>
      </c>
      <c r="J658" s="13">
        <v>0.1</v>
      </c>
      <c r="K658" s="5">
        <f>Table13[[#This Row],[Open Value]]+Table13[[#This Row],[PnL]]</f>
        <v>50893.840000000004</v>
      </c>
      <c r="L658" s="5">
        <f>Table13[[#This Row],[Open Value]]/Table13[[#This Row],[Shares]]/Table13[[#This Row],[Multiplier]]</f>
        <v>60941.450000000004</v>
      </c>
      <c r="M658" s="5">
        <f>Table13[[#This Row],[Close Value]]/Table13[[#This Row],[Shares]]/Table13[[#This Row],[Multiplier]]</f>
        <v>63617.3</v>
      </c>
      <c r="N658" s="5">
        <v>2140.6799999999998</v>
      </c>
      <c r="O658" s="3">
        <f>Table13[[#This Row],[PnL]]/Table13[[#This Row],[Open Value]]</f>
        <v>4.3908538441405638E-2</v>
      </c>
      <c r="P658" s="9">
        <f>N658+P657</f>
        <v>191406.51160139404</v>
      </c>
      <c r="Q658" s="5" t="str">
        <f>TEXT(Table13[[#This Row],[Closing Date]],"yyyy")</f>
        <v>2024</v>
      </c>
      <c r="R658" s="5" t="str">
        <f>TEXT(Table13[[#This Row],[Closing Date]],"mmmm")</f>
        <v>July</v>
      </c>
      <c r="S658" s="5" t="s">
        <v>240</v>
      </c>
      <c r="T658" s="5" t="s">
        <v>301</v>
      </c>
    </row>
    <row r="659" spans="1:20" x14ac:dyDescent="0.25">
      <c r="A659" t="s">
        <v>201</v>
      </c>
      <c r="B659" t="s">
        <v>303</v>
      </c>
      <c r="C659" t="s">
        <v>12</v>
      </c>
      <c r="D659" t="s">
        <v>7</v>
      </c>
      <c r="E659" s="11">
        <v>45487</v>
      </c>
      <c r="F659" s="7">
        <v>45492</v>
      </c>
      <c r="G659" t="s">
        <v>271</v>
      </c>
      <c r="H659">
        <v>130</v>
      </c>
      <c r="I659" s="5">
        <v>42291.6</v>
      </c>
      <c r="J659" s="13">
        <v>0.1</v>
      </c>
      <c r="K659" s="5">
        <f>Table13[[#This Row],[Open Value]]+Table13[[#This Row],[PnL]]</f>
        <v>44320.9</v>
      </c>
      <c r="L659" s="5">
        <f>Table13[[#This Row],[Open Value]]/Table13[[#This Row],[Shares]]/Table13[[#This Row],[Multiplier]]</f>
        <v>3253.2</v>
      </c>
      <c r="M659" s="5">
        <f>Table13[[#This Row],[Close Value]]/Table13[[#This Row],[Shares]]/Table13[[#This Row],[Multiplier]]</f>
        <v>3409.2999999999997</v>
      </c>
      <c r="N659" s="5">
        <v>2029.3</v>
      </c>
      <c r="O659" s="3">
        <f>Table13[[#This Row],[PnL]]/Table13[[#This Row],[Open Value]]</f>
        <v>4.7983523914914547E-2</v>
      </c>
      <c r="P659" s="9">
        <f>N659+P658</f>
        <v>193435.81160139403</v>
      </c>
      <c r="Q659" s="5" t="str">
        <f>TEXT(Table13[[#This Row],[Closing Date]],"yyyy")</f>
        <v>2024</v>
      </c>
      <c r="R659" s="5" t="str">
        <f>TEXT(Table13[[#This Row],[Closing Date]],"mmmm")</f>
        <v>July</v>
      </c>
      <c r="S659" s="5" t="s">
        <v>240</v>
      </c>
      <c r="T659" s="5" t="s">
        <v>301</v>
      </c>
    </row>
    <row r="660" spans="1:20" x14ac:dyDescent="0.25">
      <c r="A660" t="s">
        <v>197</v>
      </c>
      <c r="B660" t="s">
        <v>302</v>
      </c>
      <c r="C660" t="s">
        <v>99</v>
      </c>
      <c r="D660" t="s">
        <v>7</v>
      </c>
      <c r="E660" s="11">
        <v>45488</v>
      </c>
      <c r="F660" s="7">
        <v>45495</v>
      </c>
      <c r="G660" t="s">
        <v>10</v>
      </c>
      <c r="H660">
        <v>85</v>
      </c>
      <c r="I660" s="5">
        <v>2609.23</v>
      </c>
      <c r="J660" s="13">
        <v>100</v>
      </c>
      <c r="K660" s="5">
        <f>Table13[[#This Row],[Open Value]]+Table13[[#This Row],[PnL]]</f>
        <v>12067.789999999999</v>
      </c>
      <c r="L660" s="5">
        <f>Table13[[#This Row],[Open Value]]/Table13[[#This Row],[Shares]]/Table13[[#This Row],[Multiplier]]</f>
        <v>0.30696823529411765</v>
      </c>
      <c r="M660" s="5">
        <f>Table13[[#This Row],[Close Value]]/Table13[[#This Row],[Shares]]/Table13[[#This Row],[Multiplier]]</f>
        <v>1.41974</v>
      </c>
      <c r="N660" s="5">
        <v>9458.56</v>
      </c>
      <c r="O660" s="3">
        <f>Table13[[#This Row],[PnL]]/Table13[[#This Row],[Open Value]]</f>
        <v>3.6250388045515343</v>
      </c>
      <c r="P660" s="9">
        <f>N660+P659</f>
        <v>202894.37160139403</v>
      </c>
      <c r="Q660" s="5" t="str">
        <f>TEXT(Table13[[#This Row],[Closing Date]],"yyyy")</f>
        <v>2024</v>
      </c>
      <c r="R660" s="5" t="str">
        <f>TEXT(Table13[[#This Row],[Closing Date]],"mmmm")</f>
        <v>July</v>
      </c>
      <c r="S660" s="5" t="s">
        <v>240</v>
      </c>
      <c r="T660" s="5" t="s">
        <v>301</v>
      </c>
    </row>
    <row r="661" spans="1:20" x14ac:dyDescent="0.25">
      <c r="A661" t="s">
        <v>201</v>
      </c>
      <c r="B661" t="s">
        <v>303</v>
      </c>
      <c r="C661" t="s">
        <v>12</v>
      </c>
      <c r="D661" t="s">
        <v>7</v>
      </c>
      <c r="E661" s="11">
        <v>45469</v>
      </c>
      <c r="F661" s="7">
        <v>45495</v>
      </c>
      <c r="G661" t="s">
        <v>88</v>
      </c>
      <c r="H661">
        <v>10</v>
      </c>
      <c r="I661" s="5">
        <v>217421.7</v>
      </c>
      <c r="J661" s="13">
        <v>1120</v>
      </c>
      <c r="K661" s="5">
        <f>Table13[[#This Row],[Open Value]]+Table13[[#This Row],[PnL]]</f>
        <v>207618.30000000002</v>
      </c>
      <c r="L661" s="5">
        <f>Table13[[#This Row],[Open Value]]/Table13[[#This Row],[Shares]]/Table13[[#This Row],[Multiplier]]</f>
        <v>19.412651785714289</v>
      </c>
      <c r="M661" s="5">
        <f>Table13[[#This Row],[Close Value]]/Table13[[#This Row],[Shares]]/Table13[[#This Row],[Multiplier]]</f>
        <v>18.537348214285714</v>
      </c>
      <c r="N661" s="5">
        <v>-9803.4</v>
      </c>
      <c r="O661" s="3">
        <f>Table13[[#This Row],[PnL]]/Table13[[#This Row],[Open Value]]</f>
        <v>-4.508933560909513E-2</v>
      </c>
      <c r="P661" s="9">
        <f>N661+P660</f>
        <v>193090.97160139403</v>
      </c>
      <c r="Q661" s="5" t="str">
        <f>TEXT(Table13[[#This Row],[Closing Date]],"yyyy")</f>
        <v>2024</v>
      </c>
      <c r="R661" s="5" t="str">
        <f>TEXT(Table13[[#This Row],[Closing Date]],"mmmm")</f>
        <v>July</v>
      </c>
      <c r="S661" s="5" t="s">
        <v>240</v>
      </c>
      <c r="T661" s="5" t="s">
        <v>301</v>
      </c>
    </row>
    <row r="662" spans="1:20" x14ac:dyDescent="0.25">
      <c r="A662" t="s">
        <v>201</v>
      </c>
      <c r="B662" t="s">
        <v>303</v>
      </c>
      <c r="C662" t="s">
        <v>4</v>
      </c>
      <c r="D662" t="s">
        <v>7</v>
      </c>
      <c r="E662" s="11">
        <v>45484</v>
      </c>
      <c r="F662" s="7">
        <v>45495</v>
      </c>
      <c r="G662" t="s">
        <v>289</v>
      </c>
      <c r="H662">
        <v>1000000</v>
      </c>
      <c r="I662" s="5">
        <f>103499949+101874610+50</f>
        <v>205374609</v>
      </c>
      <c r="J662" s="13">
        <v>1</v>
      </c>
      <c r="K662" s="5">
        <f>Table13[[#This Row],[Open Value]]+Table13[[#This Row],[PnL]]</f>
        <v>205358228.37421229</v>
      </c>
      <c r="L662" s="5">
        <f>Table13[[#This Row],[Open Value]]/Table13[[#This Row],[Shares]]/Table13[[#This Row],[Multiplier]]</f>
        <v>205.37460899999999</v>
      </c>
      <c r="M662" s="5">
        <f>Table13[[#This Row],[Close Value]]/Table13[[#This Row],[Shares]]/Table13[[#This Row],[Multiplier]]</f>
        <v>205.3582283742123</v>
      </c>
      <c r="N662" s="5">
        <f>(202072616-Table13[[#This Row],[Open Value]])/202.072616-40</f>
        <v>-16380.625787711879</v>
      </c>
      <c r="O662" s="3">
        <f>Table13[[#This Row],[PnL]]/Table13[[#This Row],[Open Value]]*Table13[[#This Row],[Close Price]]</f>
        <v>-1.6379319273228402E-2</v>
      </c>
      <c r="P662" s="9">
        <f>N662+P661</f>
        <v>176710.34581368216</v>
      </c>
      <c r="Q662" s="5" t="str">
        <f>TEXT(Table13[[#This Row],[Closing Date]],"yyyy")</f>
        <v>2024</v>
      </c>
      <c r="R662" s="5" t="str">
        <f>TEXT(Table13[[#This Row],[Closing Date]],"mmmm")</f>
        <v>July</v>
      </c>
      <c r="S662" s="5" t="s">
        <v>240</v>
      </c>
      <c r="T662" s="5" t="s">
        <v>301</v>
      </c>
    </row>
    <row r="663" spans="1:20" x14ac:dyDescent="0.25">
      <c r="A663" t="s">
        <v>201</v>
      </c>
      <c r="B663" t="s">
        <v>303</v>
      </c>
      <c r="C663" t="s">
        <v>16</v>
      </c>
      <c r="D663" t="s">
        <v>7</v>
      </c>
      <c r="E663" s="11">
        <v>45496</v>
      </c>
      <c r="F663" s="7">
        <v>45497</v>
      </c>
      <c r="G663" t="s">
        <v>206</v>
      </c>
      <c r="H663">
        <v>1000</v>
      </c>
      <c r="I663" s="5">
        <v>155605</v>
      </c>
      <c r="J663" s="13">
        <v>1</v>
      </c>
      <c r="K663" s="5">
        <f>Table13[[#This Row],[Open Value]]+Table13[[#This Row],[PnL]]</f>
        <v>150378.65</v>
      </c>
      <c r="L663" s="5">
        <f>Table13[[#This Row],[Open Value]]/Table13[[#This Row],[Shares]]/Table13[[#This Row],[Multiplier]]</f>
        <v>155.60499999999999</v>
      </c>
      <c r="M663" s="5">
        <f>Table13[[#This Row],[Close Value]]/Table13[[#This Row],[Shares]]/Table13[[#This Row],[Multiplier]]</f>
        <v>150.37864999999999</v>
      </c>
      <c r="N663" s="5">
        <v>-5226.3500000000004</v>
      </c>
      <c r="O663" s="3">
        <f>Table13[[#This Row],[PnL]]/Table13[[#This Row],[Open Value]]</f>
        <v>-3.35872883262106E-2</v>
      </c>
      <c r="P663" s="9">
        <f>N663+P662</f>
        <v>171483.99581368215</v>
      </c>
      <c r="Q663" s="5" t="str">
        <f>TEXT(Table13[[#This Row],[Closing Date]],"yyyy")</f>
        <v>2024</v>
      </c>
      <c r="R663" s="5" t="str">
        <f>TEXT(Table13[[#This Row],[Closing Date]],"mmmm")</f>
        <v>July</v>
      </c>
      <c r="S663" s="5" t="s">
        <v>240</v>
      </c>
      <c r="T663" s="5" t="s">
        <v>301</v>
      </c>
    </row>
    <row r="664" spans="1:20" x14ac:dyDescent="0.25">
      <c r="A664" t="s">
        <v>201</v>
      </c>
      <c r="B664" t="s">
        <v>303</v>
      </c>
      <c r="C664" t="s">
        <v>12</v>
      </c>
      <c r="D664" t="s">
        <v>7</v>
      </c>
      <c r="E664" s="11">
        <v>45492</v>
      </c>
      <c r="F664" s="7">
        <v>45497</v>
      </c>
      <c r="G664" t="s">
        <v>271</v>
      </c>
      <c r="H664">
        <v>260</v>
      </c>
      <c r="I664" s="5">
        <v>85169</v>
      </c>
      <c r="J664" s="13">
        <v>0.1</v>
      </c>
      <c r="K664" s="5">
        <f>Table13[[#This Row],[Open Value]]+Table13[[#This Row],[PnL]]</f>
        <v>79127.100000000006</v>
      </c>
      <c r="L664" s="5">
        <f>Table13[[#This Row],[Open Value]]/Table13[[#This Row],[Shares]]/Table13[[#This Row],[Multiplier]]</f>
        <v>3275.7307692307691</v>
      </c>
      <c r="M664" s="5">
        <f>Table13[[#This Row],[Close Value]]/Table13[[#This Row],[Shares]]/Table13[[#This Row],[Multiplier]]</f>
        <v>3043.3500000000004</v>
      </c>
      <c r="N664" s="5">
        <v>-6041.9</v>
      </c>
      <c r="O664" s="3">
        <f>Table13[[#This Row],[PnL]]/Table13[[#This Row],[Open Value]]</f>
        <v>-7.0940130798764808E-2</v>
      </c>
      <c r="P664" s="9">
        <f>N664+P663</f>
        <v>165442.09581368216</v>
      </c>
      <c r="Q664" s="5" t="str">
        <f>TEXT(Table13[[#This Row],[Closing Date]],"yyyy")</f>
        <v>2024</v>
      </c>
      <c r="R664" s="5" t="str">
        <f>TEXT(Table13[[#This Row],[Closing Date]],"mmmm")</f>
        <v>July</v>
      </c>
      <c r="S664" s="5" t="s">
        <v>240</v>
      </c>
      <c r="T664" s="5" t="s">
        <v>301</v>
      </c>
    </row>
    <row r="665" spans="1:20" x14ac:dyDescent="0.25">
      <c r="A665" t="s">
        <v>201</v>
      </c>
      <c r="B665" t="s">
        <v>305</v>
      </c>
      <c r="C665" t="s">
        <v>16</v>
      </c>
      <c r="D665" t="s">
        <v>7</v>
      </c>
      <c r="E665" s="11">
        <v>45355</v>
      </c>
      <c r="F665" s="7">
        <v>45497</v>
      </c>
      <c r="G665" t="s">
        <v>14</v>
      </c>
      <c r="H665">
        <v>1000</v>
      </c>
      <c r="I665" s="5">
        <v>133799.41</v>
      </c>
      <c r="J665" s="13">
        <v>1</v>
      </c>
      <c r="K665" s="5">
        <f>59839.52+59799.52+40+34869.03</f>
        <v>154548.07</v>
      </c>
      <c r="L665" s="5">
        <f>Table13[[#This Row],[Open Value]]/Table13[[#This Row],[Shares]]/Table13[[#This Row],[Multiplier]]</f>
        <v>133.79940999999999</v>
      </c>
      <c r="M665" s="5">
        <f>Table13[[#This Row],[Close Value]]/Table13[[#This Row],[Shares]]/Table13[[#This Row],[Multiplier]]</f>
        <v>154.54807</v>
      </c>
      <c r="N665" s="5">
        <f>Table13[[#This Row],[Close Value]]-Table13[[#This Row],[Open Value]]</f>
        <v>20748.660000000003</v>
      </c>
      <c r="O665" s="3">
        <f>Table13[[#This Row],[PnL]]/Table13[[#This Row],[Open Value]]</f>
        <v>0.15507288111360135</v>
      </c>
      <c r="P665" s="9">
        <f>N665+P664</f>
        <v>186190.75581368216</v>
      </c>
      <c r="Q665" s="5" t="str">
        <f>TEXT(Table13[[#This Row],[Closing Date]],"yyyy")</f>
        <v>2024</v>
      </c>
      <c r="R665" s="5" t="str">
        <f>TEXT(Table13[[#This Row],[Closing Date]],"mmmm")</f>
        <v>July</v>
      </c>
      <c r="S665" s="5" t="s">
        <v>240</v>
      </c>
      <c r="T665" s="5" t="s">
        <v>203</v>
      </c>
    </row>
    <row r="666" spans="1:20" x14ac:dyDescent="0.25">
      <c r="A666" t="s">
        <v>201</v>
      </c>
      <c r="B666" t="s">
        <v>302</v>
      </c>
      <c r="C666" t="s">
        <v>16</v>
      </c>
      <c r="D666" t="s">
        <v>7</v>
      </c>
      <c r="E666" s="11">
        <v>45488</v>
      </c>
      <c r="F666" s="7">
        <v>45498</v>
      </c>
      <c r="G666" t="s">
        <v>211</v>
      </c>
      <c r="H666">
        <v>2500</v>
      </c>
      <c r="I666" s="5">
        <v>75137.5</v>
      </c>
      <c r="J666" s="13">
        <v>1</v>
      </c>
      <c r="K666" s="5">
        <f>Table13[[#This Row],[Open Value]]+Table13[[#This Row],[PnL]]</f>
        <v>65262.38</v>
      </c>
      <c r="L666" s="5">
        <f>Table13[[#This Row],[Open Value]]/Table13[[#This Row],[Shares]]/Table13[[#This Row],[Multiplier]]</f>
        <v>30.055</v>
      </c>
      <c r="M666" s="5">
        <f>Table13[[#This Row],[Close Value]]/Table13[[#This Row],[Shares]]/Table13[[#This Row],[Multiplier]]</f>
        <v>26.104951999999997</v>
      </c>
      <c r="N666" s="5">
        <v>-9875.1200000000008</v>
      </c>
      <c r="O666" s="3">
        <f>Table13[[#This Row],[PnL]]/Table13[[#This Row],[Open Value]]</f>
        <v>-0.13142731658625853</v>
      </c>
      <c r="P666" s="9">
        <f>N666+P665</f>
        <v>176315.63581368217</v>
      </c>
      <c r="Q666" s="5" t="str">
        <f>TEXT(Table13[[#This Row],[Closing Date]],"yyyy")</f>
        <v>2024</v>
      </c>
      <c r="R666" s="5" t="str">
        <f>TEXT(Table13[[#This Row],[Closing Date]],"mmmm")</f>
        <v>July</v>
      </c>
      <c r="S666" s="5" t="s">
        <v>240</v>
      </c>
      <c r="T666" s="5" t="s">
        <v>301</v>
      </c>
    </row>
    <row r="667" spans="1:20" x14ac:dyDescent="0.25">
      <c r="A667" t="s">
        <v>201</v>
      </c>
      <c r="B667" t="s">
        <v>303</v>
      </c>
      <c r="C667" t="s">
        <v>16</v>
      </c>
      <c r="D667" t="s">
        <v>7</v>
      </c>
      <c r="E667" s="11">
        <v>45449</v>
      </c>
      <c r="F667" s="7">
        <v>45498</v>
      </c>
      <c r="G667" t="s">
        <v>218</v>
      </c>
      <c r="H667">
        <v>5000</v>
      </c>
      <c r="I667" s="5">
        <f>33831+75680</f>
        <v>109511</v>
      </c>
      <c r="J667" s="13">
        <v>1</v>
      </c>
      <c r="K667" s="5">
        <f>Table13[[#This Row],[Open Value]]+Table13[[#This Row],[PnL]]</f>
        <v>98427</v>
      </c>
      <c r="L667" s="5">
        <f>Table13[[#This Row],[Open Value]]/Table13[[#This Row],[Shares]]/Table13[[#This Row],[Multiplier]]</f>
        <v>21.902200000000001</v>
      </c>
      <c r="M667" s="5">
        <f>Table13[[#This Row],[Close Value]]/Table13[[#This Row],[Shares]]/Table13[[#This Row],[Multiplier]]</f>
        <v>19.685400000000001</v>
      </c>
      <c r="N667" s="5">
        <v>-11084</v>
      </c>
      <c r="O667" s="3">
        <f>Table13[[#This Row],[PnL]]/Table13[[#This Row],[Open Value]]</f>
        <v>-0.10121357671832053</v>
      </c>
      <c r="P667" s="9">
        <f>N667+P666</f>
        <v>165231.63581368217</v>
      </c>
      <c r="Q667" s="5" t="str">
        <f>TEXT(Table13[[#This Row],[Closing Date]],"yyyy")</f>
        <v>2024</v>
      </c>
      <c r="R667" s="5" t="str">
        <f>TEXT(Table13[[#This Row],[Closing Date]],"mmmm")</f>
        <v>July</v>
      </c>
      <c r="S667" s="5" t="s">
        <v>240</v>
      </c>
      <c r="T667" s="5" t="s">
        <v>301</v>
      </c>
    </row>
    <row r="668" spans="1:20" x14ac:dyDescent="0.25">
      <c r="A668" t="s">
        <v>197</v>
      </c>
      <c r="B668" t="s">
        <v>302</v>
      </c>
      <c r="C668" t="s">
        <v>102</v>
      </c>
      <c r="D668" t="s">
        <v>7</v>
      </c>
      <c r="E668" s="11">
        <v>45449</v>
      </c>
      <c r="F668" s="7">
        <v>45498</v>
      </c>
      <c r="G668" t="s">
        <v>186</v>
      </c>
      <c r="H668">
        <v>3</v>
      </c>
      <c r="I668" s="5">
        <v>3452.06</v>
      </c>
      <c r="J668" s="13">
        <v>100</v>
      </c>
      <c r="K668" s="5">
        <f>Table13[[#This Row],[Open Value]]+Table13[[#This Row],[PnL]]</f>
        <v>8122.32</v>
      </c>
      <c r="L668" s="5">
        <f>Table13[[#This Row],[Open Value]]/Table13[[#This Row],[Shares]]/Table13[[#This Row],[Multiplier]]</f>
        <v>11.506866666666667</v>
      </c>
      <c r="M668" s="5">
        <f>Table13[[#This Row],[Close Value]]/Table13[[#This Row],[Shares]]/Table13[[#This Row],[Multiplier]]</f>
        <v>27.074400000000001</v>
      </c>
      <c r="N668" s="5">
        <v>4670.26</v>
      </c>
      <c r="O668" s="3">
        <f>Table13[[#This Row],[PnL]]/Table13[[#This Row],[Open Value]]</f>
        <v>1.3528907377044432</v>
      </c>
      <c r="P668" s="9">
        <f>N668+P667</f>
        <v>169901.89581368217</v>
      </c>
      <c r="Q668" s="5" t="str">
        <f>TEXT(Table13[[#This Row],[Closing Date]],"yyyy")</f>
        <v>2024</v>
      </c>
      <c r="R668" s="5" t="str">
        <f>TEXT(Table13[[#This Row],[Closing Date]],"mmmm")</f>
        <v>July</v>
      </c>
      <c r="S668" s="5" t="s">
        <v>240</v>
      </c>
      <c r="T668" s="5" t="s">
        <v>301</v>
      </c>
    </row>
    <row r="669" spans="1:20" x14ac:dyDescent="0.25">
      <c r="A669" t="s">
        <v>197</v>
      </c>
      <c r="B669" t="s">
        <v>303</v>
      </c>
      <c r="C669" t="s">
        <v>99</v>
      </c>
      <c r="D669" t="s">
        <v>7</v>
      </c>
      <c r="E669" s="11">
        <v>45463</v>
      </c>
      <c r="F669" s="7">
        <v>45498</v>
      </c>
      <c r="G669" t="s">
        <v>51</v>
      </c>
      <c r="H669">
        <v>5</v>
      </c>
      <c r="I669" s="5">
        <v>7002.23</v>
      </c>
      <c r="J669" s="13">
        <v>100</v>
      </c>
      <c r="K669" s="5">
        <f>Table13[[#This Row],[Open Value]]+Table13[[#This Row],[PnL]]</f>
        <v>21022.16</v>
      </c>
      <c r="L669" s="5">
        <f>Table13[[#This Row],[Open Value]]/Table13[[#This Row],[Shares]]/Table13[[#This Row],[Multiplier]]</f>
        <v>14.00446</v>
      </c>
      <c r="M669" s="5">
        <f>Table13[[#This Row],[Close Value]]/Table13[[#This Row],[Shares]]/Table13[[#This Row],[Multiplier]]</f>
        <v>42.044319999999999</v>
      </c>
      <c r="N669" s="5">
        <v>14019.93</v>
      </c>
      <c r="O669" s="3">
        <f>Table13[[#This Row],[PnL]]/Table13[[#This Row],[Open Value]]</f>
        <v>2.0022092961813596</v>
      </c>
      <c r="P669" s="9">
        <f>N669+P668</f>
        <v>183921.82581368217</v>
      </c>
      <c r="Q669" s="5" t="str">
        <f>TEXT(Table13[[#This Row],[Closing Date]],"yyyy")</f>
        <v>2024</v>
      </c>
      <c r="R669" s="5" t="str">
        <f>TEXT(Table13[[#This Row],[Closing Date]],"mmmm")</f>
        <v>July</v>
      </c>
      <c r="S669" s="5" t="s">
        <v>240</v>
      </c>
      <c r="T669" s="5" t="s">
        <v>301</v>
      </c>
    </row>
    <row r="670" spans="1:20" x14ac:dyDescent="0.25">
      <c r="A670" t="s">
        <v>197</v>
      </c>
      <c r="B670" t="s">
        <v>302</v>
      </c>
      <c r="C670" t="s">
        <v>98</v>
      </c>
      <c r="D670" t="s">
        <v>7</v>
      </c>
      <c r="E670" s="11">
        <v>45455</v>
      </c>
      <c r="F670" s="7">
        <v>45498</v>
      </c>
      <c r="G670" t="s">
        <v>29</v>
      </c>
      <c r="H670">
        <v>85</v>
      </c>
      <c r="I670" s="5">
        <f>3766.23-551.26</f>
        <v>3214.9700000000003</v>
      </c>
      <c r="J670" s="13">
        <v>100</v>
      </c>
      <c r="K670" s="5">
        <f>Table13[[#This Row],[Open Value]]+Table13[[#This Row],[PnL]]</f>
        <v>1423.5700000000002</v>
      </c>
      <c r="L670" s="5">
        <f>Table13[[#This Row],[Open Value]]/Table13[[#This Row],[Shares]]/Table13[[#This Row],[Multiplier]]</f>
        <v>0.37823176470588238</v>
      </c>
      <c r="M670" s="5">
        <f>Table13[[#This Row],[Close Value]]/Table13[[#This Row],[Shares]]/Table13[[#This Row],[Multiplier]]</f>
        <v>0.16747882352941179</v>
      </c>
      <c r="N670" s="5">
        <f>79.57-1870.97</f>
        <v>-1791.4</v>
      </c>
      <c r="O670" s="3">
        <f>Table13[[#This Row],[PnL]]/Table13[[#This Row],[Open Value]]</f>
        <v>-0.55720582151621945</v>
      </c>
      <c r="P670" s="9">
        <f>N670+P669</f>
        <v>182130.42581368217</v>
      </c>
      <c r="Q670" s="5" t="str">
        <f>TEXT(Table13[[#This Row],[Closing Date]],"yyyy")</f>
        <v>2024</v>
      </c>
      <c r="R670" s="5" t="str">
        <f>TEXT(Table13[[#This Row],[Closing Date]],"mmmm")</f>
        <v>July</v>
      </c>
      <c r="S670" s="5" t="s">
        <v>240</v>
      </c>
      <c r="T670" s="5" t="s">
        <v>301</v>
      </c>
    </row>
    <row r="671" spans="1:20" x14ac:dyDescent="0.25">
      <c r="A671" t="s">
        <v>201</v>
      </c>
      <c r="B671" t="s">
        <v>303</v>
      </c>
      <c r="C671" t="s">
        <v>16</v>
      </c>
      <c r="D671" t="s">
        <v>7</v>
      </c>
      <c r="E671" s="11">
        <v>45491</v>
      </c>
      <c r="F671" s="7">
        <v>45503</v>
      </c>
      <c r="G671" t="s">
        <v>155</v>
      </c>
      <c r="H671">
        <v>350</v>
      </c>
      <c r="I671" s="5">
        <v>122500</v>
      </c>
      <c r="J671" s="13">
        <v>1</v>
      </c>
      <c r="K671" s="5">
        <v>86386.49</v>
      </c>
      <c r="L671" s="5">
        <f>Table13[[#This Row],[Open Value]]/Table13[[#This Row],[Shares]]/Table13[[#This Row],[Multiplier]]</f>
        <v>350</v>
      </c>
      <c r="M671" s="5">
        <f>Table13[[#This Row],[Close Value]]/Table13[[#This Row],[Shares]]/Table13[[#This Row],[Multiplier]]</f>
        <v>246.81854285714286</v>
      </c>
      <c r="N671" s="5">
        <f>Table13[[#This Row],[Close Value]]-Table13[[#This Row],[Open Value]]</f>
        <v>-36113.509999999995</v>
      </c>
      <c r="O671" s="3">
        <f>Table13[[#This Row],[PnL]]/Table13[[#This Row],[Open Value]]</f>
        <v>-0.29480416326530606</v>
      </c>
      <c r="P671" s="14">
        <f>N671+P670</f>
        <v>146016.91581368219</v>
      </c>
      <c r="Q671" s="5" t="str">
        <f>TEXT(Table13[[#This Row],[Closing Date]],"yyyy")</f>
        <v>2024</v>
      </c>
      <c r="R671" s="5" t="str">
        <f>TEXT(Table13[[#This Row],[Closing Date]],"mmmm")</f>
        <v>July</v>
      </c>
      <c r="S671" s="5" t="s">
        <v>240</v>
      </c>
      <c r="T671" s="5" t="s">
        <v>203</v>
      </c>
    </row>
    <row r="672" spans="1:20" x14ac:dyDescent="0.25">
      <c r="A672" t="s">
        <v>201</v>
      </c>
      <c r="B672" t="s">
        <v>306</v>
      </c>
      <c r="C672" t="s">
        <v>12</v>
      </c>
      <c r="D672" t="s">
        <v>7</v>
      </c>
      <c r="E672" s="11">
        <v>45460</v>
      </c>
      <c r="F672" s="7">
        <v>45504</v>
      </c>
      <c r="G672" t="s">
        <v>286</v>
      </c>
      <c r="H672">
        <v>2</v>
      </c>
      <c r="I672" s="5">
        <v>169811</v>
      </c>
      <c r="J672" s="13">
        <v>375</v>
      </c>
      <c r="K672" s="5">
        <v>170844.06</v>
      </c>
      <c r="L672" s="5">
        <f>Table13[[#This Row],[Open Value]]/Table13[[#This Row],[Shares]]/Table13[[#This Row],[Multiplier]]</f>
        <v>226.41466666666668</v>
      </c>
      <c r="M672" s="5">
        <f>Table13[[#This Row],[Close Value]]/Table13[[#This Row],[Shares]]/Table13[[#This Row],[Multiplier]]</f>
        <v>227.79208</v>
      </c>
      <c r="N672" s="5">
        <f>Table13[[#This Row],[Close Value]]-Table13[[#This Row],[Open Value]]</f>
        <v>1033.0599999999977</v>
      </c>
      <c r="O672" s="3">
        <f>Table13[[#This Row],[PnL]]/Table13[[#This Row],[Open Value]]</f>
        <v>6.0835870467755189E-3</v>
      </c>
      <c r="P672" s="14">
        <f>N672+P671</f>
        <v>147049.97581368219</v>
      </c>
      <c r="Q672" s="5" t="str">
        <f>TEXT(Table13[[#This Row],[Closing Date]],"yyyy")</f>
        <v>2024</v>
      </c>
      <c r="R672" s="5" t="str">
        <f>TEXT(Table13[[#This Row],[Closing Date]],"mmmm")</f>
        <v>July</v>
      </c>
      <c r="S672" s="5" t="s">
        <v>240</v>
      </c>
      <c r="T672" s="5" t="s">
        <v>301</v>
      </c>
    </row>
    <row r="673" spans="1:20" x14ac:dyDescent="0.25">
      <c r="A673" t="s">
        <v>201</v>
      </c>
      <c r="B673" t="s">
        <v>303</v>
      </c>
      <c r="C673" t="s">
        <v>16</v>
      </c>
      <c r="D673" t="s">
        <v>5</v>
      </c>
      <c r="E673" s="11">
        <v>45503</v>
      </c>
      <c r="F673" s="7">
        <v>45504</v>
      </c>
      <c r="G673" t="s">
        <v>307</v>
      </c>
      <c r="H673">
        <v>200</v>
      </c>
      <c r="I673" s="5">
        <f>Table13[[#This Row],[Close Value]]+Table13[[#This Row],[PnL]]</f>
        <v>153800.97</v>
      </c>
      <c r="J673" s="13">
        <v>1</v>
      </c>
      <c r="K673" s="5">
        <v>162801.97</v>
      </c>
      <c r="L673" s="5">
        <f>Table13[[#This Row],[Open Value]]/Table13[[#This Row],[Shares]]/Table13[[#This Row],[Multiplier]]</f>
        <v>769.00485000000003</v>
      </c>
      <c r="M673" s="5">
        <f>Table13[[#This Row],[Close Value]]/Table13[[#This Row],[Shares]]/Table13[[#This Row],[Multiplier]]</f>
        <v>814.00985000000003</v>
      </c>
      <c r="N673" s="5">
        <v>-9001</v>
      </c>
      <c r="O673" s="3">
        <f>Table13[[#This Row],[PnL]]/Table13[[#This Row],[Open Value]]</f>
        <v>-5.8523688114580814E-2</v>
      </c>
      <c r="P673" s="14">
        <f>N673+P672</f>
        <v>138048.97581368219</v>
      </c>
      <c r="Q673" s="5" t="str">
        <f>TEXT(Table13[[#This Row],[Closing Date]],"yyyy")</f>
        <v>2024</v>
      </c>
      <c r="R673" s="5" t="str">
        <f>TEXT(Table13[[#This Row],[Closing Date]],"mmmm")</f>
        <v>July</v>
      </c>
      <c r="S673" s="5" t="s">
        <v>240</v>
      </c>
      <c r="T673" s="5" t="s">
        <v>301</v>
      </c>
    </row>
    <row r="674" spans="1:20" x14ac:dyDescent="0.25">
      <c r="A674" t="s">
        <v>201</v>
      </c>
      <c r="B674" t="s">
        <v>303</v>
      </c>
      <c r="C674" t="s">
        <v>16</v>
      </c>
      <c r="D674" t="s">
        <v>7</v>
      </c>
      <c r="E674" s="11">
        <v>45504</v>
      </c>
      <c r="F674" s="7">
        <v>45504</v>
      </c>
      <c r="G674" t="s">
        <v>231</v>
      </c>
      <c r="H674">
        <v>8333</v>
      </c>
      <c r="I674" s="5">
        <v>111245.55</v>
      </c>
      <c r="J674" s="13">
        <v>1</v>
      </c>
      <c r="K674" s="5">
        <f>106167.07-87.66</f>
        <v>106079.41</v>
      </c>
      <c r="L674" s="5">
        <f>Table13[[#This Row],[Open Value]]/Table13[[#This Row],[Shares]]/Table13[[#This Row],[Multiplier]]</f>
        <v>13.35</v>
      </c>
      <c r="M674" s="5">
        <f>Table13[[#This Row],[Close Value]]/Table13[[#This Row],[Shares]]/Table13[[#This Row],[Multiplier]]</f>
        <v>12.730038401536062</v>
      </c>
      <c r="N674" s="5">
        <v>-5166</v>
      </c>
      <c r="O674" s="3">
        <f>Table13[[#This Row],[PnL]]/Table13[[#This Row],[Open Value]]</f>
        <v>-4.643781256868252E-2</v>
      </c>
      <c r="P674" s="14">
        <f>N674+P673</f>
        <v>132882.97581368219</v>
      </c>
      <c r="Q674" s="5" t="str">
        <f>TEXT(Table13[[#This Row],[Closing Date]],"yyyy")</f>
        <v>2024</v>
      </c>
      <c r="R674" s="5" t="str">
        <f>TEXT(Table13[[#This Row],[Closing Date]],"mmmm")</f>
        <v>July</v>
      </c>
      <c r="S674" s="5" t="s">
        <v>240</v>
      </c>
      <c r="T674" s="5" t="s">
        <v>301</v>
      </c>
    </row>
    <row r="675" spans="1:20" x14ac:dyDescent="0.25">
      <c r="A675" t="s">
        <v>201</v>
      </c>
      <c r="B675" t="s">
        <v>303</v>
      </c>
      <c r="C675" t="s">
        <v>12</v>
      </c>
      <c r="D675" t="s">
        <v>5</v>
      </c>
      <c r="E675" s="11">
        <v>45497</v>
      </c>
      <c r="F675" s="7">
        <v>45504</v>
      </c>
      <c r="G675" t="s">
        <v>267</v>
      </c>
      <c r="H675">
        <v>15</v>
      </c>
      <c r="I675" s="5">
        <f>Table13[[#This Row],[Close Value]]+Table13[[#This Row],[PnL]]</f>
        <v>3607280.8</v>
      </c>
      <c r="J675" s="13">
        <v>2500</v>
      </c>
      <c r="K675" s="5">
        <v>3612406.8</v>
      </c>
      <c r="L675" s="5">
        <f>Table13[[#This Row],[Open Value]]/Table13[[#This Row],[Shares]]/Table13[[#This Row],[Multiplier]]</f>
        <v>96.194154666666662</v>
      </c>
      <c r="M675" s="5">
        <f>Table13[[#This Row],[Close Value]]/Table13[[#This Row],[Shares]]/Table13[[#This Row],[Multiplier]]</f>
        <v>96.330848000000003</v>
      </c>
      <c r="N675" s="5">
        <v>-5126</v>
      </c>
      <c r="O675" s="3">
        <f>Table13[[#This Row],[PnL]]/Table13[[#This Row],[Open Value]]</f>
        <v>-1.4210149650673162E-3</v>
      </c>
      <c r="P675" s="14">
        <f>N675+P674</f>
        <v>127756.97581368219</v>
      </c>
      <c r="Q675" s="5" t="str">
        <f>TEXT(Table13[[#This Row],[Closing Date]],"yyyy")</f>
        <v>2024</v>
      </c>
      <c r="R675" s="5" t="str">
        <f>TEXT(Table13[[#This Row],[Closing Date]],"mmmm")</f>
        <v>July</v>
      </c>
      <c r="S675" s="5" t="s">
        <v>240</v>
      </c>
      <c r="T675" s="5" t="s">
        <v>301</v>
      </c>
    </row>
    <row r="676" spans="1:20" x14ac:dyDescent="0.25">
      <c r="A676" t="s">
        <v>201</v>
      </c>
      <c r="B676" t="s">
        <v>303</v>
      </c>
      <c r="C676" t="s">
        <v>12</v>
      </c>
      <c r="D676" t="s">
        <v>7</v>
      </c>
      <c r="E676" s="11">
        <v>45488</v>
      </c>
      <c r="F676" s="7">
        <v>45506</v>
      </c>
      <c r="G676" t="s">
        <v>85</v>
      </c>
      <c r="H676">
        <v>16</v>
      </c>
      <c r="I676" s="5">
        <f>Table13[[#This Row],[Close Value]]-Table13[[#This Row],[PnL]]</f>
        <v>106288.18</v>
      </c>
      <c r="J676" s="13">
        <v>0.1</v>
      </c>
      <c r="K676" s="5">
        <v>99938.18</v>
      </c>
      <c r="L676" s="5">
        <f>Table13[[#This Row],[Open Value]]/Table13[[#This Row],[Shares]]/Table13[[#This Row],[Multiplier]]</f>
        <v>66430.112499999988</v>
      </c>
      <c r="M676" s="5">
        <f>Table13[[#This Row],[Close Value]]/Table13[[#This Row],[Shares]]/Table13[[#This Row],[Multiplier]]</f>
        <v>62461.362499999996</v>
      </c>
      <c r="N676" s="5">
        <v>-6350</v>
      </c>
      <c r="O676" s="3">
        <f>Table13[[#This Row],[PnL]]/Table13[[#This Row],[Open Value]]</f>
        <v>-5.9743237677039915E-2</v>
      </c>
      <c r="P676" s="14">
        <f>N676+P675</f>
        <v>121406.97581368219</v>
      </c>
      <c r="Q676" s="5" t="str">
        <f>TEXT(Table13[[#This Row],[Closing Date]],"yyyy")</f>
        <v>2024</v>
      </c>
      <c r="R676" s="5" t="str">
        <f>TEXT(Table13[[#This Row],[Closing Date]],"mmmm")</f>
        <v>August</v>
      </c>
      <c r="S676" s="5" t="s">
        <v>240</v>
      </c>
      <c r="T676" s="5" t="s">
        <v>301</v>
      </c>
    </row>
    <row r="677" spans="1:20" x14ac:dyDescent="0.25">
      <c r="A677" t="s">
        <v>197</v>
      </c>
      <c r="B677" t="s">
        <v>302</v>
      </c>
      <c r="C677" t="s">
        <v>97</v>
      </c>
      <c r="D677" t="s">
        <v>7</v>
      </c>
      <c r="E677" s="11">
        <v>45487</v>
      </c>
      <c r="F677" s="7">
        <v>45509</v>
      </c>
      <c r="G677" t="s">
        <v>308</v>
      </c>
      <c r="H677">
        <v>200</v>
      </c>
      <c r="I677" s="5">
        <v>8012</v>
      </c>
      <c r="J677" s="13">
        <v>100</v>
      </c>
      <c r="K677" s="5">
        <f>33800-399.49</f>
        <v>33400.51</v>
      </c>
      <c r="L677" s="5">
        <f>Table13[[#This Row],[Open Value]]/Table13[[#This Row],[Shares]]/Table13[[#This Row],[Multiplier]]</f>
        <v>0.40060000000000001</v>
      </c>
      <c r="M677" s="5">
        <f>Table13[[#This Row],[Close Value]]/Table13[[#This Row],[Shares]]/Table13[[#This Row],[Multiplier]]</f>
        <v>1.6700255000000002</v>
      </c>
      <c r="N677" s="5">
        <f>Table13[[#This Row],[Close Value]]-Table13[[#This Row],[Open Value]]</f>
        <v>25388.510000000002</v>
      </c>
      <c r="O677" s="3">
        <f>Table13[[#This Row],[PnL]]/Table13[[#This Row],[Open Value]]</f>
        <v>3.1688105341987023</v>
      </c>
      <c r="P677" s="14">
        <f>N677+P676</f>
        <v>146795.4858136822</v>
      </c>
      <c r="Q677" s="5" t="str">
        <f>TEXT(Table13[[#This Row],[Closing Date]],"yyyy")</f>
        <v>2024</v>
      </c>
      <c r="R677" s="5" t="str">
        <f>TEXT(Table13[[#This Row],[Closing Date]],"mmmm")</f>
        <v>August</v>
      </c>
      <c r="S677" s="5" t="s">
        <v>240</v>
      </c>
      <c r="T677" s="5" t="s">
        <v>301</v>
      </c>
    </row>
    <row r="678" spans="1:20" x14ac:dyDescent="0.25">
      <c r="A678" t="s">
        <v>201</v>
      </c>
      <c r="B678" t="s">
        <v>303</v>
      </c>
      <c r="C678" t="s">
        <v>12</v>
      </c>
      <c r="D678" t="s">
        <v>7</v>
      </c>
      <c r="E678" s="11">
        <v>45499</v>
      </c>
      <c r="F678" s="7">
        <v>45509</v>
      </c>
      <c r="G678" t="s">
        <v>311</v>
      </c>
      <c r="H678">
        <v>2</v>
      </c>
      <c r="I678" s="5">
        <f>Table13[[#This Row],[Close Value]]-Table13[[#This Row],[PnL]]</f>
        <v>167529.60000000001</v>
      </c>
      <c r="J678" s="13">
        <v>10</v>
      </c>
      <c r="K678" s="5">
        <v>161956.6</v>
      </c>
      <c r="L678" s="5">
        <f>Table13[[#This Row],[Open Value]]/Table13[[#This Row],[Shares]]/Table13[[#This Row],[Multiplier]]</f>
        <v>8376.48</v>
      </c>
      <c r="M678" s="5">
        <f>Table13[[#This Row],[Close Value]]/Table13[[#This Row],[Shares]]/Table13[[#This Row],[Multiplier]]</f>
        <v>8097.83</v>
      </c>
      <c r="N678" s="5">
        <v>-5573</v>
      </c>
      <c r="O678" s="3">
        <v>-4.6892574814251541E-2</v>
      </c>
      <c r="P678" s="14">
        <f>N678+P677</f>
        <v>141222.4858136822</v>
      </c>
      <c r="Q678" s="5" t="str">
        <f>TEXT(Table13[[#This Row],[Closing Date]],"yyyy")</f>
        <v>2024</v>
      </c>
      <c r="R678" s="5" t="str">
        <f>TEXT(Table13[[#This Row],[Closing Date]],"mmmm")</f>
        <v>August</v>
      </c>
      <c r="S678" s="5" t="s">
        <v>240</v>
      </c>
      <c r="T678" s="5" t="s">
        <v>301</v>
      </c>
    </row>
    <row r="679" spans="1:20" x14ac:dyDescent="0.25">
      <c r="A679" t="s">
        <v>201</v>
      </c>
      <c r="B679" t="s">
        <v>303</v>
      </c>
      <c r="C679" t="s">
        <v>16</v>
      </c>
      <c r="D679" t="s">
        <v>5</v>
      </c>
      <c r="E679" s="11">
        <v>45505</v>
      </c>
      <c r="F679" s="7">
        <v>45510</v>
      </c>
      <c r="G679" t="s">
        <v>307</v>
      </c>
      <c r="H679">
        <v>200</v>
      </c>
      <c r="I679" s="5">
        <v>129001.68</v>
      </c>
      <c r="J679" s="13">
        <v>1</v>
      </c>
      <c r="K679" s="5">
        <v>142294.68</v>
      </c>
      <c r="L679" s="5">
        <v>645.00839999999994</v>
      </c>
      <c r="M679" s="5">
        <v>711.47339999999997</v>
      </c>
      <c r="N679" s="5">
        <v>13293</v>
      </c>
      <c r="O679" s="3">
        <v>0.10304516964430231</v>
      </c>
      <c r="P679" s="14">
        <f>N679+P678</f>
        <v>154515.4858136822</v>
      </c>
      <c r="Q679" s="5" t="str">
        <f>TEXT(Table13[[#This Row],[Closing Date]],"yyyy")</f>
        <v>2024</v>
      </c>
      <c r="R679" s="5" t="str">
        <f>TEXT(Table13[[#This Row],[Closing Date]],"mmmm")</f>
        <v>August</v>
      </c>
      <c r="S679" s="5" t="s">
        <v>240</v>
      </c>
      <c r="T679" s="5" t="s">
        <v>301</v>
      </c>
    </row>
    <row r="680" spans="1:20" x14ac:dyDescent="0.25">
      <c r="A680" t="s">
        <v>201</v>
      </c>
      <c r="B680" t="s">
        <v>305</v>
      </c>
      <c r="C680" t="s">
        <v>12</v>
      </c>
      <c r="D680" t="s">
        <v>7</v>
      </c>
      <c r="E680" s="11">
        <v>45509</v>
      </c>
      <c r="F680" s="7">
        <v>45511</v>
      </c>
      <c r="G680" t="s">
        <v>82</v>
      </c>
      <c r="H680">
        <v>1</v>
      </c>
      <c r="I680" s="5">
        <v>260227.25</v>
      </c>
      <c r="J680" s="13">
        <v>50</v>
      </c>
      <c r="K680" s="5">
        <v>267897.75</v>
      </c>
      <c r="L680" s="5">
        <v>5204.5450000000001</v>
      </c>
      <c r="M680" s="5">
        <v>5357.9549999999999</v>
      </c>
      <c r="N680" s="5">
        <v>7670.5</v>
      </c>
      <c r="O680" s="3">
        <v>2.9476159779577273E-2</v>
      </c>
      <c r="P680" s="14">
        <f>N680+P679</f>
        <v>162185.9858136822</v>
      </c>
      <c r="Q680" s="5" t="str">
        <f>TEXT(Table13[[#This Row],[Closing Date]],"yyyy")</f>
        <v>2024</v>
      </c>
      <c r="R680" s="5" t="str">
        <f>TEXT(Table13[[#This Row],[Closing Date]],"mmmm")</f>
        <v>August</v>
      </c>
      <c r="S680" s="5" t="s">
        <v>240</v>
      </c>
      <c r="T680" s="5" t="s">
        <v>301</v>
      </c>
    </row>
    <row r="681" spans="1:20" x14ac:dyDescent="0.25">
      <c r="A681" t="s">
        <v>201</v>
      </c>
      <c r="B681" t="s">
        <v>303</v>
      </c>
      <c r="C681" t="s">
        <v>16</v>
      </c>
      <c r="D681" t="s">
        <v>5</v>
      </c>
      <c r="E681" s="11">
        <v>45510</v>
      </c>
      <c r="F681" s="7">
        <v>45511</v>
      </c>
      <c r="G681" t="s">
        <v>310</v>
      </c>
      <c r="H681">
        <v>1850</v>
      </c>
      <c r="I681" s="5">
        <v>116777.55</v>
      </c>
      <c r="J681" s="13">
        <v>1</v>
      </c>
      <c r="K681" s="5">
        <v>122253.55</v>
      </c>
      <c r="L681" s="5">
        <v>63.123000000000005</v>
      </c>
      <c r="M681" s="5">
        <v>66.082999999999998</v>
      </c>
      <c r="N681" s="5">
        <v>-5476</v>
      </c>
      <c r="O681" s="3">
        <v>-4.6892574814251541E-2</v>
      </c>
      <c r="P681" s="14">
        <f>N681+P680</f>
        <v>156709.9858136822</v>
      </c>
      <c r="Q681" s="5" t="str">
        <f>TEXT(Table13[[#This Row],[Closing Date]],"yyyy")</f>
        <v>2024</v>
      </c>
      <c r="R681" s="5" t="str">
        <f>TEXT(Table13[[#This Row],[Closing Date]],"mmmm")</f>
        <v>August</v>
      </c>
      <c r="S681" s="5" t="s">
        <v>240</v>
      </c>
      <c r="T681" s="5" t="s">
        <v>301</v>
      </c>
    </row>
    <row r="682" spans="1:20" x14ac:dyDescent="0.25">
      <c r="A682" t="s">
        <v>197</v>
      </c>
      <c r="B682" t="s">
        <v>302</v>
      </c>
      <c r="C682" t="s">
        <v>97</v>
      </c>
      <c r="D682" t="s">
        <v>7</v>
      </c>
      <c r="E682" s="11">
        <v>45485</v>
      </c>
      <c r="F682" s="7">
        <v>45512</v>
      </c>
      <c r="G682" t="s">
        <v>277</v>
      </c>
      <c r="H682">
        <v>4</v>
      </c>
      <c r="I682" s="5">
        <v>5610</v>
      </c>
      <c r="J682" s="13">
        <v>100</v>
      </c>
      <c r="K682" s="5">
        <v>9620.61</v>
      </c>
      <c r="L682" s="5">
        <v>14.025</v>
      </c>
      <c r="M682" s="5">
        <v>24.051525000000002</v>
      </c>
      <c r="N682" s="5">
        <v>4010.6100000000006</v>
      </c>
      <c r="O682" s="3">
        <v>0.7149037433155081</v>
      </c>
      <c r="P682" s="14">
        <f>N682+P681</f>
        <v>160720.59581368219</v>
      </c>
      <c r="Q682" s="5" t="str">
        <f>TEXT(Table13[[#This Row],[Closing Date]],"yyyy")</f>
        <v>2024</v>
      </c>
      <c r="R682" s="5" t="str">
        <f>TEXT(Table13[[#This Row],[Closing Date]],"mmmm")</f>
        <v>August</v>
      </c>
      <c r="S682" s="5" t="s">
        <v>240</v>
      </c>
      <c r="T682" s="5" t="s">
        <v>301</v>
      </c>
    </row>
    <row r="683" spans="1:20" x14ac:dyDescent="0.25">
      <c r="A683" t="s">
        <v>197</v>
      </c>
      <c r="B683" t="s">
        <v>302</v>
      </c>
      <c r="C683" t="s">
        <v>98</v>
      </c>
      <c r="D683" t="s">
        <v>7</v>
      </c>
      <c r="E683" s="11">
        <v>45505</v>
      </c>
      <c r="F683" s="7">
        <v>45513</v>
      </c>
      <c r="G683" t="s">
        <v>309</v>
      </c>
      <c r="H683">
        <v>20</v>
      </c>
      <c r="I683" s="5">
        <v>3224.7800000000007</v>
      </c>
      <c r="J683" s="13">
        <v>100</v>
      </c>
      <c r="K683" s="5">
        <v>10727.78</v>
      </c>
      <c r="L683" s="5">
        <v>1.6123900000000004</v>
      </c>
      <c r="M683" s="5">
        <v>5.3638900000000005</v>
      </c>
      <c r="N683" s="5">
        <v>7503</v>
      </c>
      <c r="O683" s="3">
        <v>2.3266703465042573</v>
      </c>
      <c r="P683" s="14">
        <f>N683+P682</f>
        <v>168223.59581368219</v>
      </c>
      <c r="Q683" s="5" t="str">
        <f>TEXT(Table13[[#This Row],[Closing Date]],"yyyy")</f>
        <v>2024</v>
      </c>
      <c r="R683" s="5" t="str">
        <f>TEXT(Table13[[#This Row],[Closing Date]],"mmmm")</f>
        <v>August</v>
      </c>
      <c r="S683" s="5" t="s">
        <v>240</v>
      </c>
      <c r="T683" s="5" t="s">
        <v>301</v>
      </c>
    </row>
    <row r="684" spans="1:20" x14ac:dyDescent="0.25">
      <c r="A684" t="s">
        <v>201</v>
      </c>
      <c r="B684" t="s">
        <v>302</v>
      </c>
      <c r="C684" t="s">
        <v>12</v>
      </c>
      <c r="D684" t="s">
        <v>7</v>
      </c>
      <c r="E684" s="11">
        <v>45498</v>
      </c>
      <c r="F684" s="7">
        <v>45518</v>
      </c>
      <c r="G684" t="s">
        <v>82</v>
      </c>
      <c r="H684">
        <v>1</v>
      </c>
      <c r="I684" s="5">
        <v>272500</v>
      </c>
      <c r="J684" s="13">
        <v>50</v>
      </c>
      <c r="K684" s="5">
        <v>272522.75</v>
      </c>
      <c r="L684" s="5">
        <v>5450</v>
      </c>
      <c r="M684" s="5">
        <v>5450.4549999999999</v>
      </c>
      <c r="N684" s="5">
        <v>22.75</v>
      </c>
      <c r="O684" s="3">
        <v>8.3486238532110086E-5</v>
      </c>
      <c r="P684" s="14">
        <f>N684+P683</f>
        <v>168246.34581368219</v>
      </c>
      <c r="Q684" s="5" t="str">
        <f>TEXT(Table13[[#This Row],[Closing Date]],"yyyy")</f>
        <v>2024</v>
      </c>
      <c r="R684" s="5" t="str">
        <f>TEXT(Table13[[#This Row],[Closing Date]],"mmmm")</f>
        <v>August</v>
      </c>
      <c r="S684" s="5" t="s">
        <v>240</v>
      </c>
      <c r="T684" s="5" t="s">
        <v>301</v>
      </c>
    </row>
    <row r="685" spans="1:20" x14ac:dyDescent="0.25">
      <c r="A685" t="s">
        <v>197</v>
      </c>
      <c r="B685" t="s">
        <v>302</v>
      </c>
      <c r="C685" t="s">
        <v>97</v>
      </c>
      <c r="D685" t="s">
        <v>7</v>
      </c>
      <c r="E685" s="11">
        <v>45503</v>
      </c>
      <c r="F685" s="7">
        <v>45518</v>
      </c>
      <c r="G685" t="s">
        <v>256</v>
      </c>
      <c r="H685">
        <v>15</v>
      </c>
      <c r="I685" s="5">
        <v>7316</v>
      </c>
      <c r="J685" s="13">
        <v>100</v>
      </c>
      <c r="K685" s="5">
        <v>5991.6</v>
      </c>
      <c r="L685" s="5">
        <v>4.8773333333333335</v>
      </c>
      <c r="M685" s="5">
        <v>3.9944000000000002</v>
      </c>
      <c r="N685" s="5">
        <v>-1324.3999999999996</v>
      </c>
      <c r="O685" s="3">
        <v>-0.18102788408966644</v>
      </c>
      <c r="P685" s="14">
        <f>N685+P684</f>
        <v>166921.94581368219</v>
      </c>
      <c r="Q685" s="5" t="str">
        <f>TEXT(Table13[[#This Row],[Closing Date]],"yyyy")</f>
        <v>2024</v>
      </c>
      <c r="R685" s="5" t="str">
        <f>TEXT(Table13[[#This Row],[Closing Date]],"mmmm")</f>
        <v>August</v>
      </c>
      <c r="S685" s="5" t="s">
        <v>240</v>
      </c>
      <c r="T685" s="5" t="s">
        <v>301</v>
      </c>
    </row>
    <row r="686" spans="1:20" x14ac:dyDescent="0.25">
      <c r="A686" t="s">
        <v>197</v>
      </c>
      <c r="B686" t="s">
        <v>302</v>
      </c>
      <c r="C686" t="s">
        <v>102</v>
      </c>
      <c r="D686" t="s">
        <v>7</v>
      </c>
      <c r="E686" s="11">
        <v>45459</v>
      </c>
      <c r="F686" s="7">
        <v>45518</v>
      </c>
      <c r="G686" t="s">
        <v>320</v>
      </c>
      <c r="H686">
        <v>15</v>
      </c>
      <c r="I686" s="5">
        <v>4810</v>
      </c>
      <c r="J686" s="13">
        <v>100</v>
      </c>
      <c r="K686" s="5">
        <v>5029.33</v>
      </c>
      <c r="L686" s="5">
        <v>3.206666666666667</v>
      </c>
      <c r="M686" s="5">
        <v>3.3528866666666666</v>
      </c>
      <c r="N686" s="5">
        <v>219.32999999999993</v>
      </c>
      <c r="O686" s="3">
        <v>4.5598752598752582E-2</v>
      </c>
      <c r="P686" s="14">
        <f>N686+P685</f>
        <v>167141.27581368218</v>
      </c>
      <c r="Q686" s="5" t="str">
        <f>TEXT(Table13[[#This Row],[Closing Date]],"yyyy")</f>
        <v>2024</v>
      </c>
      <c r="R686" s="5" t="str">
        <f>TEXT(Table13[[#This Row],[Closing Date]],"mmmm")</f>
        <v>August</v>
      </c>
      <c r="S686" s="5" t="s">
        <v>240</v>
      </c>
      <c r="T686" s="5" t="s">
        <v>301</v>
      </c>
    </row>
    <row r="687" spans="1:20" x14ac:dyDescent="0.25">
      <c r="A687" t="s">
        <v>197</v>
      </c>
      <c r="B687" t="s">
        <v>302</v>
      </c>
      <c r="C687" t="s">
        <v>99</v>
      </c>
      <c r="D687" t="s">
        <v>7</v>
      </c>
      <c r="E687" s="11">
        <v>45516</v>
      </c>
      <c r="F687" s="7">
        <v>45519</v>
      </c>
      <c r="G687" t="s">
        <v>136</v>
      </c>
      <c r="H687">
        <v>200</v>
      </c>
      <c r="I687" s="5">
        <v>2537.88</v>
      </c>
      <c r="J687" s="13">
        <v>100</v>
      </c>
      <c r="K687" s="5">
        <v>0</v>
      </c>
      <c r="L687" s="5">
        <f>Table13[[#This Row],[Open Value]]/Table13[[#This Row],[Shares]]/Table13[[#This Row],[Multiplier]]</f>
        <v>0.12689400000000001</v>
      </c>
      <c r="M687" s="5">
        <f>Table13[[#This Row],[Close Value]]/Table13[[#This Row],[Shares]]/Table13[[#This Row],[Multiplier]]</f>
        <v>0</v>
      </c>
      <c r="N687" s="5">
        <f>Table13[[#This Row],[Close Value]]-Table13[[#This Row],[Open Value]]</f>
        <v>-2537.88</v>
      </c>
      <c r="O687" s="3">
        <v>-4.6892574814251541E-2</v>
      </c>
      <c r="P687" s="14">
        <f>N687+P686</f>
        <v>164603.39581368217</v>
      </c>
      <c r="Q687" s="5" t="str">
        <f>TEXT(Table13[[#This Row],[Closing Date]],"yyyy")</f>
        <v>2024</v>
      </c>
      <c r="R687" s="5" t="str">
        <f>TEXT(Table13[[#This Row],[Closing Date]],"mmmm")</f>
        <v>August</v>
      </c>
      <c r="S687" s="5" t="s">
        <v>240</v>
      </c>
      <c r="T687" s="5" t="s">
        <v>301</v>
      </c>
    </row>
    <row r="688" spans="1:20" x14ac:dyDescent="0.25">
      <c r="A688" t="s">
        <v>201</v>
      </c>
      <c r="B688" t="s">
        <v>303</v>
      </c>
      <c r="C688" t="s">
        <v>16</v>
      </c>
      <c r="D688" t="s">
        <v>7</v>
      </c>
      <c r="E688" s="11">
        <v>45517</v>
      </c>
      <c r="F688" s="7">
        <v>45519</v>
      </c>
      <c r="G688" t="s">
        <v>231</v>
      </c>
      <c r="H688">
        <v>5000</v>
      </c>
      <c r="I688" s="5">
        <v>83500</v>
      </c>
      <c r="J688" s="13">
        <v>1</v>
      </c>
      <c r="K688" s="5">
        <v>77422.02</v>
      </c>
      <c r="L688" s="5">
        <v>16.7</v>
      </c>
      <c r="M688" s="5">
        <v>15.484404000000001</v>
      </c>
      <c r="N688" s="5">
        <v>-6077.9799999999959</v>
      </c>
      <c r="O688" s="3">
        <v>-7.2790179640718516E-2</v>
      </c>
      <c r="P688" s="14">
        <f>N688+P687</f>
        <v>158525.41581368219</v>
      </c>
      <c r="Q688" s="5" t="str">
        <f>TEXT(Table13[[#This Row],[Closing Date]],"yyyy")</f>
        <v>2024</v>
      </c>
      <c r="R688" s="5" t="str">
        <f>TEXT(Table13[[#This Row],[Closing Date]],"mmmm")</f>
        <v>August</v>
      </c>
      <c r="S688" s="5" t="s">
        <v>240</v>
      </c>
      <c r="T688" s="5" t="s">
        <v>301</v>
      </c>
    </row>
    <row r="689" spans="1:20" x14ac:dyDescent="0.25">
      <c r="A689" t="s">
        <v>197</v>
      </c>
      <c r="B689" t="s">
        <v>302</v>
      </c>
      <c r="C689" t="s">
        <v>102</v>
      </c>
      <c r="D689" t="s">
        <v>7</v>
      </c>
      <c r="E689" s="11">
        <v>45505</v>
      </c>
      <c r="F689" s="7">
        <v>45520</v>
      </c>
      <c r="G689" t="s">
        <v>35</v>
      </c>
      <c r="H689">
        <v>200</v>
      </c>
      <c r="I689" s="5">
        <v>4937.5600000000013</v>
      </c>
      <c r="J689" s="13">
        <v>100</v>
      </c>
      <c r="K689" s="5">
        <v>9004.7800000000007</v>
      </c>
      <c r="L689" s="5">
        <v>0.24687800000000007</v>
      </c>
      <c r="M689" s="5">
        <v>0.45023900000000006</v>
      </c>
      <c r="N689" s="5">
        <v>4067.2199999999993</v>
      </c>
      <c r="O689" s="3">
        <v>0.82373074960101711</v>
      </c>
      <c r="P689" s="14">
        <f>N689+P688</f>
        <v>162592.63581368219</v>
      </c>
      <c r="Q689" s="5" t="str">
        <f>TEXT(Table13[[#This Row],[Closing Date]],"yyyy")</f>
        <v>2024</v>
      </c>
      <c r="R689" s="5" t="str">
        <f>TEXT(Table13[[#This Row],[Closing Date]],"mmmm")</f>
        <v>August</v>
      </c>
      <c r="S689" s="5" t="s">
        <v>240</v>
      </c>
      <c r="T689" s="5" t="s">
        <v>301</v>
      </c>
    </row>
    <row r="690" spans="1:20" x14ac:dyDescent="0.25">
      <c r="A690" t="s">
        <v>197</v>
      </c>
      <c r="B690" t="s">
        <v>302</v>
      </c>
      <c r="C690" t="s">
        <v>102</v>
      </c>
      <c r="D690" t="s">
        <v>7</v>
      </c>
      <c r="E690" s="11">
        <v>45505</v>
      </c>
      <c r="F690" s="7">
        <v>45524</v>
      </c>
      <c r="G690" t="s">
        <v>133</v>
      </c>
      <c r="H690">
        <v>20</v>
      </c>
      <c r="I690" s="5">
        <v>6492</v>
      </c>
      <c r="J690" s="13">
        <v>100</v>
      </c>
      <c r="K690" s="5">
        <v>10175.719999999999</v>
      </c>
      <c r="L690" s="5">
        <v>3.2460000000000004</v>
      </c>
      <c r="M690" s="5">
        <v>5.0878599999999992</v>
      </c>
      <c r="N690" s="5">
        <v>3683.7199999999993</v>
      </c>
      <c r="O690" s="3">
        <v>0.56742452248921738</v>
      </c>
      <c r="P690" s="14">
        <f>N690+P689</f>
        <v>166276.3558136822</v>
      </c>
      <c r="Q690" s="5" t="s">
        <v>324</v>
      </c>
      <c r="R690" s="5" t="s">
        <v>325</v>
      </c>
      <c r="S690" s="5" t="s">
        <v>240</v>
      </c>
      <c r="T690" s="5" t="s">
        <v>301</v>
      </c>
    </row>
    <row r="691" spans="1:20" x14ac:dyDescent="0.25">
      <c r="A691" t="s">
        <v>197</v>
      </c>
      <c r="B691" t="s">
        <v>302</v>
      </c>
      <c r="C691" t="s">
        <v>97</v>
      </c>
      <c r="D691" t="s">
        <v>7</v>
      </c>
      <c r="E691" s="11">
        <v>45492</v>
      </c>
      <c r="F691" s="7">
        <v>45524</v>
      </c>
      <c r="G691" t="s">
        <v>206</v>
      </c>
      <c r="H691">
        <v>3</v>
      </c>
      <c r="I691" s="5">
        <v>3600</v>
      </c>
      <c r="J691" s="13">
        <v>100</v>
      </c>
      <c r="K691" s="5">
        <v>1975.74</v>
      </c>
      <c r="L691" s="5">
        <v>12</v>
      </c>
      <c r="M691" s="5">
        <v>6.5858000000000008</v>
      </c>
      <c r="N691" s="5">
        <v>-1624.26</v>
      </c>
      <c r="O691" s="3">
        <v>-0.45118333333333333</v>
      </c>
      <c r="P691" s="14">
        <f>N691+P690</f>
        <v>164652.09581368219</v>
      </c>
      <c r="Q691" s="5" t="s">
        <v>324</v>
      </c>
      <c r="R691" s="5" t="s">
        <v>325</v>
      </c>
      <c r="S691" s="5" t="s">
        <v>240</v>
      </c>
      <c r="T691" s="5" t="s">
        <v>301</v>
      </c>
    </row>
    <row r="692" spans="1:20" x14ac:dyDescent="0.25">
      <c r="A692" t="s">
        <v>197</v>
      </c>
      <c r="B692" t="s">
        <v>302</v>
      </c>
      <c r="C692" t="s">
        <v>102</v>
      </c>
      <c r="D692" t="s">
        <v>7</v>
      </c>
      <c r="E692" s="11">
        <v>45499</v>
      </c>
      <c r="F692" s="7">
        <v>45524</v>
      </c>
      <c r="G692" t="s">
        <v>206</v>
      </c>
      <c r="H692">
        <v>4</v>
      </c>
      <c r="I692" s="5">
        <v>2804</v>
      </c>
      <c r="J692" s="13">
        <v>100</v>
      </c>
      <c r="K692" s="5">
        <v>1473.16</v>
      </c>
      <c r="L692" s="5">
        <v>7.01</v>
      </c>
      <c r="M692" s="5">
        <v>3.6829000000000001</v>
      </c>
      <c r="N692" s="5">
        <v>-1330.84</v>
      </c>
      <c r="O692" s="3">
        <v>-0.47462196861626244</v>
      </c>
      <c r="P692" s="14">
        <f>N692+P691</f>
        <v>163321.25581368219</v>
      </c>
      <c r="Q692" s="5" t="s">
        <v>324</v>
      </c>
      <c r="R692" s="5" t="s">
        <v>325</v>
      </c>
      <c r="S692" s="5" t="s">
        <v>240</v>
      </c>
      <c r="T692" s="5" t="s">
        <v>301</v>
      </c>
    </row>
    <row r="693" spans="1:20" x14ac:dyDescent="0.25">
      <c r="A693" t="s">
        <v>197</v>
      </c>
      <c r="B693" t="s">
        <v>302</v>
      </c>
      <c r="C693" t="s">
        <v>97</v>
      </c>
      <c r="D693" t="s">
        <v>7</v>
      </c>
      <c r="E693" s="11">
        <v>45488</v>
      </c>
      <c r="F693" s="7">
        <v>45524</v>
      </c>
      <c r="G693" t="s">
        <v>159</v>
      </c>
      <c r="H693">
        <v>2</v>
      </c>
      <c r="I693" s="5">
        <v>7004</v>
      </c>
      <c r="J693" s="13">
        <v>100</v>
      </c>
      <c r="K693" s="5">
        <v>4568.08</v>
      </c>
      <c r="L693" s="5">
        <v>35.020000000000003</v>
      </c>
      <c r="M693" s="5">
        <v>22.840399999999999</v>
      </c>
      <c r="N693" s="5">
        <v>-2435.92</v>
      </c>
      <c r="O693" s="3">
        <v>-0.3477898343803541</v>
      </c>
      <c r="P693" s="14">
        <f>N693+P692</f>
        <v>160885.33581368218</v>
      </c>
      <c r="Q693" s="5" t="str">
        <f>TEXT(Table13[[#This Row],[Closing Date]],"yyyy")</f>
        <v>2024</v>
      </c>
      <c r="R693" s="5" t="str">
        <f>TEXT(Table13[[#This Row],[Closing Date]],"mmmm")</f>
        <v>August</v>
      </c>
      <c r="S693" s="5" t="s">
        <v>240</v>
      </c>
      <c r="T693" s="5" t="s">
        <v>301</v>
      </c>
    </row>
    <row r="694" spans="1:20" x14ac:dyDescent="0.25">
      <c r="A694" t="s">
        <v>201</v>
      </c>
      <c r="B694" t="s">
        <v>303</v>
      </c>
      <c r="C694" t="s">
        <v>12</v>
      </c>
      <c r="D694" t="s">
        <v>7</v>
      </c>
      <c r="E694" s="11">
        <v>45519</v>
      </c>
      <c r="F694" s="7">
        <v>45524</v>
      </c>
      <c r="G694" t="s">
        <v>50</v>
      </c>
      <c r="H694">
        <v>12</v>
      </c>
      <c r="I694" s="5">
        <v>1228107</v>
      </c>
      <c r="J694" s="13">
        <v>1000</v>
      </c>
      <c r="K694" s="5">
        <v>1218333.3600000001</v>
      </c>
      <c r="L694" s="5">
        <v>102.34225000000001</v>
      </c>
      <c r="M694" s="5">
        <v>101.52778000000001</v>
      </c>
      <c r="N694" s="5">
        <v>-9773.6399999998976</v>
      </c>
      <c r="O694" s="3">
        <v>-7.9582967933574979E-3</v>
      </c>
      <c r="P694" s="14">
        <f>N694+P693</f>
        <v>151111.69581368228</v>
      </c>
      <c r="Q694" s="5" t="str">
        <f>TEXT(Table13[[#This Row],[Closing Date]],"yyyy")</f>
        <v>2024</v>
      </c>
      <c r="R694" s="5" t="str">
        <f>TEXT(Table13[[#This Row],[Closing Date]],"mmmm")</f>
        <v>August</v>
      </c>
      <c r="S694" s="5" t="s">
        <v>240</v>
      </c>
      <c r="T694" s="5" t="s">
        <v>301</v>
      </c>
    </row>
    <row r="695" spans="1:20" x14ac:dyDescent="0.25">
      <c r="A695" t="s">
        <v>197</v>
      </c>
      <c r="B695" t="s">
        <v>302</v>
      </c>
      <c r="C695" t="s">
        <v>102</v>
      </c>
      <c r="D695" t="s">
        <v>7</v>
      </c>
      <c r="E695" s="11">
        <v>45498</v>
      </c>
      <c r="F695" s="7">
        <v>45524</v>
      </c>
      <c r="G695" t="s">
        <v>37</v>
      </c>
      <c r="H695">
        <v>100</v>
      </c>
      <c r="I695" s="5">
        <v>7245</v>
      </c>
      <c r="J695" s="13">
        <v>100</v>
      </c>
      <c r="K695" s="5">
        <v>5154.8900000000003</v>
      </c>
      <c r="L695" s="5">
        <v>0.72450000000000003</v>
      </c>
      <c r="M695" s="5">
        <v>0.51548900000000009</v>
      </c>
      <c r="N695" s="5">
        <v>-2090.1099999999997</v>
      </c>
      <c r="O695" s="3">
        <v>-0.28848999309868872</v>
      </c>
      <c r="P695" s="14">
        <f>N695+P694</f>
        <v>149021.58581368229</v>
      </c>
      <c r="Q695" s="5" t="str">
        <f>TEXT(Table13[[#This Row],[Closing Date]],"yyyy")</f>
        <v>2024</v>
      </c>
      <c r="R695" s="5" t="str">
        <f>TEXT(Table13[[#This Row],[Closing Date]],"mmmm")</f>
        <v>August</v>
      </c>
      <c r="S695" s="5" t="s">
        <v>240</v>
      </c>
      <c r="T695" s="5" t="s">
        <v>301</v>
      </c>
    </row>
  </sheetData>
  <phoneticPr fontId="3" type="noConversion"/>
  <conditionalFormatting sqref="N1:N695 P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R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B98EF-90E6-4366-8E8A-138CDC8011B5}">
  <dimension ref="A1:U712"/>
  <sheetViews>
    <sheetView workbookViewId="0">
      <pane ySplit="1" topLeftCell="A670" activePane="bottomLeft" state="frozen"/>
      <selection pane="bottomLeft" activeCell="L718" sqref="L718"/>
    </sheetView>
  </sheetViews>
  <sheetFormatPr defaultRowHeight="15" x14ac:dyDescent="0.25"/>
  <cols>
    <col min="1" max="1" width="10.42578125" bestFit="1" customWidth="1"/>
    <col min="2" max="2" width="9.5703125" bestFit="1" customWidth="1"/>
    <col min="3" max="3" width="17" bestFit="1" customWidth="1"/>
    <col min="4" max="4" width="16" bestFit="1" customWidth="1"/>
    <col min="5" max="5" width="13.5703125" bestFit="1" customWidth="1"/>
    <col min="6" max="6" width="9.42578125" bestFit="1" customWidth="1"/>
    <col min="7" max="7" width="14.7109375" style="7" customWidth="1"/>
    <col min="8" max="8" width="10.85546875" bestFit="1" customWidth="1"/>
    <col min="9" max="9" width="14.28515625" bestFit="1" customWidth="1"/>
    <col min="10" max="10" width="17.140625" style="5" bestFit="1" customWidth="1"/>
    <col min="11" max="11" width="17.140625" style="13" customWidth="1"/>
    <col min="12" max="12" width="17.7109375" style="5" bestFit="1" customWidth="1"/>
    <col min="13" max="13" width="11.5703125" style="5" bestFit="1" customWidth="1"/>
    <col min="14" max="14" width="17.28515625" bestFit="1" customWidth="1"/>
    <col min="15" max="15" width="12.28515625" style="5" bestFit="1" customWidth="1"/>
    <col min="16" max="16" width="10.85546875" style="3" bestFit="1" customWidth="1"/>
    <col min="17" max="17" width="17" style="3" bestFit="1" customWidth="1"/>
    <col min="18" max="18" width="11" bestFit="1" customWidth="1"/>
    <col min="19" max="20" width="12.7109375" bestFit="1" customWidth="1"/>
  </cols>
  <sheetData>
    <row r="1" spans="1:21" x14ac:dyDescent="0.25">
      <c r="A1" s="16" t="s">
        <v>314</v>
      </c>
      <c r="B1" s="1" t="s">
        <v>200</v>
      </c>
      <c r="C1" s="1" t="s">
        <v>202</v>
      </c>
      <c r="D1" s="1" t="s">
        <v>204</v>
      </c>
      <c r="E1" s="1" t="s">
        <v>108</v>
      </c>
      <c r="F1" t="s">
        <v>282</v>
      </c>
      <c r="G1" s="8" t="s">
        <v>93</v>
      </c>
      <c r="H1" s="1" t="s">
        <v>0</v>
      </c>
      <c r="I1" s="1" t="s">
        <v>1</v>
      </c>
      <c r="J1" s="4" t="s">
        <v>94</v>
      </c>
      <c r="K1" s="12" t="s">
        <v>290</v>
      </c>
      <c r="L1" s="4" t="s">
        <v>95</v>
      </c>
      <c r="M1" s="4" t="s">
        <v>2</v>
      </c>
      <c r="N1" s="4" t="s">
        <v>109</v>
      </c>
      <c r="O1" s="6" t="s">
        <v>3</v>
      </c>
      <c r="P1" s="6" t="s">
        <v>110</v>
      </c>
      <c r="Q1" s="10" t="s">
        <v>216</v>
      </c>
      <c r="R1" s="10" t="s">
        <v>225</v>
      </c>
      <c r="S1" s="10" t="s">
        <v>226</v>
      </c>
      <c r="T1" t="s">
        <v>239</v>
      </c>
      <c r="U1" t="s">
        <v>296</v>
      </c>
    </row>
    <row r="2" spans="1:21" x14ac:dyDescent="0.25">
      <c r="B2" t="s">
        <v>197</v>
      </c>
      <c r="C2" t="s">
        <v>302</v>
      </c>
      <c r="D2" t="s">
        <v>98</v>
      </c>
      <c r="E2" t="s">
        <v>7</v>
      </c>
      <c r="F2" s="5"/>
      <c r="G2" s="7">
        <v>44645</v>
      </c>
      <c r="H2" t="s">
        <v>10</v>
      </c>
      <c r="I2">
        <v>16</v>
      </c>
      <c r="J2" s="5">
        <v>3604.51</v>
      </c>
      <c r="K2" s="13">
        <v>100</v>
      </c>
      <c r="L2" s="5">
        <v>1297.03</v>
      </c>
      <c r="M2" s="5">
        <v>2.2528187500000003</v>
      </c>
      <c r="N2" s="5">
        <v>0.81064375</v>
      </c>
      <c r="O2" s="5">
        <v>-2307.4800000000005</v>
      </c>
      <c r="P2" s="3">
        <v>-0.64016468257821457</v>
      </c>
      <c r="Q2" s="9">
        <f>O2</f>
        <v>-2307.4800000000005</v>
      </c>
      <c r="R2" s="5" t="str">
        <f>TEXT(Table1[[#This Row],[Closing Date]],"yyyy")</f>
        <v>2022</v>
      </c>
      <c r="S2" s="5" t="str">
        <f>TEXT(Table1[[#This Row],[Closing Date]],"mmmm")</f>
        <v>March</v>
      </c>
      <c r="T2" s="5" t="s">
        <v>240</v>
      </c>
      <c r="U2" s="5" t="s">
        <v>301</v>
      </c>
    </row>
    <row r="3" spans="1:21" x14ac:dyDescent="0.25">
      <c r="B3" t="s">
        <v>197</v>
      </c>
      <c r="C3" t="s">
        <v>302</v>
      </c>
      <c r="D3" t="s">
        <v>98</v>
      </c>
      <c r="E3" t="s">
        <v>7</v>
      </c>
      <c r="F3" s="5"/>
      <c r="G3" s="7">
        <v>44679</v>
      </c>
      <c r="H3" t="s">
        <v>37</v>
      </c>
      <c r="I3">
        <v>25</v>
      </c>
      <c r="J3" s="5">
        <v>3752.06</v>
      </c>
      <c r="K3" s="13">
        <v>100</v>
      </c>
      <c r="L3" s="5">
        <v>15103.41</v>
      </c>
      <c r="M3" s="5">
        <v>1.5008240000000002</v>
      </c>
      <c r="N3" s="5">
        <v>6.0413639999999997</v>
      </c>
      <c r="O3" s="5">
        <v>11351.35</v>
      </c>
      <c r="P3" s="3">
        <v>3.0253647329733528</v>
      </c>
      <c r="Q3" s="9">
        <f t="shared" ref="Q3:Q66" si="0">O3+Q2</f>
        <v>9043.869999999999</v>
      </c>
      <c r="R3" s="5" t="str">
        <f>TEXT(Table1[[#This Row],[Closing Date]],"yyyy")</f>
        <v>2022</v>
      </c>
      <c r="S3" s="5" t="str">
        <f>TEXT(Table1[[#This Row],[Closing Date]],"mmmm")</f>
        <v>April</v>
      </c>
      <c r="T3" s="5" t="s">
        <v>240</v>
      </c>
      <c r="U3" s="5" t="s">
        <v>301</v>
      </c>
    </row>
    <row r="4" spans="1:21" x14ac:dyDescent="0.25">
      <c r="B4" t="s">
        <v>197</v>
      </c>
      <c r="C4" t="s">
        <v>302</v>
      </c>
      <c r="D4" t="s">
        <v>97</v>
      </c>
      <c r="E4" t="s">
        <v>7</v>
      </c>
      <c r="F4" s="5"/>
      <c r="G4" s="7">
        <v>44694</v>
      </c>
      <c r="H4" t="s">
        <v>10</v>
      </c>
      <c r="I4">
        <v>20</v>
      </c>
      <c r="J4" s="5">
        <v>3329.78</v>
      </c>
      <c r="K4" s="13">
        <v>100</v>
      </c>
      <c r="L4" s="5">
        <v>1645.71</v>
      </c>
      <c r="M4" s="5">
        <v>1.66489</v>
      </c>
      <c r="N4" s="5">
        <v>0.822855</v>
      </c>
      <c r="O4" s="5">
        <v>-1684.0700000000002</v>
      </c>
      <c r="P4" s="3">
        <v>-0.50576014030956995</v>
      </c>
      <c r="Q4" s="9">
        <f t="shared" si="0"/>
        <v>7359.7999999999993</v>
      </c>
      <c r="R4" s="5" t="str">
        <f>TEXT(Table1[[#This Row],[Closing Date]],"yyyy")</f>
        <v>2022</v>
      </c>
      <c r="S4" s="5" t="str">
        <f>TEXT(Table1[[#This Row],[Closing Date]],"mmmm")</f>
        <v>May</v>
      </c>
      <c r="T4" s="5" t="s">
        <v>240</v>
      </c>
      <c r="U4" s="5" t="s">
        <v>301</v>
      </c>
    </row>
    <row r="5" spans="1:21" x14ac:dyDescent="0.25">
      <c r="B5" t="s">
        <v>197</v>
      </c>
      <c r="C5" t="s">
        <v>302</v>
      </c>
      <c r="D5" t="s">
        <v>97</v>
      </c>
      <c r="E5" t="s">
        <v>7</v>
      </c>
      <c r="F5" s="5"/>
      <c r="G5" s="7">
        <v>44708</v>
      </c>
      <c r="H5" t="s">
        <v>96</v>
      </c>
      <c r="I5">
        <v>25</v>
      </c>
      <c r="J5" s="5">
        <v>3521.88</v>
      </c>
      <c r="K5" s="13">
        <v>100</v>
      </c>
      <c r="L5" s="5">
        <v>0</v>
      </c>
      <c r="M5" s="5">
        <v>1.408752</v>
      </c>
      <c r="N5" s="5">
        <v>0</v>
      </c>
      <c r="O5" s="5">
        <v>-3521.88</v>
      </c>
      <c r="P5" s="3">
        <v>-1</v>
      </c>
      <c r="Q5" s="9">
        <f t="shared" si="0"/>
        <v>3837.9199999999992</v>
      </c>
      <c r="R5" s="5" t="str">
        <f>TEXT(Table1[[#This Row],[Closing Date]],"yyyy")</f>
        <v>2022</v>
      </c>
      <c r="S5" s="5" t="str">
        <f>TEXT(Table1[[#This Row],[Closing Date]],"mmmm")</f>
        <v>May</v>
      </c>
      <c r="T5" s="5" t="s">
        <v>240</v>
      </c>
      <c r="U5" s="5" t="s">
        <v>301</v>
      </c>
    </row>
    <row r="6" spans="1:21" x14ac:dyDescent="0.25">
      <c r="B6" t="s">
        <v>197</v>
      </c>
      <c r="C6" t="s">
        <v>302</v>
      </c>
      <c r="D6" t="s">
        <v>99</v>
      </c>
      <c r="E6" t="s">
        <v>7</v>
      </c>
      <c r="F6" s="5"/>
      <c r="G6" s="7">
        <v>44844</v>
      </c>
      <c r="H6" t="s">
        <v>37</v>
      </c>
      <c r="I6">
        <v>5</v>
      </c>
      <c r="J6" s="5">
        <v>2278.4499999999998</v>
      </c>
      <c r="K6" s="13">
        <v>100</v>
      </c>
      <c r="L6" s="5">
        <v>8484.5499999999993</v>
      </c>
      <c r="M6" s="5">
        <v>4.5568999999999997</v>
      </c>
      <c r="N6" s="5">
        <v>16.969099999999997</v>
      </c>
      <c r="O6" s="5">
        <v>6206.0999999999995</v>
      </c>
      <c r="P6" s="3">
        <v>2.7238254076236035</v>
      </c>
      <c r="Q6" s="9">
        <f t="shared" si="0"/>
        <v>10044.019999999999</v>
      </c>
      <c r="R6" s="5" t="str">
        <f>TEXT(Table1[[#This Row],[Closing Date]],"yyyy")</f>
        <v>2022</v>
      </c>
      <c r="S6" s="5" t="str">
        <f>TEXT(Table1[[#This Row],[Closing Date]],"mmmm")</f>
        <v>October</v>
      </c>
      <c r="T6" s="5" t="s">
        <v>240</v>
      </c>
      <c r="U6" s="5" t="s">
        <v>301</v>
      </c>
    </row>
    <row r="7" spans="1:21" x14ac:dyDescent="0.25">
      <c r="B7" t="s">
        <v>197</v>
      </c>
      <c r="C7" t="s">
        <v>302</v>
      </c>
      <c r="D7" t="s">
        <v>98</v>
      </c>
      <c r="E7" t="s">
        <v>7</v>
      </c>
      <c r="F7" s="5"/>
      <c r="G7" s="7">
        <v>44925</v>
      </c>
      <c r="H7" t="s">
        <v>51</v>
      </c>
      <c r="I7">
        <v>5</v>
      </c>
      <c r="J7" s="5">
        <v>2451.3199999999997</v>
      </c>
      <c r="K7" s="13">
        <v>100</v>
      </c>
      <c r="L7" s="5">
        <v>7028.34</v>
      </c>
      <c r="M7" s="5">
        <v>4.9026399999999999</v>
      </c>
      <c r="N7" s="5">
        <v>14.056680000000002</v>
      </c>
      <c r="O7" s="5">
        <v>4577.0200000000004</v>
      </c>
      <c r="P7" s="3">
        <v>1.8671654455558642</v>
      </c>
      <c r="Q7" s="9">
        <f t="shared" si="0"/>
        <v>14621.039999999999</v>
      </c>
      <c r="R7" s="5" t="str">
        <f>TEXT(Table1[[#This Row],[Closing Date]],"yyyy")</f>
        <v>2022</v>
      </c>
      <c r="S7" s="5" t="str">
        <f>TEXT(Table1[[#This Row],[Closing Date]],"mmmm")</f>
        <v>December</v>
      </c>
      <c r="T7" s="5" t="s">
        <v>240</v>
      </c>
      <c r="U7" s="5" t="s">
        <v>301</v>
      </c>
    </row>
    <row r="8" spans="1:21" x14ac:dyDescent="0.25">
      <c r="B8" t="s">
        <v>201</v>
      </c>
      <c r="C8" t="s">
        <v>303</v>
      </c>
      <c r="D8" t="s">
        <v>16</v>
      </c>
      <c r="E8" t="s">
        <v>7</v>
      </c>
      <c r="F8" s="5"/>
      <c r="G8" s="7">
        <v>44934</v>
      </c>
      <c r="H8" t="s">
        <v>174</v>
      </c>
      <c r="I8">
        <v>12500</v>
      </c>
      <c r="J8" s="5">
        <v>422187.5</v>
      </c>
      <c r="L8" s="5">
        <v>424757.63</v>
      </c>
      <c r="M8" s="5">
        <v>33.774999999999999</v>
      </c>
      <c r="N8" s="5">
        <v>33.980610400000003</v>
      </c>
      <c r="O8" s="5">
        <v>2570.1300000000047</v>
      </c>
      <c r="P8" s="3">
        <v>6.0876506291635936E-3</v>
      </c>
      <c r="Q8" s="9">
        <f t="shared" si="0"/>
        <v>17191.170000000006</v>
      </c>
      <c r="R8" s="5" t="str">
        <f>TEXT(Table1[[#This Row],[Closing Date]],"yyyy")</f>
        <v>2023</v>
      </c>
      <c r="S8" s="5" t="str">
        <f>TEXT(Table1[[#This Row],[Closing Date]],"mmmm")</f>
        <v>January</v>
      </c>
      <c r="T8" s="5" t="s">
        <v>240</v>
      </c>
      <c r="U8" s="5" t="s">
        <v>301</v>
      </c>
    </row>
    <row r="9" spans="1:21" x14ac:dyDescent="0.25">
      <c r="B9" t="s">
        <v>197</v>
      </c>
      <c r="C9" t="s">
        <v>302</v>
      </c>
      <c r="D9" t="s">
        <v>98</v>
      </c>
      <c r="E9" t="s">
        <v>7</v>
      </c>
      <c r="F9" s="5"/>
      <c r="G9" s="7">
        <v>44946</v>
      </c>
      <c r="H9" t="s">
        <v>10</v>
      </c>
      <c r="I9">
        <v>14</v>
      </c>
      <c r="J9" s="5">
        <v>3435.77</v>
      </c>
      <c r="K9" s="13">
        <v>100</v>
      </c>
      <c r="L9" s="5">
        <v>3574.7400000000002</v>
      </c>
      <c r="M9" s="5">
        <v>2.4541214285714288</v>
      </c>
      <c r="N9" s="5">
        <v>2.5533857142857146</v>
      </c>
      <c r="O9" s="5">
        <v>138.97000000000025</v>
      </c>
      <c r="P9" s="3">
        <v>4.0447992735252979E-2</v>
      </c>
      <c r="Q9" s="9">
        <f t="shared" si="0"/>
        <v>17330.140000000007</v>
      </c>
      <c r="R9" s="5" t="str">
        <f>TEXT(Table1[[#This Row],[Closing Date]],"yyyy")</f>
        <v>2023</v>
      </c>
      <c r="S9" s="5" t="str">
        <f>TEXT(Table1[[#This Row],[Closing Date]],"mmmm")</f>
        <v>January</v>
      </c>
      <c r="T9" s="5" t="s">
        <v>240</v>
      </c>
      <c r="U9" s="5" t="s">
        <v>301</v>
      </c>
    </row>
    <row r="10" spans="1:21" x14ac:dyDescent="0.25">
      <c r="B10" t="s">
        <v>215</v>
      </c>
      <c r="C10" t="s">
        <v>304</v>
      </c>
      <c r="D10" t="s">
        <v>12</v>
      </c>
      <c r="E10" t="s">
        <v>7</v>
      </c>
      <c r="F10" s="5"/>
      <c r="G10" s="7">
        <v>44952</v>
      </c>
      <c r="H10" t="s">
        <v>82</v>
      </c>
      <c r="I10">
        <v>3</v>
      </c>
      <c r="J10" s="5">
        <v>608243.55000000005</v>
      </c>
      <c r="L10" s="5">
        <v>607218.15</v>
      </c>
      <c r="M10" s="5">
        <v>4054.9570000000003</v>
      </c>
      <c r="N10" s="5">
        <v>4048.1210000000005</v>
      </c>
      <c r="O10" s="5">
        <v>-1025.4000000000233</v>
      </c>
      <c r="P10" s="3">
        <v>-1.6858378522878997E-3</v>
      </c>
      <c r="Q10" s="9">
        <f t="shared" si="0"/>
        <v>16304.739999999983</v>
      </c>
      <c r="R10" s="5" t="str">
        <f>TEXT(Table1[[#This Row],[Closing Date]],"yyyy")</f>
        <v>2023</v>
      </c>
      <c r="S10" s="5" t="str">
        <f>TEXT(Table1[[#This Row],[Closing Date]],"mmmm")</f>
        <v>January</v>
      </c>
      <c r="T10" s="5" t="s">
        <v>240</v>
      </c>
      <c r="U10" s="5" t="s">
        <v>301</v>
      </c>
    </row>
    <row r="11" spans="1:21" x14ac:dyDescent="0.25">
      <c r="B11" t="s">
        <v>215</v>
      </c>
      <c r="C11" t="s">
        <v>304</v>
      </c>
      <c r="D11" t="s">
        <v>12</v>
      </c>
      <c r="E11" t="s">
        <v>5</v>
      </c>
      <c r="F11" s="5"/>
      <c r="G11" s="7">
        <v>44957</v>
      </c>
      <c r="H11" t="s">
        <v>184</v>
      </c>
      <c r="I11">
        <v>150</v>
      </c>
      <c r="J11" s="5">
        <v>3039531.25</v>
      </c>
      <c r="L11" s="5">
        <v>3041562.5</v>
      </c>
      <c r="M11" s="5">
        <v>4052.7083333333335</v>
      </c>
      <c r="N11" s="5">
        <v>4055.4166666666665</v>
      </c>
      <c r="O11" s="5">
        <v>2031.25</v>
      </c>
      <c r="P11" s="3">
        <v>6.6827738652128438E-4</v>
      </c>
      <c r="Q11" s="9">
        <f t="shared" si="0"/>
        <v>18335.989999999983</v>
      </c>
      <c r="R11" s="5" t="str">
        <f>TEXT(Table1[[#This Row],[Closing Date]],"yyyy")</f>
        <v>2023</v>
      </c>
      <c r="S11" s="5" t="str">
        <f>TEXT(Table1[[#This Row],[Closing Date]],"mmmm")</f>
        <v>January</v>
      </c>
      <c r="T11" s="5" t="s">
        <v>240</v>
      </c>
      <c r="U11" s="5" t="s">
        <v>301</v>
      </c>
    </row>
    <row r="12" spans="1:21" x14ac:dyDescent="0.25">
      <c r="B12" t="s">
        <v>215</v>
      </c>
      <c r="C12" t="s">
        <v>304</v>
      </c>
      <c r="D12" t="s">
        <v>12</v>
      </c>
      <c r="E12" t="s">
        <v>7</v>
      </c>
      <c r="F12" s="5"/>
      <c r="G12" s="7">
        <v>44966</v>
      </c>
      <c r="H12" t="s">
        <v>184</v>
      </c>
      <c r="I12">
        <v>40</v>
      </c>
      <c r="J12" s="5">
        <v>817000</v>
      </c>
      <c r="L12" s="5">
        <v>814877.9</v>
      </c>
      <c r="M12" s="5">
        <v>4085</v>
      </c>
      <c r="N12" s="5">
        <v>4074.3895000000002</v>
      </c>
      <c r="O12" s="5">
        <v>-2122.0999999999767</v>
      </c>
      <c r="P12" s="3">
        <v>-2.5974296205629804E-3</v>
      </c>
      <c r="Q12" s="9">
        <f t="shared" si="0"/>
        <v>16213.890000000007</v>
      </c>
      <c r="R12" s="5" t="str">
        <f>TEXT(Table1[[#This Row],[Closing Date]],"yyyy")</f>
        <v>2023</v>
      </c>
      <c r="S12" s="5" t="str">
        <f>TEXT(Table1[[#This Row],[Closing Date]],"mmmm")</f>
        <v>February</v>
      </c>
      <c r="T12" s="5" t="s">
        <v>240</v>
      </c>
      <c r="U12" s="5" t="s">
        <v>301</v>
      </c>
    </row>
    <row r="13" spans="1:21" x14ac:dyDescent="0.25">
      <c r="B13" t="s">
        <v>197</v>
      </c>
      <c r="C13" t="s">
        <v>302</v>
      </c>
      <c r="D13" t="s">
        <v>99</v>
      </c>
      <c r="E13" t="s">
        <v>7</v>
      </c>
      <c r="F13" s="5"/>
      <c r="G13" s="7">
        <v>44970</v>
      </c>
      <c r="H13" t="s">
        <v>100</v>
      </c>
      <c r="I13">
        <v>10</v>
      </c>
      <c r="J13" s="5">
        <v>1896.99</v>
      </c>
      <c r="K13" s="13">
        <v>100</v>
      </c>
      <c r="L13" s="5">
        <v>5420.01</v>
      </c>
      <c r="M13" s="5">
        <v>1.8969900000000002</v>
      </c>
      <c r="N13" s="5">
        <v>5.4200099999999996</v>
      </c>
      <c r="O13" s="5">
        <v>3523.0200000000004</v>
      </c>
      <c r="P13" s="3">
        <v>1.8571631901064312</v>
      </c>
      <c r="Q13" s="9">
        <f t="shared" si="0"/>
        <v>19736.910000000007</v>
      </c>
      <c r="R13" s="5" t="str">
        <f>TEXT(Table1[[#This Row],[Closing Date]],"yyyy")</f>
        <v>2023</v>
      </c>
      <c r="S13" s="5" t="str">
        <f>TEXT(Table1[[#This Row],[Closing Date]],"mmmm")</f>
        <v>February</v>
      </c>
      <c r="T13" s="5" t="s">
        <v>240</v>
      </c>
      <c r="U13" s="5" t="s">
        <v>301</v>
      </c>
    </row>
    <row r="14" spans="1:21" x14ac:dyDescent="0.25">
      <c r="B14" t="s">
        <v>215</v>
      </c>
      <c r="C14" t="s">
        <v>304</v>
      </c>
      <c r="D14" t="s">
        <v>12</v>
      </c>
      <c r="E14" t="s">
        <v>7</v>
      </c>
      <c r="F14" s="5"/>
      <c r="G14" s="7">
        <v>44973</v>
      </c>
      <c r="H14" t="s">
        <v>184</v>
      </c>
      <c r="I14">
        <v>40</v>
      </c>
      <c r="J14" s="5">
        <v>820424.8</v>
      </c>
      <c r="L14" s="5">
        <v>826775.2</v>
      </c>
      <c r="M14" s="5">
        <v>4102.1240000000007</v>
      </c>
      <c r="N14" s="5">
        <v>4133.8759999999993</v>
      </c>
      <c r="O14" s="5">
        <v>6350.3999999999069</v>
      </c>
      <c r="P14" s="3">
        <v>7.7403803493016256E-3</v>
      </c>
      <c r="Q14" s="9">
        <f t="shared" si="0"/>
        <v>26087.309999999914</v>
      </c>
      <c r="R14" s="5" t="str">
        <f>TEXT(Table1[[#This Row],[Closing Date]],"yyyy")</f>
        <v>2023</v>
      </c>
      <c r="S14" s="5" t="str">
        <f>TEXT(Table1[[#This Row],[Closing Date]],"mmmm")</f>
        <v>February</v>
      </c>
      <c r="T14" s="5" t="s">
        <v>240</v>
      </c>
      <c r="U14" s="5" t="s">
        <v>301</v>
      </c>
    </row>
    <row r="15" spans="1:21" x14ac:dyDescent="0.25">
      <c r="B15" t="s">
        <v>215</v>
      </c>
      <c r="C15" t="s">
        <v>304</v>
      </c>
      <c r="D15" t="s">
        <v>12</v>
      </c>
      <c r="E15" t="s">
        <v>7</v>
      </c>
      <c r="F15" s="5"/>
      <c r="G15" s="7">
        <v>44978</v>
      </c>
      <c r="H15" t="s">
        <v>82</v>
      </c>
      <c r="I15">
        <v>5</v>
      </c>
      <c r="J15" s="5">
        <v>1010000</v>
      </c>
      <c r="L15" s="5">
        <v>1008000</v>
      </c>
      <c r="M15" s="5">
        <v>4040</v>
      </c>
      <c r="N15" s="5">
        <v>4032</v>
      </c>
      <c r="O15" s="5">
        <v>-2000</v>
      </c>
      <c r="P15" s="3">
        <v>-1.9801980198019802E-3</v>
      </c>
      <c r="Q15" s="9">
        <f t="shared" si="0"/>
        <v>24087.309999999914</v>
      </c>
      <c r="R15" s="5" t="str">
        <f>TEXT(Table1[[#This Row],[Closing Date]],"yyyy")</f>
        <v>2023</v>
      </c>
      <c r="S15" s="5" t="str">
        <f>TEXT(Table1[[#This Row],[Closing Date]],"mmmm")</f>
        <v>February</v>
      </c>
      <c r="T15" s="5" t="s">
        <v>240</v>
      </c>
      <c r="U15" s="5" t="s">
        <v>301</v>
      </c>
    </row>
    <row r="16" spans="1:21" x14ac:dyDescent="0.25">
      <c r="B16" t="s">
        <v>215</v>
      </c>
      <c r="C16" t="s">
        <v>304</v>
      </c>
      <c r="D16" t="s">
        <v>12</v>
      </c>
      <c r="E16" t="s">
        <v>7</v>
      </c>
      <c r="F16" s="5"/>
      <c r="G16" s="7">
        <v>44978</v>
      </c>
      <c r="H16" t="s">
        <v>82</v>
      </c>
      <c r="I16">
        <v>5</v>
      </c>
      <c r="J16" s="5">
        <v>1001562.5</v>
      </c>
      <c r="L16" s="5">
        <v>1001643.5</v>
      </c>
      <c r="M16" s="5">
        <v>4006.25</v>
      </c>
      <c r="N16" s="5">
        <v>4006.5739999999996</v>
      </c>
      <c r="O16" s="5">
        <v>81</v>
      </c>
      <c r="P16" s="3">
        <v>8.087363494530156E-5</v>
      </c>
      <c r="Q16" s="9">
        <f t="shared" si="0"/>
        <v>24168.309999999914</v>
      </c>
      <c r="R16" s="5" t="str">
        <f>TEXT(Table1[[#This Row],[Closing Date]],"yyyy")</f>
        <v>2023</v>
      </c>
      <c r="S16" s="5" t="str">
        <f>TEXT(Table1[[#This Row],[Closing Date]],"mmmm")</f>
        <v>February</v>
      </c>
      <c r="T16" s="5" t="s">
        <v>240</v>
      </c>
      <c r="U16" s="5" t="s">
        <v>301</v>
      </c>
    </row>
    <row r="17" spans="2:21" x14ac:dyDescent="0.25">
      <c r="B17" t="s">
        <v>197</v>
      </c>
      <c r="C17" t="s">
        <v>302</v>
      </c>
      <c r="D17" t="s">
        <v>102</v>
      </c>
      <c r="E17" t="s">
        <v>7</v>
      </c>
      <c r="F17" s="5"/>
      <c r="G17" s="7">
        <v>44979</v>
      </c>
      <c r="H17" t="s">
        <v>101</v>
      </c>
      <c r="I17">
        <v>75</v>
      </c>
      <c r="J17" s="5">
        <v>3616.61</v>
      </c>
      <c r="K17" s="13">
        <v>100</v>
      </c>
      <c r="L17" s="5">
        <v>3534.1099999999997</v>
      </c>
      <c r="M17" s="5">
        <v>0.48221466666666674</v>
      </c>
      <c r="N17" s="5">
        <v>0.47121466666666662</v>
      </c>
      <c r="O17" s="5">
        <v>-82.500000000000455</v>
      </c>
      <c r="P17" s="3">
        <v>-2.2811417321746304E-2</v>
      </c>
      <c r="Q17" s="9">
        <f t="shared" si="0"/>
        <v>24085.809999999914</v>
      </c>
      <c r="R17" s="5" t="str">
        <f>TEXT(Table1[[#This Row],[Closing Date]],"yyyy")</f>
        <v>2023</v>
      </c>
      <c r="S17" s="5" t="str">
        <f>TEXT(Table1[[#This Row],[Closing Date]],"mmmm")</f>
        <v>February</v>
      </c>
      <c r="T17" s="5" t="s">
        <v>240</v>
      </c>
      <c r="U17" s="5" t="s">
        <v>301</v>
      </c>
    </row>
    <row r="18" spans="2:21" x14ac:dyDescent="0.25">
      <c r="B18" t="s">
        <v>215</v>
      </c>
      <c r="C18" t="s">
        <v>304</v>
      </c>
      <c r="D18" t="s">
        <v>12</v>
      </c>
      <c r="E18" t="s">
        <v>7</v>
      </c>
      <c r="F18" s="5"/>
      <c r="G18" s="7">
        <v>44979</v>
      </c>
      <c r="H18" t="s">
        <v>82</v>
      </c>
      <c r="I18">
        <v>4</v>
      </c>
      <c r="J18" s="5">
        <v>799117.6</v>
      </c>
      <c r="L18" s="5">
        <v>802350</v>
      </c>
      <c r="M18" s="5">
        <v>3995.5879999999997</v>
      </c>
      <c r="N18" s="5">
        <v>4011.75</v>
      </c>
      <c r="O18" s="5">
        <v>3232.4000000000233</v>
      </c>
      <c r="P18" s="3">
        <v>4.0449615926367441E-3</v>
      </c>
      <c r="Q18" s="9">
        <f t="shared" si="0"/>
        <v>27318.209999999937</v>
      </c>
      <c r="R18" s="5" t="str">
        <f>TEXT(Table1[[#This Row],[Closing Date]],"yyyy")</f>
        <v>2023</v>
      </c>
      <c r="S18" s="5" t="str">
        <f>TEXT(Table1[[#This Row],[Closing Date]],"mmmm")</f>
        <v>February</v>
      </c>
      <c r="T18" s="5" t="s">
        <v>240</v>
      </c>
      <c r="U18" s="5" t="s">
        <v>301</v>
      </c>
    </row>
    <row r="19" spans="2:21" x14ac:dyDescent="0.25">
      <c r="B19" t="s">
        <v>215</v>
      </c>
      <c r="C19" t="s">
        <v>304</v>
      </c>
      <c r="D19" t="s">
        <v>12</v>
      </c>
      <c r="E19" t="s">
        <v>7</v>
      </c>
      <c r="F19" s="5"/>
      <c r="G19" s="7">
        <v>44980</v>
      </c>
      <c r="H19" t="s">
        <v>82</v>
      </c>
      <c r="I19">
        <v>8</v>
      </c>
      <c r="J19" s="5">
        <v>1598000</v>
      </c>
      <c r="L19" s="5">
        <v>1595964.8</v>
      </c>
      <c r="M19" s="5">
        <v>3995</v>
      </c>
      <c r="N19" s="5">
        <v>3989.9120000000003</v>
      </c>
      <c r="O19" s="5">
        <v>-2035.1999999999534</v>
      </c>
      <c r="P19" s="3">
        <v>-1.2735919899874188E-3</v>
      </c>
      <c r="Q19" s="9">
        <f t="shared" si="0"/>
        <v>25283.009999999984</v>
      </c>
      <c r="R19" s="5" t="str">
        <f>TEXT(Table1[[#This Row],[Closing Date]],"yyyy")</f>
        <v>2023</v>
      </c>
      <c r="S19" s="5" t="str">
        <f>TEXT(Table1[[#This Row],[Closing Date]],"mmmm")</f>
        <v>February</v>
      </c>
      <c r="T19" s="5" t="s">
        <v>240</v>
      </c>
      <c r="U19" s="5" t="s">
        <v>301</v>
      </c>
    </row>
    <row r="20" spans="2:21" x14ac:dyDescent="0.25">
      <c r="B20" t="s">
        <v>215</v>
      </c>
      <c r="C20" t="s">
        <v>304</v>
      </c>
      <c r="D20" t="s">
        <v>12</v>
      </c>
      <c r="E20" t="s">
        <v>7</v>
      </c>
      <c r="F20" s="5"/>
      <c r="G20" s="7">
        <v>44981</v>
      </c>
      <c r="H20" t="s">
        <v>82</v>
      </c>
      <c r="I20">
        <v>8</v>
      </c>
      <c r="J20" s="5">
        <v>1584900</v>
      </c>
      <c r="L20" s="5">
        <v>1582464.8</v>
      </c>
      <c r="M20" s="5">
        <v>3962.25</v>
      </c>
      <c r="N20" s="5">
        <v>3956.1620000000003</v>
      </c>
      <c r="O20" s="5">
        <v>-2435.1999999999534</v>
      </c>
      <c r="P20" s="3">
        <v>-1.5365007255977634E-3</v>
      </c>
      <c r="Q20" s="9">
        <f t="shared" si="0"/>
        <v>22847.81000000003</v>
      </c>
      <c r="R20" s="5" t="str">
        <f>TEXT(Table1[[#This Row],[Closing Date]],"yyyy")</f>
        <v>2023</v>
      </c>
      <c r="S20" s="5" t="str">
        <f>TEXT(Table1[[#This Row],[Closing Date]],"mmmm")</f>
        <v>February</v>
      </c>
      <c r="T20" s="5" t="s">
        <v>240</v>
      </c>
      <c r="U20" s="5" t="s">
        <v>301</v>
      </c>
    </row>
    <row r="21" spans="2:21" x14ac:dyDescent="0.25">
      <c r="B21" t="s">
        <v>215</v>
      </c>
      <c r="C21" t="s">
        <v>304</v>
      </c>
      <c r="D21" t="s">
        <v>12</v>
      </c>
      <c r="E21" t="s">
        <v>5</v>
      </c>
      <c r="F21" s="5"/>
      <c r="G21" s="7">
        <v>44981</v>
      </c>
      <c r="H21" t="s">
        <v>82</v>
      </c>
      <c r="I21">
        <v>4</v>
      </c>
      <c r="J21" s="5">
        <v>795693.3</v>
      </c>
      <c r="L21" s="5">
        <v>793991.2</v>
      </c>
      <c r="M21" s="5">
        <v>3978.4665000000005</v>
      </c>
      <c r="N21" s="5">
        <v>3969.9559999999997</v>
      </c>
      <c r="O21" s="5">
        <v>-1702.1000000000931</v>
      </c>
      <c r="P21" s="3">
        <v>-2.1391407970887209E-3</v>
      </c>
      <c r="Q21" s="9">
        <f t="shared" si="0"/>
        <v>21145.709999999937</v>
      </c>
      <c r="R21" s="5" t="str">
        <f>TEXT(Table1[[#This Row],[Closing Date]],"yyyy")</f>
        <v>2023</v>
      </c>
      <c r="S21" s="5" t="str">
        <f>TEXT(Table1[[#This Row],[Closing Date]],"mmmm")</f>
        <v>February</v>
      </c>
      <c r="T21" s="5" t="s">
        <v>240</v>
      </c>
      <c r="U21" s="5" t="s">
        <v>301</v>
      </c>
    </row>
    <row r="22" spans="2:21" x14ac:dyDescent="0.25">
      <c r="B22" t="s">
        <v>215</v>
      </c>
      <c r="C22" t="s">
        <v>304</v>
      </c>
      <c r="D22" t="s">
        <v>12</v>
      </c>
      <c r="E22" t="s">
        <v>7</v>
      </c>
      <c r="F22" s="5"/>
      <c r="G22" s="7">
        <v>44981</v>
      </c>
      <c r="H22" t="s">
        <v>82</v>
      </c>
      <c r="I22">
        <v>10</v>
      </c>
      <c r="J22" s="5">
        <v>1974647</v>
      </c>
      <c r="L22" s="5">
        <v>1979603</v>
      </c>
      <c r="M22" s="5">
        <v>3949.2940000000003</v>
      </c>
      <c r="N22" s="5">
        <v>3959.2059999999997</v>
      </c>
      <c r="O22" s="5">
        <v>4956</v>
      </c>
      <c r="P22" s="3">
        <v>2.5098156784476799E-3</v>
      </c>
      <c r="Q22" s="9">
        <f t="shared" si="0"/>
        <v>26101.709999999937</v>
      </c>
      <c r="R22" s="5" t="str">
        <f>TEXT(Table1[[#This Row],[Closing Date]],"yyyy")</f>
        <v>2023</v>
      </c>
      <c r="S22" s="5" t="str">
        <f>TEXT(Table1[[#This Row],[Closing Date]],"mmmm")</f>
        <v>February</v>
      </c>
      <c r="T22" s="5" t="s">
        <v>240</v>
      </c>
      <c r="U22" s="5" t="s">
        <v>301</v>
      </c>
    </row>
    <row r="23" spans="2:21" x14ac:dyDescent="0.25">
      <c r="B23" t="s">
        <v>215</v>
      </c>
      <c r="C23" t="s">
        <v>304</v>
      </c>
      <c r="D23" t="s">
        <v>12</v>
      </c>
      <c r="E23" t="s">
        <v>5</v>
      </c>
      <c r="F23" s="5"/>
      <c r="G23" s="7">
        <v>44984</v>
      </c>
      <c r="H23" t="s">
        <v>82</v>
      </c>
      <c r="I23">
        <v>4</v>
      </c>
      <c r="J23" s="5">
        <v>804908.8</v>
      </c>
      <c r="L23" s="5">
        <v>802891.2</v>
      </c>
      <c r="M23" s="5">
        <v>4024.5440000000003</v>
      </c>
      <c r="N23" s="5">
        <v>4014.4559999999997</v>
      </c>
      <c r="O23" s="5">
        <v>-2017.6000000000931</v>
      </c>
      <c r="P23" s="3">
        <v>-2.5066193834632315E-3</v>
      </c>
      <c r="Q23" s="9">
        <f t="shared" si="0"/>
        <v>24084.109999999844</v>
      </c>
      <c r="R23" s="5" t="str">
        <f>TEXT(Table1[[#This Row],[Closing Date]],"yyyy")</f>
        <v>2023</v>
      </c>
      <c r="S23" s="5" t="str">
        <f>TEXT(Table1[[#This Row],[Closing Date]],"mmmm")</f>
        <v>February</v>
      </c>
      <c r="T23" s="5" t="s">
        <v>240</v>
      </c>
      <c r="U23" s="5" t="s">
        <v>301</v>
      </c>
    </row>
    <row r="24" spans="2:21" x14ac:dyDescent="0.25">
      <c r="B24" t="s">
        <v>215</v>
      </c>
      <c r="C24" t="s">
        <v>304</v>
      </c>
      <c r="D24" t="s">
        <v>12</v>
      </c>
      <c r="E24" t="s">
        <v>5</v>
      </c>
      <c r="F24" s="5"/>
      <c r="G24" s="7">
        <v>44984</v>
      </c>
      <c r="H24" t="s">
        <v>82</v>
      </c>
      <c r="I24">
        <v>3</v>
      </c>
      <c r="J24" s="5">
        <v>600531.6</v>
      </c>
      <c r="L24" s="5">
        <v>600180.9</v>
      </c>
      <c r="M24" s="5">
        <v>4003.5439999999999</v>
      </c>
      <c r="N24" s="5">
        <v>4001.2060000000001</v>
      </c>
      <c r="O24" s="5">
        <v>-350.69999999995343</v>
      </c>
      <c r="P24" s="3">
        <v>-5.8398259142393297E-4</v>
      </c>
      <c r="Q24" s="9">
        <f t="shared" si="0"/>
        <v>23733.409999999891</v>
      </c>
      <c r="R24" s="5" t="str">
        <f>TEXT(Table1[[#This Row],[Closing Date]],"yyyy")</f>
        <v>2023</v>
      </c>
      <c r="S24" s="5" t="str">
        <f>TEXT(Table1[[#This Row],[Closing Date]],"mmmm")</f>
        <v>February</v>
      </c>
      <c r="T24" s="5" t="s">
        <v>240</v>
      </c>
      <c r="U24" s="5" t="s">
        <v>301</v>
      </c>
    </row>
    <row r="25" spans="2:21" x14ac:dyDescent="0.25">
      <c r="B25" t="s">
        <v>215</v>
      </c>
      <c r="C25" t="s">
        <v>304</v>
      </c>
      <c r="D25" t="s">
        <v>12</v>
      </c>
      <c r="E25" t="s">
        <v>5</v>
      </c>
      <c r="F25" s="5"/>
      <c r="G25" s="7">
        <v>44984</v>
      </c>
      <c r="H25" t="s">
        <v>82</v>
      </c>
      <c r="I25">
        <v>10</v>
      </c>
      <c r="J25" s="5">
        <v>1999022</v>
      </c>
      <c r="L25" s="5">
        <v>2011353</v>
      </c>
      <c r="M25" s="5">
        <v>3998.0440000000003</v>
      </c>
      <c r="N25" s="5">
        <v>4022.7059999999997</v>
      </c>
      <c r="O25" s="5">
        <v>12331</v>
      </c>
      <c r="P25" s="3">
        <v>6.1685164045216486E-3</v>
      </c>
      <c r="Q25" s="9">
        <f t="shared" si="0"/>
        <v>36064.409999999887</v>
      </c>
      <c r="R25" s="5" t="str">
        <f>TEXT(Table1[[#This Row],[Closing Date]],"yyyy")</f>
        <v>2023</v>
      </c>
      <c r="S25" s="5" t="str">
        <f>TEXT(Table1[[#This Row],[Closing Date]],"mmmm")</f>
        <v>February</v>
      </c>
      <c r="T25" s="5" t="s">
        <v>240</v>
      </c>
      <c r="U25" s="5" t="s">
        <v>301</v>
      </c>
    </row>
    <row r="26" spans="2:21" x14ac:dyDescent="0.25">
      <c r="B26" t="s">
        <v>215</v>
      </c>
      <c r="C26" t="s">
        <v>304</v>
      </c>
      <c r="D26" t="s">
        <v>12</v>
      </c>
      <c r="E26" t="s">
        <v>5</v>
      </c>
      <c r="F26" s="5"/>
      <c r="G26" s="7">
        <v>44985</v>
      </c>
      <c r="H26" t="s">
        <v>82</v>
      </c>
      <c r="I26">
        <v>4</v>
      </c>
      <c r="J26" s="5">
        <v>798108.8</v>
      </c>
      <c r="L26" s="5">
        <v>799491.2</v>
      </c>
      <c r="M26" s="5">
        <v>3990.5440000000003</v>
      </c>
      <c r="N26" s="5">
        <v>3997.4559999999997</v>
      </c>
      <c r="O26" s="5">
        <v>1382.3999999999069</v>
      </c>
      <c r="P26" s="3">
        <v>1.7320946718039827E-3</v>
      </c>
      <c r="Q26" s="9">
        <f t="shared" si="0"/>
        <v>37446.809999999794</v>
      </c>
      <c r="R26" s="5" t="str">
        <f>TEXT(Table1[[#This Row],[Closing Date]],"yyyy")</f>
        <v>2023</v>
      </c>
      <c r="S26" s="5" t="str">
        <f>TEXT(Table1[[#This Row],[Closing Date]],"mmmm")</f>
        <v>February</v>
      </c>
      <c r="T26" s="5" t="s">
        <v>240</v>
      </c>
      <c r="U26" s="5" t="s">
        <v>301</v>
      </c>
    </row>
    <row r="27" spans="2:21" x14ac:dyDescent="0.25">
      <c r="B27" t="s">
        <v>215</v>
      </c>
      <c r="C27" t="s">
        <v>304</v>
      </c>
      <c r="D27" t="s">
        <v>12</v>
      </c>
      <c r="E27" t="s">
        <v>7</v>
      </c>
      <c r="F27" s="5"/>
      <c r="G27" s="7">
        <v>44986</v>
      </c>
      <c r="H27" t="s">
        <v>184</v>
      </c>
      <c r="I27">
        <v>100</v>
      </c>
      <c r="J27" s="5">
        <v>1976562</v>
      </c>
      <c r="L27" s="5">
        <v>1980438</v>
      </c>
      <c r="M27" s="5">
        <v>3953.1240000000003</v>
      </c>
      <c r="N27" s="5">
        <v>3960.8759999999997</v>
      </c>
      <c r="O27" s="5">
        <v>3876</v>
      </c>
      <c r="P27" s="3">
        <v>1.9609807332123903E-3</v>
      </c>
      <c r="Q27" s="9">
        <f t="shared" si="0"/>
        <v>41322.809999999794</v>
      </c>
      <c r="R27" s="5" t="str">
        <f>TEXT(Table1[[#This Row],[Closing Date]],"yyyy")</f>
        <v>2023</v>
      </c>
      <c r="S27" s="5" t="str">
        <f>TEXT(Table1[[#This Row],[Closing Date]],"mmmm")</f>
        <v>March</v>
      </c>
      <c r="T27" s="5" t="s">
        <v>240</v>
      </c>
      <c r="U27" s="5" t="s">
        <v>301</v>
      </c>
    </row>
    <row r="28" spans="2:21" x14ac:dyDescent="0.25">
      <c r="B28" t="s">
        <v>215</v>
      </c>
      <c r="C28" t="s">
        <v>304</v>
      </c>
      <c r="D28" t="s">
        <v>12</v>
      </c>
      <c r="E28" t="s">
        <v>7</v>
      </c>
      <c r="F28" s="5"/>
      <c r="G28" s="7">
        <v>44986</v>
      </c>
      <c r="H28" t="s">
        <v>184</v>
      </c>
      <c r="I28">
        <v>133</v>
      </c>
      <c r="J28" s="5">
        <v>2623507.46</v>
      </c>
      <c r="L28" s="5">
        <v>2641962.54</v>
      </c>
      <c r="M28" s="5">
        <v>3945.1239999999998</v>
      </c>
      <c r="N28" s="5">
        <v>3972.8760000000002</v>
      </c>
      <c r="O28" s="5">
        <v>18455.080000000075</v>
      </c>
      <c r="P28" s="3">
        <v>7.0345063932085302E-3</v>
      </c>
      <c r="Q28" s="9">
        <f t="shared" si="0"/>
        <v>59777.889999999868</v>
      </c>
      <c r="R28" s="5" t="str">
        <f>TEXT(Table1[[#This Row],[Closing Date]],"yyyy")</f>
        <v>2023</v>
      </c>
      <c r="S28" s="5" t="str">
        <f>TEXT(Table1[[#This Row],[Closing Date]],"mmmm")</f>
        <v>March</v>
      </c>
      <c r="T28" s="5" t="s">
        <v>240</v>
      </c>
      <c r="U28" s="5" t="s">
        <v>301</v>
      </c>
    </row>
    <row r="29" spans="2:21" x14ac:dyDescent="0.25">
      <c r="B29" t="s">
        <v>215</v>
      </c>
      <c r="C29" t="s">
        <v>304</v>
      </c>
      <c r="D29" t="s">
        <v>12</v>
      </c>
      <c r="E29" t="s">
        <v>5</v>
      </c>
      <c r="F29" s="5"/>
      <c r="G29" s="7">
        <v>44987</v>
      </c>
      <c r="H29" t="s">
        <v>82</v>
      </c>
      <c r="I29">
        <v>15</v>
      </c>
      <c r="J29" s="5">
        <v>2982033</v>
      </c>
      <c r="L29" s="5">
        <v>2975967</v>
      </c>
      <c r="M29" s="5">
        <v>3976.0440000000003</v>
      </c>
      <c r="N29" s="5">
        <v>3967.9559999999997</v>
      </c>
      <c r="O29" s="5">
        <v>-6066</v>
      </c>
      <c r="P29" s="3">
        <v>-2.034182720312111E-3</v>
      </c>
      <c r="Q29" s="9">
        <f t="shared" si="0"/>
        <v>53711.889999999868</v>
      </c>
      <c r="R29" s="5" t="str">
        <f>TEXT(Table1[[#This Row],[Closing Date]],"yyyy")</f>
        <v>2023</v>
      </c>
      <c r="S29" s="5" t="str">
        <f>TEXT(Table1[[#This Row],[Closing Date]],"mmmm")</f>
        <v>March</v>
      </c>
      <c r="T29" s="5" t="s">
        <v>240</v>
      </c>
      <c r="U29" s="5" t="s">
        <v>301</v>
      </c>
    </row>
    <row r="30" spans="2:21" x14ac:dyDescent="0.25">
      <c r="B30" t="s">
        <v>215</v>
      </c>
      <c r="C30" t="s">
        <v>304</v>
      </c>
      <c r="D30" t="s">
        <v>12</v>
      </c>
      <c r="E30" t="s">
        <v>5</v>
      </c>
      <c r="F30" s="5"/>
      <c r="G30" s="7">
        <v>44987</v>
      </c>
      <c r="H30" t="s">
        <v>82</v>
      </c>
      <c r="I30">
        <v>12</v>
      </c>
      <c r="J30" s="5">
        <v>2394626.4</v>
      </c>
      <c r="L30" s="5">
        <v>2388723.6</v>
      </c>
      <c r="M30" s="5">
        <v>3991.0439999999999</v>
      </c>
      <c r="N30" s="5">
        <v>3981.2060000000001</v>
      </c>
      <c r="O30" s="5">
        <v>-5902.7999999998137</v>
      </c>
      <c r="P30" s="3">
        <v>-2.4650191779393409E-3</v>
      </c>
      <c r="Q30" s="9">
        <f t="shared" si="0"/>
        <v>47809.090000000055</v>
      </c>
      <c r="R30" s="5" t="str">
        <f>TEXT(Table1[[#This Row],[Closing Date]],"yyyy")</f>
        <v>2023</v>
      </c>
      <c r="S30" s="5" t="str">
        <f>TEXT(Table1[[#This Row],[Closing Date]],"mmmm")</f>
        <v>March</v>
      </c>
      <c r="T30" s="5" t="s">
        <v>240</v>
      </c>
      <c r="U30" s="5" t="s">
        <v>301</v>
      </c>
    </row>
    <row r="31" spans="2:21" x14ac:dyDescent="0.25">
      <c r="B31" t="s">
        <v>215</v>
      </c>
      <c r="C31" t="s">
        <v>304</v>
      </c>
      <c r="D31" t="s">
        <v>12</v>
      </c>
      <c r="E31" t="s">
        <v>5</v>
      </c>
      <c r="F31" s="5"/>
      <c r="G31" s="7">
        <v>44988</v>
      </c>
      <c r="H31" t="s">
        <v>82</v>
      </c>
      <c r="I31">
        <v>25</v>
      </c>
      <c r="J31" s="5">
        <v>5020055</v>
      </c>
      <c r="L31" s="5">
        <v>5015945</v>
      </c>
      <c r="M31" s="5">
        <v>4016.0440000000003</v>
      </c>
      <c r="N31" s="5">
        <v>4012.7559999999999</v>
      </c>
      <c r="O31" s="5">
        <v>-4110</v>
      </c>
      <c r="P31" s="3">
        <v>-8.1871612960427364E-4</v>
      </c>
      <c r="Q31" s="9">
        <f t="shared" si="0"/>
        <v>43699.090000000055</v>
      </c>
      <c r="R31" s="5" t="str">
        <f>TEXT(Table1[[#This Row],[Closing Date]],"yyyy")</f>
        <v>2023</v>
      </c>
      <c r="S31" s="5" t="str">
        <f>TEXT(Table1[[#This Row],[Closing Date]],"mmmm")</f>
        <v>March</v>
      </c>
      <c r="T31" s="5" t="s">
        <v>240</v>
      </c>
      <c r="U31" s="5" t="s">
        <v>301</v>
      </c>
    </row>
    <row r="32" spans="2:21" x14ac:dyDescent="0.25">
      <c r="B32" t="s">
        <v>215</v>
      </c>
      <c r="C32" t="s">
        <v>304</v>
      </c>
      <c r="D32" t="s">
        <v>12</v>
      </c>
      <c r="E32" t="s">
        <v>5</v>
      </c>
      <c r="F32" s="5"/>
      <c r="G32" s="7">
        <v>44988</v>
      </c>
      <c r="H32" t="s">
        <v>82</v>
      </c>
      <c r="I32">
        <v>10</v>
      </c>
      <c r="J32" s="5">
        <v>2000772</v>
      </c>
      <c r="L32" s="5">
        <v>1996728</v>
      </c>
      <c r="M32" s="5">
        <v>4001.5440000000003</v>
      </c>
      <c r="N32" s="5">
        <v>3993.4559999999997</v>
      </c>
      <c r="O32" s="5">
        <v>-4044</v>
      </c>
      <c r="P32" s="3">
        <v>-2.0212198091538285E-3</v>
      </c>
      <c r="Q32" s="9">
        <f t="shared" si="0"/>
        <v>39655.090000000055</v>
      </c>
      <c r="R32" s="5" t="str">
        <f>TEXT(Table1[[#This Row],[Closing Date]],"yyyy")</f>
        <v>2023</v>
      </c>
      <c r="S32" s="5" t="str">
        <f>TEXT(Table1[[#This Row],[Closing Date]],"mmmm")</f>
        <v>March</v>
      </c>
      <c r="T32" s="5" t="s">
        <v>240</v>
      </c>
      <c r="U32" s="5" t="s">
        <v>301</v>
      </c>
    </row>
    <row r="33" spans="2:21" x14ac:dyDescent="0.25">
      <c r="B33" t="s">
        <v>215</v>
      </c>
      <c r="C33" t="s">
        <v>304</v>
      </c>
      <c r="D33" t="s">
        <v>12</v>
      </c>
      <c r="E33" t="s">
        <v>5</v>
      </c>
      <c r="F33" s="5"/>
      <c r="G33" s="7">
        <v>44988</v>
      </c>
      <c r="H33" t="s">
        <v>82</v>
      </c>
      <c r="I33">
        <v>8</v>
      </c>
      <c r="J33" s="5">
        <v>1599317.6</v>
      </c>
      <c r="L33" s="5">
        <v>1595282.4</v>
      </c>
      <c r="M33" s="5">
        <v>3998.2940000000003</v>
      </c>
      <c r="N33" s="5">
        <v>3988.2059999999997</v>
      </c>
      <c r="O33" s="5">
        <v>-4035.2000000001863</v>
      </c>
      <c r="P33" s="3">
        <v>-2.5230760919533798E-3</v>
      </c>
      <c r="Q33" s="9">
        <f t="shared" si="0"/>
        <v>35619.889999999868</v>
      </c>
      <c r="R33" s="5" t="str">
        <f>TEXT(Table1[[#This Row],[Closing Date]],"yyyy")</f>
        <v>2023</v>
      </c>
      <c r="S33" s="5" t="str">
        <f>TEXT(Table1[[#This Row],[Closing Date]],"mmmm")</f>
        <v>March</v>
      </c>
      <c r="T33" s="5" t="s">
        <v>240</v>
      </c>
      <c r="U33" s="5" t="s">
        <v>301</v>
      </c>
    </row>
    <row r="34" spans="2:21" x14ac:dyDescent="0.25">
      <c r="B34" t="s">
        <v>215</v>
      </c>
      <c r="C34" t="s">
        <v>304</v>
      </c>
      <c r="D34" t="s">
        <v>12</v>
      </c>
      <c r="E34" t="s">
        <v>5</v>
      </c>
      <c r="F34" s="5"/>
      <c r="G34" s="7">
        <v>44991</v>
      </c>
      <c r="H34" t="s">
        <v>82</v>
      </c>
      <c r="I34">
        <v>10</v>
      </c>
      <c r="J34" s="5">
        <v>2035897</v>
      </c>
      <c r="L34" s="5">
        <v>2031978</v>
      </c>
      <c r="M34" s="5">
        <v>4071.7940000000003</v>
      </c>
      <c r="N34" s="5">
        <v>4063.9559999999997</v>
      </c>
      <c r="O34" s="5">
        <v>-3919</v>
      </c>
      <c r="P34" s="3">
        <v>-1.9249500343093602E-3</v>
      </c>
      <c r="Q34" s="9">
        <f t="shared" si="0"/>
        <v>31700.889999999868</v>
      </c>
      <c r="R34" s="5" t="str">
        <f>TEXT(Table1[[#This Row],[Closing Date]],"yyyy")</f>
        <v>2023</v>
      </c>
      <c r="S34" s="5" t="str">
        <f>TEXT(Table1[[#This Row],[Closing Date]],"mmmm")</f>
        <v>March</v>
      </c>
      <c r="T34" s="5" t="s">
        <v>240</v>
      </c>
      <c r="U34" s="5" t="s">
        <v>301</v>
      </c>
    </row>
    <row r="35" spans="2:21" x14ac:dyDescent="0.25">
      <c r="B35" t="s">
        <v>215</v>
      </c>
      <c r="C35" t="s">
        <v>304</v>
      </c>
      <c r="D35" t="s">
        <v>12</v>
      </c>
      <c r="E35" t="s">
        <v>7</v>
      </c>
      <c r="F35" s="5"/>
      <c r="G35" s="7">
        <v>44992</v>
      </c>
      <c r="H35" t="s">
        <v>82</v>
      </c>
      <c r="I35">
        <v>8</v>
      </c>
      <c r="J35" s="5">
        <v>1620017.6</v>
      </c>
      <c r="L35" s="5">
        <v>1617782.4</v>
      </c>
      <c r="M35" s="5">
        <v>4050.0440000000003</v>
      </c>
      <c r="N35" s="5">
        <v>4044.4559999999997</v>
      </c>
      <c r="O35" s="5">
        <v>-2235.2000000001863</v>
      </c>
      <c r="P35" s="3">
        <v>-1.3797380966726897E-3</v>
      </c>
      <c r="Q35" s="9">
        <f t="shared" si="0"/>
        <v>29465.689999999682</v>
      </c>
      <c r="R35" s="5" t="str">
        <f>TEXT(Table1[[#This Row],[Closing Date]],"yyyy")</f>
        <v>2023</v>
      </c>
      <c r="S35" s="5" t="str">
        <f>TEXT(Table1[[#This Row],[Closing Date]],"mmmm")</f>
        <v>March</v>
      </c>
      <c r="T35" s="5" t="s">
        <v>240</v>
      </c>
      <c r="U35" s="5" t="s">
        <v>301</v>
      </c>
    </row>
    <row r="36" spans="2:21" x14ac:dyDescent="0.25">
      <c r="B36" t="s">
        <v>215</v>
      </c>
      <c r="C36" t="s">
        <v>304</v>
      </c>
      <c r="D36" t="s">
        <v>12</v>
      </c>
      <c r="E36" t="s">
        <v>7</v>
      </c>
      <c r="F36" s="5"/>
      <c r="G36" s="7">
        <v>44992</v>
      </c>
      <c r="H36" t="s">
        <v>82</v>
      </c>
      <c r="I36">
        <v>4</v>
      </c>
      <c r="J36" s="5">
        <v>800558.8</v>
      </c>
      <c r="L36" s="5">
        <v>798691.2</v>
      </c>
      <c r="M36" s="5">
        <v>4002.7940000000003</v>
      </c>
      <c r="N36" s="5">
        <v>3993.4559999999997</v>
      </c>
      <c r="O36" s="5">
        <v>-1867.6000000000931</v>
      </c>
      <c r="P36" s="3">
        <v>-2.3328704899629226E-3</v>
      </c>
      <c r="Q36" s="9">
        <f t="shared" si="0"/>
        <v>27598.089999999589</v>
      </c>
      <c r="R36" s="5" t="str">
        <f>TEXT(Table1[[#This Row],[Closing Date]],"yyyy")</f>
        <v>2023</v>
      </c>
      <c r="S36" s="5" t="str">
        <f>TEXT(Table1[[#This Row],[Closing Date]],"mmmm")</f>
        <v>March</v>
      </c>
      <c r="T36" s="5" t="s">
        <v>240</v>
      </c>
      <c r="U36" s="5" t="s">
        <v>301</v>
      </c>
    </row>
    <row r="37" spans="2:21" x14ac:dyDescent="0.25">
      <c r="B37" t="s">
        <v>215</v>
      </c>
      <c r="C37" t="s">
        <v>304</v>
      </c>
      <c r="D37" t="s">
        <v>12</v>
      </c>
      <c r="E37" t="s">
        <v>5</v>
      </c>
      <c r="F37" s="5"/>
      <c r="G37" s="7">
        <v>44992</v>
      </c>
      <c r="H37" t="s">
        <v>82</v>
      </c>
      <c r="I37">
        <v>8</v>
      </c>
      <c r="J37" s="5">
        <v>1598617.6000000001</v>
      </c>
      <c r="L37" s="5">
        <v>1597982.4</v>
      </c>
      <c r="M37" s="5">
        <v>3996.5440000000003</v>
      </c>
      <c r="N37" s="5">
        <v>3994.9559999999997</v>
      </c>
      <c r="O37" s="5">
        <v>-635.20000000018626</v>
      </c>
      <c r="P37" s="3">
        <v>-3.9734330461534953E-4</v>
      </c>
      <c r="Q37" s="9">
        <f t="shared" si="0"/>
        <v>26962.889999999403</v>
      </c>
      <c r="R37" s="5" t="str">
        <f>TEXT(Table1[[#This Row],[Closing Date]],"yyyy")</f>
        <v>2023</v>
      </c>
      <c r="S37" s="5" t="str">
        <f>TEXT(Table1[[#This Row],[Closing Date]],"mmmm")</f>
        <v>March</v>
      </c>
      <c r="T37" s="5" t="s">
        <v>240</v>
      </c>
      <c r="U37" s="5" t="s">
        <v>301</v>
      </c>
    </row>
    <row r="38" spans="2:21" x14ac:dyDescent="0.25">
      <c r="B38" t="s">
        <v>197</v>
      </c>
      <c r="C38" t="s">
        <v>302</v>
      </c>
      <c r="D38" t="s">
        <v>99</v>
      </c>
      <c r="E38" t="s">
        <v>7</v>
      </c>
      <c r="F38" s="5"/>
      <c r="G38" s="7">
        <v>44993</v>
      </c>
      <c r="H38" t="s">
        <v>103</v>
      </c>
      <c r="I38">
        <v>60</v>
      </c>
      <c r="J38" s="5">
        <v>6391.94</v>
      </c>
      <c r="K38" s="13">
        <v>100</v>
      </c>
      <c r="L38" s="5">
        <v>3302.88</v>
      </c>
      <c r="M38" s="5">
        <v>1.0653233333333332</v>
      </c>
      <c r="N38" s="5">
        <v>0.55047999999999997</v>
      </c>
      <c r="O38" s="5">
        <v>-3089.0599999999995</v>
      </c>
      <c r="P38" s="3">
        <v>-0.48327424850671308</v>
      </c>
      <c r="Q38" s="9">
        <f t="shared" si="0"/>
        <v>23873.829999999405</v>
      </c>
      <c r="R38" s="5" t="str">
        <f>TEXT(Table1[[#This Row],[Closing Date]],"yyyy")</f>
        <v>2023</v>
      </c>
      <c r="S38" s="5" t="str">
        <f>TEXT(Table1[[#This Row],[Closing Date]],"mmmm")</f>
        <v>March</v>
      </c>
      <c r="T38" s="5" t="s">
        <v>240</v>
      </c>
      <c r="U38" s="5" t="s">
        <v>301</v>
      </c>
    </row>
    <row r="39" spans="2:21" x14ac:dyDescent="0.25">
      <c r="B39" t="s">
        <v>215</v>
      </c>
      <c r="C39" t="s">
        <v>304</v>
      </c>
      <c r="D39" t="s">
        <v>12</v>
      </c>
      <c r="E39" t="s">
        <v>7</v>
      </c>
      <c r="F39" s="5"/>
      <c r="G39" s="7">
        <v>44993</v>
      </c>
      <c r="H39" t="s">
        <v>184</v>
      </c>
      <c r="I39">
        <v>50</v>
      </c>
      <c r="J39" s="5">
        <v>995253.5</v>
      </c>
      <c r="L39" s="5">
        <v>996594</v>
      </c>
      <c r="M39" s="5">
        <v>3981.0140000000001</v>
      </c>
      <c r="N39" s="5">
        <v>3986.3759999999997</v>
      </c>
      <c r="O39" s="5">
        <v>1340.5</v>
      </c>
      <c r="P39" s="3">
        <v>1.3468930277561509E-3</v>
      </c>
      <c r="Q39" s="9">
        <f t="shared" si="0"/>
        <v>25214.329999999405</v>
      </c>
      <c r="R39" s="5" t="str">
        <f>TEXT(Table1[[#This Row],[Closing Date]],"yyyy")</f>
        <v>2023</v>
      </c>
      <c r="S39" s="5" t="str">
        <f>TEXT(Table1[[#This Row],[Closing Date]],"mmmm")</f>
        <v>March</v>
      </c>
      <c r="T39" s="5" t="s">
        <v>240</v>
      </c>
      <c r="U39" s="5" t="s">
        <v>301</v>
      </c>
    </row>
    <row r="40" spans="2:21" x14ac:dyDescent="0.25">
      <c r="B40" t="s">
        <v>215</v>
      </c>
      <c r="C40" t="s">
        <v>304</v>
      </c>
      <c r="D40" t="s">
        <v>12</v>
      </c>
      <c r="E40" t="s">
        <v>7</v>
      </c>
      <c r="F40" s="5"/>
      <c r="G40" s="7">
        <v>44994</v>
      </c>
      <c r="H40" t="s">
        <v>82</v>
      </c>
      <c r="I40">
        <v>5</v>
      </c>
      <c r="J40" s="5">
        <v>987323.5</v>
      </c>
      <c r="L40" s="5">
        <v>986676.5</v>
      </c>
      <c r="M40" s="5">
        <v>3949.2940000000003</v>
      </c>
      <c r="N40" s="5">
        <v>3946.7059999999997</v>
      </c>
      <c r="O40" s="5">
        <v>-647</v>
      </c>
      <c r="P40" s="3">
        <v>-6.5530699917520636E-4</v>
      </c>
      <c r="Q40" s="9">
        <f t="shared" si="0"/>
        <v>24567.329999999405</v>
      </c>
      <c r="R40" s="5" t="str">
        <f>TEXT(Table1[[#This Row],[Closing Date]],"yyyy")</f>
        <v>2023</v>
      </c>
      <c r="S40" s="5" t="str">
        <f>TEXT(Table1[[#This Row],[Closing Date]],"mmmm")</f>
        <v>March</v>
      </c>
      <c r="T40" s="5" t="s">
        <v>240</v>
      </c>
      <c r="U40" s="5" t="s">
        <v>301</v>
      </c>
    </row>
    <row r="41" spans="2:21" x14ac:dyDescent="0.25">
      <c r="B41" t="s">
        <v>215</v>
      </c>
      <c r="C41" t="s">
        <v>304</v>
      </c>
      <c r="D41" t="s">
        <v>12</v>
      </c>
      <c r="E41" t="s">
        <v>5</v>
      </c>
      <c r="F41" s="5"/>
      <c r="G41" s="7">
        <v>44994</v>
      </c>
      <c r="H41" t="s">
        <v>82</v>
      </c>
      <c r="I41">
        <v>15</v>
      </c>
      <c r="J41" s="5">
        <v>2987908</v>
      </c>
      <c r="L41" s="5">
        <v>3009342</v>
      </c>
      <c r="M41" s="5">
        <v>3983.8773333333334</v>
      </c>
      <c r="N41" s="5">
        <v>4012.4559999999997</v>
      </c>
      <c r="O41" s="5">
        <v>21434</v>
      </c>
      <c r="P41" s="3">
        <v>7.1735809804049323E-3</v>
      </c>
      <c r="Q41" s="9">
        <f t="shared" si="0"/>
        <v>46001.329999999405</v>
      </c>
      <c r="R41" s="5" t="str">
        <f>TEXT(Table1[[#This Row],[Closing Date]],"yyyy")</f>
        <v>2023</v>
      </c>
      <c r="S41" s="5" t="str">
        <f>TEXT(Table1[[#This Row],[Closing Date]],"mmmm")</f>
        <v>March</v>
      </c>
      <c r="T41" s="5" t="s">
        <v>240</v>
      </c>
      <c r="U41" s="5" t="s">
        <v>301</v>
      </c>
    </row>
    <row r="42" spans="2:21" x14ac:dyDescent="0.25">
      <c r="B42" t="s">
        <v>201</v>
      </c>
      <c r="C42" t="s">
        <v>305</v>
      </c>
      <c r="D42" t="s">
        <v>16</v>
      </c>
      <c r="E42" t="s">
        <v>7</v>
      </c>
      <c r="F42" s="5"/>
      <c r="G42" s="7">
        <v>44994</v>
      </c>
      <c r="H42" t="s">
        <v>159</v>
      </c>
      <c r="I42">
        <v>333</v>
      </c>
      <c r="J42" s="5">
        <v>99733.5</v>
      </c>
      <c r="L42" s="5">
        <v>106541.85</v>
      </c>
      <c r="M42" s="5">
        <v>299.5</v>
      </c>
      <c r="N42" s="5">
        <v>319.94549549549549</v>
      </c>
      <c r="O42" s="5">
        <v>6808.3500000000058</v>
      </c>
      <c r="P42" s="3">
        <v>6.8265427363924921E-2</v>
      </c>
      <c r="Q42" s="9">
        <f t="shared" si="0"/>
        <v>52809.679999999411</v>
      </c>
      <c r="R42" s="5" t="str">
        <f>TEXT(Table1[[#This Row],[Closing Date]],"yyyy")</f>
        <v>2023</v>
      </c>
      <c r="S42" s="5" t="str">
        <f>TEXT(Table1[[#This Row],[Closing Date]],"mmmm")</f>
        <v>March</v>
      </c>
      <c r="T42" s="5" t="s">
        <v>240</v>
      </c>
      <c r="U42" s="5" t="s">
        <v>203</v>
      </c>
    </row>
    <row r="43" spans="2:21" x14ac:dyDescent="0.25">
      <c r="B43" t="s">
        <v>197</v>
      </c>
      <c r="C43" t="s">
        <v>302</v>
      </c>
      <c r="D43" t="s">
        <v>98</v>
      </c>
      <c r="E43" t="s">
        <v>7</v>
      </c>
      <c r="F43" s="5"/>
      <c r="G43" s="7">
        <v>44995</v>
      </c>
      <c r="H43" t="s">
        <v>51</v>
      </c>
      <c r="I43">
        <v>9</v>
      </c>
      <c r="J43" s="5">
        <v>3147.38</v>
      </c>
      <c r="K43" s="13">
        <v>100</v>
      </c>
      <c r="L43" s="5">
        <v>6614.1900000000005</v>
      </c>
      <c r="M43" s="5">
        <v>3.4970888888888889</v>
      </c>
      <c r="N43" s="5">
        <v>7.3491000000000009</v>
      </c>
      <c r="O43" s="5">
        <v>3466.8100000000004</v>
      </c>
      <c r="P43" s="3">
        <v>1.1014907637463542</v>
      </c>
      <c r="Q43" s="9">
        <f t="shared" si="0"/>
        <v>56276.489999999409</v>
      </c>
      <c r="R43" s="5" t="str">
        <f>TEXT(Table1[[#This Row],[Closing Date]],"yyyy")</f>
        <v>2023</v>
      </c>
      <c r="S43" s="5" t="str">
        <f>TEXT(Table1[[#This Row],[Closing Date]],"mmmm")</f>
        <v>March</v>
      </c>
      <c r="T43" s="5" t="s">
        <v>240</v>
      </c>
      <c r="U43" s="5" t="s">
        <v>301</v>
      </c>
    </row>
    <row r="44" spans="2:21" x14ac:dyDescent="0.25">
      <c r="B44" t="s">
        <v>197</v>
      </c>
      <c r="C44" t="s">
        <v>302</v>
      </c>
      <c r="D44" t="s">
        <v>99</v>
      </c>
      <c r="E44" t="s">
        <v>7</v>
      </c>
      <c r="F44" s="5"/>
      <c r="G44" s="7">
        <v>44995</v>
      </c>
      <c r="H44" t="s">
        <v>39</v>
      </c>
      <c r="I44">
        <v>150</v>
      </c>
      <c r="J44" s="5">
        <v>2278.16</v>
      </c>
      <c r="K44" s="13">
        <v>100</v>
      </c>
      <c r="L44" s="5">
        <v>5950.2300000000014</v>
      </c>
      <c r="M44" s="5">
        <v>0.15187733333333331</v>
      </c>
      <c r="N44" s="5">
        <v>0.39668200000000003</v>
      </c>
      <c r="O44" s="5">
        <v>3672.0700000000015</v>
      </c>
      <c r="P44" s="3">
        <v>1.6118578150788363</v>
      </c>
      <c r="Q44" s="9">
        <f t="shared" si="0"/>
        <v>59948.559999999408</v>
      </c>
      <c r="R44" s="5" t="str">
        <f>TEXT(Table1[[#This Row],[Closing Date]],"yyyy")</f>
        <v>2023</v>
      </c>
      <c r="S44" s="5" t="str">
        <f>TEXT(Table1[[#This Row],[Closing Date]],"mmmm")</f>
        <v>March</v>
      </c>
      <c r="T44" s="5" t="s">
        <v>240</v>
      </c>
      <c r="U44" s="5" t="s">
        <v>301</v>
      </c>
    </row>
    <row r="45" spans="2:21" x14ac:dyDescent="0.25">
      <c r="B45" t="s">
        <v>215</v>
      </c>
      <c r="C45" t="s">
        <v>304</v>
      </c>
      <c r="D45" t="s">
        <v>12</v>
      </c>
      <c r="E45" t="s">
        <v>7</v>
      </c>
      <c r="F45" s="5"/>
      <c r="G45" s="7">
        <v>44995</v>
      </c>
      <c r="H45" t="s">
        <v>82</v>
      </c>
      <c r="I45">
        <v>10</v>
      </c>
      <c r="J45" s="5">
        <v>1941522</v>
      </c>
      <c r="L45" s="5">
        <v>1945978</v>
      </c>
      <c r="M45" s="5">
        <v>3883.0440000000003</v>
      </c>
      <c r="N45" s="5">
        <v>3891.9559999999997</v>
      </c>
      <c r="O45" s="5">
        <v>4456</v>
      </c>
      <c r="P45" s="3">
        <v>2.2951066225361731E-3</v>
      </c>
      <c r="Q45" s="9">
        <f t="shared" si="0"/>
        <v>64404.559999999408</v>
      </c>
      <c r="R45" s="5" t="str">
        <f>TEXT(Table1[[#This Row],[Closing Date]],"yyyy")</f>
        <v>2023</v>
      </c>
      <c r="S45" s="5" t="str">
        <f>TEXT(Table1[[#This Row],[Closing Date]],"mmmm")</f>
        <v>March</v>
      </c>
      <c r="T45" s="5" t="s">
        <v>240</v>
      </c>
      <c r="U45" s="5" t="s">
        <v>301</v>
      </c>
    </row>
    <row r="46" spans="2:21" x14ac:dyDescent="0.25">
      <c r="B46" t="s">
        <v>215</v>
      </c>
      <c r="C46" t="s">
        <v>304</v>
      </c>
      <c r="D46" t="s">
        <v>12</v>
      </c>
      <c r="E46" t="s">
        <v>5</v>
      </c>
      <c r="F46" s="5"/>
      <c r="G46" s="7">
        <v>44998</v>
      </c>
      <c r="H46" t="s">
        <v>82</v>
      </c>
      <c r="I46">
        <v>4</v>
      </c>
      <c r="J46" s="5">
        <v>784458.8</v>
      </c>
      <c r="L46" s="5">
        <v>781891.2</v>
      </c>
      <c r="M46" s="5">
        <v>3922.2940000000003</v>
      </c>
      <c r="N46" s="5">
        <v>3909.4559999999997</v>
      </c>
      <c r="O46" s="5">
        <v>-2567.6000000000931</v>
      </c>
      <c r="P46" s="3">
        <v>-3.2730845775458561E-3</v>
      </c>
      <c r="Q46" s="9">
        <f t="shared" si="0"/>
        <v>61836.959999999315</v>
      </c>
      <c r="R46" s="5" t="str">
        <f>TEXT(Table1[[#This Row],[Closing Date]],"yyyy")</f>
        <v>2023</v>
      </c>
      <c r="S46" s="5" t="str">
        <f>TEXT(Table1[[#This Row],[Closing Date]],"mmmm")</f>
        <v>March</v>
      </c>
      <c r="T46" s="5" t="s">
        <v>240</v>
      </c>
      <c r="U46" s="5" t="s">
        <v>301</v>
      </c>
    </row>
    <row r="47" spans="2:21" x14ac:dyDescent="0.25">
      <c r="B47" t="s">
        <v>215</v>
      </c>
      <c r="C47" t="s">
        <v>304</v>
      </c>
      <c r="D47" t="s">
        <v>12</v>
      </c>
      <c r="E47" t="s">
        <v>5</v>
      </c>
      <c r="F47" s="5"/>
      <c r="G47" s="7">
        <v>44998</v>
      </c>
      <c r="H47" t="s">
        <v>82</v>
      </c>
      <c r="I47">
        <v>4</v>
      </c>
      <c r="J47" s="5">
        <v>783608.8</v>
      </c>
      <c r="L47" s="5">
        <v>781591.2</v>
      </c>
      <c r="M47" s="5">
        <v>3918.0440000000003</v>
      </c>
      <c r="N47" s="5">
        <v>3907.9559999999997</v>
      </c>
      <c r="O47" s="5">
        <v>-2017.6000000000931</v>
      </c>
      <c r="P47" s="3">
        <v>-2.5747541375238888E-3</v>
      </c>
      <c r="Q47" s="9">
        <f t="shared" si="0"/>
        <v>59819.359999999222</v>
      </c>
      <c r="R47" s="5" t="str">
        <f>TEXT(Table1[[#This Row],[Closing Date]],"yyyy")</f>
        <v>2023</v>
      </c>
      <c r="S47" s="5" t="str">
        <f>TEXT(Table1[[#This Row],[Closing Date]],"mmmm")</f>
        <v>March</v>
      </c>
      <c r="T47" s="5" t="s">
        <v>240</v>
      </c>
      <c r="U47" s="5" t="s">
        <v>301</v>
      </c>
    </row>
    <row r="48" spans="2:21" x14ac:dyDescent="0.25">
      <c r="B48" t="s">
        <v>215</v>
      </c>
      <c r="C48" t="s">
        <v>304</v>
      </c>
      <c r="D48" t="s">
        <v>12</v>
      </c>
      <c r="E48" t="s">
        <v>5</v>
      </c>
      <c r="F48" s="5"/>
      <c r="G48" s="7">
        <v>44998</v>
      </c>
      <c r="H48" t="s">
        <v>82</v>
      </c>
      <c r="I48">
        <v>4</v>
      </c>
      <c r="J48" s="5">
        <v>777883.8</v>
      </c>
      <c r="L48" s="5">
        <v>784991.2</v>
      </c>
      <c r="M48" s="5">
        <v>3889.4190000000003</v>
      </c>
      <c r="N48" s="5">
        <v>3924.9559999999997</v>
      </c>
      <c r="O48" s="5">
        <v>7107.3999999999069</v>
      </c>
      <c r="P48" s="3">
        <v>9.1368402324355762E-3</v>
      </c>
      <c r="Q48" s="9">
        <f t="shared" si="0"/>
        <v>66926.759999999136</v>
      </c>
      <c r="R48" s="5" t="str">
        <f>TEXT(Table1[[#This Row],[Closing Date]],"yyyy")</f>
        <v>2023</v>
      </c>
      <c r="S48" s="5" t="str">
        <f>TEXT(Table1[[#This Row],[Closing Date]],"mmmm")</f>
        <v>March</v>
      </c>
      <c r="T48" s="5" t="s">
        <v>240</v>
      </c>
      <c r="U48" s="5" t="s">
        <v>301</v>
      </c>
    </row>
    <row r="49" spans="2:21" x14ac:dyDescent="0.25">
      <c r="B49" t="s">
        <v>215</v>
      </c>
      <c r="C49" t="s">
        <v>304</v>
      </c>
      <c r="D49" t="s">
        <v>12</v>
      </c>
      <c r="E49" t="s">
        <v>5</v>
      </c>
      <c r="F49" s="5"/>
      <c r="G49" s="7">
        <v>44999</v>
      </c>
      <c r="H49" t="s">
        <v>82</v>
      </c>
      <c r="I49">
        <v>15</v>
      </c>
      <c r="J49" s="5">
        <v>2963845.5</v>
      </c>
      <c r="L49" s="5">
        <v>2958967</v>
      </c>
      <c r="M49" s="5">
        <v>3951.7940000000003</v>
      </c>
      <c r="N49" s="5">
        <v>3945.2893333333332</v>
      </c>
      <c r="O49" s="5">
        <v>-4878.5</v>
      </c>
      <c r="P49" s="3">
        <v>-1.6460034775768074E-3</v>
      </c>
      <c r="Q49" s="9">
        <f t="shared" si="0"/>
        <v>62048.259999999136</v>
      </c>
      <c r="R49" s="5" t="str">
        <f>TEXT(Table1[[#This Row],[Closing Date]],"yyyy")</f>
        <v>2023</v>
      </c>
      <c r="S49" s="5" t="str">
        <f>TEXT(Table1[[#This Row],[Closing Date]],"mmmm")</f>
        <v>March</v>
      </c>
      <c r="T49" s="5" t="s">
        <v>240</v>
      </c>
      <c r="U49" s="5" t="s">
        <v>301</v>
      </c>
    </row>
    <row r="50" spans="2:21" x14ac:dyDescent="0.25">
      <c r="B50" t="s">
        <v>215</v>
      </c>
      <c r="C50" t="s">
        <v>304</v>
      </c>
      <c r="D50" t="s">
        <v>12</v>
      </c>
      <c r="E50" t="s">
        <v>5</v>
      </c>
      <c r="F50" s="5"/>
      <c r="G50" s="7">
        <v>44999</v>
      </c>
      <c r="H50" t="s">
        <v>82</v>
      </c>
      <c r="I50">
        <v>8</v>
      </c>
      <c r="J50" s="5">
        <v>1570442.6</v>
      </c>
      <c r="L50" s="5">
        <v>1587582.4</v>
      </c>
      <c r="M50" s="5">
        <v>3926.1065000000003</v>
      </c>
      <c r="N50" s="5">
        <v>3968.9559999999997</v>
      </c>
      <c r="O50" s="5">
        <v>17139.799999999814</v>
      </c>
      <c r="P50" s="3">
        <v>1.0913993290808425E-2</v>
      </c>
      <c r="Q50" s="9">
        <f t="shared" si="0"/>
        <v>79188.05999999895</v>
      </c>
      <c r="R50" s="5" t="str">
        <f>TEXT(Table1[[#This Row],[Closing Date]],"yyyy")</f>
        <v>2023</v>
      </c>
      <c r="S50" s="5" t="str">
        <f>TEXT(Table1[[#This Row],[Closing Date]],"mmmm")</f>
        <v>March</v>
      </c>
      <c r="T50" s="5" t="s">
        <v>240</v>
      </c>
      <c r="U50" s="5" t="s">
        <v>301</v>
      </c>
    </row>
    <row r="51" spans="2:21" x14ac:dyDescent="0.25">
      <c r="B51" t="s">
        <v>215</v>
      </c>
      <c r="C51" t="s">
        <v>304</v>
      </c>
      <c r="D51" t="s">
        <v>12</v>
      </c>
      <c r="E51" t="s">
        <v>5</v>
      </c>
      <c r="F51" s="5"/>
      <c r="G51" s="7">
        <v>45001</v>
      </c>
      <c r="H51" t="s">
        <v>82</v>
      </c>
      <c r="I51">
        <v>15</v>
      </c>
      <c r="J51" s="5">
        <v>2994783</v>
      </c>
      <c r="L51" s="5">
        <v>2988717</v>
      </c>
      <c r="M51" s="5">
        <v>3993.0440000000003</v>
      </c>
      <c r="N51" s="5">
        <v>3984.9559999999997</v>
      </c>
      <c r="O51" s="5">
        <v>-6066</v>
      </c>
      <c r="P51" s="3">
        <v>-2.0255223834249377E-3</v>
      </c>
      <c r="Q51" s="9">
        <f t="shared" si="0"/>
        <v>73122.05999999895</v>
      </c>
      <c r="R51" s="5" t="str">
        <f>TEXT(Table1[[#This Row],[Closing Date]],"yyyy")</f>
        <v>2023</v>
      </c>
      <c r="S51" s="5" t="str">
        <f>TEXT(Table1[[#This Row],[Closing Date]],"mmmm")</f>
        <v>March</v>
      </c>
      <c r="T51" s="5" t="s">
        <v>240</v>
      </c>
      <c r="U51" s="5" t="s">
        <v>301</v>
      </c>
    </row>
    <row r="52" spans="2:21" x14ac:dyDescent="0.25">
      <c r="B52" t="s">
        <v>215</v>
      </c>
      <c r="C52" t="s">
        <v>304</v>
      </c>
      <c r="D52" t="s">
        <v>12</v>
      </c>
      <c r="E52" t="s">
        <v>5</v>
      </c>
      <c r="F52" s="5"/>
      <c r="G52" s="7">
        <v>45001</v>
      </c>
      <c r="H52" t="s">
        <v>82</v>
      </c>
      <c r="I52">
        <v>15</v>
      </c>
      <c r="J52" s="5">
        <v>2978095.5</v>
      </c>
      <c r="L52" s="5">
        <v>2972217</v>
      </c>
      <c r="M52" s="5">
        <v>3970.7940000000003</v>
      </c>
      <c r="N52" s="5">
        <v>3962.9559999999997</v>
      </c>
      <c r="O52" s="5">
        <v>-5878.5</v>
      </c>
      <c r="P52" s="3">
        <v>-1.9739125222816008E-3</v>
      </c>
      <c r="Q52" s="9">
        <f t="shared" si="0"/>
        <v>67243.55999999895</v>
      </c>
      <c r="R52" s="5" t="str">
        <f>TEXT(Table1[[#This Row],[Closing Date]],"yyyy")</f>
        <v>2023</v>
      </c>
      <c r="S52" s="5" t="str">
        <f>TEXT(Table1[[#This Row],[Closing Date]],"mmmm")</f>
        <v>March</v>
      </c>
      <c r="T52" s="5" t="s">
        <v>240</v>
      </c>
      <c r="U52" s="5" t="s">
        <v>301</v>
      </c>
    </row>
    <row r="53" spans="2:21" x14ac:dyDescent="0.25">
      <c r="B53" t="s">
        <v>215</v>
      </c>
      <c r="C53" t="s">
        <v>304</v>
      </c>
      <c r="D53" t="s">
        <v>12</v>
      </c>
      <c r="E53" t="s">
        <v>7</v>
      </c>
      <c r="F53" s="5"/>
      <c r="G53" s="7">
        <v>45001</v>
      </c>
      <c r="H53" t="s">
        <v>82</v>
      </c>
      <c r="I53">
        <v>5</v>
      </c>
      <c r="J53" s="5">
        <v>973948.5</v>
      </c>
      <c r="L53" s="5">
        <v>975051.5</v>
      </c>
      <c r="M53" s="5">
        <v>3895.7940000000003</v>
      </c>
      <c r="N53" s="5">
        <v>3900.2059999999997</v>
      </c>
      <c r="O53" s="5">
        <v>1103</v>
      </c>
      <c r="P53" s="3">
        <v>1.1325034126546097E-3</v>
      </c>
      <c r="Q53" s="9">
        <f t="shared" si="0"/>
        <v>68346.55999999895</v>
      </c>
      <c r="R53" s="5" t="str">
        <f>TEXT(Table1[[#This Row],[Closing Date]],"yyyy")</f>
        <v>2023</v>
      </c>
      <c r="S53" s="5" t="str">
        <f>TEXT(Table1[[#This Row],[Closing Date]],"mmmm")</f>
        <v>March</v>
      </c>
      <c r="T53" s="5" t="s">
        <v>240</v>
      </c>
      <c r="U53" s="5" t="s">
        <v>301</v>
      </c>
    </row>
    <row r="54" spans="2:21" x14ac:dyDescent="0.25">
      <c r="B54" t="s">
        <v>197</v>
      </c>
      <c r="C54" t="s">
        <v>303</v>
      </c>
      <c r="D54" t="s">
        <v>99</v>
      </c>
      <c r="E54" t="s">
        <v>7</v>
      </c>
      <c r="F54" s="5"/>
      <c r="G54" s="7">
        <v>45002</v>
      </c>
      <c r="H54" t="s">
        <v>10</v>
      </c>
      <c r="I54">
        <v>55</v>
      </c>
      <c r="J54" s="5">
        <v>4404.13</v>
      </c>
      <c r="K54" s="13">
        <v>100</v>
      </c>
      <c r="L54" s="5">
        <v>6979.07</v>
      </c>
      <c r="M54" s="5">
        <v>0.80075090909090918</v>
      </c>
      <c r="N54" s="5">
        <v>1.268921818181818</v>
      </c>
      <c r="O54" s="5">
        <v>2574.9399999999996</v>
      </c>
      <c r="P54" s="3">
        <v>0.58466484867612867</v>
      </c>
      <c r="Q54" s="9">
        <f t="shared" si="0"/>
        <v>70921.499999998952</v>
      </c>
      <c r="R54" s="5" t="str">
        <f>TEXT(Table1[[#This Row],[Closing Date]],"yyyy")</f>
        <v>2023</v>
      </c>
      <c r="S54" s="5" t="str">
        <f>TEXT(Table1[[#This Row],[Closing Date]],"mmmm")</f>
        <v>March</v>
      </c>
      <c r="T54" s="5" t="s">
        <v>240</v>
      </c>
      <c r="U54" s="5" t="s">
        <v>301</v>
      </c>
    </row>
    <row r="55" spans="2:21" x14ac:dyDescent="0.25">
      <c r="B55" t="s">
        <v>215</v>
      </c>
      <c r="C55" t="s">
        <v>304</v>
      </c>
      <c r="D55" t="s">
        <v>12</v>
      </c>
      <c r="E55" t="s">
        <v>7</v>
      </c>
      <c r="F55" s="5"/>
      <c r="G55" s="7">
        <v>45002</v>
      </c>
      <c r="H55" t="s">
        <v>184</v>
      </c>
      <c r="I55">
        <v>150</v>
      </c>
      <c r="J55" s="5">
        <v>2967655.5</v>
      </c>
      <c r="L55" s="5">
        <v>2961109.5</v>
      </c>
      <c r="M55" s="5">
        <v>3956.8739999999998</v>
      </c>
      <c r="N55" s="5">
        <v>3948.1460000000002</v>
      </c>
      <c r="O55" s="5">
        <v>-6546</v>
      </c>
      <c r="P55" s="3">
        <v>-2.20578163469436E-3</v>
      </c>
      <c r="Q55" s="9">
        <f t="shared" si="0"/>
        <v>64375.499999998952</v>
      </c>
      <c r="R55" s="5" t="str">
        <f>TEXT(Table1[[#This Row],[Closing Date]],"yyyy")</f>
        <v>2023</v>
      </c>
      <c r="S55" s="5" t="str">
        <f>TEXT(Table1[[#This Row],[Closing Date]],"mmmm")</f>
        <v>March</v>
      </c>
      <c r="T55" s="5" t="s">
        <v>240</v>
      </c>
      <c r="U55" s="5" t="s">
        <v>301</v>
      </c>
    </row>
    <row r="56" spans="2:21" x14ac:dyDescent="0.25">
      <c r="B56" t="s">
        <v>215</v>
      </c>
      <c r="C56" t="s">
        <v>304</v>
      </c>
      <c r="D56" t="s">
        <v>12</v>
      </c>
      <c r="E56" t="s">
        <v>7</v>
      </c>
      <c r="F56" s="5"/>
      <c r="G56" s="7">
        <v>45002</v>
      </c>
      <c r="H56" t="s">
        <v>82</v>
      </c>
      <c r="I56">
        <v>10</v>
      </c>
      <c r="J56" s="5">
        <v>1972522</v>
      </c>
      <c r="L56" s="5">
        <v>1969978</v>
      </c>
      <c r="M56" s="5">
        <v>3945.0440000000003</v>
      </c>
      <c r="N56" s="5">
        <v>3939.9559999999997</v>
      </c>
      <c r="O56" s="5">
        <v>-2544</v>
      </c>
      <c r="P56" s="3">
        <v>-1.2897194556006593E-3</v>
      </c>
      <c r="Q56" s="9">
        <f t="shared" si="0"/>
        <v>61831.499999998952</v>
      </c>
      <c r="R56" s="5" t="str">
        <f>TEXT(Table1[[#This Row],[Closing Date]],"yyyy")</f>
        <v>2023</v>
      </c>
      <c r="S56" s="5" t="str">
        <f>TEXT(Table1[[#This Row],[Closing Date]],"mmmm")</f>
        <v>March</v>
      </c>
      <c r="T56" s="5" t="s">
        <v>240</v>
      </c>
      <c r="U56" s="5" t="s">
        <v>301</v>
      </c>
    </row>
    <row r="57" spans="2:21" x14ac:dyDescent="0.25">
      <c r="B57" t="s">
        <v>215</v>
      </c>
      <c r="C57" t="s">
        <v>304</v>
      </c>
      <c r="D57" t="s">
        <v>12</v>
      </c>
      <c r="E57" t="s">
        <v>7</v>
      </c>
      <c r="F57" s="5"/>
      <c r="G57" s="7">
        <v>45002</v>
      </c>
      <c r="H57" t="s">
        <v>89</v>
      </c>
      <c r="I57">
        <v>6</v>
      </c>
      <c r="J57" s="5">
        <v>526663.19999999995</v>
      </c>
      <c r="L57" s="5">
        <v>524806.80000000005</v>
      </c>
      <c r="M57" s="5">
        <v>1755.5439999999999</v>
      </c>
      <c r="N57" s="5">
        <v>1749.356</v>
      </c>
      <c r="O57" s="5">
        <v>-1856.3999999999069</v>
      </c>
      <c r="P57" s="3">
        <v>-3.5248333280167715E-3</v>
      </c>
      <c r="Q57" s="9">
        <f t="shared" si="0"/>
        <v>59975.099999999045</v>
      </c>
      <c r="R57" s="5" t="str">
        <f>TEXT(Table1[[#This Row],[Closing Date]],"yyyy")</f>
        <v>2023</v>
      </c>
      <c r="S57" s="5" t="str">
        <f>TEXT(Table1[[#This Row],[Closing Date]],"mmmm")</f>
        <v>March</v>
      </c>
      <c r="T57" s="5" t="s">
        <v>240</v>
      </c>
      <c r="U57" s="5" t="s">
        <v>301</v>
      </c>
    </row>
    <row r="58" spans="2:21" x14ac:dyDescent="0.25">
      <c r="B58" t="s">
        <v>215</v>
      </c>
      <c r="C58" t="s">
        <v>304</v>
      </c>
      <c r="D58" t="s">
        <v>12</v>
      </c>
      <c r="E58" t="s">
        <v>5</v>
      </c>
      <c r="F58" s="5"/>
      <c r="G58" s="7">
        <v>45005</v>
      </c>
      <c r="H58" t="s">
        <v>82</v>
      </c>
      <c r="I58">
        <v>15</v>
      </c>
      <c r="J58" s="5">
        <v>2990470.5</v>
      </c>
      <c r="L58" s="5">
        <v>2983654.5</v>
      </c>
      <c r="M58" s="5">
        <v>3987.2940000000003</v>
      </c>
      <c r="N58" s="5">
        <v>3978.2059999999997</v>
      </c>
      <c r="O58" s="5">
        <v>-6816</v>
      </c>
      <c r="P58" s="3">
        <v>-2.2792400058788357E-3</v>
      </c>
      <c r="Q58" s="9">
        <f t="shared" si="0"/>
        <v>53159.099999999045</v>
      </c>
      <c r="R58" s="5" t="str">
        <f>TEXT(Table1[[#This Row],[Closing Date]],"yyyy")</f>
        <v>2023</v>
      </c>
      <c r="S58" s="5" t="str">
        <f>TEXT(Table1[[#This Row],[Closing Date]],"mmmm")</f>
        <v>March</v>
      </c>
      <c r="T58" s="5" t="s">
        <v>240</v>
      </c>
      <c r="U58" s="5" t="s">
        <v>301</v>
      </c>
    </row>
    <row r="59" spans="2:21" x14ac:dyDescent="0.25">
      <c r="B59" t="s">
        <v>215</v>
      </c>
      <c r="C59" t="s">
        <v>304</v>
      </c>
      <c r="D59" t="s">
        <v>12</v>
      </c>
      <c r="E59" t="s">
        <v>5</v>
      </c>
      <c r="F59" s="5"/>
      <c r="G59" s="7">
        <v>45006</v>
      </c>
      <c r="H59" t="s">
        <v>82</v>
      </c>
      <c r="I59">
        <v>15</v>
      </c>
      <c r="J59" s="5">
        <v>3022720.5</v>
      </c>
      <c r="L59" s="5">
        <v>3022467</v>
      </c>
      <c r="M59" s="5">
        <v>4030.2940000000003</v>
      </c>
      <c r="N59" s="5">
        <v>4029.9559999999997</v>
      </c>
      <c r="O59" s="5">
        <v>-253.5</v>
      </c>
      <c r="P59" s="3">
        <v>-8.3864849562004048E-5</v>
      </c>
      <c r="Q59" s="9">
        <f t="shared" si="0"/>
        <v>52905.599999999045</v>
      </c>
      <c r="R59" s="5" t="str">
        <f>TEXT(Table1[[#This Row],[Closing Date]],"yyyy")</f>
        <v>2023</v>
      </c>
      <c r="S59" s="5" t="str">
        <f>TEXT(Table1[[#This Row],[Closing Date]],"mmmm")</f>
        <v>March</v>
      </c>
      <c r="T59" s="5" t="s">
        <v>240</v>
      </c>
      <c r="U59" s="5" t="s">
        <v>301</v>
      </c>
    </row>
    <row r="60" spans="2:21" x14ac:dyDescent="0.25">
      <c r="B60" t="s">
        <v>201</v>
      </c>
      <c r="C60" t="s">
        <v>306</v>
      </c>
      <c r="D60" t="s">
        <v>16</v>
      </c>
      <c r="E60" t="s">
        <v>5</v>
      </c>
      <c r="F60" s="5"/>
      <c r="G60" s="7">
        <v>45007</v>
      </c>
      <c r="H60" t="s">
        <v>14</v>
      </c>
      <c r="I60">
        <v>1300</v>
      </c>
      <c r="J60" s="5">
        <v>139714.20000000001</v>
      </c>
      <c r="L60" s="5">
        <v>136767.14000000001</v>
      </c>
      <c r="M60" s="5">
        <v>107.47246153846154</v>
      </c>
      <c r="N60" s="5">
        <v>105.20549230769232</v>
      </c>
      <c r="O60" s="5">
        <v>-2947.0599999999977</v>
      </c>
      <c r="P60" s="3">
        <v>-2.1093489423408544E-2</v>
      </c>
      <c r="Q60" s="9">
        <f t="shared" si="0"/>
        <v>49958.539999999048</v>
      </c>
      <c r="R60" s="5" t="str">
        <f>TEXT(Table1[[#This Row],[Closing Date]],"yyyy")</f>
        <v>2023</v>
      </c>
      <c r="S60" s="5" t="str">
        <f>TEXT(Table1[[#This Row],[Closing Date]],"mmmm")</f>
        <v>March</v>
      </c>
      <c r="T60" s="5" t="s">
        <v>240</v>
      </c>
      <c r="U60" s="5" t="s">
        <v>301</v>
      </c>
    </row>
    <row r="61" spans="2:21" x14ac:dyDescent="0.25">
      <c r="B61" t="s">
        <v>215</v>
      </c>
      <c r="C61" t="s">
        <v>304</v>
      </c>
      <c r="D61" t="s">
        <v>12</v>
      </c>
      <c r="E61" t="s">
        <v>5</v>
      </c>
      <c r="F61" s="5"/>
      <c r="G61" s="7">
        <v>45007</v>
      </c>
      <c r="H61" t="s">
        <v>82</v>
      </c>
      <c r="I61">
        <v>15</v>
      </c>
      <c r="J61" s="5">
        <v>3022033</v>
      </c>
      <c r="L61" s="5">
        <v>3032217</v>
      </c>
      <c r="M61" s="5">
        <v>4029.3773333333334</v>
      </c>
      <c r="N61" s="5">
        <v>4042.9559999999997</v>
      </c>
      <c r="O61" s="5">
        <v>10184</v>
      </c>
      <c r="P61" s="3">
        <v>3.3699168738394788E-3</v>
      </c>
      <c r="Q61" s="9">
        <f t="shared" si="0"/>
        <v>60142.539999999048</v>
      </c>
      <c r="R61" s="5" t="str">
        <f>TEXT(Table1[[#This Row],[Closing Date]],"yyyy")</f>
        <v>2023</v>
      </c>
      <c r="S61" s="5" t="str">
        <f>TEXT(Table1[[#This Row],[Closing Date]],"mmmm")</f>
        <v>March</v>
      </c>
      <c r="T61" s="5" t="s">
        <v>240</v>
      </c>
      <c r="U61" s="5" t="s">
        <v>301</v>
      </c>
    </row>
    <row r="62" spans="2:21" x14ac:dyDescent="0.25">
      <c r="B62" t="s">
        <v>215</v>
      </c>
      <c r="C62" t="s">
        <v>304</v>
      </c>
      <c r="D62" t="s">
        <v>12</v>
      </c>
      <c r="E62" t="s">
        <v>5</v>
      </c>
      <c r="F62" s="5"/>
      <c r="G62" s="7">
        <v>45008</v>
      </c>
      <c r="H62" t="s">
        <v>82</v>
      </c>
      <c r="I62">
        <v>20</v>
      </c>
      <c r="J62" s="5">
        <v>4016181.5</v>
      </c>
      <c r="L62" s="5">
        <v>4007831</v>
      </c>
      <c r="M62" s="5">
        <v>4016.1815000000001</v>
      </c>
      <c r="N62" s="5">
        <v>4007.8309999999997</v>
      </c>
      <c r="O62" s="5">
        <v>-8350.5</v>
      </c>
      <c r="P62" s="3">
        <v>-2.0792138004720319E-3</v>
      </c>
      <c r="Q62" s="9">
        <f t="shared" si="0"/>
        <v>51792.039999999048</v>
      </c>
      <c r="R62" s="5" t="str">
        <f>TEXT(Table1[[#This Row],[Closing Date]],"yyyy")</f>
        <v>2023</v>
      </c>
      <c r="S62" s="5" t="str">
        <f>TEXT(Table1[[#This Row],[Closing Date]],"mmmm")</f>
        <v>March</v>
      </c>
      <c r="T62" s="5" t="s">
        <v>240</v>
      </c>
      <c r="U62" s="5" t="s">
        <v>301</v>
      </c>
    </row>
    <row r="63" spans="2:21" x14ac:dyDescent="0.25">
      <c r="B63" t="s">
        <v>215</v>
      </c>
      <c r="C63" t="s">
        <v>304</v>
      </c>
      <c r="D63" t="s">
        <v>12</v>
      </c>
      <c r="E63" t="s">
        <v>5</v>
      </c>
      <c r="F63" s="5"/>
      <c r="G63" s="7">
        <v>45008</v>
      </c>
      <c r="H63" t="s">
        <v>89</v>
      </c>
      <c r="I63">
        <v>13</v>
      </c>
      <c r="J63" s="5">
        <v>1150977.1000000001</v>
      </c>
      <c r="L63" s="5">
        <v>1146831.3999999999</v>
      </c>
      <c r="M63" s="5">
        <v>1770.7340000000002</v>
      </c>
      <c r="N63" s="5">
        <v>1764.3559999999998</v>
      </c>
      <c r="O63" s="5">
        <v>-4145.7000000001863</v>
      </c>
      <c r="P63" s="3">
        <v>-3.6018961628343856E-3</v>
      </c>
      <c r="Q63" s="9">
        <f t="shared" si="0"/>
        <v>47646.339999998861</v>
      </c>
      <c r="R63" s="5" t="str">
        <f>TEXT(Table1[[#This Row],[Closing Date]],"yyyy")</f>
        <v>2023</v>
      </c>
      <c r="S63" s="5" t="str">
        <f>TEXT(Table1[[#This Row],[Closing Date]],"mmmm")</f>
        <v>March</v>
      </c>
      <c r="T63" s="5" t="s">
        <v>240</v>
      </c>
      <c r="U63" s="5" t="s">
        <v>301</v>
      </c>
    </row>
    <row r="64" spans="2:21" x14ac:dyDescent="0.25">
      <c r="B64" t="s">
        <v>201</v>
      </c>
      <c r="C64" t="s">
        <v>305</v>
      </c>
      <c r="D64" t="s">
        <v>16</v>
      </c>
      <c r="E64" t="s">
        <v>5</v>
      </c>
      <c r="F64" s="5"/>
      <c r="G64" s="7">
        <v>45008</v>
      </c>
      <c r="H64" t="s">
        <v>11</v>
      </c>
      <c r="I64">
        <v>1800</v>
      </c>
      <c r="J64" s="5">
        <v>489596.08</v>
      </c>
      <c r="L64" s="5">
        <v>483437.52</v>
      </c>
      <c r="M64" s="5">
        <v>271.99782222222223</v>
      </c>
      <c r="N64" s="5">
        <v>268.57640000000004</v>
      </c>
      <c r="O64" s="5">
        <v>6158.5599999999977</v>
      </c>
      <c r="P64" s="3">
        <v>1.2578858883020464E-2</v>
      </c>
      <c r="Q64" s="9">
        <f t="shared" si="0"/>
        <v>53804.899999998859</v>
      </c>
      <c r="R64" s="5" t="str">
        <f>TEXT(Table1[[#This Row],[Closing Date]],"yyyy")</f>
        <v>2023</v>
      </c>
      <c r="S64" s="5" t="str">
        <f>TEXT(Table1[[#This Row],[Closing Date]],"mmmm")</f>
        <v>March</v>
      </c>
      <c r="T64" s="5" t="s">
        <v>240</v>
      </c>
      <c r="U64" s="5" t="s">
        <v>203</v>
      </c>
    </row>
    <row r="65" spans="2:21" x14ac:dyDescent="0.25">
      <c r="B65" t="s">
        <v>201</v>
      </c>
      <c r="C65" t="s">
        <v>302</v>
      </c>
      <c r="D65" t="s">
        <v>16</v>
      </c>
      <c r="E65" t="s">
        <v>5</v>
      </c>
      <c r="F65" s="5"/>
      <c r="G65" s="7">
        <v>45009</v>
      </c>
      <c r="H65" t="s">
        <v>17</v>
      </c>
      <c r="I65">
        <v>1000</v>
      </c>
      <c r="J65" s="5">
        <v>160170</v>
      </c>
      <c r="L65" s="5">
        <v>159653.57999999999</v>
      </c>
      <c r="M65" s="5">
        <v>160.16999999999999</v>
      </c>
      <c r="N65" s="5">
        <v>159.65357999999998</v>
      </c>
      <c r="O65" s="5">
        <v>-516.42000000001281</v>
      </c>
      <c r="P65" s="3">
        <v>-3.2241992882562952E-3</v>
      </c>
      <c r="Q65" s="9">
        <f t="shared" si="0"/>
        <v>53288.479999998846</v>
      </c>
      <c r="R65" s="5" t="str">
        <f>TEXT(Table1[[#This Row],[Closing Date]],"yyyy")</f>
        <v>2023</v>
      </c>
      <c r="S65" s="5" t="str">
        <f>TEXT(Table1[[#This Row],[Closing Date]],"mmmm")</f>
        <v>March</v>
      </c>
      <c r="T65" s="5" t="s">
        <v>240</v>
      </c>
      <c r="U65" s="5" t="s">
        <v>301</v>
      </c>
    </row>
    <row r="66" spans="2:21" x14ac:dyDescent="0.25">
      <c r="B66" t="s">
        <v>197</v>
      </c>
      <c r="C66" t="s">
        <v>303</v>
      </c>
      <c r="D66" t="s">
        <v>99</v>
      </c>
      <c r="E66" t="s">
        <v>7</v>
      </c>
      <c r="F66" s="5"/>
      <c r="G66" s="7">
        <v>45009</v>
      </c>
      <c r="H66" t="s">
        <v>10</v>
      </c>
      <c r="I66">
        <v>40</v>
      </c>
      <c r="J66" s="5">
        <v>4202.76</v>
      </c>
      <c r="K66" s="13">
        <v>100</v>
      </c>
      <c r="L66" s="5">
        <v>0</v>
      </c>
      <c r="M66" s="5">
        <v>1.0506900000000001</v>
      </c>
      <c r="N66" s="5">
        <v>0</v>
      </c>
      <c r="O66" s="5">
        <v>-4202.76</v>
      </c>
      <c r="P66" s="3">
        <v>-1</v>
      </c>
      <c r="Q66" s="9">
        <f t="shared" si="0"/>
        <v>49085.719999998844</v>
      </c>
      <c r="R66" s="5" t="str">
        <f>TEXT(Table1[[#This Row],[Closing Date]],"yyyy")</f>
        <v>2023</v>
      </c>
      <c r="S66" s="5" t="str">
        <f>TEXT(Table1[[#This Row],[Closing Date]],"mmmm")</f>
        <v>March</v>
      </c>
      <c r="T66" s="5" t="s">
        <v>240</v>
      </c>
      <c r="U66" s="5" t="s">
        <v>301</v>
      </c>
    </row>
    <row r="67" spans="2:21" x14ac:dyDescent="0.25">
      <c r="B67" t="s">
        <v>201</v>
      </c>
      <c r="C67" t="s">
        <v>305</v>
      </c>
      <c r="D67" t="s">
        <v>12</v>
      </c>
      <c r="E67" t="s">
        <v>7</v>
      </c>
      <c r="F67" s="5"/>
      <c r="G67" s="7">
        <v>45009</v>
      </c>
      <c r="H67" t="s">
        <v>13</v>
      </c>
      <c r="I67">
        <v>6</v>
      </c>
      <c r="J67" s="5">
        <v>389954.22</v>
      </c>
      <c r="L67" s="5">
        <v>405105.78</v>
      </c>
      <c r="M67" s="5">
        <v>64.992369999999994</v>
      </c>
      <c r="N67" s="5">
        <v>67.517630000000011</v>
      </c>
      <c r="O67" s="5">
        <v>15151.560000000056</v>
      </c>
      <c r="P67" s="3">
        <v>3.885471479190572E-2</v>
      </c>
      <c r="Q67" s="9">
        <f t="shared" ref="Q67:Q130" si="1">O67+Q66</f>
        <v>64237.2799999989</v>
      </c>
      <c r="R67" s="5" t="str">
        <f>TEXT(Table1[[#This Row],[Closing Date]],"yyyy")</f>
        <v>2023</v>
      </c>
      <c r="S67" s="5" t="str">
        <f>TEXT(Table1[[#This Row],[Closing Date]],"mmmm")</f>
        <v>March</v>
      </c>
      <c r="T67" s="5" t="s">
        <v>240</v>
      </c>
      <c r="U67" s="5" t="s">
        <v>301</v>
      </c>
    </row>
    <row r="68" spans="2:21" x14ac:dyDescent="0.25">
      <c r="B68" t="s">
        <v>215</v>
      </c>
      <c r="C68" t="s">
        <v>304</v>
      </c>
      <c r="D68" t="s">
        <v>12</v>
      </c>
      <c r="E68" t="s">
        <v>5</v>
      </c>
      <c r="F68" s="5"/>
      <c r="G68" s="7">
        <v>45009</v>
      </c>
      <c r="H68" t="s">
        <v>82</v>
      </c>
      <c r="I68">
        <v>10</v>
      </c>
      <c r="J68" s="5">
        <v>2003147</v>
      </c>
      <c r="L68" s="5">
        <v>1998978</v>
      </c>
      <c r="M68" s="5">
        <v>4006.2940000000003</v>
      </c>
      <c r="N68" s="5">
        <v>3997.9559999999997</v>
      </c>
      <c r="O68" s="5">
        <v>-4169</v>
      </c>
      <c r="P68" s="3">
        <v>-2.0812251921602976E-3</v>
      </c>
      <c r="Q68" s="9">
        <f t="shared" si="1"/>
        <v>60068.2799999989</v>
      </c>
      <c r="R68" s="5" t="str">
        <f>TEXT(Table1[[#This Row],[Closing Date]],"yyyy")</f>
        <v>2023</v>
      </c>
      <c r="S68" s="5" t="str">
        <f>TEXT(Table1[[#This Row],[Closing Date]],"mmmm")</f>
        <v>March</v>
      </c>
      <c r="T68" s="5" t="s">
        <v>240</v>
      </c>
      <c r="U68" s="5" t="s">
        <v>301</v>
      </c>
    </row>
    <row r="69" spans="2:21" x14ac:dyDescent="0.25">
      <c r="B69" t="s">
        <v>215</v>
      </c>
      <c r="C69" t="s">
        <v>304</v>
      </c>
      <c r="D69" t="s">
        <v>12</v>
      </c>
      <c r="E69" t="s">
        <v>7</v>
      </c>
      <c r="F69" s="5"/>
      <c r="G69" s="7">
        <v>45013</v>
      </c>
      <c r="H69" t="s">
        <v>82</v>
      </c>
      <c r="I69">
        <v>15</v>
      </c>
      <c r="J69" s="5">
        <v>2997783</v>
      </c>
      <c r="L69" s="5">
        <v>2996217</v>
      </c>
      <c r="M69" s="5">
        <v>3997.0440000000003</v>
      </c>
      <c r="N69" s="5">
        <v>3994.9559999999997</v>
      </c>
      <c r="O69" s="5">
        <v>-1566</v>
      </c>
      <c r="P69" s="3">
        <v>-5.2238604328615028E-4</v>
      </c>
      <c r="Q69" s="9">
        <f t="shared" si="1"/>
        <v>58502.2799999989</v>
      </c>
      <c r="R69" s="5" t="str">
        <f>TEXT(Table1[[#This Row],[Closing Date]],"yyyy")</f>
        <v>2023</v>
      </c>
      <c r="S69" s="5" t="str">
        <f>TEXT(Table1[[#This Row],[Closing Date]],"mmmm")</f>
        <v>March</v>
      </c>
      <c r="T69" s="5" t="s">
        <v>240</v>
      </c>
      <c r="U69" s="5" t="s">
        <v>301</v>
      </c>
    </row>
    <row r="70" spans="2:21" x14ac:dyDescent="0.25">
      <c r="B70" t="s">
        <v>215</v>
      </c>
      <c r="C70" t="s">
        <v>304</v>
      </c>
      <c r="D70" t="s">
        <v>12</v>
      </c>
      <c r="E70" t="s">
        <v>7</v>
      </c>
      <c r="F70" s="5"/>
      <c r="G70" s="7">
        <v>45013</v>
      </c>
      <c r="H70" t="s">
        <v>82</v>
      </c>
      <c r="I70">
        <v>15</v>
      </c>
      <c r="J70" s="5">
        <v>2993283</v>
      </c>
      <c r="L70" s="5">
        <v>2999217</v>
      </c>
      <c r="M70" s="5">
        <v>3991.0440000000003</v>
      </c>
      <c r="N70" s="5">
        <v>3998.9559999999997</v>
      </c>
      <c r="O70" s="5">
        <v>5934</v>
      </c>
      <c r="P70" s="3">
        <v>1.9824386802048165E-3</v>
      </c>
      <c r="Q70" s="9">
        <f t="shared" si="1"/>
        <v>64436.2799999989</v>
      </c>
      <c r="R70" s="5" t="str">
        <f>TEXT(Table1[[#This Row],[Closing Date]],"yyyy")</f>
        <v>2023</v>
      </c>
      <c r="S70" s="5" t="str">
        <f>TEXT(Table1[[#This Row],[Closing Date]],"mmmm")</f>
        <v>March</v>
      </c>
      <c r="T70" s="5" t="s">
        <v>240</v>
      </c>
      <c r="U70" s="5" t="s">
        <v>301</v>
      </c>
    </row>
    <row r="71" spans="2:21" x14ac:dyDescent="0.25">
      <c r="B71" t="s">
        <v>215</v>
      </c>
      <c r="C71" t="s">
        <v>304</v>
      </c>
      <c r="D71" t="s">
        <v>12</v>
      </c>
      <c r="E71" t="s">
        <v>5</v>
      </c>
      <c r="F71" s="5"/>
      <c r="G71" s="7">
        <v>45014</v>
      </c>
      <c r="H71" t="s">
        <v>82</v>
      </c>
      <c r="I71">
        <v>15</v>
      </c>
      <c r="J71" s="5">
        <v>3022908</v>
      </c>
      <c r="L71" s="5">
        <v>3016842</v>
      </c>
      <c r="M71" s="5">
        <v>4030.5440000000003</v>
      </c>
      <c r="N71" s="5">
        <v>4022.4559999999997</v>
      </c>
      <c r="O71" s="5">
        <v>-6066</v>
      </c>
      <c r="P71" s="3">
        <v>-2.0066770143188232E-3</v>
      </c>
      <c r="Q71" s="9">
        <f t="shared" si="1"/>
        <v>58370.2799999989</v>
      </c>
      <c r="R71" s="5" t="str">
        <f>TEXT(Table1[[#This Row],[Closing Date]],"yyyy")</f>
        <v>2023</v>
      </c>
      <c r="S71" s="5" t="str">
        <f>TEXT(Table1[[#This Row],[Closing Date]],"mmmm")</f>
        <v>March</v>
      </c>
      <c r="T71" s="5" t="s">
        <v>240</v>
      </c>
      <c r="U71" s="5" t="s">
        <v>301</v>
      </c>
    </row>
    <row r="72" spans="2:21" x14ac:dyDescent="0.25">
      <c r="B72" t="s">
        <v>215</v>
      </c>
      <c r="C72" t="s">
        <v>304</v>
      </c>
      <c r="D72" t="s">
        <v>12</v>
      </c>
      <c r="E72" t="s">
        <v>5</v>
      </c>
      <c r="F72" s="5"/>
      <c r="G72" s="7">
        <v>45015</v>
      </c>
      <c r="H72" t="s">
        <v>82</v>
      </c>
      <c r="I72">
        <v>10</v>
      </c>
      <c r="J72" s="5">
        <v>2040522</v>
      </c>
      <c r="L72" s="5">
        <v>2036853</v>
      </c>
      <c r="M72" s="5">
        <v>4081.0440000000003</v>
      </c>
      <c r="N72" s="5">
        <v>4073.7059999999997</v>
      </c>
      <c r="O72" s="5">
        <v>-3669</v>
      </c>
      <c r="P72" s="3">
        <v>-1.7980693175571366E-3</v>
      </c>
      <c r="Q72" s="9">
        <f t="shared" si="1"/>
        <v>54701.2799999989</v>
      </c>
      <c r="R72" s="5" t="str">
        <f>TEXT(Table1[[#This Row],[Closing Date]],"yyyy")</f>
        <v>2023</v>
      </c>
      <c r="S72" s="5" t="str">
        <f>TEXT(Table1[[#This Row],[Closing Date]],"mmmm")</f>
        <v>March</v>
      </c>
      <c r="T72" s="5" t="s">
        <v>240</v>
      </c>
      <c r="U72" s="5" t="s">
        <v>301</v>
      </c>
    </row>
    <row r="73" spans="2:21" x14ac:dyDescent="0.25">
      <c r="B73" t="s">
        <v>215</v>
      </c>
      <c r="C73" t="s">
        <v>304</v>
      </c>
      <c r="D73" t="s">
        <v>12</v>
      </c>
      <c r="E73" t="s">
        <v>5</v>
      </c>
      <c r="F73" s="5"/>
      <c r="G73" s="7">
        <v>45015</v>
      </c>
      <c r="H73" t="s">
        <v>90</v>
      </c>
      <c r="I73">
        <v>10</v>
      </c>
      <c r="J73" s="5">
        <v>2619352</v>
      </c>
      <c r="L73" s="5">
        <v>2616378</v>
      </c>
      <c r="M73" s="5">
        <v>13096.76</v>
      </c>
      <c r="N73" s="5">
        <v>13081.89</v>
      </c>
      <c r="O73" s="5">
        <v>-2974</v>
      </c>
      <c r="P73" s="3">
        <v>-1.1353953191476976E-3</v>
      </c>
      <c r="Q73" s="9">
        <f t="shared" si="1"/>
        <v>51727.2799999989</v>
      </c>
      <c r="R73" s="5" t="str">
        <f>TEXT(Table1[[#This Row],[Closing Date]],"yyyy")</f>
        <v>2023</v>
      </c>
      <c r="S73" s="5" t="str">
        <f>TEXT(Table1[[#This Row],[Closing Date]],"mmmm")</f>
        <v>March</v>
      </c>
      <c r="T73" s="5" t="s">
        <v>240</v>
      </c>
      <c r="U73" s="5" t="s">
        <v>301</v>
      </c>
    </row>
    <row r="74" spans="2:21" x14ac:dyDescent="0.25">
      <c r="B74" t="s">
        <v>215</v>
      </c>
      <c r="C74" t="s">
        <v>304</v>
      </c>
      <c r="D74" t="s">
        <v>12</v>
      </c>
      <c r="E74" t="s">
        <v>5</v>
      </c>
      <c r="F74" s="5"/>
      <c r="G74" s="7">
        <v>45015</v>
      </c>
      <c r="H74" t="s">
        <v>82</v>
      </c>
      <c r="I74">
        <v>10</v>
      </c>
      <c r="J74" s="5">
        <v>2038522</v>
      </c>
      <c r="L74" s="5">
        <v>2040728</v>
      </c>
      <c r="M74" s="5">
        <v>4077.0440000000003</v>
      </c>
      <c r="N74" s="5">
        <v>4081.4559999999997</v>
      </c>
      <c r="O74" s="5">
        <v>2206</v>
      </c>
      <c r="P74" s="3">
        <v>1.082156582072539E-3</v>
      </c>
      <c r="Q74" s="9">
        <f t="shared" si="1"/>
        <v>53933.2799999989</v>
      </c>
      <c r="R74" s="5" t="str">
        <f>TEXT(Table1[[#This Row],[Closing Date]],"yyyy")</f>
        <v>2023</v>
      </c>
      <c r="S74" s="5" t="str">
        <f>TEXT(Table1[[#This Row],[Closing Date]],"mmmm")</f>
        <v>March</v>
      </c>
      <c r="T74" s="5" t="s">
        <v>240</v>
      </c>
      <c r="U74" s="5" t="s">
        <v>301</v>
      </c>
    </row>
    <row r="75" spans="2:21" x14ac:dyDescent="0.25">
      <c r="B75" t="s">
        <v>197</v>
      </c>
      <c r="C75" t="s">
        <v>303</v>
      </c>
      <c r="D75" t="s">
        <v>99</v>
      </c>
      <c r="E75" t="s">
        <v>7</v>
      </c>
      <c r="F75" s="5"/>
      <c r="G75" s="7">
        <v>45016</v>
      </c>
      <c r="H75" t="s">
        <v>10</v>
      </c>
      <c r="I75">
        <v>65</v>
      </c>
      <c r="J75" s="5">
        <v>3977.79</v>
      </c>
      <c r="K75" s="13">
        <v>100</v>
      </c>
      <c r="L75" s="5">
        <v>0</v>
      </c>
      <c r="M75" s="5">
        <v>0.61196769230769232</v>
      </c>
      <c r="N75" s="5">
        <v>0</v>
      </c>
      <c r="O75" s="5">
        <v>-3977.79</v>
      </c>
      <c r="P75" s="3">
        <v>-1</v>
      </c>
      <c r="Q75" s="9">
        <f t="shared" si="1"/>
        <v>49955.489999998899</v>
      </c>
      <c r="R75" s="5" t="str">
        <f>TEXT(Table1[[#This Row],[Closing Date]],"yyyy")</f>
        <v>2023</v>
      </c>
      <c r="S75" s="5" t="str">
        <f>TEXT(Table1[[#This Row],[Closing Date]],"mmmm")</f>
        <v>March</v>
      </c>
      <c r="T75" s="5" t="s">
        <v>240</v>
      </c>
      <c r="U75" s="5" t="s">
        <v>301</v>
      </c>
    </row>
    <row r="76" spans="2:21" x14ac:dyDescent="0.25">
      <c r="B76" t="s">
        <v>215</v>
      </c>
      <c r="C76" t="s">
        <v>304</v>
      </c>
      <c r="D76" t="s">
        <v>12</v>
      </c>
      <c r="E76" t="s">
        <v>5</v>
      </c>
      <c r="F76" s="5"/>
      <c r="G76" s="7">
        <v>45016</v>
      </c>
      <c r="H76" t="s">
        <v>82</v>
      </c>
      <c r="I76">
        <v>22</v>
      </c>
      <c r="J76" s="5">
        <v>4520948.4000000004</v>
      </c>
      <c r="L76" s="5">
        <v>4514001.5999999996</v>
      </c>
      <c r="M76" s="5">
        <v>4109.9530909090909</v>
      </c>
      <c r="N76" s="5">
        <v>4103.6378181818181</v>
      </c>
      <c r="O76" s="5">
        <v>-6946.8000000007451</v>
      </c>
      <c r="P76" s="3">
        <v>-1.5365802449769134E-3</v>
      </c>
      <c r="Q76" s="9">
        <f t="shared" si="1"/>
        <v>43008.689999998154</v>
      </c>
      <c r="R76" s="5" t="str">
        <f>TEXT(Table1[[#This Row],[Closing Date]],"yyyy")</f>
        <v>2023</v>
      </c>
      <c r="S76" s="5" t="str">
        <f>TEXT(Table1[[#This Row],[Closing Date]],"mmmm")</f>
        <v>March</v>
      </c>
      <c r="T76" s="5" t="s">
        <v>240</v>
      </c>
      <c r="U76" s="5" t="s">
        <v>301</v>
      </c>
    </row>
    <row r="77" spans="2:21" x14ac:dyDescent="0.25">
      <c r="B77" t="s">
        <v>215</v>
      </c>
      <c r="C77" t="s">
        <v>304</v>
      </c>
      <c r="D77" t="s">
        <v>12</v>
      </c>
      <c r="E77" t="s">
        <v>5</v>
      </c>
      <c r="F77" s="5"/>
      <c r="G77" s="7">
        <v>45016</v>
      </c>
      <c r="H77" t="s">
        <v>82</v>
      </c>
      <c r="I77">
        <v>12</v>
      </c>
      <c r="J77" s="5">
        <v>2473676.4</v>
      </c>
      <c r="L77" s="5">
        <v>2470773.6</v>
      </c>
      <c r="M77" s="5">
        <v>4122.7939999999999</v>
      </c>
      <c r="N77" s="5">
        <v>4117.9560000000001</v>
      </c>
      <c r="O77" s="5">
        <v>-2902.7999999998137</v>
      </c>
      <c r="P77" s="3">
        <v>-1.1734760456136636E-3</v>
      </c>
      <c r="Q77" s="9">
        <f t="shared" si="1"/>
        <v>40105.88999999834</v>
      </c>
      <c r="R77" s="5" t="str">
        <f>TEXT(Table1[[#This Row],[Closing Date]],"yyyy")</f>
        <v>2023</v>
      </c>
      <c r="S77" s="5" t="str">
        <f>TEXT(Table1[[#This Row],[Closing Date]],"mmmm")</f>
        <v>March</v>
      </c>
      <c r="T77" s="5" t="s">
        <v>240</v>
      </c>
      <c r="U77" s="5" t="s">
        <v>301</v>
      </c>
    </row>
    <row r="78" spans="2:21" x14ac:dyDescent="0.25">
      <c r="B78" t="s">
        <v>215</v>
      </c>
      <c r="C78" t="s">
        <v>304</v>
      </c>
      <c r="D78" t="s">
        <v>12</v>
      </c>
      <c r="E78" t="s">
        <v>5</v>
      </c>
      <c r="F78" s="5"/>
      <c r="G78" s="7">
        <v>45019</v>
      </c>
      <c r="H78" t="s">
        <v>82</v>
      </c>
      <c r="I78">
        <v>15</v>
      </c>
      <c r="J78" s="5">
        <v>3113845.5</v>
      </c>
      <c r="L78" s="5">
        <v>3107592</v>
      </c>
      <c r="M78" s="5">
        <v>4151.7939999999999</v>
      </c>
      <c r="N78" s="5">
        <v>4143.4560000000001</v>
      </c>
      <c r="O78" s="5">
        <v>-6253.5</v>
      </c>
      <c r="P78" s="3">
        <v>-2.0082884651790862E-3</v>
      </c>
      <c r="Q78" s="9">
        <f t="shared" si="1"/>
        <v>33852.38999999834</v>
      </c>
      <c r="R78" s="5" t="str">
        <f>TEXT(Table1[[#This Row],[Closing Date]],"yyyy")</f>
        <v>2023</v>
      </c>
      <c r="S78" s="5" t="str">
        <f>TEXT(Table1[[#This Row],[Closing Date]],"mmmm")</f>
        <v>April</v>
      </c>
      <c r="T78" s="5" t="s">
        <v>240</v>
      </c>
      <c r="U78" s="5" t="s">
        <v>301</v>
      </c>
    </row>
    <row r="79" spans="2:21" x14ac:dyDescent="0.25">
      <c r="B79" t="s">
        <v>201</v>
      </c>
      <c r="C79" t="s">
        <v>305</v>
      </c>
      <c r="D79" t="s">
        <v>16</v>
      </c>
      <c r="E79" t="s">
        <v>7</v>
      </c>
      <c r="F79" s="5"/>
      <c r="G79" s="7">
        <v>45019</v>
      </c>
      <c r="H79" t="s">
        <v>18</v>
      </c>
      <c r="I79">
        <v>1154</v>
      </c>
      <c r="J79" s="5">
        <v>149922.29</v>
      </c>
      <c r="L79" s="5">
        <v>157248.65</v>
      </c>
      <c r="M79" s="5">
        <v>129.91532928942809</v>
      </c>
      <c r="N79" s="5">
        <v>136.26399480069324</v>
      </c>
      <c r="O79" s="5">
        <v>7326.359999999986</v>
      </c>
      <c r="P79" s="3">
        <v>4.886771673511648E-2</v>
      </c>
      <c r="Q79" s="9">
        <f t="shared" si="1"/>
        <v>41178.749999998327</v>
      </c>
      <c r="R79" s="5" t="str">
        <f>TEXT(Table1[[#This Row],[Closing Date]],"yyyy")</f>
        <v>2023</v>
      </c>
      <c r="S79" s="5" t="str">
        <f>TEXT(Table1[[#This Row],[Closing Date]],"mmmm")</f>
        <v>April</v>
      </c>
      <c r="T79" s="5" t="s">
        <v>240</v>
      </c>
      <c r="U79" s="5" t="s">
        <v>203</v>
      </c>
    </row>
    <row r="80" spans="2:21" x14ac:dyDescent="0.25">
      <c r="B80" t="s">
        <v>215</v>
      </c>
      <c r="C80" t="s">
        <v>304</v>
      </c>
      <c r="D80" t="s">
        <v>12</v>
      </c>
      <c r="E80" t="s">
        <v>7</v>
      </c>
      <c r="F80" s="5"/>
      <c r="G80" s="7">
        <v>45020</v>
      </c>
      <c r="H80" t="s">
        <v>82</v>
      </c>
      <c r="I80">
        <v>15</v>
      </c>
      <c r="J80" s="5">
        <v>3097908</v>
      </c>
      <c r="L80" s="5">
        <v>3092029.5</v>
      </c>
      <c r="M80" s="5">
        <v>4130.5439999999999</v>
      </c>
      <c r="N80" s="5">
        <v>4122.7060000000001</v>
      </c>
      <c r="O80" s="5">
        <v>-5878.5</v>
      </c>
      <c r="P80" s="3">
        <v>-1.8975708768626453E-3</v>
      </c>
      <c r="Q80" s="9">
        <f t="shared" si="1"/>
        <v>35300.249999998327</v>
      </c>
      <c r="R80" s="5" t="str">
        <f>TEXT(Table1[[#This Row],[Closing Date]],"yyyy")</f>
        <v>2023</v>
      </c>
      <c r="S80" s="5" t="str">
        <f>TEXT(Table1[[#This Row],[Closing Date]],"mmmm")</f>
        <v>April</v>
      </c>
      <c r="T80" s="5" t="s">
        <v>240</v>
      </c>
      <c r="U80" s="5" t="s">
        <v>301</v>
      </c>
    </row>
    <row r="81" spans="2:21" x14ac:dyDescent="0.25">
      <c r="B81" t="s">
        <v>215</v>
      </c>
      <c r="C81" t="s">
        <v>304</v>
      </c>
      <c r="D81" t="s">
        <v>12</v>
      </c>
      <c r="E81" t="s">
        <v>7</v>
      </c>
      <c r="F81" s="5"/>
      <c r="G81" s="7">
        <v>45020</v>
      </c>
      <c r="H81" t="s">
        <v>82</v>
      </c>
      <c r="I81">
        <v>10</v>
      </c>
      <c r="J81" s="5">
        <v>2073772</v>
      </c>
      <c r="L81" s="5">
        <v>2069603</v>
      </c>
      <c r="M81" s="5">
        <v>4147.5439999999999</v>
      </c>
      <c r="N81" s="5">
        <v>4139.2060000000001</v>
      </c>
      <c r="O81" s="5">
        <v>-4169</v>
      </c>
      <c r="P81" s="3">
        <v>-2.0103463640168107E-3</v>
      </c>
      <c r="Q81" s="9">
        <f t="shared" si="1"/>
        <v>31131.249999998327</v>
      </c>
      <c r="R81" s="5" t="str">
        <f>TEXT(Table1[[#This Row],[Closing Date]],"yyyy")</f>
        <v>2023</v>
      </c>
      <c r="S81" s="5" t="str">
        <f>TEXT(Table1[[#This Row],[Closing Date]],"mmmm")</f>
        <v>April</v>
      </c>
      <c r="T81" s="5" t="s">
        <v>240</v>
      </c>
      <c r="U81" s="5" t="s">
        <v>301</v>
      </c>
    </row>
    <row r="82" spans="2:21" x14ac:dyDescent="0.25">
      <c r="B82" t="s">
        <v>215</v>
      </c>
      <c r="C82" t="s">
        <v>304</v>
      </c>
      <c r="D82" t="s">
        <v>12</v>
      </c>
      <c r="E82" t="s">
        <v>7</v>
      </c>
      <c r="F82" s="5"/>
      <c r="G82" s="7">
        <v>45020</v>
      </c>
      <c r="H82" t="s">
        <v>89</v>
      </c>
      <c r="I82">
        <v>6</v>
      </c>
      <c r="J82" s="5">
        <v>539563.19999999995</v>
      </c>
      <c r="L82" s="5">
        <v>537685.80000000005</v>
      </c>
      <c r="M82" s="5">
        <v>1798.5439999999999</v>
      </c>
      <c r="N82" s="5">
        <v>1792.2860000000001</v>
      </c>
      <c r="O82" s="5">
        <v>-1877.3999999999069</v>
      </c>
      <c r="P82" s="3">
        <v>-3.4794811803324308E-3</v>
      </c>
      <c r="Q82" s="9">
        <f t="shared" si="1"/>
        <v>29253.84999999842</v>
      </c>
      <c r="R82" s="5" t="str">
        <f>TEXT(Table1[[#This Row],[Closing Date]],"yyyy")</f>
        <v>2023</v>
      </c>
      <c r="S82" s="5" t="str">
        <f>TEXT(Table1[[#This Row],[Closing Date]],"mmmm")</f>
        <v>April</v>
      </c>
      <c r="T82" s="5" t="s">
        <v>240</v>
      </c>
      <c r="U82" s="5" t="s">
        <v>301</v>
      </c>
    </row>
    <row r="83" spans="2:21" x14ac:dyDescent="0.25">
      <c r="B83" t="s">
        <v>215</v>
      </c>
      <c r="C83" t="s">
        <v>304</v>
      </c>
      <c r="D83" t="s">
        <v>12</v>
      </c>
      <c r="E83" t="s">
        <v>7</v>
      </c>
      <c r="F83" s="5"/>
      <c r="G83" s="7">
        <v>45021</v>
      </c>
      <c r="H83" t="s">
        <v>82</v>
      </c>
      <c r="I83">
        <v>15</v>
      </c>
      <c r="J83" s="5">
        <v>3082533</v>
      </c>
      <c r="L83" s="5">
        <v>3076654.5</v>
      </c>
      <c r="M83" s="5">
        <v>4110.0439999999999</v>
      </c>
      <c r="N83" s="5">
        <v>4102.2060000000001</v>
      </c>
      <c r="O83" s="5">
        <v>-5878.5</v>
      </c>
      <c r="P83" s="3">
        <v>-1.9070355451181881E-3</v>
      </c>
      <c r="Q83" s="9">
        <f t="shared" si="1"/>
        <v>23375.34999999842</v>
      </c>
      <c r="R83" s="5" t="str">
        <f>TEXT(Table1[[#This Row],[Closing Date]],"yyyy")</f>
        <v>2023</v>
      </c>
      <c r="S83" s="5" t="str">
        <f>TEXT(Table1[[#This Row],[Closing Date]],"mmmm")</f>
        <v>April</v>
      </c>
      <c r="T83" s="5" t="s">
        <v>240</v>
      </c>
      <c r="U83" s="5" t="s">
        <v>301</v>
      </c>
    </row>
    <row r="84" spans="2:21" x14ac:dyDescent="0.25">
      <c r="B84" t="s">
        <v>215</v>
      </c>
      <c r="C84" t="s">
        <v>304</v>
      </c>
      <c r="D84" t="s">
        <v>12</v>
      </c>
      <c r="E84" t="s">
        <v>7</v>
      </c>
      <c r="F84" s="5"/>
      <c r="G84" s="7">
        <v>45022</v>
      </c>
      <c r="H84" t="s">
        <v>82</v>
      </c>
      <c r="I84">
        <v>10</v>
      </c>
      <c r="J84" s="5">
        <v>2052522</v>
      </c>
      <c r="L84" s="5">
        <v>2048478</v>
      </c>
      <c r="M84" s="5">
        <v>4105.0439999999999</v>
      </c>
      <c r="N84" s="5">
        <v>4096.9560000000001</v>
      </c>
      <c r="O84" s="5">
        <v>-4044</v>
      </c>
      <c r="P84" s="3">
        <v>-1.9702590276741831E-3</v>
      </c>
      <c r="Q84" s="9">
        <f t="shared" si="1"/>
        <v>19331.34999999842</v>
      </c>
      <c r="R84" s="5" t="str">
        <f>TEXT(Table1[[#This Row],[Closing Date]],"yyyy")</f>
        <v>2023</v>
      </c>
      <c r="S84" s="5" t="str">
        <f>TEXT(Table1[[#This Row],[Closing Date]],"mmmm")</f>
        <v>April</v>
      </c>
      <c r="T84" s="5" t="s">
        <v>240</v>
      </c>
      <c r="U84" s="5" t="s">
        <v>301</v>
      </c>
    </row>
    <row r="85" spans="2:21" x14ac:dyDescent="0.25">
      <c r="B85" t="s">
        <v>201</v>
      </c>
      <c r="C85" t="s">
        <v>305</v>
      </c>
      <c r="D85" t="s">
        <v>16</v>
      </c>
      <c r="E85" t="s">
        <v>7</v>
      </c>
      <c r="F85" s="5"/>
      <c r="G85" s="7">
        <v>45022</v>
      </c>
      <c r="H85" t="s">
        <v>186</v>
      </c>
      <c r="I85">
        <v>345</v>
      </c>
      <c r="J85" s="5">
        <v>99937.88</v>
      </c>
      <c r="L85" s="5">
        <v>97239.03</v>
      </c>
      <c r="M85" s="5">
        <v>289.67501449275363</v>
      </c>
      <c r="N85" s="5">
        <v>281.85226086956521</v>
      </c>
      <c r="O85" s="5">
        <v>-2698.8500000000058</v>
      </c>
      <c r="P85" s="3">
        <v>-2.7005275677250765E-2</v>
      </c>
      <c r="Q85" s="9">
        <f t="shared" si="1"/>
        <v>16632.499999998414</v>
      </c>
      <c r="R85" s="5" t="str">
        <f>TEXT(Table1[[#This Row],[Closing Date]],"yyyy")</f>
        <v>2023</v>
      </c>
      <c r="S85" s="5" t="str">
        <f>TEXT(Table1[[#This Row],[Closing Date]],"mmmm")</f>
        <v>April</v>
      </c>
      <c r="T85" s="5" t="s">
        <v>240</v>
      </c>
      <c r="U85" s="5" t="s">
        <v>203</v>
      </c>
    </row>
    <row r="86" spans="2:21" x14ac:dyDescent="0.25">
      <c r="B86" t="s">
        <v>215</v>
      </c>
      <c r="C86" t="s">
        <v>304</v>
      </c>
      <c r="D86" t="s">
        <v>12</v>
      </c>
      <c r="E86" t="s">
        <v>5</v>
      </c>
      <c r="F86" s="5"/>
      <c r="G86" s="7">
        <v>45027</v>
      </c>
      <c r="H86" t="s">
        <v>82</v>
      </c>
      <c r="I86">
        <v>15</v>
      </c>
      <c r="J86" s="5">
        <v>3111408</v>
      </c>
      <c r="L86" s="5">
        <v>3108904.5</v>
      </c>
      <c r="M86" s="5">
        <v>4148.5439999999999</v>
      </c>
      <c r="N86" s="5">
        <v>4145.2060000000001</v>
      </c>
      <c r="O86" s="5">
        <v>-2503.5</v>
      </c>
      <c r="P86" s="3">
        <v>-8.0461964486811238E-4</v>
      </c>
      <c r="Q86" s="9">
        <f t="shared" si="1"/>
        <v>14128.999999998414</v>
      </c>
      <c r="R86" s="5" t="str">
        <f>TEXT(Table1[[#This Row],[Closing Date]],"yyyy")</f>
        <v>2023</v>
      </c>
      <c r="S86" s="5" t="str">
        <f>TEXT(Table1[[#This Row],[Closing Date]],"mmmm")</f>
        <v>April</v>
      </c>
      <c r="T86" s="5" t="s">
        <v>240</v>
      </c>
      <c r="U86" s="5" t="s">
        <v>301</v>
      </c>
    </row>
    <row r="87" spans="2:21" x14ac:dyDescent="0.25">
      <c r="B87" t="s">
        <v>215</v>
      </c>
      <c r="C87" t="s">
        <v>304</v>
      </c>
      <c r="D87" t="s">
        <v>12</v>
      </c>
      <c r="E87" t="s">
        <v>7</v>
      </c>
      <c r="F87" s="5"/>
      <c r="G87" s="7">
        <v>45027</v>
      </c>
      <c r="H87" t="s">
        <v>82</v>
      </c>
      <c r="I87">
        <v>10</v>
      </c>
      <c r="J87" s="5">
        <v>2066147</v>
      </c>
      <c r="L87" s="5">
        <v>2072528</v>
      </c>
      <c r="M87" s="5">
        <v>4132.2939999999999</v>
      </c>
      <c r="N87" s="5">
        <v>4145.0559999999996</v>
      </c>
      <c r="O87" s="5">
        <v>6381</v>
      </c>
      <c r="P87" s="3">
        <v>3.0883572175647999E-3</v>
      </c>
      <c r="Q87" s="9">
        <f t="shared" si="1"/>
        <v>20509.999999998414</v>
      </c>
      <c r="R87" s="5" t="str">
        <f>TEXT(Table1[[#This Row],[Closing Date]],"yyyy")</f>
        <v>2023</v>
      </c>
      <c r="S87" s="5" t="str">
        <f>TEXT(Table1[[#This Row],[Closing Date]],"mmmm")</f>
        <v>April</v>
      </c>
      <c r="T87" s="5" t="s">
        <v>240</v>
      </c>
      <c r="U87" s="5" t="s">
        <v>301</v>
      </c>
    </row>
    <row r="88" spans="2:21" x14ac:dyDescent="0.25">
      <c r="B88" t="s">
        <v>215</v>
      </c>
      <c r="C88" t="s">
        <v>304</v>
      </c>
      <c r="D88" t="s">
        <v>12</v>
      </c>
      <c r="E88" t="s">
        <v>7</v>
      </c>
      <c r="F88" s="5"/>
      <c r="G88" s="7">
        <v>45028</v>
      </c>
      <c r="H88" t="s">
        <v>82</v>
      </c>
      <c r="I88">
        <v>10</v>
      </c>
      <c r="J88" s="5">
        <v>2063022</v>
      </c>
      <c r="L88" s="5">
        <v>2070728</v>
      </c>
      <c r="M88" s="5">
        <v>4126.0439999999999</v>
      </c>
      <c r="N88" s="5">
        <v>4141.4560000000001</v>
      </c>
      <c r="O88" s="5">
        <v>7706</v>
      </c>
      <c r="P88" s="3">
        <v>3.7352970545152359E-3</v>
      </c>
      <c r="Q88" s="9">
        <f t="shared" si="1"/>
        <v>28215.999999998414</v>
      </c>
      <c r="R88" s="5" t="str">
        <f>TEXT(Table1[[#This Row],[Closing Date]],"yyyy")</f>
        <v>2023</v>
      </c>
      <c r="S88" s="5" t="str">
        <f>TEXT(Table1[[#This Row],[Closing Date]],"mmmm")</f>
        <v>April</v>
      </c>
      <c r="T88" s="5" t="s">
        <v>240</v>
      </c>
      <c r="U88" s="5" t="s">
        <v>301</v>
      </c>
    </row>
    <row r="89" spans="2:21" x14ac:dyDescent="0.25">
      <c r="B89" t="s">
        <v>215</v>
      </c>
      <c r="C89" t="s">
        <v>304</v>
      </c>
      <c r="D89" t="s">
        <v>12</v>
      </c>
      <c r="E89" t="s">
        <v>5</v>
      </c>
      <c r="F89" s="5"/>
      <c r="G89" s="7">
        <v>45029</v>
      </c>
      <c r="H89" t="s">
        <v>82</v>
      </c>
      <c r="I89">
        <v>10</v>
      </c>
      <c r="J89" s="5">
        <v>2077022</v>
      </c>
      <c r="L89" s="5">
        <v>2072978</v>
      </c>
      <c r="M89" s="5">
        <v>4154.0439999999999</v>
      </c>
      <c r="N89" s="5">
        <v>4145.9560000000001</v>
      </c>
      <c r="O89" s="5">
        <v>-4044</v>
      </c>
      <c r="P89" s="3">
        <v>-1.9470183753469482E-3</v>
      </c>
      <c r="Q89" s="9">
        <f t="shared" si="1"/>
        <v>24171.999999998414</v>
      </c>
      <c r="R89" s="5" t="str">
        <f>TEXT(Table1[[#This Row],[Closing Date]],"yyyy")</f>
        <v>2023</v>
      </c>
      <c r="S89" s="5" t="str">
        <f>TEXT(Table1[[#This Row],[Closing Date]],"mmmm")</f>
        <v>April</v>
      </c>
      <c r="T89" s="5" t="s">
        <v>240</v>
      </c>
      <c r="U89" s="5" t="s">
        <v>301</v>
      </c>
    </row>
    <row r="90" spans="2:21" x14ac:dyDescent="0.25">
      <c r="B90" t="s">
        <v>215</v>
      </c>
      <c r="C90" t="s">
        <v>304</v>
      </c>
      <c r="D90" t="s">
        <v>12</v>
      </c>
      <c r="E90" t="s">
        <v>5</v>
      </c>
      <c r="F90" s="5"/>
      <c r="G90" s="7">
        <v>45030</v>
      </c>
      <c r="H90" t="s">
        <v>82</v>
      </c>
      <c r="I90">
        <v>10</v>
      </c>
      <c r="J90" s="5">
        <v>2092897</v>
      </c>
      <c r="L90" s="5">
        <v>2088978</v>
      </c>
      <c r="M90" s="5">
        <v>4185.7939999999999</v>
      </c>
      <c r="N90" s="5">
        <v>4177.9560000000001</v>
      </c>
      <c r="O90" s="5">
        <v>-3919</v>
      </c>
      <c r="P90" s="3">
        <v>-1.8725240659238696E-3</v>
      </c>
      <c r="Q90" s="9">
        <f t="shared" si="1"/>
        <v>20252.999999998414</v>
      </c>
      <c r="R90" s="5" t="str">
        <f>TEXT(Table1[[#This Row],[Closing Date]],"yyyy")</f>
        <v>2023</v>
      </c>
      <c r="S90" s="5" t="str">
        <f>TEXT(Table1[[#This Row],[Closing Date]],"mmmm")</f>
        <v>April</v>
      </c>
      <c r="T90" s="5" t="s">
        <v>240</v>
      </c>
      <c r="U90" s="5" t="s">
        <v>301</v>
      </c>
    </row>
    <row r="91" spans="2:21" x14ac:dyDescent="0.25">
      <c r="B91" t="s">
        <v>201</v>
      </c>
      <c r="C91" t="s">
        <v>306</v>
      </c>
      <c r="D91" t="s">
        <v>16</v>
      </c>
      <c r="E91" t="s">
        <v>5</v>
      </c>
      <c r="F91" s="5"/>
      <c r="G91" s="7">
        <v>45033</v>
      </c>
      <c r="H91" t="s">
        <v>22</v>
      </c>
      <c r="I91">
        <v>1500</v>
      </c>
      <c r="J91" s="5">
        <v>142365.6</v>
      </c>
      <c r="L91" s="5">
        <v>139028.76999999999</v>
      </c>
      <c r="M91" s="5">
        <v>94.91040000000001</v>
      </c>
      <c r="N91" s="5">
        <v>92.685846666666663</v>
      </c>
      <c r="O91" s="5">
        <v>-3336.8300000000163</v>
      </c>
      <c r="P91" s="3">
        <v>-2.3438457042993674E-2</v>
      </c>
      <c r="Q91" s="9">
        <f t="shared" si="1"/>
        <v>16916.169999998398</v>
      </c>
      <c r="R91" s="5" t="str">
        <f>TEXT(Table1[[#This Row],[Closing Date]],"yyyy")</f>
        <v>2023</v>
      </c>
      <c r="S91" s="5" t="str">
        <f>TEXT(Table1[[#This Row],[Closing Date]],"mmmm")</f>
        <v>April</v>
      </c>
      <c r="T91" s="5" t="s">
        <v>240</v>
      </c>
      <c r="U91" s="5" t="s">
        <v>301</v>
      </c>
    </row>
    <row r="92" spans="2:21" x14ac:dyDescent="0.25">
      <c r="B92" t="s">
        <v>215</v>
      </c>
      <c r="C92" t="s">
        <v>304</v>
      </c>
      <c r="D92" t="s">
        <v>12</v>
      </c>
      <c r="E92" t="s">
        <v>7</v>
      </c>
      <c r="F92" s="5"/>
      <c r="G92" s="7">
        <v>45033</v>
      </c>
      <c r="H92" t="s">
        <v>82</v>
      </c>
      <c r="I92">
        <v>15</v>
      </c>
      <c r="J92" s="5">
        <v>3112533</v>
      </c>
      <c r="L92" s="5">
        <v>3112842</v>
      </c>
      <c r="M92" s="5">
        <v>4150.0439999999999</v>
      </c>
      <c r="N92" s="5">
        <v>4150.4560000000001</v>
      </c>
      <c r="O92" s="5">
        <v>309</v>
      </c>
      <c r="P92" s="3">
        <v>9.9276055868386445E-5</v>
      </c>
      <c r="Q92" s="9">
        <f t="shared" si="1"/>
        <v>17225.169999998398</v>
      </c>
      <c r="R92" s="5" t="str">
        <f>TEXT(Table1[[#This Row],[Closing Date]],"yyyy")</f>
        <v>2023</v>
      </c>
      <c r="S92" s="5" t="str">
        <f>TEXT(Table1[[#This Row],[Closing Date]],"mmmm")</f>
        <v>April</v>
      </c>
      <c r="T92" s="5" t="s">
        <v>240</v>
      </c>
      <c r="U92" s="5" t="s">
        <v>301</v>
      </c>
    </row>
    <row r="93" spans="2:21" x14ac:dyDescent="0.25">
      <c r="B93" t="s">
        <v>201</v>
      </c>
      <c r="C93" t="s">
        <v>302</v>
      </c>
      <c r="D93" t="s">
        <v>16</v>
      </c>
      <c r="E93" t="s">
        <v>5</v>
      </c>
      <c r="F93" s="5"/>
      <c r="G93" s="7">
        <v>45033</v>
      </c>
      <c r="H93" t="s">
        <v>22</v>
      </c>
      <c r="I93">
        <v>1500</v>
      </c>
      <c r="J93" s="5">
        <v>142365.6</v>
      </c>
      <c r="L93" s="5">
        <v>139028.76999999999</v>
      </c>
      <c r="M93" s="5">
        <v>94.91040000000001</v>
      </c>
      <c r="N93" s="5">
        <v>92.685846666666663</v>
      </c>
      <c r="O93" s="5">
        <v>-3336.8300000000163</v>
      </c>
      <c r="P93" s="3">
        <v>-2.3438457042993674E-2</v>
      </c>
      <c r="Q93" s="9">
        <f t="shared" si="1"/>
        <v>13888.339999998381</v>
      </c>
      <c r="R93" s="5" t="str">
        <f>TEXT(Table1[[#This Row],[Closing Date]],"yyyy")</f>
        <v>2023</v>
      </c>
      <c r="S93" s="5" t="str">
        <f>TEXT(Table1[[#This Row],[Closing Date]],"mmmm")</f>
        <v>April</v>
      </c>
      <c r="T93" s="5" t="s">
        <v>240</v>
      </c>
      <c r="U93" s="5" t="s">
        <v>301</v>
      </c>
    </row>
    <row r="94" spans="2:21" x14ac:dyDescent="0.25">
      <c r="B94" t="s">
        <v>201</v>
      </c>
      <c r="C94" t="s">
        <v>305</v>
      </c>
      <c r="D94" t="s">
        <v>28</v>
      </c>
      <c r="E94" t="s">
        <v>7</v>
      </c>
      <c r="F94" s="5"/>
      <c r="G94" s="7">
        <v>45033</v>
      </c>
      <c r="H94" t="s">
        <v>111</v>
      </c>
      <c r="I94">
        <v>2361</v>
      </c>
      <c r="J94" s="5">
        <v>99870.3</v>
      </c>
      <c r="L94" s="5">
        <v>94321.2</v>
      </c>
      <c r="M94" s="5">
        <v>42.300000000000004</v>
      </c>
      <c r="N94" s="5">
        <v>39.949682337992378</v>
      </c>
      <c r="O94" s="5">
        <v>-5549.1000000000058</v>
      </c>
      <c r="P94" s="3">
        <v>-5.5563065295688566E-2</v>
      </c>
      <c r="Q94" s="9">
        <f t="shared" si="1"/>
        <v>8339.2399999983754</v>
      </c>
      <c r="R94" s="5" t="str">
        <f>TEXT(Table1[[#This Row],[Closing Date]],"yyyy")</f>
        <v>2023</v>
      </c>
      <c r="S94" s="5" t="str">
        <f>TEXT(Table1[[#This Row],[Closing Date]],"mmmm")</f>
        <v>April</v>
      </c>
      <c r="T94" s="5" t="s">
        <v>240</v>
      </c>
      <c r="U94" s="5" t="s">
        <v>203</v>
      </c>
    </row>
    <row r="95" spans="2:21" x14ac:dyDescent="0.25">
      <c r="B95" t="s">
        <v>201</v>
      </c>
      <c r="C95" t="s">
        <v>305</v>
      </c>
      <c r="D95" t="s">
        <v>16</v>
      </c>
      <c r="E95" t="s">
        <v>7</v>
      </c>
      <c r="F95" s="5"/>
      <c r="G95" s="7">
        <v>45033</v>
      </c>
      <c r="H95" t="s">
        <v>24</v>
      </c>
      <c r="I95">
        <v>157</v>
      </c>
      <c r="J95" s="5">
        <v>99716.479999999996</v>
      </c>
      <c r="L95" s="5">
        <v>109266.42</v>
      </c>
      <c r="M95" s="5">
        <v>635.13681528662414</v>
      </c>
      <c r="N95" s="5">
        <v>695.96445859872608</v>
      </c>
      <c r="O95" s="5">
        <v>9549.9400000000023</v>
      </c>
      <c r="P95" s="3">
        <v>9.5770929739998872E-2</v>
      </c>
      <c r="Q95" s="9">
        <f t="shared" si="1"/>
        <v>17889.179999998378</v>
      </c>
      <c r="R95" s="5" t="str">
        <f>TEXT(Table1[[#This Row],[Closing Date]],"yyyy")</f>
        <v>2023</v>
      </c>
      <c r="S95" s="5" t="str">
        <f>TEXT(Table1[[#This Row],[Closing Date]],"mmmm")</f>
        <v>April</v>
      </c>
      <c r="T95" s="5" t="s">
        <v>240</v>
      </c>
      <c r="U95" s="5" t="s">
        <v>203</v>
      </c>
    </row>
    <row r="96" spans="2:21" x14ac:dyDescent="0.25">
      <c r="B96" t="s">
        <v>215</v>
      </c>
      <c r="C96" t="s">
        <v>304</v>
      </c>
      <c r="D96" t="s">
        <v>12</v>
      </c>
      <c r="E96" t="s">
        <v>7</v>
      </c>
      <c r="F96" s="5"/>
      <c r="G96" s="7">
        <v>45034</v>
      </c>
      <c r="H96" t="s">
        <v>82</v>
      </c>
      <c r="I96">
        <v>15</v>
      </c>
      <c r="J96" s="5">
        <v>3129220.5</v>
      </c>
      <c r="L96" s="5">
        <v>3130967</v>
      </c>
      <c r="M96" s="5">
        <v>4172.2939999999999</v>
      </c>
      <c r="N96" s="5">
        <v>4174.6226666666662</v>
      </c>
      <c r="O96" s="5">
        <v>1746.5</v>
      </c>
      <c r="P96" s="3">
        <v>5.5812621705620996E-4</v>
      </c>
      <c r="Q96" s="9">
        <f t="shared" si="1"/>
        <v>19635.679999998378</v>
      </c>
      <c r="R96" s="5" t="str">
        <f>TEXT(Table1[[#This Row],[Closing Date]],"yyyy")</f>
        <v>2023</v>
      </c>
      <c r="S96" s="5" t="str">
        <f>TEXT(Table1[[#This Row],[Closing Date]],"mmmm")</f>
        <v>April</v>
      </c>
      <c r="T96" s="5" t="s">
        <v>240</v>
      </c>
      <c r="U96" s="5" t="s">
        <v>301</v>
      </c>
    </row>
    <row r="97" spans="2:21" x14ac:dyDescent="0.25">
      <c r="B97" t="s">
        <v>201</v>
      </c>
      <c r="C97" t="s">
        <v>306</v>
      </c>
      <c r="D97" t="s">
        <v>12</v>
      </c>
      <c r="E97" t="s">
        <v>7</v>
      </c>
      <c r="F97" s="5"/>
      <c r="G97" s="7">
        <v>45036</v>
      </c>
      <c r="H97" t="s">
        <v>82</v>
      </c>
      <c r="I97">
        <v>25</v>
      </c>
      <c r="J97" s="5">
        <v>5181305</v>
      </c>
      <c r="L97" s="5">
        <v>5171195</v>
      </c>
      <c r="M97" s="5">
        <v>4145.0439999999999</v>
      </c>
      <c r="N97" s="5">
        <v>4136.9560000000001</v>
      </c>
      <c r="O97" s="5">
        <v>-10110</v>
      </c>
      <c r="P97" s="3">
        <v>-1.95124587338518E-3</v>
      </c>
      <c r="Q97" s="9">
        <f t="shared" si="1"/>
        <v>9525.6799999983778</v>
      </c>
      <c r="R97" s="5" t="str">
        <f>TEXT(Table1[[#This Row],[Closing Date]],"yyyy")</f>
        <v>2023</v>
      </c>
      <c r="S97" s="5" t="str">
        <f>TEXT(Table1[[#This Row],[Closing Date]],"mmmm")</f>
        <v>April</v>
      </c>
      <c r="T97" s="5" t="s">
        <v>240</v>
      </c>
      <c r="U97" s="5" t="s">
        <v>301</v>
      </c>
    </row>
    <row r="98" spans="2:21" x14ac:dyDescent="0.25">
      <c r="B98" t="s">
        <v>197</v>
      </c>
      <c r="C98" t="s">
        <v>305</v>
      </c>
      <c r="D98" t="s">
        <v>102</v>
      </c>
      <c r="E98" t="s">
        <v>7</v>
      </c>
      <c r="F98" s="5"/>
      <c r="G98" s="7">
        <v>45037</v>
      </c>
      <c r="H98" t="s">
        <v>15</v>
      </c>
      <c r="I98">
        <v>35</v>
      </c>
      <c r="J98" s="5">
        <v>5804.1200000000008</v>
      </c>
      <c r="K98" s="13">
        <v>100</v>
      </c>
      <c r="L98" s="5">
        <v>0</v>
      </c>
      <c r="M98" s="5">
        <v>1.6583200000000002</v>
      </c>
      <c r="N98" s="5">
        <v>0</v>
      </c>
      <c r="O98" s="5">
        <v>-5804.1200000000008</v>
      </c>
      <c r="P98" s="3">
        <v>-1</v>
      </c>
      <c r="Q98" s="9">
        <f t="shared" si="1"/>
        <v>3721.559999998377</v>
      </c>
      <c r="R98" s="5" t="str">
        <f>TEXT(Table1[[#This Row],[Closing Date]],"yyyy")</f>
        <v>2023</v>
      </c>
      <c r="S98" s="5" t="str">
        <f>TEXT(Table1[[#This Row],[Closing Date]],"mmmm")</f>
        <v>April</v>
      </c>
      <c r="T98" s="5" t="s">
        <v>240</v>
      </c>
      <c r="U98" s="5" t="s">
        <v>301</v>
      </c>
    </row>
    <row r="99" spans="2:21" x14ac:dyDescent="0.25">
      <c r="B99" t="s">
        <v>197</v>
      </c>
      <c r="C99" t="s">
        <v>305</v>
      </c>
      <c r="D99" t="s">
        <v>102</v>
      </c>
      <c r="E99" t="s">
        <v>7</v>
      </c>
      <c r="F99" s="5"/>
      <c r="G99" s="7">
        <v>45037</v>
      </c>
      <c r="H99" t="s">
        <v>9</v>
      </c>
      <c r="I99">
        <v>30</v>
      </c>
      <c r="J99" s="5">
        <v>5684.32</v>
      </c>
      <c r="K99" s="13">
        <v>100</v>
      </c>
      <c r="L99" s="5">
        <v>20408.47</v>
      </c>
      <c r="M99" s="5">
        <v>1.8947733333333332</v>
      </c>
      <c r="N99" s="5">
        <v>6.8028233333333334</v>
      </c>
      <c r="O99" s="5">
        <v>14724.150000000001</v>
      </c>
      <c r="P99" s="3">
        <v>2.5903098347735529</v>
      </c>
      <c r="Q99" s="9">
        <f t="shared" si="1"/>
        <v>18445.709999998377</v>
      </c>
      <c r="R99" s="5" t="str">
        <f>TEXT(Table1[[#This Row],[Closing Date]],"yyyy")</f>
        <v>2023</v>
      </c>
      <c r="S99" s="5" t="str">
        <f>TEXT(Table1[[#This Row],[Closing Date]],"mmmm")</f>
        <v>April</v>
      </c>
      <c r="T99" s="5" t="s">
        <v>240</v>
      </c>
      <c r="U99" s="5" t="s">
        <v>301</v>
      </c>
    </row>
    <row r="100" spans="2:21" x14ac:dyDescent="0.25">
      <c r="B100" t="s">
        <v>197</v>
      </c>
      <c r="C100" t="s">
        <v>305</v>
      </c>
      <c r="D100" t="s">
        <v>102</v>
      </c>
      <c r="E100" t="s">
        <v>7</v>
      </c>
      <c r="F100" s="5"/>
      <c r="G100" s="7">
        <v>45037</v>
      </c>
      <c r="H100" t="s">
        <v>18</v>
      </c>
      <c r="I100">
        <v>70</v>
      </c>
      <c r="J100" s="5">
        <v>6381.34</v>
      </c>
      <c r="K100" s="13">
        <v>100</v>
      </c>
      <c r="L100" s="5">
        <v>31903.38</v>
      </c>
      <c r="M100" s="5">
        <v>0.9116200000000001</v>
      </c>
      <c r="N100" s="5">
        <v>4.5576257142857148</v>
      </c>
      <c r="O100" s="5">
        <v>25522.04</v>
      </c>
      <c r="P100" s="3">
        <v>3.9994797330968104</v>
      </c>
      <c r="Q100" s="9">
        <f t="shared" si="1"/>
        <v>43967.749999998377</v>
      </c>
      <c r="R100" s="5" t="str">
        <f>TEXT(Table1[[#This Row],[Closing Date]],"yyyy")</f>
        <v>2023</v>
      </c>
      <c r="S100" s="5" t="str">
        <f>TEXT(Table1[[#This Row],[Closing Date]],"mmmm")</f>
        <v>April</v>
      </c>
      <c r="T100" s="5" t="s">
        <v>240</v>
      </c>
      <c r="U100" s="5" t="s">
        <v>301</v>
      </c>
    </row>
    <row r="101" spans="2:21" x14ac:dyDescent="0.25">
      <c r="B101" t="s">
        <v>201</v>
      </c>
      <c r="C101" t="s">
        <v>305</v>
      </c>
      <c r="D101" t="s">
        <v>16</v>
      </c>
      <c r="E101" t="s">
        <v>7</v>
      </c>
      <c r="F101" s="5"/>
      <c r="G101" s="7">
        <v>45037</v>
      </c>
      <c r="H101" t="s">
        <v>19</v>
      </c>
      <c r="I101">
        <v>4000</v>
      </c>
      <c r="J101" s="5">
        <v>132020</v>
      </c>
      <c r="L101" s="5">
        <v>144446.06</v>
      </c>
      <c r="M101" s="5">
        <v>33.005000000000003</v>
      </c>
      <c r="N101" s="5">
        <v>36.111514999999997</v>
      </c>
      <c r="O101" s="5">
        <v>12426.059999999998</v>
      </c>
      <c r="P101" s="3">
        <v>9.4122557188304631E-2</v>
      </c>
      <c r="Q101" s="9">
        <f t="shared" si="1"/>
        <v>56393.809999998375</v>
      </c>
      <c r="R101" s="5" t="str">
        <f>TEXT(Table1[[#This Row],[Closing Date]],"yyyy")</f>
        <v>2023</v>
      </c>
      <c r="S101" s="5" t="str">
        <f>TEXT(Table1[[#This Row],[Closing Date]],"mmmm")</f>
        <v>April</v>
      </c>
      <c r="T101" s="5" t="s">
        <v>240</v>
      </c>
      <c r="U101" s="5" t="s">
        <v>301</v>
      </c>
    </row>
    <row r="102" spans="2:21" x14ac:dyDescent="0.25">
      <c r="B102" t="s">
        <v>197</v>
      </c>
      <c r="C102" t="s">
        <v>306</v>
      </c>
      <c r="D102" t="s">
        <v>99</v>
      </c>
      <c r="E102" t="s">
        <v>7</v>
      </c>
      <c r="F102" s="5"/>
      <c r="G102" s="7">
        <v>45037</v>
      </c>
      <c r="H102" t="s">
        <v>14</v>
      </c>
      <c r="I102">
        <v>11</v>
      </c>
      <c r="J102" s="5">
        <v>2016.07</v>
      </c>
      <c r="K102" s="13">
        <v>100</v>
      </c>
      <c r="L102" s="5">
        <v>0</v>
      </c>
      <c r="M102" s="5">
        <v>1.8327909090909091</v>
      </c>
      <c r="N102" s="5">
        <v>0</v>
      </c>
      <c r="O102" s="5">
        <v>-2016.07</v>
      </c>
      <c r="P102" s="3">
        <v>-1</v>
      </c>
      <c r="Q102" s="9">
        <f t="shared" si="1"/>
        <v>54377.739999998375</v>
      </c>
      <c r="R102" s="5" t="str">
        <f>TEXT(Table1[[#This Row],[Closing Date]],"yyyy")</f>
        <v>2023</v>
      </c>
      <c r="S102" s="5" t="str">
        <f>TEXT(Table1[[#This Row],[Closing Date]],"mmmm")</f>
        <v>April</v>
      </c>
      <c r="T102" s="5" t="s">
        <v>240</v>
      </c>
      <c r="U102" s="5" t="s">
        <v>301</v>
      </c>
    </row>
    <row r="103" spans="2:21" x14ac:dyDescent="0.25">
      <c r="B103" t="s">
        <v>201</v>
      </c>
      <c r="C103" t="s">
        <v>305</v>
      </c>
      <c r="D103" t="s">
        <v>4</v>
      </c>
      <c r="E103" t="s">
        <v>5</v>
      </c>
      <c r="F103" s="5"/>
      <c r="G103" s="7">
        <v>45040</v>
      </c>
      <c r="H103" t="s">
        <v>21</v>
      </c>
      <c r="I103">
        <v>1000000</v>
      </c>
      <c r="J103" s="5">
        <v>1243848.8799999999</v>
      </c>
      <c r="L103" s="5">
        <v>1243855.1200000001</v>
      </c>
      <c r="M103" s="5">
        <v>1.2438488799999998</v>
      </c>
      <c r="N103" s="5">
        <v>1.2438551200000001</v>
      </c>
      <c r="O103" s="5">
        <v>6.2400000002235174</v>
      </c>
      <c r="P103" s="3">
        <v>5.0166614261502715E-6</v>
      </c>
      <c r="Q103" s="9">
        <f t="shared" si="1"/>
        <v>54383.979999998599</v>
      </c>
      <c r="R103" s="5" t="str">
        <f>TEXT(Table1[[#This Row],[Closing Date]],"yyyy")</f>
        <v>2023</v>
      </c>
      <c r="S103" s="5" t="str">
        <f>TEXT(Table1[[#This Row],[Closing Date]],"mmmm")</f>
        <v>April</v>
      </c>
      <c r="T103" s="5" t="s">
        <v>240</v>
      </c>
      <c r="U103" s="5" t="s">
        <v>301</v>
      </c>
    </row>
    <row r="104" spans="2:21" x14ac:dyDescent="0.25">
      <c r="B104" t="s">
        <v>201</v>
      </c>
      <c r="C104" t="s">
        <v>305</v>
      </c>
      <c r="D104" t="s">
        <v>16</v>
      </c>
      <c r="E104" t="s">
        <v>5</v>
      </c>
      <c r="F104" s="5"/>
      <c r="G104" s="7">
        <v>45040</v>
      </c>
      <c r="H104" t="s">
        <v>27</v>
      </c>
      <c r="I104">
        <v>10685</v>
      </c>
      <c r="J104" s="5">
        <v>151859.99</v>
      </c>
      <c r="L104" s="5">
        <v>125423.6</v>
      </c>
      <c r="M104" s="5">
        <v>14.212446420215255</v>
      </c>
      <c r="N104" s="5">
        <v>11.738287318671034</v>
      </c>
      <c r="O104" s="5">
        <v>26436.389999999985</v>
      </c>
      <c r="P104" s="3">
        <v>0.17408397037297307</v>
      </c>
      <c r="Q104" s="9">
        <f t="shared" si="1"/>
        <v>80820.369999998584</v>
      </c>
      <c r="R104" s="5" t="str">
        <f>TEXT(Table1[[#This Row],[Closing Date]],"yyyy")</f>
        <v>2023</v>
      </c>
      <c r="S104" s="5" t="str">
        <f>TEXT(Table1[[#This Row],[Closing Date]],"mmmm")</f>
        <v>April</v>
      </c>
      <c r="T104" s="5" t="s">
        <v>240</v>
      </c>
      <c r="U104" s="5" t="s">
        <v>203</v>
      </c>
    </row>
    <row r="105" spans="2:21" x14ac:dyDescent="0.25">
      <c r="B105" t="s">
        <v>201</v>
      </c>
      <c r="C105" t="s">
        <v>305</v>
      </c>
      <c r="D105" t="s">
        <v>16</v>
      </c>
      <c r="E105" t="s">
        <v>7</v>
      </c>
      <c r="F105" s="5"/>
      <c r="G105" s="7">
        <v>45041</v>
      </c>
      <c r="H105" t="s">
        <v>20</v>
      </c>
      <c r="I105">
        <v>2700</v>
      </c>
      <c r="J105" s="5">
        <v>125883.44</v>
      </c>
      <c r="L105" s="5">
        <v>130262.86</v>
      </c>
      <c r="M105" s="5">
        <v>46.623496296296295</v>
      </c>
      <c r="N105" s="5">
        <v>48.245503703703704</v>
      </c>
      <c r="O105" s="5">
        <v>4379.4199999999983</v>
      </c>
      <c r="P105" s="3">
        <v>3.4789484621646855E-2</v>
      </c>
      <c r="Q105" s="9">
        <f t="shared" si="1"/>
        <v>85199.789999998582</v>
      </c>
      <c r="R105" s="5" t="str">
        <f>TEXT(Table1[[#This Row],[Closing Date]],"yyyy")</f>
        <v>2023</v>
      </c>
      <c r="S105" s="5" t="str">
        <f>TEXT(Table1[[#This Row],[Closing Date]],"mmmm")</f>
        <v>April</v>
      </c>
      <c r="T105" s="5" t="s">
        <v>240</v>
      </c>
      <c r="U105" s="5" t="s">
        <v>301</v>
      </c>
    </row>
    <row r="106" spans="2:21" x14ac:dyDescent="0.25">
      <c r="B106" t="s">
        <v>215</v>
      </c>
      <c r="C106" t="s">
        <v>304</v>
      </c>
      <c r="D106" t="s">
        <v>12</v>
      </c>
      <c r="E106" t="s">
        <v>7</v>
      </c>
      <c r="F106" s="5"/>
      <c r="G106" s="7">
        <v>45041</v>
      </c>
      <c r="H106" t="s">
        <v>82</v>
      </c>
      <c r="I106">
        <v>25</v>
      </c>
      <c r="J106" s="5">
        <v>5162555</v>
      </c>
      <c r="L106" s="5">
        <v>5152132.5</v>
      </c>
      <c r="M106" s="5">
        <v>4130.0439999999999</v>
      </c>
      <c r="N106" s="5">
        <v>4121.7060000000001</v>
      </c>
      <c r="O106" s="5">
        <v>-10422.5</v>
      </c>
      <c r="P106" s="3">
        <v>-2.0188646900613501E-3</v>
      </c>
      <c r="Q106" s="9">
        <f t="shared" si="1"/>
        <v>74777.289999998582</v>
      </c>
      <c r="R106" s="5" t="str">
        <f>TEXT(Table1[[#This Row],[Closing Date]],"yyyy")</f>
        <v>2023</v>
      </c>
      <c r="S106" s="5" t="str">
        <f>TEXT(Table1[[#This Row],[Closing Date]],"mmmm")</f>
        <v>April</v>
      </c>
      <c r="T106" s="5" t="s">
        <v>240</v>
      </c>
      <c r="U106" s="5" t="s">
        <v>301</v>
      </c>
    </row>
    <row r="107" spans="2:21" x14ac:dyDescent="0.25">
      <c r="B107" t="s">
        <v>215</v>
      </c>
      <c r="C107" t="s">
        <v>304</v>
      </c>
      <c r="D107" t="s">
        <v>12</v>
      </c>
      <c r="E107" t="s">
        <v>7</v>
      </c>
      <c r="F107" s="5"/>
      <c r="G107" s="7">
        <v>45041</v>
      </c>
      <c r="H107" t="s">
        <v>82</v>
      </c>
      <c r="I107">
        <v>25</v>
      </c>
      <c r="J107" s="5">
        <v>5137555</v>
      </c>
      <c r="L107" s="5">
        <v>5127445</v>
      </c>
      <c r="M107" s="5">
        <v>4110.0439999999999</v>
      </c>
      <c r="N107" s="5">
        <v>4101.9560000000001</v>
      </c>
      <c r="O107" s="5">
        <v>-10110</v>
      </c>
      <c r="P107" s="3">
        <v>-1.9678621445414547E-3</v>
      </c>
      <c r="Q107" s="9">
        <f t="shared" si="1"/>
        <v>64667.289999998582</v>
      </c>
      <c r="R107" s="5" t="str">
        <f>TEXT(Table1[[#This Row],[Closing Date]],"yyyy")</f>
        <v>2023</v>
      </c>
      <c r="S107" s="5" t="str">
        <f>TEXT(Table1[[#This Row],[Closing Date]],"mmmm")</f>
        <v>April</v>
      </c>
      <c r="T107" s="5" t="s">
        <v>240</v>
      </c>
      <c r="U107" s="5" t="s">
        <v>301</v>
      </c>
    </row>
    <row r="108" spans="2:21" x14ac:dyDescent="0.25">
      <c r="B108" t="s">
        <v>215</v>
      </c>
      <c r="C108" t="s">
        <v>304</v>
      </c>
      <c r="D108" t="s">
        <v>12</v>
      </c>
      <c r="E108" t="s">
        <v>5</v>
      </c>
      <c r="F108" s="5"/>
      <c r="G108" s="7">
        <v>45043</v>
      </c>
      <c r="H108" t="s">
        <v>82</v>
      </c>
      <c r="I108">
        <v>15</v>
      </c>
      <c r="J108" s="5">
        <v>3093783</v>
      </c>
      <c r="L108" s="5">
        <v>3089967</v>
      </c>
      <c r="M108" s="5">
        <v>4125.0439999999999</v>
      </c>
      <c r="N108" s="5">
        <v>4119.9560000000001</v>
      </c>
      <c r="O108" s="5">
        <v>-3816</v>
      </c>
      <c r="P108" s="3">
        <v>-1.2334413887463353E-3</v>
      </c>
      <c r="Q108" s="9">
        <f t="shared" si="1"/>
        <v>60851.289999998582</v>
      </c>
      <c r="R108" s="5" t="str">
        <f>TEXT(Table1[[#This Row],[Closing Date]],"yyyy")</f>
        <v>2023</v>
      </c>
      <c r="S108" s="5" t="str">
        <f>TEXT(Table1[[#This Row],[Closing Date]],"mmmm")</f>
        <v>April</v>
      </c>
      <c r="T108" s="5" t="s">
        <v>240</v>
      </c>
      <c r="U108" s="5" t="s">
        <v>301</v>
      </c>
    </row>
    <row r="109" spans="2:21" x14ac:dyDescent="0.25">
      <c r="B109" t="s">
        <v>201</v>
      </c>
      <c r="C109" t="s">
        <v>305</v>
      </c>
      <c r="D109" t="s">
        <v>16</v>
      </c>
      <c r="E109" t="s">
        <v>7</v>
      </c>
      <c r="F109" s="5"/>
      <c r="G109" s="7">
        <v>45043</v>
      </c>
      <c r="H109" t="s">
        <v>179</v>
      </c>
      <c r="I109">
        <v>5555</v>
      </c>
      <c r="J109" s="5">
        <v>459740.33</v>
      </c>
      <c r="L109" s="5">
        <v>523936.23</v>
      </c>
      <c r="M109" s="5">
        <v>82.761535553555362</v>
      </c>
      <c r="N109" s="5">
        <v>94.317953195319532</v>
      </c>
      <c r="O109" s="5">
        <v>64195.899999999965</v>
      </c>
      <c r="P109" s="3">
        <v>0.13963512837779526</v>
      </c>
      <c r="Q109" s="9">
        <f t="shared" si="1"/>
        <v>125047.18999999855</v>
      </c>
      <c r="R109" s="5" t="str">
        <f>TEXT(Table1[[#This Row],[Closing Date]],"yyyy")</f>
        <v>2023</v>
      </c>
      <c r="S109" s="5" t="str">
        <f>TEXT(Table1[[#This Row],[Closing Date]],"mmmm")</f>
        <v>April</v>
      </c>
      <c r="T109" s="5" t="s">
        <v>240</v>
      </c>
      <c r="U109" s="5" t="s">
        <v>203</v>
      </c>
    </row>
    <row r="110" spans="2:21" x14ac:dyDescent="0.25">
      <c r="B110" t="s">
        <v>197</v>
      </c>
      <c r="C110" t="s">
        <v>305</v>
      </c>
      <c r="D110" t="s">
        <v>102</v>
      </c>
      <c r="E110" t="s">
        <v>7</v>
      </c>
      <c r="F110" s="5"/>
      <c r="G110" s="7">
        <v>45044</v>
      </c>
      <c r="H110" t="s">
        <v>130</v>
      </c>
      <c r="I110">
        <v>100</v>
      </c>
      <c r="J110" s="5">
        <v>4367.4399999999996</v>
      </c>
      <c r="K110" s="13">
        <v>100</v>
      </c>
      <c r="L110" s="5">
        <v>0</v>
      </c>
      <c r="M110" s="5">
        <v>0.43674399999999997</v>
      </c>
      <c r="N110" s="5">
        <v>0</v>
      </c>
      <c r="O110" s="5">
        <v>-4367.4399999999996</v>
      </c>
      <c r="P110" s="3">
        <v>-1</v>
      </c>
      <c r="Q110" s="9">
        <f t="shared" si="1"/>
        <v>120679.74999999854</v>
      </c>
      <c r="R110" s="5" t="str">
        <f>TEXT(Table1[[#This Row],[Closing Date]],"yyyy")</f>
        <v>2023</v>
      </c>
      <c r="S110" s="5" t="str">
        <f>TEXT(Table1[[#This Row],[Closing Date]],"mmmm")</f>
        <v>April</v>
      </c>
      <c r="T110" s="5" t="s">
        <v>240</v>
      </c>
      <c r="U110" s="5" t="s">
        <v>301</v>
      </c>
    </row>
    <row r="111" spans="2:21" x14ac:dyDescent="0.25">
      <c r="B111" t="s">
        <v>215</v>
      </c>
      <c r="C111" t="s">
        <v>304</v>
      </c>
      <c r="D111" t="s">
        <v>12</v>
      </c>
      <c r="E111" t="s">
        <v>5</v>
      </c>
      <c r="F111" s="5"/>
      <c r="G111" s="7">
        <v>45044</v>
      </c>
      <c r="H111" t="s">
        <v>82</v>
      </c>
      <c r="I111">
        <v>15</v>
      </c>
      <c r="J111" s="5">
        <v>3129408</v>
      </c>
      <c r="L111" s="5">
        <v>3123717</v>
      </c>
      <c r="M111" s="5">
        <v>4172.5439999999999</v>
      </c>
      <c r="N111" s="5">
        <v>4164.9560000000001</v>
      </c>
      <c r="O111" s="5">
        <v>-5691</v>
      </c>
      <c r="P111" s="3">
        <v>-1.8185548193140055E-3</v>
      </c>
      <c r="Q111" s="9">
        <f t="shared" si="1"/>
        <v>114988.74999999854</v>
      </c>
      <c r="R111" s="5" t="str">
        <f>TEXT(Table1[[#This Row],[Closing Date]],"yyyy")</f>
        <v>2023</v>
      </c>
      <c r="S111" s="5" t="str">
        <f>TEXT(Table1[[#This Row],[Closing Date]],"mmmm")</f>
        <v>April</v>
      </c>
      <c r="T111" s="5" t="s">
        <v>240</v>
      </c>
      <c r="U111" s="5" t="s">
        <v>301</v>
      </c>
    </row>
    <row r="112" spans="2:21" x14ac:dyDescent="0.25">
      <c r="B112" t="s">
        <v>201</v>
      </c>
      <c r="C112" t="s">
        <v>305</v>
      </c>
      <c r="D112" t="s">
        <v>16</v>
      </c>
      <c r="E112" t="s">
        <v>7</v>
      </c>
      <c r="F112" s="5"/>
      <c r="G112" s="7">
        <v>45044</v>
      </c>
      <c r="H112" t="s">
        <v>185</v>
      </c>
      <c r="I112">
        <v>3500</v>
      </c>
      <c r="J112" s="5">
        <v>256479.65</v>
      </c>
      <c r="L112" s="5">
        <v>244263.1</v>
      </c>
      <c r="M112" s="5">
        <v>73.279899999999998</v>
      </c>
      <c r="N112" s="5">
        <v>69.789457142857145</v>
      </c>
      <c r="O112" s="5">
        <v>-12216.549999999988</v>
      </c>
      <c r="P112" s="3">
        <v>-4.763165420726357E-2</v>
      </c>
      <c r="Q112" s="9">
        <f t="shared" si="1"/>
        <v>102772.19999999856</v>
      </c>
      <c r="R112" s="5" t="str">
        <f>TEXT(Table1[[#This Row],[Closing Date]],"yyyy")</f>
        <v>2023</v>
      </c>
      <c r="S112" s="5" t="str">
        <f>TEXT(Table1[[#This Row],[Closing Date]],"mmmm")</f>
        <v>April</v>
      </c>
      <c r="T112" s="5" t="s">
        <v>240</v>
      </c>
      <c r="U112" s="5" t="s">
        <v>203</v>
      </c>
    </row>
    <row r="113" spans="2:21" x14ac:dyDescent="0.25">
      <c r="B113" t="s">
        <v>201</v>
      </c>
      <c r="C113" t="s">
        <v>302</v>
      </c>
      <c r="D113" t="s">
        <v>28</v>
      </c>
      <c r="E113" t="s">
        <v>7</v>
      </c>
      <c r="F113" s="5"/>
      <c r="G113" s="7">
        <v>45047</v>
      </c>
      <c r="H113" t="s">
        <v>29</v>
      </c>
      <c r="I113">
        <v>1500</v>
      </c>
      <c r="J113" s="5">
        <v>160461.22</v>
      </c>
      <c r="L113" s="5">
        <v>155122.21</v>
      </c>
      <c r="M113" s="5">
        <v>106.97414666666667</v>
      </c>
      <c r="N113" s="5">
        <v>103.41480666666666</v>
      </c>
      <c r="O113" s="5">
        <v>-5339.0100000000093</v>
      </c>
      <c r="P113" s="3">
        <v>-3.3272899208917947E-2</v>
      </c>
      <c r="Q113" s="9">
        <f t="shared" si="1"/>
        <v>97433.189999998547</v>
      </c>
      <c r="R113" s="5" t="str">
        <f>TEXT(Table1[[#This Row],[Closing Date]],"yyyy")</f>
        <v>2023</v>
      </c>
      <c r="S113" s="5" t="str">
        <f>TEXT(Table1[[#This Row],[Closing Date]],"mmmm")</f>
        <v>May</v>
      </c>
      <c r="T113" s="5" t="s">
        <v>240</v>
      </c>
      <c r="U113" s="5" t="s">
        <v>301</v>
      </c>
    </row>
    <row r="114" spans="2:21" x14ac:dyDescent="0.25">
      <c r="B114" t="s">
        <v>201</v>
      </c>
      <c r="C114" t="s">
        <v>305</v>
      </c>
      <c r="D114" t="s">
        <v>16</v>
      </c>
      <c r="E114" t="s">
        <v>7</v>
      </c>
      <c r="F114" s="5"/>
      <c r="G114" s="7">
        <v>45048</v>
      </c>
      <c r="H114" t="s">
        <v>30</v>
      </c>
      <c r="I114">
        <v>16666</v>
      </c>
      <c r="J114" s="5">
        <v>179076.17</v>
      </c>
      <c r="L114" s="5">
        <v>168908.35</v>
      </c>
      <c r="M114" s="5">
        <v>10.745000000000001</v>
      </c>
      <c r="N114" s="5">
        <v>10.13490639625585</v>
      </c>
      <c r="O114" s="5">
        <v>-10167.820000000007</v>
      </c>
      <c r="P114" s="3">
        <v>-5.6779302349385816E-2</v>
      </c>
      <c r="Q114" s="9">
        <f t="shared" si="1"/>
        <v>87265.36999999854</v>
      </c>
      <c r="R114" s="5" t="str">
        <f>TEXT(Table1[[#This Row],[Closing Date]],"yyyy")</f>
        <v>2023</v>
      </c>
      <c r="S114" s="5" t="str">
        <f>TEXT(Table1[[#This Row],[Closing Date]],"mmmm")</f>
        <v>May</v>
      </c>
      <c r="T114" s="5" t="s">
        <v>240</v>
      </c>
      <c r="U114" s="5" t="s">
        <v>301</v>
      </c>
    </row>
    <row r="115" spans="2:21" x14ac:dyDescent="0.25">
      <c r="B115" t="s">
        <v>201</v>
      </c>
      <c r="C115" t="s">
        <v>306</v>
      </c>
      <c r="D115" t="s">
        <v>16</v>
      </c>
      <c r="E115" t="s">
        <v>7</v>
      </c>
      <c r="F115" s="5"/>
      <c r="G115" s="7">
        <v>45048</v>
      </c>
      <c r="H115" t="s">
        <v>34</v>
      </c>
      <c r="I115">
        <v>4000</v>
      </c>
      <c r="J115" s="5">
        <v>335600</v>
      </c>
      <c r="L115" s="5">
        <v>324543.78000000003</v>
      </c>
      <c r="M115" s="5">
        <v>83.9</v>
      </c>
      <c r="N115" s="5">
        <v>81.135945000000007</v>
      </c>
      <c r="O115" s="5">
        <v>-11056.219999999972</v>
      </c>
      <c r="P115" s="3">
        <v>-3.2944636471990453E-2</v>
      </c>
      <c r="Q115" s="9">
        <f t="shared" si="1"/>
        <v>76209.149999998568</v>
      </c>
      <c r="R115" s="5" t="str">
        <f>TEXT(Table1[[#This Row],[Closing Date]],"yyyy")</f>
        <v>2023</v>
      </c>
      <c r="S115" s="5" t="str">
        <f>TEXT(Table1[[#This Row],[Closing Date]],"mmmm")</f>
        <v>May</v>
      </c>
      <c r="T115" s="5" t="s">
        <v>240</v>
      </c>
      <c r="U115" s="5" t="s">
        <v>301</v>
      </c>
    </row>
    <row r="116" spans="2:21" x14ac:dyDescent="0.25">
      <c r="B116" t="s">
        <v>201</v>
      </c>
      <c r="C116" t="s">
        <v>306</v>
      </c>
      <c r="D116" t="s">
        <v>16</v>
      </c>
      <c r="E116" t="s">
        <v>7</v>
      </c>
      <c r="F116" s="5"/>
      <c r="G116" s="7">
        <v>45048</v>
      </c>
      <c r="H116" t="s">
        <v>31</v>
      </c>
      <c r="I116">
        <v>13000</v>
      </c>
      <c r="J116" s="5">
        <v>95193.13</v>
      </c>
      <c r="L116" s="5">
        <v>89282.28</v>
      </c>
      <c r="M116" s="5">
        <v>7.322548461538462</v>
      </c>
      <c r="N116" s="5">
        <v>6.8678676923076925</v>
      </c>
      <c r="O116" s="5">
        <v>-5910.8500000000058</v>
      </c>
      <c r="P116" s="3">
        <v>-6.2093241392524895E-2</v>
      </c>
      <c r="Q116" s="9">
        <f t="shared" si="1"/>
        <v>70298.299999998562</v>
      </c>
      <c r="R116" s="5" t="str">
        <f>TEXT(Table1[[#This Row],[Closing Date]],"yyyy")</f>
        <v>2023</v>
      </c>
      <c r="S116" s="5" t="str">
        <f>TEXT(Table1[[#This Row],[Closing Date]],"mmmm")</f>
        <v>May</v>
      </c>
      <c r="T116" s="5" t="s">
        <v>240</v>
      </c>
      <c r="U116" s="5" t="s">
        <v>301</v>
      </c>
    </row>
    <row r="117" spans="2:21" x14ac:dyDescent="0.25">
      <c r="B117" t="s">
        <v>197</v>
      </c>
      <c r="C117" t="s">
        <v>306</v>
      </c>
      <c r="D117" t="s">
        <v>99</v>
      </c>
      <c r="E117" t="s">
        <v>7</v>
      </c>
      <c r="F117" s="5"/>
      <c r="G117" s="7">
        <v>45049</v>
      </c>
      <c r="H117" t="s">
        <v>183</v>
      </c>
      <c r="I117">
        <v>9</v>
      </c>
      <c r="J117" s="5">
        <v>9138.56</v>
      </c>
      <c r="K117" s="13">
        <v>100</v>
      </c>
      <c r="L117" s="5">
        <v>5850</v>
      </c>
      <c r="M117" s="5">
        <v>10.153955555555555</v>
      </c>
      <c r="N117" s="5">
        <v>6.5</v>
      </c>
      <c r="O117" s="5">
        <v>-3288.5599999999995</v>
      </c>
      <c r="P117" s="3">
        <v>-0.35985538202955386</v>
      </c>
      <c r="Q117" s="9">
        <f t="shared" si="1"/>
        <v>67009.739999998565</v>
      </c>
      <c r="R117" s="5" t="str">
        <f>TEXT(Table1[[#This Row],[Closing Date]],"yyyy")</f>
        <v>2023</v>
      </c>
      <c r="S117" s="5" t="str">
        <f>TEXT(Table1[[#This Row],[Closing Date]],"mmmm")</f>
        <v>May</v>
      </c>
      <c r="T117" s="5" t="s">
        <v>240</v>
      </c>
      <c r="U117" s="5" t="s">
        <v>301</v>
      </c>
    </row>
    <row r="118" spans="2:21" x14ac:dyDescent="0.25">
      <c r="B118" t="s">
        <v>215</v>
      </c>
      <c r="C118" t="s">
        <v>304</v>
      </c>
      <c r="D118" t="s">
        <v>12</v>
      </c>
      <c r="E118" t="s">
        <v>5</v>
      </c>
      <c r="F118" s="5"/>
      <c r="G118" s="7">
        <v>45049</v>
      </c>
      <c r="H118" t="s">
        <v>82</v>
      </c>
      <c r="I118">
        <v>10</v>
      </c>
      <c r="J118" s="5">
        <v>2067172</v>
      </c>
      <c r="L118" s="5">
        <v>2074978</v>
      </c>
      <c r="M118" s="5">
        <v>4134.3440000000001</v>
      </c>
      <c r="N118" s="5">
        <v>4149.9560000000001</v>
      </c>
      <c r="O118" s="5">
        <v>7806</v>
      </c>
      <c r="P118" s="3">
        <v>3.7761734388817381E-3</v>
      </c>
      <c r="Q118" s="9">
        <f t="shared" si="1"/>
        <v>74815.739999998565</v>
      </c>
      <c r="R118" s="5" t="str">
        <f>TEXT(Table1[[#This Row],[Closing Date]],"yyyy")</f>
        <v>2023</v>
      </c>
      <c r="S118" s="5" t="str">
        <f>TEXT(Table1[[#This Row],[Closing Date]],"mmmm")</f>
        <v>May</v>
      </c>
      <c r="T118" s="5" t="s">
        <v>240</v>
      </c>
      <c r="U118" s="5" t="s">
        <v>301</v>
      </c>
    </row>
    <row r="119" spans="2:21" x14ac:dyDescent="0.25">
      <c r="B119" t="s">
        <v>201</v>
      </c>
      <c r="C119" t="s">
        <v>303</v>
      </c>
      <c r="D119" t="s">
        <v>16</v>
      </c>
      <c r="E119" t="s">
        <v>5</v>
      </c>
      <c r="F119" s="5"/>
      <c r="G119" s="7">
        <v>45051</v>
      </c>
      <c r="H119" t="s">
        <v>37</v>
      </c>
      <c r="I119">
        <v>2666</v>
      </c>
      <c r="J119" s="5">
        <v>439890</v>
      </c>
      <c r="L119" s="5">
        <v>443868.76</v>
      </c>
      <c r="M119" s="5">
        <v>165</v>
      </c>
      <c r="N119" s="5">
        <v>166.49240810202551</v>
      </c>
      <c r="O119" s="5">
        <v>-3978.7600000000093</v>
      </c>
      <c r="P119" s="3">
        <v>9.0448975880333786E-3</v>
      </c>
      <c r="Q119" s="9">
        <f t="shared" si="1"/>
        <v>70836.979999998555</v>
      </c>
      <c r="R119" s="5" t="str">
        <f>TEXT(Table1[[#This Row],[Closing Date]],"yyyy")</f>
        <v>2023</v>
      </c>
      <c r="S119" s="5" t="str">
        <f>TEXT(Table1[[#This Row],[Closing Date]],"mmmm")</f>
        <v>May</v>
      </c>
      <c r="T119" s="5" t="s">
        <v>240</v>
      </c>
      <c r="U119" s="5" t="s">
        <v>301</v>
      </c>
    </row>
    <row r="120" spans="2:21" x14ac:dyDescent="0.25">
      <c r="B120" t="s">
        <v>201</v>
      </c>
      <c r="C120" t="s">
        <v>305</v>
      </c>
      <c r="D120" t="s">
        <v>16</v>
      </c>
      <c r="E120" t="s">
        <v>7</v>
      </c>
      <c r="F120" s="5"/>
      <c r="G120" s="7">
        <v>45055</v>
      </c>
      <c r="H120" t="s">
        <v>33</v>
      </c>
      <c r="I120">
        <v>3000</v>
      </c>
      <c r="J120" s="5">
        <v>155715</v>
      </c>
      <c r="L120" s="5">
        <v>158756.79999999999</v>
      </c>
      <c r="M120" s="5">
        <v>51.905000000000001</v>
      </c>
      <c r="N120" s="5">
        <v>52.918933333333328</v>
      </c>
      <c r="O120" s="5">
        <v>3041.7999999999884</v>
      </c>
      <c r="P120" s="3">
        <v>1.9534405805477831E-2</v>
      </c>
      <c r="Q120" s="9">
        <f t="shared" si="1"/>
        <v>73878.779999998544</v>
      </c>
      <c r="R120" s="5" t="str">
        <f>TEXT(Table1[[#This Row],[Closing Date]],"yyyy")</f>
        <v>2023</v>
      </c>
      <c r="S120" s="5" t="str">
        <f>TEXT(Table1[[#This Row],[Closing Date]],"mmmm")</f>
        <v>May</v>
      </c>
      <c r="T120" s="5" t="s">
        <v>240</v>
      </c>
      <c r="U120" s="5" t="s">
        <v>301</v>
      </c>
    </row>
    <row r="121" spans="2:21" x14ac:dyDescent="0.25">
      <c r="B121" t="s">
        <v>201</v>
      </c>
      <c r="C121" t="s">
        <v>306</v>
      </c>
      <c r="D121" t="s">
        <v>4</v>
      </c>
      <c r="E121" t="s">
        <v>7</v>
      </c>
      <c r="F121" s="5"/>
      <c r="G121" s="7">
        <v>45056</v>
      </c>
      <c r="H121" t="s">
        <v>205</v>
      </c>
      <c r="I121">
        <v>75000</v>
      </c>
      <c r="J121" s="5">
        <v>789954.04</v>
      </c>
      <c r="L121" s="5">
        <v>783980.96</v>
      </c>
      <c r="M121" s="5">
        <v>10.532720533333334</v>
      </c>
      <c r="N121" s="5">
        <v>10.453079466666667</v>
      </c>
      <c r="O121" s="5">
        <v>-5973.0800000000745</v>
      </c>
      <c r="P121" s="3">
        <v>-7.6189095204557966E-3</v>
      </c>
      <c r="Q121" s="9">
        <f t="shared" si="1"/>
        <v>67905.699999998469</v>
      </c>
      <c r="R121" s="5" t="str">
        <f>TEXT(Table1[[#This Row],[Closing Date]],"yyyy")</f>
        <v>2023</v>
      </c>
      <c r="S121" s="5" t="str">
        <f>TEXT(Table1[[#This Row],[Closing Date]],"mmmm")</f>
        <v>May</v>
      </c>
      <c r="T121" s="5" t="s">
        <v>240</v>
      </c>
      <c r="U121" s="5" t="s">
        <v>301</v>
      </c>
    </row>
    <row r="122" spans="2:21" x14ac:dyDescent="0.25">
      <c r="B122" t="s">
        <v>197</v>
      </c>
      <c r="C122" t="s">
        <v>305</v>
      </c>
      <c r="D122" t="s">
        <v>99</v>
      </c>
      <c r="E122" t="s">
        <v>7</v>
      </c>
      <c r="F122" s="5"/>
      <c r="G122" s="7">
        <v>45058</v>
      </c>
      <c r="H122" t="s">
        <v>26</v>
      </c>
      <c r="I122">
        <v>80</v>
      </c>
      <c r="J122" s="5">
        <v>8703.07</v>
      </c>
      <c r="K122" s="13">
        <v>100</v>
      </c>
      <c r="L122" s="5">
        <v>0</v>
      </c>
      <c r="M122" s="5">
        <v>1.08788375</v>
      </c>
      <c r="N122" s="5">
        <v>0</v>
      </c>
      <c r="O122" s="5">
        <v>-8703.07</v>
      </c>
      <c r="P122" s="3">
        <v>-1</v>
      </c>
      <c r="Q122" s="9">
        <f t="shared" si="1"/>
        <v>59202.629999998469</v>
      </c>
      <c r="R122" s="5" t="str">
        <f>TEXT(Table1[[#This Row],[Closing Date]],"yyyy")</f>
        <v>2023</v>
      </c>
      <c r="S122" s="5" t="str">
        <f>TEXT(Table1[[#This Row],[Closing Date]],"mmmm")</f>
        <v>May</v>
      </c>
      <c r="T122" s="5" t="s">
        <v>240</v>
      </c>
      <c r="U122" s="5" t="s">
        <v>301</v>
      </c>
    </row>
    <row r="123" spans="2:21" x14ac:dyDescent="0.25">
      <c r="B123" t="s">
        <v>197</v>
      </c>
      <c r="C123" t="s">
        <v>305</v>
      </c>
      <c r="D123" t="s">
        <v>102</v>
      </c>
      <c r="E123" t="s">
        <v>7</v>
      </c>
      <c r="F123" s="5"/>
      <c r="G123" s="7">
        <v>45058</v>
      </c>
      <c r="H123" t="s">
        <v>24</v>
      </c>
      <c r="I123">
        <v>4</v>
      </c>
      <c r="J123" s="5">
        <v>6399.36</v>
      </c>
      <c r="K123" s="13">
        <v>100</v>
      </c>
      <c r="L123" s="5">
        <v>0</v>
      </c>
      <c r="M123" s="5">
        <v>15.998399999999998</v>
      </c>
      <c r="N123" s="5">
        <v>0</v>
      </c>
      <c r="O123" s="5">
        <v>-6399.36</v>
      </c>
      <c r="P123" s="3">
        <v>-1</v>
      </c>
      <c r="Q123" s="9">
        <f t="shared" si="1"/>
        <v>52803.269999998469</v>
      </c>
      <c r="R123" s="5" t="str">
        <f>TEXT(Table1[[#This Row],[Closing Date]],"yyyy")</f>
        <v>2023</v>
      </c>
      <c r="S123" s="5" t="str">
        <f>TEXT(Table1[[#This Row],[Closing Date]],"mmmm")</f>
        <v>May</v>
      </c>
      <c r="T123" s="5" t="s">
        <v>240</v>
      </c>
      <c r="U123" s="5" t="s">
        <v>301</v>
      </c>
    </row>
    <row r="124" spans="2:21" x14ac:dyDescent="0.25">
      <c r="B124" t="s">
        <v>201</v>
      </c>
      <c r="C124" t="s">
        <v>305</v>
      </c>
      <c r="D124" t="s">
        <v>16</v>
      </c>
      <c r="E124" t="s">
        <v>5</v>
      </c>
      <c r="F124" s="5"/>
      <c r="G124" s="7">
        <v>45058</v>
      </c>
      <c r="H124" t="s">
        <v>22</v>
      </c>
      <c r="I124">
        <v>3000</v>
      </c>
      <c r="J124" s="5">
        <v>354859.7</v>
      </c>
      <c r="L124" s="5">
        <v>348031.03</v>
      </c>
      <c r="M124" s="5">
        <v>118.28656666666667</v>
      </c>
      <c r="N124" s="5">
        <v>116.01034333333334</v>
      </c>
      <c r="O124" s="5">
        <v>-6828.6699999999837</v>
      </c>
      <c r="P124" s="3">
        <v>-1.9243295307976652E-2</v>
      </c>
      <c r="Q124" s="9">
        <f t="shared" si="1"/>
        <v>45974.599999998485</v>
      </c>
      <c r="R124" s="5" t="str">
        <f>TEXT(Table1[[#This Row],[Closing Date]],"yyyy")</f>
        <v>2023</v>
      </c>
      <c r="S124" s="5" t="str">
        <f>TEXT(Table1[[#This Row],[Closing Date]],"mmmm")</f>
        <v>May</v>
      </c>
      <c r="T124" s="5" t="s">
        <v>240</v>
      </c>
      <c r="U124" s="5" t="s">
        <v>301</v>
      </c>
    </row>
    <row r="125" spans="2:21" x14ac:dyDescent="0.25">
      <c r="B125" t="s">
        <v>201</v>
      </c>
      <c r="C125" t="s">
        <v>306</v>
      </c>
      <c r="D125" t="s">
        <v>16</v>
      </c>
      <c r="E125" t="s">
        <v>5</v>
      </c>
      <c r="F125" s="5"/>
      <c r="G125" s="7">
        <v>45058</v>
      </c>
      <c r="H125" t="s">
        <v>22</v>
      </c>
      <c r="I125">
        <v>3000</v>
      </c>
      <c r="J125" s="5">
        <v>354859.7</v>
      </c>
      <c r="L125" s="5">
        <v>348031.03</v>
      </c>
      <c r="M125" s="5">
        <v>118.28656666666667</v>
      </c>
      <c r="N125" s="5">
        <v>116.01034333333334</v>
      </c>
      <c r="O125" s="5">
        <v>-6828.6699999999837</v>
      </c>
      <c r="P125" s="3">
        <v>-1.9243295307976652E-2</v>
      </c>
      <c r="Q125" s="9">
        <f t="shared" si="1"/>
        <v>39145.929999998501</v>
      </c>
      <c r="R125" s="5" t="str">
        <f>TEXT(Table1[[#This Row],[Closing Date]],"yyyy")</f>
        <v>2023</v>
      </c>
      <c r="S125" s="5" t="str">
        <f>TEXT(Table1[[#This Row],[Closing Date]],"mmmm")</f>
        <v>May</v>
      </c>
      <c r="T125" s="5" t="s">
        <v>240</v>
      </c>
      <c r="U125" s="5" t="s">
        <v>301</v>
      </c>
    </row>
    <row r="126" spans="2:21" x14ac:dyDescent="0.25">
      <c r="B126" t="s">
        <v>201</v>
      </c>
      <c r="C126" t="s">
        <v>305</v>
      </c>
      <c r="D126" t="s">
        <v>16</v>
      </c>
      <c r="E126" t="s">
        <v>7</v>
      </c>
      <c r="F126" s="5"/>
      <c r="G126" s="7">
        <v>45058</v>
      </c>
      <c r="H126" t="s">
        <v>187</v>
      </c>
      <c r="I126">
        <v>1500</v>
      </c>
      <c r="J126" s="5">
        <v>129630</v>
      </c>
      <c r="L126" s="5">
        <v>125357.56</v>
      </c>
      <c r="M126" s="5">
        <v>86.42</v>
      </c>
      <c r="N126" s="5">
        <v>83.571706666666671</v>
      </c>
      <c r="O126" s="5">
        <v>-4272.4400000000023</v>
      </c>
      <c r="P126" s="3">
        <v>-3.2958728689346621E-2</v>
      </c>
      <c r="Q126" s="9">
        <f t="shared" si="1"/>
        <v>34873.489999998499</v>
      </c>
      <c r="R126" s="5" t="str">
        <f>TEXT(Table1[[#This Row],[Closing Date]],"yyyy")</f>
        <v>2023</v>
      </c>
      <c r="S126" s="5" t="str">
        <f>TEXT(Table1[[#This Row],[Closing Date]],"mmmm")</f>
        <v>May</v>
      </c>
      <c r="T126" s="5" t="s">
        <v>240</v>
      </c>
      <c r="U126" s="5" t="s">
        <v>203</v>
      </c>
    </row>
    <row r="127" spans="2:21" x14ac:dyDescent="0.25">
      <c r="B127" t="s">
        <v>201</v>
      </c>
      <c r="C127" t="s">
        <v>305</v>
      </c>
      <c r="D127" t="s">
        <v>16</v>
      </c>
      <c r="E127" t="s">
        <v>7</v>
      </c>
      <c r="F127" s="5"/>
      <c r="G127" s="7">
        <v>45062</v>
      </c>
      <c r="H127" t="s">
        <v>78</v>
      </c>
      <c r="I127">
        <v>550</v>
      </c>
      <c r="J127" s="5">
        <v>99990</v>
      </c>
      <c r="L127" s="5">
        <v>99961.7</v>
      </c>
      <c r="M127" s="5">
        <v>181.8</v>
      </c>
      <c r="N127" s="5">
        <v>181.74854545454545</v>
      </c>
      <c r="O127" s="5">
        <v>-28.30000000000291</v>
      </c>
      <c r="P127" s="3">
        <v>-2.8302830283031215E-4</v>
      </c>
      <c r="Q127" s="9">
        <f t="shared" si="1"/>
        <v>34845.189999998496</v>
      </c>
      <c r="R127" s="5" t="str">
        <f>TEXT(Table1[[#This Row],[Closing Date]],"yyyy")</f>
        <v>2023</v>
      </c>
      <c r="S127" s="5" t="str">
        <f>TEXT(Table1[[#This Row],[Closing Date]],"mmmm")</f>
        <v>May</v>
      </c>
      <c r="T127" s="5" t="s">
        <v>240</v>
      </c>
      <c r="U127" s="5" t="s">
        <v>203</v>
      </c>
    </row>
    <row r="128" spans="2:21" x14ac:dyDescent="0.25">
      <c r="B128" t="s">
        <v>201</v>
      </c>
      <c r="C128" t="s">
        <v>305</v>
      </c>
      <c r="D128" t="s">
        <v>16</v>
      </c>
      <c r="E128" t="s">
        <v>7</v>
      </c>
      <c r="F128" s="5"/>
      <c r="G128" s="7">
        <v>45063</v>
      </c>
      <c r="H128" t="s">
        <v>39</v>
      </c>
      <c r="I128">
        <v>21400</v>
      </c>
      <c r="J128" s="5">
        <v>136425</v>
      </c>
      <c r="L128" s="5">
        <v>133510.04999999999</v>
      </c>
      <c r="M128" s="5">
        <v>6.375</v>
      </c>
      <c r="N128" s="5">
        <v>6.23878738317757</v>
      </c>
      <c r="O128" s="5">
        <v>-2914.9500000000116</v>
      </c>
      <c r="P128" s="3">
        <v>-2.1366684991753728E-2</v>
      </c>
      <c r="Q128" s="9">
        <f t="shared" si="1"/>
        <v>31930.239999998485</v>
      </c>
      <c r="R128" s="5" t="str">
        <f>TEXT(Table1[[#This Row],[Closing Date]],"yyyy")</f>
        <v>2023</v>
      </c>
      <c r="S128" s="5" t="str">
        <f>TEXT(Table1[[#This Row],[Closing Date]],"mmmm")</f>
        <v>May</v>
      </c>
      <c r="T128" s="5" t="s">
        <v>240</v>
      </c>
      <c r="U128" s="5" t="s">
        <v>301</v>
      </c>
    </row>
    <row r="129" spans="2:21" x14ac:dyDescent="0.25">
      <c r="B129" t="s">
        <v>215</v>
      </c>
      <c r="C129" t="s">
        <v>304</v>
      </c>
      <c r="D129" t="s">
        <v>12</v>
      </c>
      <c r="E129" t="s">
        <v>5</v>
      </c>
      <c r="F129" s="5"/>
      <c r="G129" s="7">
        <v>45063</v>
      </c>
      <c r="H129" t="s">
        <v>82</v>
      </c>
      <c r="I129">
        <v>10</v>
      </c>
      <c r="J129" s="5">
        <v>2081500</v>
      </c>
      <c r="L129" s="5">
        <v>2077500</v>
      </c>
      <c r="M129" s="5">
        <v>4163</v>
      </c>
      <c r="N129" s="5">
        <v>4155</v>
      </c>
      <c r="O129" s="5">
        <v>-4044</v>
      </c>
      <c r="P129" s="3">
        <v>-1.9216910881575786E-3</v>
      </c>
      <c r="Q129" s="9">
        <f t="shared" si="1"/>
        <v>27886.239999998485</v>
      </c>
      <c r="R129" s="5" t="str">
        <f>TEXT(Table1[[#This Row],[Closing Date]],"yyyy")</f>
        <v>2023</v>
      </c>
      <c r="S129" s="5" t="str">
        <f>TEXT(Table1[[#This Row],[Closing Date]],"mmmm")</f>
        <v>May</v>
      </c>
      <c r="T129" s="5" t="s">
        <v>240</v>
      </c>
      <c r="U129" s="5" t="s">
        <v>301</v>
      </c>
    </row>
    <row r="130" spans="2:21" x14ac:dyDescent="0.25">
      <c r="B130" t="s">
        <v>215</v>
      </c>
      <c r="C130" t="s">
        <v>304</v>
      </c>
      <c r="D130" t="s">
        <v>12</v>
      </c>
      <c r="E130" t="s">
        <v>7</v>
      </c>
      <c r="F130" s="5"/>
      <c r="G130" s="7">
        <v>45063</v>
      </c>
      <c r="H130" t="s">
        <v>82</v>
      </c>
      <c r="I130">
        <v>10</v>
      </c>
      <c r="J130" s="5">
        <v>2106000</v>
      </c>
      <c r="L130" s="5">
        <v>2102000</v>
      </c>
      <c r="M130" s="5">
        <v>4212</v>
      </c>
      <c r="N130" s="5">
        <v>4204</v>
      </c>
      <c r="O130" s="5">
        <v>-4044</v>
      </c>
      <c r="P130" s="3">
        <v>-1.8993352326685661E-3</v>
      </c>
      <c r="Q130" s="9">
        <f t="shared" si="1"/>
        <v>23842.239999998485</v>
      </c>
      <c r="R130" s="5" t="str">
        <f>TEXT(Table1[[#This Row],[Closing Date]],"yyyy")</f>
        <v>2023</v>
      </c>
      <c r="S130" s="5" t="str">
        <f>TEXT(Table1[[#This Row],[Closing Date]],"mmmm")</f>
        <v>May</v>
      </c>
      <c r="T130" s="5" t="s">
        <v>240</v>
      </c>
      <c r="U130" s="5" t="s">
        <v>301</v>
      </c>
    </row>
    <row r="131" spans="2:21" x14ac:dyDescent="0.25">
      <c r="B131" t="s">
        <v>201</v>
      </c>
      <c r="C131" t="s">
        <v>302</v>
      </c>
      <c r="D131" t="s">
        <v>16</v>
      </c>
      <c r="E131" t="s">
        <v>5</v>
      </c>
      <c r="F131" s="5"/>
      <c r="G131" s="7">
        <v>45063</v>
      </c>
      <c r="H131" t="s">
        <v>41</v>
      </c>
      <c r="I131">
        <v>1000</v>
      </c>
      <c r="J131" s="5">
        <v>309772.51</v>
      </c>
      <c r="L131" s="5">
        <v>313780.01</v>
      </c>
      <c r="M131" s="5">
        <v>309.77251000000001</v>
      </c>
      <c r="N131" s="5">
        <v>313.78001</v>
      </c>
      <c r="O131" s="5">
        <v>-4007.5</v>
      </c>
      <c r="P131" s="3">
        <v>1.2936912962354189E-2</v>
      </c>
      <c r="Q131" s="9">
        <f t="shared" ref="Q131:Q194" si="2">O131+Q130</f>
        <v>19834.739999998485</v>
      </c>
      <c r="R131" s="5" t="str">
        <f>TEXT(Table1[[#This Row],[Closing Date]],"yyyy")</f>
        <v>2023</v>
      </c>
      <c r="S131" s="5" t="str">
        <f>TEXT(Table1[[#This Row],[Closing Date]],"mmmm")</f>
        <v>May</v>
      </c>
      <c r="T131" s="5" t="s">
        <v>240</v>
      </c>
      <c r="U131" s="5" t="s">
        <v>301</v>
      </c>
    </row>
    <row r="132" spans="2:21" x14ac:dyDescent="0.25">
      <c r="B132" t="s">
        <v>201</v>
      </c>
      <c r="C132" t="s">
        <v>305</v>
      </c>
      <c r="D132" t="s">
        <v>16</v>
      </c>
      <c r="E132" t="s">
        <v>7</v>
      </c>
      <c r="F132" s="5"/>
      <c r="G132" s="7">
        <v>45064</v>
      </c>
      <c r="H132" t="s">
        <v>40</v>
      </c>
      <c r="I132">
        <v>1200</v>
      </c>
      <c r="J132" s="5">
        <v>80734.820000000007</v>
      </c>
      <c r="L132" s="5">
        <v>76161.59</v>
      </c>
      <c r="M132" s="5">
        <v>67.279016666666678</v>
      </c>
      <c r="N132" s="5">
        <v>63.467991666666663</v>
      </c>
      <c r="O132" s="5">
        <v>-4573.2300000000105</v>
      </c>
      <c r="P132" s="3">
        <v>-5.6645075817348914E-2</v>
      </c>
      <c r="Q132" s="9">
        <f t="shared" si="2"/>
        <v>15261.509999998474</v>
      </c>
      <c r="R132" s="5" t="str">
        <f>TEXT(Table1[[#This Row],[Closing Date]],"yyyy")</f>
        <v>2023</v>
      </c>
      <c r="S132" s="5" t="str">
        <f>TEXT(Table1[[#This Row],[Closing Date]],"mmmm")</f>
        <v>May</v>
      </c>
      <c r="T132" s="5" t="s">
        <v>240</v>
      </c>
      <c r="U132" s="5" t="s">
        <v>301</v>
      </c>
    </row>
    <row r="133" spans="2:21" x14ac:dyDescent="0.25">
      <c r="B133" t="s">
        <v>201</v>
      </c>
      <c r="C133" t="s">
        <v>306</v>
      </c>
      <c r="D133" t="s">
        <v>16</v>
      </c>
      <c r="E133" t="s">
        <v>7</v>
      </c>
      <c r="F133" s="5"/>
      <c r="G133" s="7">
        <v>45064</v>
      </c>
      <c r="H133" t="s">
        <v>38</v>
      </c>
      <c r="I133">
        <v>7400</v>
      </c>
      <c r="J133" s="5">
        <v>495762.3</v>
      </c>
      <c r="L133" s="5">
        <v>498028.62</v>
      </c>
      <c r="M133" s="5">
        <v>66.994905405405405</v>
      </c>
      <c r="N133" s="5">
        <v>67.301164864864859</v>
      </c>
      <c r="O133" s="5">
        <v>2266.320000000007</v>
      </c>
      <c r="P133" s="3">
        <v>4.5713843105858638E-3</v>
      </c>
      <c r="Q133" s="9">
        <f t="shared" si="2"/>
        <v>17527.829999998481</v>
      </c>
      <c r="R133" s="5" t="str">
        <f>TEXT(Table1[[#This Row],[Closing Date]],"yyyy")</f>
        <v>2023</v>
      </c>
      <c r="S133" s="5" t="str">
        <f>TEXT(Table1[[#This Row],[Closing Date]],"mmmm")</f>
        <v>May</v>
      </c>
      <c r="T133" s="5" t="s">
        <v>240</v>
      </c>
      <c r="U133" s="5" t="s">
        <v>301</v>
      </c>
    </row>
    <row r="134" spans="2:21" x14ac:dyDescent="0.25">
      <c r="B134" t="s">
        <v>197</v>
      </c>
      <c r="C134" t="s">
        <v>302</v>
      </c>
      <c r="D134" t="s">
        <v>98</v>
      </c>
      <c r="E134" t="s">
        <v>7</v>
      </c>
      <c r="F134" s="5"/>
      <c r="G134" s="7">
        <v>45065</v>
      </c>
      <c r="H134" t="s">
        <v>22</v>
      </c>
      <c r="I134">
        <v>25</v>
      </c>
      <c r="J134" s="5">
        <v>6285.04</v>
      </c>
      <c r="K134" s="13">
        <v>100</v>
      </c>
      <c r="L134" s="5">
        <v>0</v>
      </c>
      <c r="M134" s="5">
        <v>2.5140159999999998</v>
      </c>
      <c r="N134" s="5">
        <v>0</v>
      </c>
      <c r="O134" s="5">
        <v>-6285.04</v>
      </c>
      <c r="P134" s="3">
        <v>-1</v>
      </c>
      <c r="Q134" s="9">
        <f t="shared" si="2"/>
        <v>11242.78999999848</v>
      </c>
      <c r="R134" s="5" t="str">
        <f>TEXT(Table1[[#This Row],[Closing Date]],"yyyy")</f>
        <v>2023</v>
      </c>
      <c r="S134" s="5" t="str">
        <f>TEXT(Table1[[#This Row],[Closing Date]],"mmmm")</f>
        <v>May</v>
      </c>
      <c r="T134" s="5" t="s">
        <v>240</v>
      </c>
      <c r="U134" s="5" t="s">
        <v>301</v>
      </c>
    </row>
    <row r="135" spans="2:21" x14ac:dyDescent="0.25">
      <c r="B135" t="s">
        <v>197</v>
      </c>
      <c r="C135" t="s">
        <v>302</v>
      </c>
      <c r="D135" t="s">
        <v>99</v>
      </c>
      <c r="E135" t="s">
        <v>7</v>
      </c>
      <c r="F135" s="5"/>
      <c r="G135" s="7">
        <v>45065</v>
      </c>
      <c r="H135" t="s">
        <v>10</v>
      </c>
      <c r="I135">
        <v>20</v>
      </c>
      <c r="J135" s="5">
        <v>3920.58</v>
      </c>
      <c r="K135" s="13">
        <v>100</v>
      </c>
      <c r="L135" s="5">
        <v>0</v>
      </c>
      <c r="M135" s="5">
        <v>1.9602899999999999</v>
      </c>
      <c r="N135" s="5">
        <v>0</v>
      </c>
      <c r="O135" s="5">
        <v>-3920.58</v>
      </c>
      <c r="P135" s="3">
        <v>-1</v>
      </c>
      <c r="Q135" s="9">
        <f t="shared" si="2"/>
        <v>7322.2099999984803</v>
      </c>
      <c r="R135" s="5" t="str">
        <f>TEXT(Table1[[#This Row],[Closing Date]],"yyyy")</f>
        <v>2023</v>
      </c>
      <c r="S135" s="5" t="str">
        <f>TEXT(Table1[[#This Row],[Closing Date]],"mmmm")</f>
        <v>May</v>
      </c>
      <c r="T135" s="5" t="s">
        <v>240</v>
      </c>
      <c r="U135" s="5" t="s">
        <v>301</v>
      </c>
    </row>
    <row r="136" spans="2:21" x14ac:dyDescent="0.25">
      <c r="B136" t="s">
        <v>197</v>
      </c>
      <c r="C136" t="s">
        <v>305</v>
      </c>
      <c r="D136" t="s">
        <v>99</v>
      </c>
      <c r="E136" t="s">
        <v>7</v>
      </c>
      <c r="F136" s="5"/>
      <c r="G136" s="7">
        <v>45065</v>
      </c>
      <c r="H136" t="s">
        <v>35</v>
      </c>
      <c r="I136">
        <v>40</v>
      </c>
      <c r="J136" s="5">
        <v>6627.56</v>
      </c>
      <c r="K136" s="13">
        <v>100</v>
      </c>
      <c r="L136" s="5">
        <v>9599.06</v>
      </c>
      <c r="M136" s="5">
        <v>1.6568900000000002</v>
      </c>
      <c r="N136" s="5">
        <v>2.3997649999999999</v>
      </c>
      <c r="O136" s="5">
        <v>2971.4999999999991</v>
      </c>
      <c r="P136" s="3">
        <v>0.44835505072756771</v>
      </c>
      <c r="Q136" s="9">
        <f t="shared" si="2"/>
        <v>10293.709999998478</v>
      </c>
      <c r="R136" s="5" t="str">
        <f>TEXT(Table1[[#This Row],[Closing Date]],"yyyy")</f>
        <v>2023</v>
      </c>
      <c r="S136" s="5" t="str">
        <f>TEXT(Table1[[#This Row],[Closing Date]],"mmmm")</f>
        <v>May</v>
      </c>
      <c r="T136" s="5" t="s">
        <v>240</v>
      </c>
      <c r="U136" s="5" t="s">
        <v>301</v>
      </c>
    </row>
    <row r="137" spans="2:21" x14ac:dyDescent="0.25">
      <c r="B137" t="s">
        <v>197</v>
      </c>
      <c r="C137" t="s">
        <v>306</v>
      </c>
      <c r="D137" t="s">
        <v>99</v>
      </c>
      <c r="E137" t="s">
        <v>7</v>
      </c>
      <c r="F137" s="5"/>
      <c r="G137" s="7">
        <v>45065</v>
      </c>
      <c r="H137" t="s">
        <v>25</v>
      </c>
      <c r="I137">
        <v>25</v>
      </c>
      <c r="J137" s="5">
        <v>6248.73</v>
      </c>
      <c r="K137" s="13">
        <v>100</v>
      </c>
      <c r="L137" s="5">
        <v>0</v>
      </c>
      <c r="M137" s="5">
        <v>2.499492</v>
      </c>
      <c r="N137" s="5">
        <v>0</v>
      </c>
      <c r="O137" s="5">
        <v>-6248.73</v>
      </c>
      <c r="P137" s="3">
        <v>-1</v>
      </c>
      <c r="Q137" s="9">
        <f t="shared" si="2"/>
        <v>4044.9799999984789</v>
      </c>
      <c r="R137" s="5" t="str">
        <f>TEXT(Table1[[#This Row],[Closing Date]],"yyyy")</f>
        <v>2023</v>
      </c>
      <c r="S137" s="5" t="str">
        <f>TEXT(Table1[[#This Row],[Closing Date]],"mmmm")</f>
        <v>May</v>
      </c>
      <c r="T137" s="5" t="s">
        <v>240</v>
      </c>
      <c r="U137" s="5" t="s">
        <v>301</v>
      </c>
    </row>
    <row r="138" spans="2:21" x14ac:dyDescent="0.25">
      <c r="B138" t="s">
        <v>201</v>
      </c>
      <c r="C138" t="s">
        <v>303</v>
      </c>
      <c r="D138" t="s">
        <v>16</v>
      </c>
      <c r="E138" t="s">
        <v>5</v>
      </c>
      <c r="F138" s="5"/>
      <c r="G138" s="7">
        <v>45069</v>
      </c>
      <c r="H138" t="s">
        <v>37</v>
      </c>
      <c r="I138">
        <v>350</v>
      </c>
      <c r="J138" s="5">
        <v>63172.69</v>
      </c>
      <c r="L138" s="5">
        <v>67196.75</v>
      </c>
      <c r="M138" s="5">
        <v>180.49340000000001</v>
      </c>
      <c r="N138" s="5">
        <v>191.99071428571429</v>
      </c>
      <c r="O138" s="5">
        <v>-4024.0599999999977</v>
      </c>
      <c r="P138" s="3">
        <v>6.3699361227137846E-2</v>
      </c>
      <c r="Q138" s="9">
        <f t="shared" si="2"/>
        <v>20.919999998481217</v>
      </c>
      <c r="R138" s="5" t="str">
        <f>TEXT(Table1[[#This Row],[Closing Date]],"yyyy")</f>
        <v>2023</v>
      </c>
      <c r="S138" s="5" t="str">
        <f>TEXT(Table1[[#This Row],[Closing Date]],"mmmm")</f>
        <v>May</v>
      </c>
      <c r="T138" s="5" t="s">
        <v>240</v>
      </c>
      <c r="U138" s="5" t="s">
        <v>301</v>
      </c>
    </row>
    <row r="139" spans="2:21" x14ac:dyDescent="0.25">
      <c r="B139" t="s">
        <v>201</v>
      </c>
      <c r="C139" t="s">
        <v>305</v>
      </c>
      <c r="D139" t="s">
        <v>16</v>
      </c>
      <c r="E139" t="s">
        <v>7</v>
      </c>
      <c r="F139" s="5"/>
      <c r="G139" s="7">
        <v>45069</v>
      </c>
      <c r="H139" t="s">
        <v>36</v>
      </c>
      <c r="I139">
        <v>1800</v>
      </c>
      <c r="J139" s="5">
        <v>209221.07</v>
      </c>
      <c r="L139" s="5">
        <v>207345.81</v>
      </c>
      <c r="M139" s="5">
        <v>116.23392777777778</v>
      </c>
      <c r="N139" s="5">
        <v>115.19211666666666</v>
      </c>
      <c r="O139" s="5">
        <v>1875.2600000000093</v>
      </c>
      <c r="P139" s="3">
        <v>-8.9630552028053794E-3</v>
      </c>
      <c r="Q139" s="9">
        <f t="shared" si="2"/>
        <v>1896.1799999984905</v>
      </c>
      <c r="R139" s="5" t="str">
        <f>TEXT(Table1[[#This Row],[Closing Date]],"yyyy")</f>
        <v>2023</v>
      </c>
      <c r="S139" s="5" t="str">
        <f>TEXT(Table1[[#This Row],[Closing Date]],"mmmm")</f>
        <v>May</v>
      </c>
      <c r="T139" s="5" t="s">
        <v>240</v>
      </c>
      <c r="U139" s="5" t="s">
        <v>301</v>
      </c>
    </row>
    <row r="140" spans="2:21" x14ac:dyDescent="0.25">
      <c r="B140" t="s">
        <v>201</v>
      </c>
      <c r="C140" t="s">
        <v>306</v>
      </c>
      <c r="D140" t="s">
        <v>16</v>
      </c>
      <c r="E140" t="s">
        <v>7</v>
      </c>
      <c r="F140" s="5"/>
      <c r="G140" s="7">
        <v>45069</v>
      </c>
      <c r="H140" t="s">
        <v>159</v>
      </c>
      <c r="I140">
        <v>246</v>
      </c>
      <c r="J140" s="5">
        <v>87728.52</v>
      </c>
      <c r="L140" s="5">
        <v>107680.72</v>
      </c>
      <c r="M140" s="5">
        <v>356.62</v>
      </c>
      <c r="N140" s="5">
        <v>437.72650406504067</v>
      </c>
      <c r="O140" s="5">
        <v>19952.199999999997</v>
      </c>
      <c r="P140" s="3">
        <v>0.22743117061589546</v>
      </c>
      <c r="Q140" s="9">
        <f t="shared" si="2"/>
        <v>21848.379999998488</v>
      </c>
      <c r="R140" s="5" t="str">
        <f>TEXT(Table1[[#This Row],[Closing Date]],"yyyy")</f>
        <v>2023</v>
      </c>
      <c r="S140" s="5" t="str">
        <f>TEXT(Table1[[#This Row],[Closing Date]],"mmmm")</f>
        <v>May</v>
      </c>
      <c r="T140" s="5" t="s">
        <v>240</v>
      </c>
      <c r="U140" s="5" t="s">
        <v>203</v>
      </c>
    </row>
    <row r="141" spans="2:21" x14ac:dyDescent="0.25">
      <c r="B141" t="s">
        <v>197</v>
      </c>
      <c r="C141" t="s">
        <v>305</v>
      </c>
      <c r="D141" t="s">
        <v>102</v>
      </c>
      <c r="E141" t="s">
        <v>7</v>
      </c>
      <c r="F141" s="5"/>
      <c r="G141" s="7">
        <v>45070</v>
      </c>
      <c r="H141" t="s">
        <v>27</v>
      </c>
      <c r="I141">
        <v>105</v>
      </c>
      <c r="J141" s="5">
        <v>6043.4</v>
      </c>
      <c r="K141" s="13">
        <v>100</v>
      </c>
      <c r="L141" s="5">
        <v>23860.949999999997</v>
      </c>
      <c r="M141" s="5">
        <v>0.57556190476190472</v>
      </c>
      <c r="N141" s="5">
        <v>2.184533476190476</v>
      </c>
      <c r="O141" s="5">
        <v>17817.549999999996</v>
      </c>
      <c r="P141" s="3">
        <v>2.7954796141244995</v>
      </c>
      <c r="Q141" s="9">
        <f t="shared" si="2"/>
        <v>39665.92999999848</v>
      </c>
      <c r="R141" s="5" t="str">
        <f>TEXT(Table1[[#This Row],[Closing Date]],"yyyy")</f>
        <v>2023</v>
      </c>
      <c r="S141" s="5" t="str">
        <f>TEXT(Table1[[#This Row],[Closing Date]],"mmmm")</f>
        <v>May</v>
      </c>
      <c r="T141" s="5" t="s">
        <v>240</v>
      </c>
      <c r="U141" s="5" t="s">
        <v>301</v>
      </c>
    </row>
    <row r="142" spans="2:21" x14ac:dyDescent="0.25">
      <c r="B142" t="s">
        <v>201</v>
      </c>
      <c r="C142" t="s">
        <v>305</v>
      </c>
      <c r="D142" t="s">
        <v>4</v>
      </c>
      <c r="E142" t="s">
        <v>5</v>
      </c>
      <c r="F142" s="5"/>
      <c r="G142" s="7">
        <v>45071</v>
      </c>
      <c r="H142" t="s">
        <v>8</v>
      </c>
      <c r="I142">
        <v>1500000</v>
      </c>
      <c r="J142" s="5">
        <v>1655321.89</v>
      </c>
      <c r="L142" s="5">
        <v>1619276.91</v>
      </c>
      <c r="M142" s="5">
        <v>1.1035479266666666</v>
      </c>
      <c r="N142" s="5">
        <v>1.0795179399999999</v>
      </c>
      <c r="O142" s="5">
        <v>36044.979999999981</v>
      </c>
      <c r="P142" s="3">
        <v>2.1775208929303763E-2</v>
      </c>
      <c r="Q142" s="9">
        <f t="shared" si="2"/>
        <v>75710.909999998461</v>
      </c>
      <c r="R142" s="5" t="str">
        <f>TEXT(Table1[[#This Row],[Closing Date]],"yyyy")</f>
        <v>2023</v>
      </c>
      <c r="S142" s="5" t="str">
        <f>TEXT(Table1[[#This Row],[Closing Date]],"mmmm")</f>
        <v>May</v>
      </c>
      <c r="T142" s="5" t="s">
        <v>240</v>
      </c>
      <c r="U142" s="5" t="s">
        <v>301</v>
      </c>
    </row>
    <row r="143" spans="2:21" x14ac:dyDescent="0.25">
      <c r="B143" t="s">
        <v>201</v>
      </c>
      <c r="C143" t="s">
        <v>305</v>
      </c>
      <c r="D143" t="s">
        <v>16</v>
      </c>
      <c r="E143" t="s">
        <v>5</v>
      </c>
      <c r="F143" s="5"/>
      <c r="G143" s="7">
        <v>45071</v>
      </c>
      <c r="H143" t="s">
        <v>32</v>
      </c>
      <c r="I143">
        <v>5000</v>
      </c>
      <c r="J143" s="5">
        <v>225682.47</v>
      </c>
      <c r="L143" s="5">
        <v>183884.9</v>
      </c>
      <c r="M143" s="5">
        <v>45.136493999999999</v>
      </c>
      <c r="N143" s="5">
        <v>36.776980000000002</v>
      </c>
      <c r="O143" s="5">
        <v>41797.570000000007</v>
      </c>
      <c r="P143" s="3">
        <v>0.18520521332472117</v>
      </c>
      <c r="Q143" s="9">
        <f t="shared" si="2"/>
        <v>117508.47999999847</v>
      </c>
      <c r="R143" s="5" t="str">
        <f>TEXT(Table1[[#This Row],[Closing Date]],"yyyy")</f>
        <v>2023</v>
      </c>
      <c r="S143" s="5" t="str">
        <f>TEXT(Table1[[#This Row],[Closing Date]],"mmmm")</f>
        <v>May</v>
      </c>
      <c r="T143" s="5" t="s">
        <v>240</v>
      </c>
      <c r="U143" s="5" t="s">
        <v>301</v>
      </c>
    </row>
    <row r="144" spans="2:21" x14ac:dyDescent="0.25">
      <c r="B144" t="s">
        <v>197</v>
      </c>
      <c r="C144" t="s">
        <v>302</v>
      </c>
      <c r="D144" t="s">
        <v>98</v>
      </c>
      <c r="E144" t="s">
        <v>7</v>
      </c>
      <c r="F144" s="5"/>
      <c r="G144" s="7">
        <v>45072</v>
      </c>
      <c r="H144" t="s">
        <v>51</v>
      </c>
      <c r="I144">
        <v>50</v>
      </c>
      <c r="J144" s="5">
        <v>5249.04</v>
      </c>
      <c r="K144" s="13">
        <v>100</v>
      </c>
      <c r="L144" s="5">
        <v>0</v>
      </c>
      <c r="M144" s="5">
        <v>1.0498080000000001</v>
      </c>
      <c r="N144" s="5">
        <v>0</v>
      </c>
      <c r="O144" s="5">
        <v>-5249.04</v>
      </c>
      <c r="P144" s="3">
        <v>-1</v>
      </c>
      <c r="Q144" s="9">
        <f t="shared" si="2"/>
        <v>112259.43999999847</v>
      </c>
      <c r="R144" s="5" t="str">
        <f>TEXT(Table1[[#This Row],[Closing Date]],"yyyy")</f>
        <v>2023</v>
      </c>
      <c r="S144" s="5" t="str">
        <f>TEXT(Table1[[#This Row],[Closing Date]],"mmmm")</f>
        <v>May</v>
      </c>
      <c r="T144" s="5" t="s">
        <v>240</v>
      </c>
      <c r="U144" s="5" t="s">
        <v>301</v>
      </c>
    </row>
    <row r="145" spans="2:21" x14ac:dyDescent="0.25">
      <c r="B145" t="s">
        <v>201</v>
      </c>
      <c r="C145" t="s">
        <v>305</v>
      </c>
      <c r="D145" t="s">
        <v>12</v>
      </c>
      <c r="E145" t="s">
        <v>7</v>
      </c>
      <c r="F145" s="5"/>
      <c r="G145" s="7">
        <v>45076</v>
      </c>
      <c r="H145" t="s">
        <v>42</v>
      </c>
      <c r="I145">
        <v>42</v>
      </c>
      <c r="J145" s="5">
        <v>257299</v>
      </c>
      <c r="L145" s="5">
        <v>247302.7</v>
      </c>
      <c r="M145" s="5">
        <v>612.61666666666667</v>
      </c>
      <c r="N145" s="5">
        <v>588.81595238095235</v>
      </c>
      <c r="O145" s="5">
        <v>-9996.2999999999884</v>
      </c>
      <c r="P145" s="3">
        <v>-3.8850908864783727E-2</v>
      </c>
      <c r="Q145" s="9">
        <f t="shared" si="2"/>
        <v>102263.13999999849</v>
      </c>
      <c r="R145" s="5" t="str">
        <f>TEXT(Table1[[#This Row],[Closing Date]],"yyyy")</f>
        <v>2023</v>
      </c>
      <c r="S145" s="5" t="str">
        <f>TEXT(Table1[[#This Row],[Closing Date]],"mmmm")</f>
        <v>May</v>
      </c>
      <c r="T145" s="5" t="s">
        <v>240</v>
      </c>
      <c r="U145" s="5" t="s">
        <v>301</v>
      </c>
    </row>
    <row r="146" spans="2:21" x14ac:dyDescent="0.25">
      <c r="B146" t="s">
        <v>201</v>
      </c>
      <c r="C146" t="s">
        <v>306</v>
      </c>
      <c r="D146" t="s">
        <v>16</v>
      </c>
      <c r="E146" t="s">
        <v>7</v>
      </c>
      <c r="F146" s="5"/>
      <c r="G146" s="7">
        <v>45077</v>
      </c>
      <c r="H146" t="s">
        <v>38</v>
      </c>
      <c r="I146">
        <v>5900</v>
      </c>
      <c r="J146" s="5">
        <v>387659.5</v>
      </c>
      <c r="L146" s="5">
        <v>376330.3</v>
      </c>
      <c r="M146" s="5">
        <v>65.704999999999998</v>
      </c>
      <c r="N146" s="5">
        <v>63.784796610169487</v>
      </c>
      <c r="O146" s="5">
        <v>-11329.200000000012</v>
      </c>
      <c r="P146" s="3">
        <v>-2.9224615932280828E-2</v>
      </c>
      <c r="Q146" s="9">
        <f t="shared" si="2"/>
        <v>90933.939999998474</v>
      </c>
      <c r="R146" s="5" t="str">
        <f>TEXT(Table1[[#This Row],[Closing Date]],"yyyy")</f>
        <v>2023</v>
      </c>
      <c r="S146" s="5" t="str">
        <f>TEXT(Table1[[#This Row],[Closing Date]],"mmmm")</f>
        <v>May</v>
      </c>
      <c r="T146" s="5" t="s">
        <v>240</v>
      </c>
      <c r="U146" s="5" t="s">
        <v>301</v>
      </c>
    </row>
    <row r="147" spans="2:21" x14ac:dyDescent="0.25">
      <c r="B147" t="s">
        <v>201</v>
      </c>
      <c r="C147" t="s">
        <v>306</v>
      </c>
      <c r="D147" t="s">
        <v>12</v>
      </c>
      <c r="E147" t="s">
        <v>7</v>
      </c>
      <c r="F147" s="5"/>
      <c r="G147" s="7">
        <v>45078</v>
      </c>
      <c r="H147" t="s">
        <v>43</v>
      </c>
      <c r="I147">
        <v>5</v>
      </c>
      <c r="J147" s="5">
        <v>174761.85</v>
      </c>
      <c r="L147" s="5">
        <v>167988.15</v>
      </c>
      <c r="M147" s="5">
        <v>3.4952370000000004</v>
      </c>
      <c r="N147" s="5">
        <v>3.3597630000000001</v>
      </c>
      <c r="O147" s="5">
        <v>-6773.7000000000116</v>
      </c>
      <c r="P147" s="3">
        <v>-3.8759603426033837E-2</v>
      </c>
      <c r="Q147" s="9">
        <f t="shared" si="2"/>
        <v>84160.239999998463</v>
      </c>
      <c r="R147" s="5" t="str">
        <f>TEXT(Table1[[#This Row],[Closing Date]],"yyyy")</f>
        <v>2023</v>
      </c>
      <c r="S147" s="5" t="str">
        <f>TEXT(Table1[[#This Row],[Closing Date]],"mmmm")</f>
        <v>June</v>
      </c>
      <c r="T147" s="5" t="s">
        <v>240</v>
      </c>
      <c r="U147" s="5" t="s">
        <v>301</v>
      </c>
    </row>
    <row r="148" spans="2:21" x14ac:dyDescent="0.25">
      <c r="B148" t="s">
        <v>201</v>
      </c>
      <c r="C148" t="s">
        <v>303</v>
      </c>
      <c r="D148" t="s">
        <v>12</v>
      </c>
      <c r="E148" t="s">
        <v>7</v>
      </c>
      <c r="F148" s="5"/>
      <c r="G148" s="7">
        <v>45079</v>
      </c>
      <c r="H148" t="s">
        <v>44</v>
      </c>
      <c r="I148">
        <v>3</v>
      </c>
      <c r="J148" s="5">
        <v>463409.04</v>
      </c>
      <c r="L148" s="5">
        <v>478465.95</v>
      </c>
      <c r="M148" s="5">
        <v>30893.935999999998</v>
      </c>
      <c r="N148" s="5">
        <v>31897.73</v>
      </c>
      <c r="O148" s="5">
        <v>15056.910000000033</v>
      </c>
      <c r="P148" s="3">
        <v>3.2491619067250031E-2</v>
      </c>
      <c r="Q148" s="9">
        <f t="shared" si="2"/>
        <v>99217.149999998495</v>
      </c>
      <c r="R148" s="5" t="str">
        <f>TEXT(Table1[[#This Row],[Closing Date]],"yyyy")</f>
        <v>2023</v>
      </c>
      <c r="S148" s="5" t="str">
        <f>TEXT(Table1[[#This Row],[Closing Date]],"mmmm")</f>
        <v>June</v>
      </c>
      <c r="T148" s="5" t="s">
        <v>240</v>
      </c>
      <c r="U148" s="5" t="s">
        <v>301</v>
      </c>
    </row>
    <row r="149" spans="2:21" x14ac:dyDescent="0.25">
      <c r="B149" t="s">
        <v>201</v>
      </c>
      <c r="C149" t="s">
        <v>305</v>
      </c>
      <c r="D149" t="s">
        <v>4</v>
      </c>
      <c r="E149" t="s">
        <v>7</v>
      </c>
      <c r="F149" s="5"/>
      <c r="G149" s="7">
        <v>45082</v>
      </c>
      <c r="H149" t="s">
        <v>8</v>
      </c>
      <c r="I149">
        <v>685000</v>
      </c>
      <c r="J149" s="5">
        <v>732807.11</v>
      </c>
      <c r="L149" s="5">
        <v>733984.35</v>
      </c>
      <c r="M149" s="5">
        <v>1.069791401459854</v>
      </c>
      <c r="N149" s="5">
        <v>1.07151</v>
      </c>
      <c r="O149" s="5">
        <v>1177.2399999999907</v>
      </c>
      <c r="P149" s="3">
        <v>1.603903407477272E-3</v>
      </c>
      <c r="Q149" s="9">
        <f t="shared" si="2"/>
        <v>100394.38999999849</v>
      </c>
      <c r="R149" s="5" t="str">
        <f>TEXT(Table1[[#This Row],[Closing Date]],"yyyy")</f>
        <v>2023</v>
      </c>
      <c r="S149" s="5" t="str">
        <f>TEXT(Table1[[#This Row],[Closing Date]],"mmmm")</f>
        <v>June</v>
      </c>
      <c r="T149" s="5" t="s">
        <v>240</v>
      </c>
      <c r="U149" s="5" t="s">
        <v>301</v>
      </c>
    </row>
    <row r="150" spans="2:21" x14ac:dyDescent="0.25">
      <c r="B150" t="s">
        <v>201</v>
      </c>
      <c r="C150" t="s">
        <v>302</v>
      </c>
      <c r="D150" t="s">
        <v>16</v>
      </c>
      <c r="E150" t="s">
        <v>5</v>
      </c>
      <c r="F150" s="5"/>
      <c r="G150" s="7">
        <v>45084</v>
      </c>
      <c r="H150" t="s">
        <v>46</v>
      </c>
      <c r="I150">
        <v>9400</v>
      </c>
      <c r="J150" s="5">
        <v>176095.57</v>
      </c>
      <c r="L150" s="5">
        <v>170698.4</v>
      </c>
      <c r="M150" s="5">
        <v>18.733571276595747</v>
      </c>
      <c r="N150" s="5">
        <v>18.159404255319149</v>
      </c>
      <c r="O150" s="5">
        <v>5397.1700000000128</v>
      </c>
      <c r="P150" s="3">
        <v>3.0649095829043356E-2</v>
      </c>
      <c r="Q150" s="9">
        <f t="shared" si="2"/>
        <v>105791.5599999985</v>
      </c>
      <c r="R150" s="5" t="str">
        <f>TEXT(Table1[[#This Row],[Closing Date]],"yyyy")</f>
        <v>2023</v>
      </c>
      <c r="S150" s="5" t="str">
        <f>TEXT(Table1[[#This Row],[Closing Date]],"mmmm")</f>
        <v>June</v>
      </c>
      <c r="T150" s="5" t="s">
        <v>240</v>
      </c>
      <c r="U150" s="5" t="s">
        <v>301</v>
      </c>
    </row>
    <row r="151" spans="2:21" x14ac:dyDescent="0.25">
      <c r="B151" t="s">
        <v>201</v>
      </c>
      <c r="C151" t="s">
        <v>303</v>
      </c>
      <c r="D151" t="s">
        <v>16</v>
      </c>
      <c r="E151" t="s">
        <v>5</v>
      </c>
      <c r="F151" s="5"/>
      <c r="G151" s="7">
        <v>45084</v>
      </c>
      <c r="H151" t="s">
        <v>37</v>
      </c>
      <c r="I151">
        <v>580</v>
      </c>
      <c r="J151" s="5">
        <v>127408.33</v>
      </c>
      <c r="L151" s="5">
        <v>133434.78</v>
      </c>
      <c r="M151" s="5">
        <v>219.66953448275862</v>
      </c>
      <c r="N151" s="5">
        <v>230.05996551724138</v>
      </c>
      <c r="O151" s="5">
        <v>-6026.4499999999971</v>
      </c>
      <c r="P151" s="3">
        <v>-4.7300282485454447E-2</v>
      </c>
      <c r="Q151" s="9">
        <f t="shared" si="2"/>
        <v>99765.109999998502</v>
      </c>
      <c r="R151" s="5" t="str">
        <f>TEXT(Table1[[#This Row],[Closing Date]],"yyyy")</f>
        <v>2023</v>
      </c>
      <c r="S151" s="5" t="str">
        <f>TEXT(Table1[[#This Row],[Closing Date]],"mmmm")</f>
        <v>June</v>
      </c>
      <c r="T151" s="5" t="s">
        <v>240</v>
      </c>
      <c r="U151" s="5" t="s">
        <v>301</v>
      </c>
    </row>
    <row r="152" spans="2:21" x14ac:dyDescent="0.25">
      <c r="B152" t="s">
        <v>201</v>
      </c>
      <c r="C152" t="s">
        <v>305</v>
      </c>
      <c r="D152" t="s">
        <v>16</v>
      </c>
      <c r="E152" t="s">
        <v>7</v>
      </c>
      <c r="F152" s="5"/>
      <c r="G152" s="7">
        <v>45085</v>
      </c>
      <c r="H152" t="s">
        <v>45</v>
      </c>
      <c r="I152">
        <v>2500</v>
      </c>
      <c r="J152" s="5">
        <v>243462.5</v>
      </c>
      <c r="L152" s="5">
        <v>243292.99</v>
      </c>
      <c r="M152" s="5">
        <v>97.385000000000005</v>
      </c>
      <c r="N152" s="5">
        <v>97.317195999999996</v>
      </c>
      <c r="O152" s="5">
        <v>-169.51000000000931</v>
      </c>
      <c r="P152" s="3">
        <v>-6.9624685526528229E-4</v>
      </c>
      <c r="Q152" s="9">
        <f t="shared" si="2"/>
        <v>99595.599999998492</v>
      </c>
      <c r="R152" s="5" t="str">
        <f>TEXT(Table1[[#This Row],[Closing Date]],"yyyy")</f>
        <v>2023</v>
      </c>
      <c r="S152" s="5" t="str">
        <f>TEXT(Table1[[#This Row],[Closing Date]],"mmmm")</f>
        <v>June</v>
      </c>
      <c r="T152" s="5" t="s">
        <v>240</v>
      </c>
      <c r="U152" s="5" t="s">
        <v>301</v>
      </c>
    </row>
    <row r="153" spans="2:21" x14ac:dyDescent="0.25">
      <c r="B153" t="s">
        <v>201</v>
      </c>
      <c r="C153" t="s">
        <v>303</v>
      </c>
      <c r="D153" t="s">
        <v>4</v>
      </c>
      <c r="E153" t="s">
        <v>7</v>
      </c>
      <c r="F153" s="5"/>
      <c r="G153" s="7">
        <v>45086</v>
      </c>
      <c r="H153" t="s">
        <v>47</v>
      </c>
      <c r="I153">
        <v>780000</v>
      </c>
      <c r="J153" s="5">
        <v>9137713.3300000001</v>
      </c>
      <c r="L153" s="5">
        <v>9070214.6300000008</v>
      </c>
      <c r="M153" s="5">
        <v>11.71501708974359</v>
      </c>
      <c r="N153" s="5">
        <v>11.628480294871796</v>
      </c>
      <c r="O153" s="5">
        <v>-6249.8796296295604</v>
      </c>
      <c r="P153" s="3">
        <v>-6.8905531837779228E-4</v>
      </c>
      <c r="Q153" s="9">
        <f t="shared" si="2"/>
        <v>93345.72037036893</v>
      </c>
      <c r="R153" s="5" t="str">
        <f>TEXT(Table1[[#This Row],[Closing Date]],"yyyy")</f>
        <v>2023</v>
      </c>
      <c r="S153" s="5" t="str">
        <f>TEXT(Table1[[#This Row],[Closing Date]],"mmmm")</f>
        <v>June</v>
      </c>
      <c r="T153" s="5" t="s">
        <v>240</v>
      </c>
      <c r="U153" s="5" t="s">
        <v>301</v>
      </c>
    </row>
    <row r="154" spans="2:21" x14ac:dyDescent="0.25">
      <c r="B154" t="s">
        <v>201</v>
      </c>
      <c r="C154" t="s">
        <v>306</v>
      </c>
      <c r="D154" t="s">
        <v>4</v>
      </c>
      <c r="E154" t="s">
        <v>7</v>
      </c>
      <c r="F154" s="5"/>
      <c r="G154" s="7">
        <v>45086</v>
      </c>
      <c r="H154" t="s">
        <v>48</v>
      </c>
      <c r="I154">
        <v>660000</v>
      </c>
      <c r="J154" s="5">
        <v>7199361.46</v>
      </c>
      <c r="L154" s="5">
        <v>7102218.71</v>
      </c>
      <c r="M154" s="5">
        <v>10.908123424242424</v>
      </c>
      <c r="N154" s="5">
        <v>10.76093743939394</v>
      </c>
      <c r="O154" s="5">
        <v>-8905.5418812101143</v>
      </c>
      <c r="P154" s="3">
        <v>-1.25390983365114E-3</v>
      </c>
      <c r="Q154" s="9">
        <f t="shared" si="2"/>
        <v>84440.178489158818</v>
      </c>
      <c r="R154" s="5" t="str">
        <f>TEXT(Table1[[#This Row],[Closing Date]],"yyyy")</f>
        <v>2023</v>
      </c>
      <c r="S154" s="5" t="str">
        <f>TEXT(Table1[[#This Row],[Closing Date]],"mmmm")</f>
        <v>June</v>
      </c>
      <c r="T154" s="5" t="s">
        <v>240</v>
      </c>
      <c r="U154" s="5" t="s">
        <v>301</v>
      </c>
    </row>
    <row r="155" spans="2:21" x14ac:dyDescent="0.25">
      <c r="B155" t="s">
        <v>201</v>
      </c>
      <c r="C155" t="s">
        <v>305</v>
      </c>
      <c r="D155" t="s">
        <v>16</v>
      </c>
      <c r="E155" t="s">
        <v>5</v>
      </c>
      <c r="F155" s="5"/>
      <c r="G155" s="7">
        <v>45089</v>
      </c>
      <c r="H155" t="s">
        <v>49</v>
      </c>
      <c r="I155">
        <v>82</v>
      </c>
      <c r="J155" s="5">
        <v>106393.14</v>
      </c>
      <c r="L155" s="5">
        <v>101452.58</v>
      </c>
      <c r="M155" s="5">
        <v>1297.4773170731708</v>
      </c>
      <c r="N155" s="5">
        <v>1237.2265853658537</v>
      </c>
      <c r="O155" s="5">
        <v>4940.5599999999977</v>
      </c>
      <c r="P155" s="3">
        <v>-4.6436828539885185E-2</v>
      </c>
      <c r="Q155" s="9">
        <f t="shared" si="2"/>
        <v>89380.738489158815</v>
      </c>
      <c r="R155" s="5" t="str">
        <f>TEXT(Table1[[#This Row],[Closing Date]],"yyyy")</f>
        <v>2023</v>
      </c>
      <c r="S155" s="5" t="str">
        <f>TEXT(Table1[[#This Row],[Closing Date]],"mmmm")</f>
        <v>June</v>
      </c>
      <c r="T155" s="5" t="s">
        <v>240</v>
      </c>
      <c r="U155" s="5" t="s">
        <v>301</v>
      </c>
    </row>
    <row r="156" spans="2:21" x14ac:dyDescent="0.25">
      <c r="B156" t="s">
        <v>201</v>
      </c>
      <c r="C156" t="s">
        <v>305</v>
      </c>
      <c r="D156" t="s">
        <v>12</v>
      </c>
      <c r="E156" t="s">
        <v>7</v>
      </c>
      <c r="F156" s="5"/>
      <c r="G156" s="7">
        <v>45090</v>
      </c>
      <c r="H156" t="s">
        <v>50</v>
      </c>
      <c r="I156">
        <v>9</v>
      </c>
      <c r="J156" s="5">
        <v>913429.98</v>
      </c>
      <c r="L156" s="5">
        <v>930310.02</v>
      </c>
      <c r="M156" s="5">
        <v>101.49222</v>
      </c>
      <c r="N156" s="5">
        <v>103.36778</v>
      </c>
      <c r="O156" s="5">
        <v>16880.040000000037</v>
      </c>
      <c r="P156" s="3">
        <v>1.8479840129617859E-2</v>
      </c>
      <c r="Q156" s="9">
        <f t="shared" si="2"/>
        <v>106260.77848915885</v>
      </c>
      <c r="R156" s="5" t="str">
        <f>TEXT(Table1[[#This Row],[Closing Date]],"yyyy")</f>
        <v>2023</v>
      </c>
      <c r="S156" s="5" t="str">
        <f>TEXT(Table1[[#This Row],[Closing Date]],"mmmm")</f>
        <v>June</v>
      </c>
      <c r="T156" s="5" t="s">
        <v>240</v>
      </c>
      <c r="U156" s="5" t="s">
        <v>301</v>
      </c>
    </row>
    <row r="157" spans="2:21" x14ac:dyDescent="0.25">
      <c r="B157" t="s">
        <v>215</v>
      </c>
      <c r="C157" t="s">
        <v>304</v>
      </c>
      <c r="D157" t="s">
        <v>12</v>
      </c>
      <c r="E157" t="s">
        <v>5</v>
      </c>
      <c r="F157" s="5"/>
      <c r="G157" s="7">
        <v>45091</v>
      </c>
      <c r="H157" t="s">
        <v>82</v>
      </c>
      <c r="I157">
        <v>10</v>
      </c>
      <c r="J157" s="5">
        <v>2106000</v>
      </c>
      <c r="L157" s="5">
        <v>2102000</v>
      </c>
      <c r="M157" s="5">
        <v>4212</v>
      </c>
      <c r="N157" s="5">
        <v>4204</v>
      </c>
      <c r="O157" s="5">
        <v>-4044</v>
      </c>
      <c r="P157" s="3">
        <v>-1.8993352326685661E-3</v>
      </c>
      <c r="Q157" s="9">
        <f t="shared" si="2"/>
        <v>102216.77848915885</v>
      </c>
      <c r="R157" s="5" t="str">
        <f>TEXT(Table1[[#This Row],[Closing Date]],"yyyy")</f>
        <v>2023</v>
      </c>
      <c r="S157" s="5" t="str">
        <f>TEXT(Table1[[#This Row],[Closing Date]],"mmmm")</f>
        <v>June</v>
      </c>
      <c r="T157" s="5" t="s">
        <v>240</v>
      </c>
      <c r="U157" s="5" t="s">
        <v>301</v>
      </c>
    </row>
    <row r="158" spans="2:21" x14ac:dyDescent="0.25">
      <c r="B158" t="s">
        <v>201</v>
      </c>
      <c r="C158" t="s">
        <v>305</v>
      </c>
      <c r="D158" t="s">
        <v>12</v>
      </c>
      <c r="E158" t="s">
        <v>7</v>
      </c>
      <c r="F158" s="5"/>
      <c r="G158" s="7">
        <v>45092</v>
      </c>
      <c r="H158" t="s">
        <v>50</v>
      </c>
      <c r="I158">
        <v>9</v>
      </c>
      <c r="J158" s="5">
        <v>928999.98</v>
      </c>
      <c r="L158" s="5">
        <v>915510.02</v>
      </c>
      <c r="M158" s="5">
        <v>103.22221999999999</v>
      </c>
      <c r="N158" s="5">
        <v>101.72333555555556</v>
      </c>
      <c r="O158" s="5">
        <v>-13489.959999999963</v>
      </c>
      <c r="P158" s="3">
        <v>-1.4520947567727573E-2</v>
      </c>
      <c r="Q158" s="9">
        <f t="shared" si="2"/>
        <v>88726.81848915889</v>
      </c>
      <c r="R158" s="5" t="str">
        <f>TEXT(Table1[[#This Row],[Closing Date]],"yyyy")</f>
        <v>2023</v>
      </c>
      <c r="S158" s="5" t="str">
        <f>TEXT(Table1[[#This Row],[Closing Date]],"mmmm")</f>
        <v>June</v>
      </c>
      <c r="T158" s="5" t="s">
        <v>240</v>
      </c>
      <c r="U158" s="5" t="s">
        <v>301</v>
      </c>
    </row>
    <row r="159" spans="2:21" x14ac:dyDescent="0.25">
      <c r="B159" t="s">
        <v>201</v>
      </c>
      <c r="C159" t="s">
        <v>302</v>
      </c>
      <c r="D159" t="s">
        <v>16</v>
      </c>
      <c r="E159" t="s">
        <v>5</v>
      </c>
      <c r="F159" s="5"/>
      <c r="G159" s="7">
        <v>45092</v>
      </c>
      <c r="H159" t="s">
        <v>23</v>
      </c>
      <c r="I159">
        <v>3000</v>
      </c>
      <c r="J159" s="5">
        <v>49674.3</v>
      </c>
      <c r="L159" s="5">
        <v>56539.33</v>
      </c>
      <c r="M159" s="5">
        <v>16.5581</v>
      </c>
      <c r="N159" s="5">
        <v>18.846443333333333</v>
      </c>
      <c r="O159" s="5">
        <v>6865.0299999999988</v>
      </c>
      <c r="P159" s="3">
        <v>0.13820084027354188</v>
      </c>
      <c r="Q159" s="9">
        <f t="shared" si="2"/>
        <v>95591.848489158889</v>
      </c>
      <c r="R159" s="5" t="str">
        <f>TEXT(Table1[[#This Row],[Closing Date]],"yyyy")</f>
        <v>2023</v>
      </c>
      <c r="S159" s="5" t="str">
        <f>TEXT(Table1[[#This Row],[Closing Date]],"mmmm")</f>
        <v>June</v>
      </c>
      <c r="T159" s="5" t="s">
        <v>240</v>
      </c>
      <c r="U159" s="5" t="s">
        <v>301</v>
      </c>
    </row>
    <row r="160" spans="2:21" x14ac:dyDescent="0.25">
      <c r="B160" t="s">
        <v>201</v>
      </c>
      <c r="C160" t="s">
        <v>303</v>
      </c>
      <c r="D160" t="s">
        <v>12</v>
      </c>
      <c r="E160" t="s">
        <v>5</v>
      </c>
      <c r="F160" s="5"/>
      <c r="G160" s="7">
        <v>45093</v>
      </c>
      <c r="H160" t="s">
        <v>184</v>
      </c>
      <c r="I160">
        <v>26</v>
      </c>
      <c r="J160" s="5">
        <v>573283.88</v>
      </c>
      <c r="L160" s="5">
        <v>583066.12</v>
      </c>
      <c r="M160" s="5">
        <v>4409.8760000000002</v>
      </c>
      <c r="N160" s="5">
        <v>4485.1239999999998</v>
      </c>
      <c r="O160" s="5">
        <v>-9826.2399999999907</v>
      </c>
      <c r="P160" s="3">
        <v>-1.7140269145540933E-2</v>
      </c>
      <c r="Q160" s="9">
        <f t="shared" si="2"/>
        <v>85765.608489158898</v>
      </c>
      <c r="R160" s="5" t="str">
        <f>TEXT(Table1[[#This Row],[Closing Date]],"yyyy")</f>
        <v>2023</v>
      </c>
      <c r="S160" s="5" t="str">
        <f>TEXT(Table1[[#This Row],[Closing Date]],"mmmm")</f>
        <v>June</v>
      </c>
      <c r="T160" s="5" t="s">
        <v>240</v>
      </c>
      <c r="U160" s="5" t="s">
        <v>301</v>
      </c>
    </row>
    <row r="161" spans="2:21" x14ac:dyDescent="0.25">
      <c r="B161" t="s">
        <v>197</v>
      </c>
      <c r="C161" t="s">
        <v>305</v>
      </c>
      <c r="D161" t="s">
        <v>102</v>
      </c>
      <c r="E161" t="s">
        <v>7</v>
      </c>
      <c r="F161" s="5"/>
      <c r="G161" s="7">
        <v>45093</v>
      </c>
      <c r="H161" t="s">
        <v>54</v>
      </c>
      <c r="I161">
        <v>75</v>
      </c>
      <c r="J161" s="5">
        <v>8171.05</v>
      </c>
      <c r="K161" s="13">
        <v>100</v>
      </c>
      <c r="L161" s="5">
        <v>0</v>
      </c>
      <c r="M161" s="5">
        <v>1.0894733333333333</v>
      </c>
      <c r="N161" s="5">
        <v>0</v>
      </c>
      <c r="O161" s="5">
        <v>-8171.05</v>
      </c>
      <c r="P161" s="3">
        <v>-1</v>
      </c>
      <c r="Q161" s="9">
        <f t="shared" si="2"/>
        <v>77594.558489158895</v>
      </c>
      <c r="R161" s="5" t="str">
        <f>TEXT(Table1[[#This Row],[Closing Date]],"yyyy")</f>
        <v>2023</v>
      </c>
      <c r="S161" s="5" t="str">
        <f>TEXT(Table1[[#This Row],[Closing Date]],"mmmm")</f>
        <v>June</v>
      </c>
      <c r="T161" s="5" t="s">
        <v>240</v>
      </c>
      <c r="U161" s="5" t="s">
        <v>301</v>
      </c>
    </row>
    <row r="162" spans="2:21" x14ac:dyDescent="0.25">
      <c r="B162" t="s">
        <v>197</v>
      </c>
      <c r="C162" t="s">
        <v>305</v>
      </c>
      <c r="D162" t="s">
        <v>99</v>
      </c>
      <c r="E162" t="s">
        <v>7</v>
      </c>
      <c r="F162" s="5"/>
      <c r="G162" s="7">
        <v>45093</v>
      </c>
      <c r="H162" t="s">
        <v>52</v>
      </c>
      <c r="I162">
        <v>180</v>
      </c>
      <c r="J162" s="5">
        <v>7960.02</v>
      </c>
      <c r="K162" s="13">
        <v>100</v>
      </c>
      <c r="L162" s="5">
        <v>8109.39</v>
      </c>
      <c r="M162" s="5">
        <v>0.44222333333333341</v>
      </c>
      <c r="N162" s="5">
        <v>0.45052166666666671</v>
      </c>
      <c r="O162" s="5">
        <v>149.36999999999989</v>
      </c>
      <c r="P162" s="3">
        <v>1.8765028228572202E-2</v>
      </c>
      <c r="Q162" s="9">
        <f t="shared" si="2"/>
        <v>77743.92848915889</v>
      </c>
      <c r="R162" s="5" t="str">
        <f>TEXT(Table1[[#This Row],[Closing Date]],"yyyy")</f>
        <v>2023</v>
      </c>
      <c r="S162" s="5" t="str">
        <f>TEXT(Table1[[#This Row],[Closing Date]],"mmmm")</f>
        <v>June</v>
      </c>
      <c r="T162" s="5" t="s">
        <v>240</v>
      </c>
      <c r="U162" s="5" t="s">
        <v>301</v>
      </c>
    </row>
    <row r="163" spans="2:21" x14ac:dyDescent="0.25">
      <c r="B163" t="s">
        <v>201</v>
      </c>
      <c r="C163" t="s">
        <v>305</v>
      </c>
      <c r="D163" t="s">
        <v>16</v>
      </c>
      <c r="E163" t="s">
        <v>7</v>
      </c>
      <c r="F163" s="5"/>
      <c r="G163" s="7">
        <v>45093</v>
      </c>
      <c r="H163" t="s">
        <v>53</v>
      </c>
      <c r="I163">
        <v>9000</v>
      </c>
      <c r="J163" s="5">
        <v>512049.6</v>
      </c>
      <c r="L163" s="5">
        <v>517625</v>
      </c>
      <c r="M163" s="5">
        <v>56.894399999999997</v>
      </c>
      <c r="N163" s="5">
        <v>57.513888888888886</v>
      </c>
      <c r="O163" s="5">
        <v>-5575.4000000000233</v>
      </c>
      <c r="P163" s="3">
        <v>-1.0888398311413573E-2</v>
      </c>
      <c r="Q163" s="9">
        <f t="shared" si="2"/>
        <v>72168.528489158867</v>
      </c>
      <c r="R163" s="5" t="str">
        <f>TEXT(Table1[[#This Row],[Closing Date]],"yyyy")</f>
        <v>2023</v>
      </c>
      <c r="S163" s="5" t="str">
        <f>TEXT(Table1[[#This Row],[Closing Date]],"mmmm")</f>
        <v>June</v>
      </c>
      <c r="T163" s="5" t="s">
        <v>240</v>
      </c>
      <c r="U163" s="5" t="s">
        <v>301</v>
      </c>
    </row>
    <row r="164" spans="2:21" x14ac:dyDescent="0.25">
      <c r="B164" t="s">
        <v>197</v>
      </c>
      <c r="C164" t="s">
        <v>306</v>
      </c>
      <c r="D164" t="s">
        <v>99</v>
      </c>
      <c r="E164" t="s">
        <v>7</v>
      </c>
      <c r="F164" s="5"/>
      <c r="G164" s="7">
        <v>45093</v>
      </c>
      <c r="H164" t="s">
        <v>22</v>
      </c>
      <c r="I164">
        <v>15</v>
      </c>
      <c r="J164" s="5">
        <v>4199.24</v>
      </c>
      <c r="K164" s="13">
        <v>100</v>
      </c>
      <c r="L164" s="5">
        <v>0</v>
      </c>
      <c r="M164" s="5">
        <v>2.7994933333333329</v>
      </c>
      <c r="N164" s="5">
        <v>0</v>
      </c>
      <c r="O164" s="5">
        <v>-4199.24</v>
      </c>
      <c r="P164" s="3">
        <v>-1</v>
      </c>
      <c r="Q164" s="9">
        <f t="shared" si="2"/>
        <v>67969.288489158862</v>
      </c>
      <c r="R164" s="5" t="str">
        <f>TEXT(Table1[[#This Row],[Closing Date]],"yyyy")</f>
        <v>2023</v>
      </c>
      <c r="S164" s="5" t="str">
        <f>TEXT(Table1[[#This Row],[Closing Date]],"mmmm")</f>
        <v>June</v>
      </c>
      <c r="T164" s="5" t="s">
        <v>240</v>
      </c>
      <c r="U164" s="5" t="s">
        <v>301</v>
      </c>
    </row>
    <row r="165" spans="2:21" x14ac:dyDescent="0.25">
      <c r="B165" t="s">
        <v>201</v>
      </c>
      <c r="C165" t="s">
        <v>305</v>
      </c>
      <c r="D165" t="s">
        <v>16</v>
      </c>
      <c r="E165" t="s">
        <v>7</v>
      </c>
      <c r="F165" s="5"/>
      <c r="G165" s="7">
        <v>45097</v>
      </c>
      <c r="H165" t="s">
        <v>56</v>
      </c>
      <c r="I165">
        <v>13333</v>
      </c>
      <c r="J165" s="5">
        <v>226767.67</v>
      </c>
      <c r="L165" s="5">
        <v>216628.76</v>
      </c>
      <c r="M165" s="5">
        <v>17.008000450011252</v>
      </c>
      <c r="N165" s="5">
        <v>16.247563189079727</v>
      </c>
      <c r="O165" s="5">
        <v>-10138.910000000003</v>
      </c>
      <c r="P165" s="3">
        <v>-4.4710562136128222E-2</v>
      </c>
      <c r="Q165" s="9">
        <f t="shared" si="2"/>
        <v>57830.378489158858</v>
      </c>
      <c r="R165" s="5" t="str">
        <f>TEXT(Table1[[#This Row],[Closing Date]],"yyyy")</f>
        <v>2023</v>
      </c>
      <c r="S165" s="5" t="str">
        <f>TEXT(Table1[[#This Row],[Closing Date]],"mmmm")</f>
        <v>June</v>
      </c>
      <c r="T165" s="5" t="s">
        <v>240</v>
      </c>
      <c r="U165" s="5" t="s">
        <v>301</v>
      </c>
    </row>
    <row r="166" spans="2:21" x14ac:dyDescent="0.25">
      <c r="B166" t="s">
        <v>201</v>
      </c>
      <c r="C166" t="s">
        <v>305</v>
      </c>
      <c r="D166" t="s">
        <v>16</v>
      </c>
      <c r="E166" t="s">
        <v>7</v>
      </c>
      <c r="F166" s="5"/>
      <c r="G166" s="7">
        <v>45097</v>
      </c>
      <c r="H166" t="s">
        <v>55</v>
      </c>
      <c r="I166">
        <v>1300</v>
      </c>
      <c r="J166" s="5">
        <v>295157.91000000003</v>
      </c>
      <c r="L166" s="5">
        <v>306390.78999999998</v>
      </c>
      <c r="M166" s="5">
        <v>227.04454615384617</v>
      </c>
      <c r="N166" s="5">
        <v>510.65131666666662</v>
      </c>
      <c r="O166" s="5">
        <v>11232.879999999946</v>
      </c>
      <c r="P166" s="3">
        <v>1.2491239068153943</v>
      </c>
      <c r="Q166" s="9">
        <f t="shared" si="2"/>
        <v>69063.258489158805</v>
      </c>
      <c r="R166" s="5" t="str">
        <f>TEXT(Table1[[#This Row],[Closing Date]],"yyyy")</f>
        <v>2023</v>
      </c>
      <c r="S166" s="5" t="str">
        <f>TEXT(Table1[[#This Row],[Closing Date]],"mmmm")</f>
        <v>June</v>
      </c>
      <c r="T166" s="5" t="s">
        <v>240</v>
      </c>
      <c r="U166" s="5" t="s">
        <v>301</v>
      </c>
    </row>
    <row r="167" spans="2:21" x14ac:dyDescent="0.25">
      <c r="B167" t="s">
        <v>201</v>
      </c>
      <c r="C167" t="s">
        <v>303</v>
      </c>
      <c r="D167" t="s">
        <v>16</v>
      </c>
      <c r="E167" t="s">
        <v>7</v>
      </c>
      <c r="F167" s="5"/>
      <c r="G167" s="7">
        <v>45097</v>
      </c>
      <c r="H167" t="s">
        <v>188</v>
      </c>
      <c r="I167">
        <v>4761</v>
      </c>
      <c r="J167" s="5">
        <v>159415.42000000001</v>
      </c>
      <c r="L167" s="5">
        <v>149119.85999999999</v>
      </c>
      <c r="M167" s="5">
        <v>33.483600084015968</v>
      </c>
      <c r="N167" s="5">
        <v>31.321121613106488</v>
      </c>
      <c r="O167" s="5">
        <v>-10295.560000000027</v>
      </c>
      <c r="P167" s="3">
        <v>-6.4583212841016424E-2</v>
      </c>
      <c r="Q167" s="9">
        <f t="shared" si="2"/>
        <v>58767.698489158778</v>
      </c>
      <c r="R167" s="5" t="str">
        <f>TEXT(Table1[[#This Row],[Closing Date]],"yyyy")</f>
        <v>2023</v>
      </c>
      <c r="S167" s="5" t="str">
        <f>TEXT(Table1[[#This Row],[Closing Date]],"mmmm")</f>
        <v>June</v>
      </c>
      <c r="T167" s="5" t="s">
        <v>240</v>
      </c>
      <c r="U167" s="5" t="s">
        <v>203</v>
      </c>
    </row>
    <row r="168" spans="2:21" x14ac:dyDescent="0.25">
      <c r="B168" t="s">
        <v>197</v>
      </c>
      <c r="C168" t="s">
        <v>303</v>
      </c>
      <c r="D168" t="s">
        <v>102</v>
      </c>
      <c r="E168" t="s">
        <v>7</v>
      </c>
      <c r="F168" s="5"/>
      <c r="G168" s="7">
        <v>45097</v>
      </c>
      <c r="H168" t="s">
        <v>198</v>
      </c>
      <c r="I168">
        <v>50</v>
      </c>
      <c r="J168" s="5">
        <v>20032.5</v>
      </c>
      <c r="K168" s="13">
        <v>100</v>
      </c>
      <c r="L168" s="5">
        <v>38407.189999999995</v>
      </c>
      <c r="M168" s="5">
        <v>4.0065</v>
      </c>
      <c r="N168" s="5">
        <v>7.6814379999999991</v>
      </c>
      <c r="O168" s="5">
        <v>18374.689999999995</v>
      </c>
      <c r="P168" s="3">
        <v>0.9172439785348806</v>
      </c>
      <c r="Q168" s="9">
        <f t="shared" si="2"/>
        <v>77142.388489158766</v>
      </c>
      <c r="R168" s="5" t="str">
        <f>TEXT(Table1[[#This Row],[Closing Date]],"yyyy")</f>
        <v>2023</v>
      </c>
      <c r="S168" s="5" t="str">
        <f>TEXT(Table1[[#This Row],[Closing Date]],"mmmm")</f>
        <v>June</v>
      </c>
      <c r="T168" s="5" t="s">
        <v>240</v>
      </c>
      <c r="U168" s="5" t="s">
        <v>203</v>
      </c>
    </row>
    <row r="169" spans="2:21" x14ac:dyDescent="0.25">
      <c r="B169" t="s">
        <v>201</v>
      </c>
      <c r="C169" t="s">
        <v>305</v>
      </c>
      <c r="D169" t="s">
        <v>16</v>
      </c>
      <c r="E169" t="s">
        <v>7</v>
      </c>
      <c r="F169" s="5"/>
      <c r="G169" s="7">
        <v>45103</v>
      </c>
      <c r="H169" t="s">
        <v>57</v>
      </c>
      <c r="I169">
        <v>4500</v>
      </c>
      <c r="J169" s="5">
        <v>170975.48</v>
      </c>
      <c r="L169" s="5">
        <v>181325.5</v>
      </c>
      <c r="M169" s="5">
        <v>37.994551111111114</v>
      </c>
      <c r="N169" s="5">
        <v>40.294555555555554</v>
      </c>
      <c r="O169" s="5">
        <v>-10350.01999999999</v>
      </c>
      <c r="P169" s="3">
        <v>-6.0535112988131273E-2</v>
      </c>
      <c r="Q169" s="9">
        <f t="shared" si="2"/>
        <v>66792.368489158776</v>
      </c>
      <c r="R169" s="5" t="str">
        <f>TEXT(Table1[[#This Row],[Closing Date]],"yyyy")</f>
        <v>2023</v>
      </c>
      <c r="S169" s="5" t="str">
        <f>TEXT(Table1[[#This Row],[Closing Date]],"mmmm")</f>
        <v>June</v>
      </c>
      <c r="T169" s="5" t="s">
        <v>240</v>
      </c>
      <c r="U169" s="5" t="s">
        <v>301</v>
      </c>
    </row>
    <row r="170" spans="2:21" x14ac:dyDescent="0.25">
      <c r="B170" t="s">
        <v>201</v>
      </c>
      <c r="C170" t="s">
        <v>303</v>
      </c>
      <c r="D170" t="s">
        <v>16</v>
      </c>
      <c r="E170" t="s">
        <v>7</v>
      </c>
      <c r="F170" s="5"/>
      <c r="G170" s="7">
        <v>45104</v>
      </c>
      <c r="H170" t="s">
        <v>189</v>
      </c>
      <c r="I170">
        <v>5600</v>
      </c>
      <c r="J170" s="5">
        <v>305480</v>
      </c>
      <c r="L170" s="5">
        <v>308529.53000000003</v>
      </c>
      <c r="M170" s="5">
        <v>54.55</v>
      </c>
      <c r="N170" s="5">
        <v>85.702647222222225</v>
      </c>
      <c r="O170" s="5">
        <v>3049.5300000000279</v>
      </c>
      <c r="P170" s="3">
        <v>9.9827484614378285E-3</v>
      </c>
      <c r="Q170" s="9">
        <f t="shared" si="2"/>
        <v>69841.898489158804</v>
      </c>
      <c r="R170" s="5" t="str">
        <f>TEXT(Table1[[#This Row],[Closing Date]],"yyyy")</f>
        <v>2023</v>
      </c>
      <c r="S170" s="5" t="str">
        <f>TEXT(Table1[[#This Row],[Closing Date]],"mmmm")</f>
        <v>June</v>
      </c>
      <c r="T170" s="5" t="s">
        <v>240</v>
      </c>
      <c r="U170" s="5" t="s">
        <v>203</v>
      </c>
    </row>
    <row r="171" spans="2:21" x14ac:dyDescent="0.25">
      <c r="B171" t="s">
        <v>201</v>
      </c>
      <c r="C171" t="s">
        <v>305</v>
      </c>
      <c r="D171" t="s">
        <v>16</v>
      </c>
      <c r="E171" t="s">
        <v>5</v>
      </c>
      <c r="F171" s="5"/>
      <c r="G171" s="7">
        <v>45105</v>
      </c>
      <c r="H171" t="s">
        <v>58</v>
      </c>
      <c r="I171">
        <v>384</v>
      </c>
      <c r="J171" s="5">
        <v>145532.85999999999</v>
      </c>
      <c r="L171" s="5">
        <v>150287.51</v>
      </c>
      <c r="M171" s="5">
        <v>378.99182291666665</v>
      </c>
      <c r="N171" s="5">
        <v>391.37372395833336</v>
      </c>
      <c r="O171" s="5">
        <v>-4754.6500000000233</v>
      </c>
      <c r="P171" s="3">
        <v>-3.2670628475246183E-2</v>
      </c>
      <c r="Q171" s="9">
        <f t="shared" si="2"/>
        <v>65087.248489158781</v>
      </c>
      <c r="R171" s="5" t="str">
        <f>TEXT(Table1[[#This Row],[Closing Date]],"yyyy")</f>
        <v>2023</v>
      </c>
      <c r="S171" s="5" t="str">
        <f>TEXT(Table1[[#This Row],[Closing Date]],"mmmm")</f>
        <v>June</v>
      </c>
      <c r="T171" s="5" t="s">
        <v>240</v>
      </c>
      <c r="U171" s="5" t="s">
        <v>301</v>
      </c>
    </row>
    <row r="172" spans="2:21" x14ac:dyDescent="0.25">
      <c r="B172" t="s">
        <v>201</v>
      </c>
      <c r="C172" t="s">
        <v>305</v>
      </c>
      <c r="D172" t="s">
        <v>16</v>
      </c>
      <c r="E172" t="s">
        <v>5</v>
      </c>
      <c r="F172" s="5"/>
      <c r="G172" s="7">
        <v>45106</v>
      </c>
      <c r="H172" t="s">
        <v>59</v>
      </c>
      <c r="I172">
        <v>11350</v>
      </c>
      <c r="J172" s="5">
        <v>365862.68</v>
      </c>
      <c r="L172" s="5">
        <v>373666.99</v>
      </c>
      <c r="M172" s="5">
        <v>32.234597356828196</v>
      </c>
      <c r="N172" s="5">
        <v>32.92220176211454</v>
      </c>
      <c r="O172" s="5">
        <v>-7804.3099999999977</v>
      </c>
      <c r="P172" s="3">
        <v>-2.133125466636826E-2</v>
      </c>
      <c r="Q172" s="9">
        <f t="shared" si="2"/>
        <v>57282.938489158783</v>
      </c>
      <c r="R172" s="5" t="str">
        <f>TEXT(Table1[[#This Row],[Closing Date]],"yyyy")</f>
        <v>2023</v>
      </c>
      <c r="S172" s="5" t="str">
        <f>TEXT(Table1[[#This Row],[Closing Date]],"mmmm")</f>
        <v>June</v>
      </c>
      <c r="T172" s="5" t="s">
        <v>240</v>
      </c>
      <c r="U172" s="5" t="s">
        <v>301</v>
      </c>
    </row>
    <row r="173" spans="2:21" x14ac:dyDescent="0.25">
      <c r="B173" t="s">
        <v>201</v>
      </c>
      <c r="C173" t="s">
        <v>303</v>
      </c>
      <c r="D173" t="s">
        <v>4</v>
      </c>
      <c r="E173" t="s">
        <v>7</v>
      </c>
      <c r="F173" s="5"/>
      <c r="G173" s="7">
        <v>45107</v>
      </c>
      <c r="H173" t="s">
        <v>60</v>
      </c>
      <c r="I173">
        <v>1000000</v>
      </c>
      <c r="J173" s="5">
        <v>681553.63</v>
      </c>
      <c r="L173" s="5">
        <v>676070</v>
      </c>
      <c r="M173" s="5">
        <v>0.68155363000000002</v>
      </c>
      <c r="N173" s="5">
        <v>0.67606999999999995</v>
      </c>
      <c r="O173" s="5">
        <v>-6129</v>
      </c>
      <c r="P173" s="3">
        <v>-9.0656292987412544E-3</v>
      </c>
      <c r="Q173" s="9">
        <f t="shared" si="2"/>
        <v>51153.938489158783</v>
      </c>
      <c r="R173" s="5" t="str">
        <f>TEXT(Table1[[#This Row],[Closing Date]],"yyyy")</f>
        <v>2023</v>
      </c>
      <c r="S173" s="5" t="str">
        <f>TEXT(Table1[[#This Row],[Closing Date]],"mmmm")</f>
        <v>June</v>
      </c>
      <c r="T173" s="5" t="s">
        <v>240</v>
      </c>
      <c r="U173" s="5" t="s">
        <v>301</v>
      </c>
    </row>
    <row r="174" spans="2:21" x14ac:dyDescent="0.25">
      <c r="B174" t="s">
        <v>201</v>
      </c>
      <c r="C174" t="s">
        <v>303</v>
      </c>
      <c r="D174" t="s">
        <v>4</v>
      </c>
      <c r="E174" t="s">
        <v>7</v>
      </c>
      <c r="F174" s="5"/>
      <c r="G174" s="7">
        <v>45107</v>
      </c>
      <c r="H174" t="s">
        <v>116</v>
      </c>
      <c r="I174">
        <v>700000</v>
      </c>
      <c r="J174" s="5">
        <v>76080320.640000001</v>
      </c>
      <c r="L174" s="5">
        <v>76262900</v>
      </c>
      <c r="M174" s="5">
        <v>108.68617234285715</v>
      </c>
      <c r="N174" s="5">
        <v>108.947</v>
      </c>
      <c r="O174" s="5">
        <v>1675.8548652096836</v>
      </c>
      <c r="P174" s="3">
        <v>2.1974706773669551E-5</v>
      </c>
      <c r="Q174" s="9">
        <f t="shared" si="2"/>
        <v>52829.79335436847</v>
      </c>
      <c r="R174" s="5" t="str">
        <f>TEXT(Table1[[#This Row],[Closing Date]],"yyyy")</f>
        <v>2023</v>
      </c>
      <c r="S174" s="5" t="str">
        <f>TEXT(Table1[[#This Row],[Closing Date]],"mmmm")</f>
        <v>June</v>
      </c>
      <c r="T174" s="5" t="s">
        <v>240</v>
      </c>
      <c r="U174" s="5" t="s">
        <v>301</v>
      </c>
    </row>
    <row r="175" spans="2:21" x14ac:dyDescent="0.25">
      <c r="B175" t="s">
        <v>201</v>
      </c>
      <c r="C175" t="s">
        <v>303</v>
      </c>
      <c r="D175" t="s">
        <v>4</v>
      </c>
      <c r="E175" t="s">
        <v>7</v>
      </c>
      <c r="F175" s="5"/>
      <c r="G175" s="7">
        <v>45107</v>
      </c>
      <c r="H175" t="s">
        <v>79</v>
      </c>
      <c r="I175">
        <v>230000</v>
      </c>
      <c r="J175" s="5">
        <v>36524040.020000003</v>
      </c>
      <c r="L175" s="5">
        <v>37535242.109999999</v>
      </c>
      <c r="M175" s="5">
        <v>158.80017400000003</v>
      </c>
      <c r="N175" s="5">
        <v>163.19670482608694</v>
      </c>
      <c r="O175" s="5">
        <v>7163.2558909275331</v>
      </c>
      <c r="P175" s="3">
        <v>1.9084080688583398E-4</v>
      </c>
      <c r="Q175" s="9">
        <f t="shared" si="2"/>
        <v>59993.049245296002</v>
      </c>
      <c r="R175" s="5" t="str">
        <f>TEXT(Table1[[#This Row],[Closing Date]],"yyyy")</f>
        <v>2023</v>
      </c>
      <c r="S175" s="5" t="str">
        <f>TEXT(Table1[[#This Row],[Closing Date]],"mmmm")</f>
        <v>June</v>
      </c>
      <c r="T175" s="5" t="s">
        <v>240</v>
      </c>
      <c r="U175" s="5" t="s">
        <v>301</v>
      </c>
    </row>
    <row r="176" spans="2:21" x14ac:dyDescent="0.25">
      <c r="B176" t="s">
        <v>201</v>
      </c>
      <c r="C176" t="s">
        <v>305</v>
      </c>
      <c r="D176" t="s">
        <v>16</v>
      </c>
      <c r="E176" t="s">
        <v>7</v>
      </c>
      <c r="F176" s="5"/>
      <c r="G176" s="7">
        <v>45107</v>
      </c>
      <c r="H176" t="s">
        <v>61</v>
      </c>
      <c r="I176">
        <v>17440</v>
      </c>
      <c r="J176" s="5">
        <v>201358.3</v>
      </c>
      <c r="L176" s="5">
        <v>213235.27</v>
      </c>
      <c r="M176" s="5">
        <v>11.545774082568807</v>
      </c>
      <c r="N176" s="5">
        <v>12.226793004587156</v>
      </c>
      <c r="O176" s="5">
        <v>-11876.970000000001</v>
      </c>
      <c r="P176" s="3">
        <v>-5.8984258409015257E-2</v>
      </c>
      <c r="Q176" s="9">
        <f t="shared" si="2"/>
        <v>48116.079245296001</v>
      </c>
      <c r="R176" s="5" t="str">
        <f>TEXT(Table1[[#This Row],[Closing Date]],"yyyy")</f>
        <v>2023</v>
      </c>
      <c r="S176" s="5" t="str">
        <f>TEXT(Table1[[#This Row],[Closing Date]],"mmmm")</f>
        <v>June</v>
      </c>
      <c r="T176" s="5" t="s">
        <v>240</v>
      </c>
      <c r="U176" s="5" t="s">
        <v>301</v>
      </c>
    </row>
    <row r="177" spans="2:21" x14ac:dyDescent="0.25">
      <c r="B177" t="s">
        <v>201</v>
      </c>
      <c r="C177" t="s">
        <v>305</v>
      </c>
      <c r="D177" t="s">
        <v>16</v>
      </c>
      <c r="E177" t="s">
        <v>5</v>
      </c>
      <c r="F177" s="5"/>
      <c r="G177" s="7">
        <v>45107</v>
      </c>
      <c r="H177" t="s">
        <v>62</v>
      </c>
      <c r="I177">
        <v>11500</v>
      </c>
      <c r="J177" s="5">
        <v>163584.51999999999</v>
      </c>
      <c r="L177" s="5">
        <v>158627.04999999999</v>
      </c>
      <c r="M177" s="5">
        <v>14.224740869565217</v>
      </c>
      <c r="N177" s="5">
        <v>13.793656521739129</v>
      </c>
      <c r="O177" s="5">
        <v>4957.4700000000012</v>
      </c>
      <c r="P177" s="3">
        <v>3.0305251377086378E-2</v>
      </c>
      <c r="Q177" s="9">
        <f t="shared" si="2"/>
        <v>53073.549245296002</v>
      </c>
      <c r="R177" s="5" t="str">
        <f>TEXT(Table1[[#This Row],[Closing Date]],"yyyy")</f>
        <v>2023</v>
      </c>
      <c r="S177" s="5" t="str">
        <f>TEXT(Table1[[#This Row],[Closing Date]],"mmmm")</f>
        <v>June</v>
      </c>
      <c r="T177" s="5" t="s">
        <v>240</v>
      </c>
      <c r="U177" s="5" t="s">
        <v>301</v>
      </c>
    </row>
    <row r="178" spans="2:21" x14ac:dyDescent="0.25">
      <c r="B178" t="s">
        <v>201</v>
      </c>
      <c r="C178" t="s">
        <v>305</v>
      </c>
      <c r="D178" t="s">
        <v>16</v>
      </c>
      <c r="E178" t="s">
        <v>5</v>
      </c>
      <c r="F178" s="5"/>
      <c r="G178" s="7">
        <v>45112</v>
      </c>
      <c r="H178" t="s">
        <v>63</v>
      </c>
      <c r="I178">
        <v>7000</v>
      </c>
      <c r="J178" s="5">
        <v>252731.96</v>
      </c>
      <c r="L178" s="5">
        <v>267771.21000000002</v>
      </c>
      <c r="M178" s="5">
        <v>36.104565714285712</v>
      </c>
      <c r="N178" s="5">
        <v>38.253030000000003</v>
      </c>
      <c r="O178" s="5">
        <v>-15039.250000000029</v>
      </c>
      <c r="P178" s="3">
        <v>-5.9506720083997419E-2</v>
      </c>
      <c r="Q178" s="9">
        <f t="shared" si="2"/>
        <v>38034.299245295973</v>
      </c>
      <c r="R178" s="5" t="str">
        <f>TEXT(Table1[[#This Row],[Closing Date]],"yyyy")</f>
        <v>2023</v>
      </c>
      <c r="S178" s="5" t="str">
        <f>TEXT(Table1[[#This Row],[Closing Date]],"mmmm")</f>
        <v>July</v>
      </c>
      <c r="T178" s="5" t="s">
        <v>240</v>
      </c>
      <c r="U178" s="5" t="s">
        <v>301</v>
      </c>
    </row>
    <row r="179" spans="2:21" x14ac:dyDescent="0.25">
      <c r="B179" t="s">
        <v>201</v>
      </c>
      <c r="C179" t="s">
        <v>305</v>
      </c>
      <c r="D179" t="s">
        <v>16</v>
      </c>
      <c r="E179" t="s">
        <v>7</v>
      </c>
      <c r="F179" s="5"/>
      <c r="G179" s="7">
        <v>45114</v>
      </c>
      <c r="H179" t="s">
        <v>64</v>
      </c>
      <c r="I179">
        <v>3000</v>
      </c>
      <c r="J179" s="5">
        <v>484982.5</v>
      </c>
      <c r="L179" s="5">
        <v>467099.66</v>
      </c>
      <c r="M179" s="5">
        <v>161.66083333333333</v>
      </c>
      <c r="N179" s="5">
        <v>155.69988666666666</v>
      </c>
      <c r="O179" s="5">
        <v>-17882.840000000026</v>
      </c>
      <c r="P179" s="3">
        <v>-3.6873165526591201E-2</v>
      </c>
      <c r="Q179" s="9">
        <f t="shared" si="2"/>
        <v>20151.459245295948</v>
      </c>
      <c r="R179" s="5" t="str">
        <f>TEXT(Table1[[#This Row],[Closing Date]],"yyyy")</f>
        <v>2023</v>
      </c>
      <c r="S179" s="5" t="str">
        <f>TEXT(Table1[[#This Row],[Closing Date]],"mmmm")</f>
        <v>July</v>
      </c>
      <c r="T179" s="5" t="s">
        <v>240</v>
      </c>
      <c r="U179" s="5" t="s">
        <v>301</v>
      </c>
    </row>
    <row r="180" spans="2:21" x14ac:dyDescent="0.25">
      <c r="B180" t="s">
        <v>201</v>
      </c>
      <c r="C180" t="s">
        <v>305</v>
      </c>
      <c r="D180" t="s">
        <v>16</v>
      </c>
      <c r="E180" t="s">
        <v>5</v>
      </c>
      <c r="F180" s="5"/>
      <c r="G180" s="7">
        <v>45114</v>
      </c>
      <c r="H180" t="s">
        <v>67</v>
      </c>
      <c r="I180">
        <v>14285</v>
      </c>
      <c r="J180" s="5">
        <v>150632.04999999999</v>
      </c>
      <c r="L180" s="5">
        <v>161215.85</v>
      </c>
      <c r="M180" s="5">
        <v>10.544770738536926</v>
      </c>
      <c r="N180" s="5">
        <v>11.285673783689186</v>
      </c>
      <c r="O180" s="5">
        <v>-10583.800000000017</v>
      </c>
      <c r="P180" s="3">
        <v>-7.0262603476484817E-2</v>
      </c>
      <c r="Q180" s="9">
        <f t="shared" si="2"/>
        <v>9567.6592452959303</v>
      </c>
      <c r="R180" s="5" t="str">
        <f>TEXT(Table1[[#This Row],[Closing Date]],"yyyy")</f>
        <v>2023</v>
      </c>
      <c r="S180" s="5" t="str">
        <f>TEXT(Table1[[#This Row],[Closing Date]],"mmmm")</f>
        <v>July</v>
      </c>
      <c r="T180" s="5" t="s">
        <v>240</v>
      </c>
      <c r="U180" s="5" t="s">
        <v>301</v>
      </c>
    </row>
    <row r="181" spans="2:21" x14ac:dyDescent="0.25">
      <c r="B181" t="s">
        <v>201</v>
      </c>
      <c r="C181" t="s">
        <v>303</v>
      </c>
      <c r="D181" t="s">
        <v>12</v>
      </c>
      <c r="E181" t="s">
        <v>7</v>
      </c>
      <c r="F181" s="5"/>
      <c r="G181" s="7">
        <v>45117</v>
      </c>
      <c r="H181" t="s">
        <v>44</v>
      </c>
      <c r="I181">
        <v>4</v>
      </c>
      <c r="J181" s="5">
        <v>658962.07999999996</v>
      </c>
      <c r="L181" s="5">
        <v>644987.92000000004</v>
      </c>
      <c r="M181" s="5">
        <v>32948.103999999999</v>
      </c>
      <c r="N181" s="5">
        <v>32249.396000000001</v>
      </c>
      <c r="O181" s="5">
        <v>-14018.159999999916</v>
      </c>
      <c r="P181" s="3">
        <v>-2.1273090554770491E-2</v>
      </c>
      <c r="Q181" s="9">
        <f t="shared" si="2"/>
        <v>-4450.5007547039859</v>
      </c>
      <c r="R181" s="5" t="str">
        <f>TEXT(Table1[[#This Row],[Closing Date]],"yyyy")</f>
        <v>2023</v>
      </c>
      <c r="S181" s="5" t="str">
        <f>TEXT(Table1[[#This Row],[Closing Date]],"mmmm")</f>
        <v>July</v>
      </c>
      <c r="T181" s="5" t="s">
        <v>240</v>
      </c>
      <c r="U181" s="5" t="s">
        <v>301</v>
      </c>
    </row>
    <row r="182" spans="2:21" x14ac:dyDescent="0.25">
      <c r="B182" t="s">
        <v>201</v>
      </c>
      <c r="C182" t="s">
        <v>305</v>
      </c>
      <c r="D182" t="s">
        <v>16</v>
      </c>
      <c r="E182" t="s">
        <v>7</v>
      </c>
      <c r="F182" s="5"/>
      <c r="G182" s="7">
        <v>45117</v>
      </c>
      <c r="H182" t="s">
        <v>65</v>
      </c>
      <c r="I182">
        <v>5800</v>
      </c>
      <c r="J182" s="5">
        <v>313054</v>
      </c>
      <c r="L182" s="5">
        <v>330437.52</v>
      </c>
      <c r="M182" s="5">
        <v>53.974827586206899</v>
      </c>
      <c r="N182" s="5">
        <v>56.971986206896553</v>
      </c>
      <c r="O182" s="5">
        <v>17383.520000000019</v>
      </c>
      <c r="P182" s="3">
        <v>5.5528822503465816E-2</v>
      </c>
      <c r="Q182" s="9">
        <f t="shared" si="2"/>
        <v>12933.019245296033</v>
      </c>
      <c r="R182" s="5" t="str">
        <f>TEXT(Table1[[#This Row],[Closing Date]],"yyyy")</f>
        <v>2023</v>
      </c>
      <c r="S182" s="5" t="str">
        <f>TEXT(Table1[[#This Row],[Closing Date]],"mmmm")</f>
        <v>July</v>
      </c>
      <c r="T182" s="5" t="s">
        <v>240</v>
      </c>
      <c r="U182" s="5" t="s">
        <v>301</v>
      </c>
    </row>
    <row r="183" spans="2:21" x14ac:dyDescent="0.25">
      <c r="B183" t="s">
        <v>201</v>
      </c>
      <c r="C183" t="s">
        <v>303</v>
      </c>
      <c r="D183" t="s">
        <v>4</v>
      </c>
      <c r="E183" t="s">
        <v>7</v>
      </c>
      <c r="F183" s="5"/>
      <c r="G183" s="7">
        <v>45118</v>
      </c>
      <c r="H183" t="s">
        <v>47</v>
      </c>
      <c r="I183">
        <v>325000</v>
      </c>
      <c r="J183" s="5">
        <v>3841547.93</v>
      </c>
      <c r="L183" s="5">
        <v>3745369.26</v>
      </c>
      <c r="M183" s="5">
        <v>11.820147476923077</v>
      </c>
      <c r="N183" s="5">
        <v>11.524213107692306</v>
      </c>
      <c r="O183" s="5">
        <v>-8947.4838287613329</v>
      </c>
      <c r="P183" s="3">
        <v>-2.3889457107258184E-3</v>
      </c>
      <c r="Q183" s="9">
        <f t="shared" si="2"/>
        <v>3985.5354165346998</v>
      </c>
      <c r="R183" s="5" t="str">
        <f>TEXT(Table1[[#This Row],[Closing Date]],"yyyy")</f>
        <v>2023</v>
      </c>
      <c r="S183" s="5" t="str">
        <f>TEXT(Table1[[#This Row],[Closing Date]],"mmmm")</f>
        <v>July</v>
      </c>
      <c r="T183" s="5" t="s">
        <v>240</v>
      </c>
      <c r="U183" s="5" t="s">
        <v>301</v>
      </c>
    </row>
    <row r="184" spans="2:21" x14ac:dyDescent="0.25">
      <c r="B184" t="s">
        <v>201</v>
      </c>
      <c r="C184" t="s">
        <v>303</v>
      </c>
      <c r="D184" t="s">
        <v>12</v>
      </c>
      <c r="E184" t="s">
        <v>7</v>
      </c>
      <c r="F184" s="5"/>
      <c r="G184" s="7">
        <v>45118</v>
      </c>
      <c r="H184" t="s">
        <v>13</v>
      </c>
      <c r="I184">
        <v>3</v>
      </c>
      <c r="J184" s="5">
        <v>219607.11</v>
      </c>
      <c r="L184" s="5">
        <v>224992.89</v>
      </c>
      <c r="M184" s="5">
        <v>73.202370000000002</v>
      </c>
      <c r="N184" s="5">
        <v>74.997630000000001</v>
      </c>
      <c r="O184" s="5">
        <v>5341.7800000000279</v>
      </c>
      <c r="P184" s="3">
        <v>2.4324257989643543E-2</v>
      </c>
      <c r="Q184" s="9">
        <f t="shared" si="2"/>
        <v>9327.3154165347278</v>
      </c>
      <c r="R184" s="5" t="str">
        <f>TEXT(Table1[[#This Row],[Closing Date]],"yyyy")</f>
        <v>2023</v>
      </c>
      <c r="S184" s="5" t="str">
        <f>TEXT(Table1[[#This Row],[Closing Date]],"mmmm")</f>
        <v>July</v>
      </c>
      <c r="T184" s="5" t="s">
        <v>240</v>
      </c>
      <c r="U184" s="5" t="s">
        <v>301</v>
      </c>
    </row>
    <row r="185" spans="2:21" x14ac:dyDescent="0.25">
      <c r="B185" t="s">
        <v>201</v>
      </c>
      <c r="C185" t="s">
        <v>302</v>
      </c>
      <c r="D185" t="s">
        <v>16</v>
      </c>
      <c r="E185" t="s">
        <v>7</v>
      </c>
      <c r="F185" s="5"/>
      <c r="G185" s="7">
        <v>45118</v>
      </c>
      <c r="H185" t="s">
        <v>66</v>
      </c>
      <c r="I185">
        <v>4500</v>
      </c>
      <c r="J185" s="5">
        <v>90022.5</v>
      </c>
      <c r="L185" s="5">
        <v>98976.06</v>
      </c>
      <c r="M185" s="5">
        <v>20.004999999999999</v>
      </c>
      <c r="N185" s="5">
        <v>21.994679999999999</v>
      </c>
      <c r="O185" s="5">
        <v>8953.5599999999977</v>
      </c>
      <c r="P185" s="3">
        <v>9.9459135216195954E-2</v>
      </c>
      <c r="Q185" s="9">
        <f t="shared" si="2"/>
        <v>18280.875416534727</v>
      </c>
      <c r="R185" s="5" t="str">
        <f>TEXT(Table1[[#This Row],[Closing Date]],"yyyy")</f>
        <v>2023</v>
      </c>
      <c r="S185" s="5" t="str">
        <f>TEXT(Table1[[#This Row],[Closing Date]],"mmmm")</f>
        <v>July</v>
      </c>
      <c r="T185" s="5" t="s">
        <v>240</v>
      </c>
      <c r="U185" s="5" t="s">
        <v>301</v>
      </c>
    </row>
    <row r="186" spans="2:21" x14ac:dyDescent="0.25">
      <c r="B186" t="s">
        <v>201</v>
      </c>
      <c r="C186" t="s">
        <v>303</v>
      </c>
      <c r="D186" t="s">
        <v>4</v>
      </c>
      <c r="E186" t="s">
        <v>7</v>
      </c>
      <c r="F186" s="5"/>
      <c r="G186" s="7">
        <v>45119</v>
      </c>
      <c r="H186" t="s">
        <v>69</v>
      </c>
      <c r="I186">
        <v>1950000</v>
      </c>
      <c r="J186" s="5">
        <v>14122699.51</v>
      </c>
      <c r="L186" s="5">
        <v>13993281.559999999</v>
      </c>
      <c r="M186" s="5">
        <v>7.242410005128205</v>
      </c>
      <c r="N186" s="5">
        <v>7.1760418256410246</v>
      </c>
      <c r="O186" s="5">
        <v>-18034.726266166992</v>
      </c>
      <c r="P186" s="3">
        <v>-9.2485775723933281E-3</v>
      </c>
      <c r="Q186" s="9">
        <f t="shared" si="2"/>
        <v>246.14915036773527</v>
      </c>
      <c r="R186" s="5" t="str">
        <f>TEXT(Table1[[#This Row],[Closing Date]],"yyyy")</f>
        <v>2023</v>
      </c>
      <c r="S186" s="5" t="str">
        <f>TEXT(Table1[[#This Row],[Closing Date]],"mmmm")</f>
        <v>July</v>
      </c>
      <c r="T186" s="5" t="s">
        <v>240</v>
      </c>
      <c r="U186" s="5" t="s">
        <v>301</v>
      </c>
    </row>
    <row r="187" spans="2:21" x14ac:dyDescent="0.25">
      <c r="B187" t="s">
        <v>201</v>
      </c>
      <c r="C187" t="s">
        <v>303</v>
      </c>
      <c r="D187" t="s">
        <v>4</v>
      </c>
      <c r="E187" t="s">
        <v>7</v>
      </c>
      <c r="F187" s="5"/>
      <c r="G187" s="7">
        <v>45119</v>
      </c>
      <c r="H187" t="s">
        <v>68</v>
      </c>
      <c r="I187">
        <v>875000</v>
      </c>
      <c r="J187" s="5">
        <v>10280454.58</v>
      </c>
      <c r="L187" s="5">
        <v>10107352.51</v>
      </c>
      <c r="M187" s="5">
        <v>11.749090948571428</v>
      </c>
      <c r="N187" s="5">
        <v>11.551260011428571</v>
      </c>
      <c r="O187" s="5">
        <v>-16632.139184110645</v>
      </c>
      <c r="P187" s="3">
        <v>-1.645548541782347E-3</v>
      </c>
      <c r="Q187" s="9">
        <f t="shared" si="2"/>
        <v>-16385.99003374291</v>
      </c>
      <c r="R187" s="5" t="str">
        <f>TEXT(Table1[[#This Row],[Closing Date]],"yyyy")</f>
        <v>2023</v>
      </c>
      <c r="S187" s="5" t="str">
        <f>TEXT(Table1[[#This Row],[Closing Date]],"mmmm")</f>
        <v>July</v>
      </c>
      <c r="T187" s="5" t="s">
        <v>240</v>
      </c>
      <c r="U187" s="5" t="s">
        <v>301</v>
      </c>
    </row>
    <row r="188" spans="2:21" x14ac:dyDescent="0.25">
      <c r="B188" t="s">
        <v>201</v>
      </c>
      <c r="C188" t="s">
        <v>303</v>
      </c>
      <c r="D188" t="s">
        <v>4</v>
      </c>
      <c r="E188" t="s">
        <v>7</v>
      </c>
      <c r="F188" s="5"/>
      <c r="G188" s="7">
        <v>45119</v>
      </c>
      <c r="H188" t="s">
        <v>48</v>
      </c>
      <c r="I188">
        <v>350000</v>
      </c>
      <c r="J188" s="5">
        <v>3750573.0700000003</v>
      </c>
      <c r="L188" s="5">
        <v>3581268.7</v>
      </c>
      <c r="M188" s="5">
        <v>10.715923057142858</v>
      </c>
      <c r="N188" s="5">
        <v>10.232196285714286</v>
      </c>
      <c r="O188" s="5">
        <v>-16546.239465360428</v>
      </c>
      <c r="P188" s="3">
        <v>-4.7274969901029799E-2</v>
      </c>
      <c r="Q188" s="9">
        <f t="shared" si="2"/>
        <v>-32932.229499103341</v>
      </c>
      <c r="R188" s="5" t="str">
        <f>TEXT(Table1[[#This Row],[Closing Date]],"yyyy")</f>
        <v>2023</v>
      </c>
      <c r="S188" s="5" t="str">
        <f>TEXT(Table1[[#This Row],[Closing Date]],"mmmm")</f>
        <v>July</v>
      </c>
      <c r="T188" s="5" t="s">
        <v>240</v>
      </c>
      <c r="U188" s="5" t="s">
        <v>301</v>
      </c>
    </row>
    <row r="189" spans="2:21" x14ac:dyDescent="0.25">
      <c r="B189" t="s">
        <v>201</v>
      </c>
      <c r="C189" t="s">
        <v>303</v>
      </c>
      <c r="D189" t="s">
        <v>4</v>
      </c>
      <c r="E189" t="s">
        <v>7</v>
      </c>
      <c r="F189" s="5"/>
      <c r="G189" s="7">
        <v>45119</v>
      </c>
      <c r="H189" t="s">
        <v>71</v>
      </c>
      <c r="I189">
        <v>2600000</v>
      </c>
      <c r="J189" s="5">
        <v>366257164.62</v>
      </c>
      <c r="L189" s="5">
        <v>364397922.27000004</v>
      </c>
      <c r="M189" s="5">
        <v>140.86814023846154</v>
      </c>
      <c r="N189" s="5">
        <v>303.66493522500002</v>
      </c>
      <c r="O189" s="5">
        <v>-6122.6771165474265</v>
      </c>
      <c r="P189" s="3">
        <v>-1.6802173509680002E-5</v>
      </c>
      <c r="Q189" s="9">
        <f t="shared" si="2"/>
        <v>-39054.906615650769</v>
      </c>
      <c r="R189" s="5" t="str">
        <f>TEXT(Table1[[#This Row],[Closing Date]],"yyyy")</f>
        <v>2023</v>
      </c>
      <c r="S189" s="5" t="str">
        <f>TEXT(Table1[[#This Row],[Closing Date]],"mmmm")</f>
        <v>July</v>
      </c>
      <c r="T189" s="5" t="s">
        <v>240</v>
      </c>
      <c r="U189" s="5" t="s">
        <v>301</v>
      </c>
    </row>
    <row r="190" spans="2:21" x14ac:dyDescent="0.25">
      <c r="B190" t="s">
        <v>201</v>
      </c>
      <c r="C190" t="s">
        <v>303</v>
      </c>
      <c r="D190" t="s">
        <v>16</v>
      </c>
      <c r="E190" t="s">
        <v>5</v>
      </c>
      <c r="F190" s="5"/>
      <c r="G190" s="7">
        <v>45119</v>
      </c>
      <c r="H190" t="s">
        <v>76</v>
      </c>
      <c r="I190">
        <v>8000</v>
      </c>
      <c r="J190" s="5">
        <v>231956.98</v>
      </c>
      <c r="L190" s="5">
        <v>232039</v>
      </c>
      <c r="M190" s="5">
        <v>28.994622500000002</v>
      </c>
      <c r="N190" s="5">
        <v>29.004874999999998</v>
      </c>
      <c r="O190" s="5">
        <v>-82.019999999989523</v>
      </c>
      <c r="P190" s="3">
        <v>-3.5360005118178188E-4</v>
      </c>
      <c r="Q190" s="9">
        <f t="shared" si="2"/>
        <v>-39136.926615650758</v>
      </c>
      <c r="R190" s="5" t="str">
        <f>TEXT(Table1[[#This Row],[Closing Date]],"yyyy")</f>
        <v>2023</v>
      </c>
      <c r="S190" s="5" t="str">
        <f>TEXT(Table1[[#This Row],[Closing Date]],"mmmm")</f>
        <v>July</v>
      </c>
      <c r="T190" s="5" t="s">
        <v>240</v>
      </c>
      <c r="U190" s="5" t="s">
        <v>301</v>
      </c>
    </row>
    <row r="191" spans="2:21" x14ac:dyDescent="0.25">
      <c r="B191" t="s">
        <v>197</v>
      </c>
      <c r="C191" t="s">
        <v>305</v>
      </c>
      <c r="D191" t="s">
        <v>102</v>
      </c>
      <c r="E191" t="s">
        <v>7</v>
      </c>
      <c r="F191" s="5"/>
      <c r="G191" s="7">
        <v>45119</v>
      </c>
      <c r="H191" t="s">
        <v>132</v>
      </c>
      <c r="I191">
        <v>90</v>
      </c>
      <c r="J191" s="5">
        <v>8162.01</v>
      </c>
      <c r="K191" s="13">
        <v>100</v>
      </c>
      <c r="L191" s="5">
        <v>7439.64</v>
      </c>
      <c r="M191" s="5">
        <v>0.90689000000000008</v>
      </c>
      <c r="N191" s="5">
        <v>0.82662666666666662</v>
      </c>
      <c r="O191" s="5">
        <v>-722.36999999999989</v>
      </c>
      <c r="P191" s="3">
        <v>-8.850393469255749E-2</v>
      </c>
      <c r="Q191" s="9">
        <f t="shared" si="2"/>
        <v>-39859.296615650761</v>
      </c>
      <c r="R191" s="5" t="str">
        <f>TEXT(Table1[[#This Row],[Closing Date]],"yyyy")</f>
        <v>2023</v>
      </c>
      <c r="S191" s="5" t="str">
        <f>TEXT(Table1[[#This Row],[Closing Date]],"mmmm")</f>
        <v>July</v>
      </c>
      <c r="T191" s="5" t="s">
        <v>240</v>
      </c>
      <c r="U191" s="5" t="s">
        <v>301</v>
      </c>
    </row>
    <row r="192" spans="2:21" x14ac:dyDescent="0.25">
      <c r="B192" t="s">
        <v>201</v>
      </c>
      <c r="C192" t="s">
        <v>305</v>
      </c>
      <c r="D192" t="s">
        <v>16</v>
      </c>
      <c r="E192" t="s">
        <v>5</v>
      </c>
      <c r="F192" s="5"/>
      <c r="G192" s="7">
        <v>45119</v>
      </c>
      <c r="H192" t="s">
        <v>74</v>
      </c>
      <c r="I192">
        <v>5405</v>
      </c>
      <c r="J192" s="5">
        <v>157526.68</v>
      </c>
      <c r="L192" s="5">
        <v>168131.66</v>
      </c>
      <c r="M192" s="5">
        <v>29.144621646623495</v>
      </c>
      <c r="N192" s="5">
        <v>31.106690101757632</v>
      </c>
      <c r="O192" s="5">
        <v>-10604.98000000001</v>
      </c>
      <c r="P192" s="3">
        <v>-6.7321802249625334E-2</v>
      </c>
      <c r="Q192" s="9">
        <f t="shared" si="2"/>
        <v>-50464.276615650771</v>
      </c>
      <c r="R192" s="5" t="str">
        <f>TEXT(Table1[[#This Row],[Closing Date]],"yyyy")</f>
        <v>2023</v>
      </c>
      <c r="S192" s="5" t="str">
        <f>TEXT(Table1[[#This Row],[Closing Date]],"mmmm")</f>
        <v>July</v>
      </c>
      <c r="T192" s="5" t="s">
        <v>240</v>
      </c>
      <c r="U192" s="5" t="s">
        <v>301</v>
      </c>
    </row>
    <row r="193" spans="2:21" x14ac:dyDescent="0.25">
      <c r="B193" t="s">
        <v>201</v>
      </c>
      <c r="C193" t="s">
        <v>305</v>
      </c>
      <c r="D193" t="s">
        <v>16</v>
      </c>
      <c r="E193" t="s">
        <v>7</v>
      </c>
      <c r="F193" s="5"/>
      <c r="G193" s="7">
        <v>45119</v>
      </c>
      <c r="H193" t="s">
        <v>75</v>
      </c>
      <c r="I193">
        <v>7500</v>
      </c>
      <c r="J193" s="5">
        <v>381907.25</v>
      </c>
      <c r="L193" s="5">
        <v>382468.33</v>
      </c>
      <c r="M193" s="5">
        <v>50.920966666666665</v>
      </c>
      <c r="N193" s="5">
        <v>50.995777333333336</v>
      </c>
      <c r="O193" s="5">
        <v>561.0800000000163</v>
      </c>
      <c r="P193" s="3">
        <v>1.4691525232894533E-3</v>
      </c>
      <c r="Q193" s="9">
        <f t="shared" si="2"/>
        <v>-49903.196615650755</v>
      </c>
      <c r="R193" s="5" t="str">
        <f>TEXT(Table1[[#This Row],[Closing Date]],"yyyy")</f>
        <v>2023</v>
      </c>
      <c r="S193" s="5" t="str">
        <f>TEXT(Table1[[#This Row],[Closing Date]],"mmmm")</f>
        <v>July</v>
      </c>
      <c r="T193" s="5" t="s">
        <v>240</v>
      </c>
      <c r="U193" s="5" t="s">
        <v>301</v>
      </c>
    </row>
    <row r="194" spans="2:21" x14ac:dyDescent="0.25">
      <c r="B194" t="s">
        <v>201</v>
      </c>
      <c r="C194" t="s">
        <v>306</v>
      </c>
      <c r="D194" t="s">
        <v>4</v>
      </c>
      <c r="E194" t="s">
        <v>7</v>
      </c>
      <c r="F194" s="5"/>
      <c r="G194" s="7">
        <v>45119</v>
      </c>
      <c r="H194" t="s">
        <v>70</v>
      </c>
      <c r="I194">
        <v>1975000</v>
      </c>
      <c r="J194" s="5">
        <v>21069646.649999999</v>
      </c>
      <c r="L194" s="5">
        <v>20734949.171100002</v>
      </c>
      <c r="M194" s="5">
        <v>10.668175518987342</v>
      </c>
      <c r="N194" s="5">
        <v>10.498708441063291</v>
      </c>
      <c r="O194" s="5">
        <v>-31879.871774598891</v>
      </c>
      <c r="P194" s="3">
        <v>-1.6141707227645009E-2</v>
      </c>
      <c r="Q194" s="9">
        <f t="shared" si="2"/>
        <v>-81783.068390249653</v>
      </c>
      <c r="R194" s="5" t="str">
        <f>TEXT(Table1[[#This Row],[Closing Date]],"yyyy")</f>
        <v>2023</v>
      </c>
      <c r="S194" s="5" t="str">
        <f>TEXT(Table1[[#This Row],[Closing Date]],"mmmm")</f>
        <v>July</v>
      </c>
      <c r="T194" s="5" t="s">
        <v>240</v>
      </c>
      <c r="U194" s="5" t="s">
        <v>301</v>
      </c>
    </row>
    <row r="195" spans="2:21" x14ac:dyDescent="0.25">
      <c r="B195" t="s">
        <v>201</v>
      </c>
      <c r="C195" t="s">
        <v>306</v>
      </c>
      <c r="D195" t="s">
        <v>4</v>
      </c>
      <c r="E195" t="s">
        <v>5</v>
      </c>
      <c r="F195" s="5"/>
      <c r="G195" s="7">
        <v>45120</v>
      </c>
      <c r="H195" t="s">
        <v>125</v>
      </c>
      <c r="I195">
        <v>1500000</v>
      </c>
      <c r="J195" s="5">
        <v>944981.1</v>
      </c>
      <c r="L195" s="5">
        <v>960124.2</v>
      </c>
      <c r="M195" s="5">
        <v>0.62998739999999998</v>
      </c>
      <c r="N195" s="5">
        <v>0.64008279999999995</v>
      </c>
      <c r="O195" s="5">
        <v>-15143.099999999977</v>
      </c>
      <c r="P195" s="3">
        <v>-1.0095399999999985E-2</v>
      </c>
      <c r="Q195" s="9">
        <f t="shared" ref="Q195:Q258" si="3">O195+Q194</f>
        <v>-96926.16839024963</v>
      </c>
      <c r="R195" s="5" t="str">
        <f>TEXT(Table1[[#This Row],[Closing Date]],"yyyy")</f>
        <v>2023</v>
      </c>
      <c r="S195" s="5" t="str">
        <f>TEXT(Table1[[#This Row],[Closing Date]],"mmmm")</f>
        <v>July</v>
      </c>
      <c r="T195" s="5" t="s">
        <v>240</v>
      </c>
      <c r="U195" s="5" t="s">
        <v>301</v>
      </c>
    </row>
    <row r="196" spans="2:21" x14ac:dyDescent="0.25">
      <c r="B196" t="s">
        <v>201</v>
      </c>
      <c r="C196" t="s">
        <v>306</v>
      </c>
      <c r="D196" t="s">
        <v>4</v>
      </c>
      <c r="E196" t="s">
        <v>7</v>
      </c>
      <c r="F196" s="5"/>
      <c r="G196" s="7">
        <v>45120</v>
      </c>
      <c r="H196" t="s">
        <v>117</v>
      </c>
      <c r="I196">
        <v>1250000</v>
      </c>
      <c r="J196" s="5">
        <v>1669968.27</v>
      </c>
      <c r="L196" s="5">
        <v>1653591.61</v>
      </c>
      <c r="M196" s="5">
        <v>1.3359746160000001</v>
      </c>
      <c r="N196" s="5">
        <v>1.322873288</v>
      </c>
      <c r="O196" s="5">
        <v>-13479.45012969333</v>
      </c>
      <c r="P196" s="3">
        <v>-1.0783560103754664E-2</v>
      </c>
      <c r="Q196" s="9">
        <f t="shared" si="3"/>
        <v>-110405.61851994296</v>
      </c>
      <c r="R196" s="5" t="str">
        <f>TEXT(Table1[[#This Row],[Closing Date]],"yyyy")</f>
        <v>2023</v>
      </c>
      <c r="S196" s="5" t="str">
        <f>TEXT(Table1[[#This Row],[Closing Date]],"mmmm")</f>
        <v>July</v>
      </c>
      <c r="T196" s="5" t="s">
        <v>240</v>
      </c>
      <c r="U196" s="5" t="s">
        <v>301</v>
      </c>
    </row>
    <row r="197" spans="2:21" x14ac:dyDescent="0.25">
      <c r="B197" t="s">
        <v>201</v>
      </c>
      <c r="C197" t="s">
        <v>306</v>
      </c>
      <c r="D197" t="s">
        <v>16</v>
      </c>
      <c r="E197" t="s">
        <v>7</v>
      </c>
      <c r="F197" s="5"/>
      <c r="G197" s="7">
        <v>45121</v>
      </c>
      <c r="H197" t="s">
        <v>72</v>
      </c>
      <c r="I197">
        <v>1200</v>
      </c>
      <c r="J197" s="5">
        <v>270221.39999999997</v>
      </c>
      <c r="L197" s="5">
        <v>341095.84</v>
      </c>
      <c r="M197" s="5">
        <v>225.18449999999996</v>
      </c>
      <c r="N197" s="5">
        <v>284.24653333333333</v>
      </c>
      <c r="O197" s="5">
        <v>70874.440000000061</v>
      </c>
      <c r="P197" s="3">
        <v>0.26228285398565793</v>
      </c>
      <c r="Q197" s="9">
        <f t="shared" si="3"/>
        <v>-39531.1785199429</v>
      </c>
      <c r="R197" s="5" t="str">
        <f>TEXT(Table1[[#This Row],[Closing Date]],"yyyy")</f>
        <v>2023</v>
      </c>
      <c r="S197" s="5" t="str">
        <f>TEXT(Table1[[#This Row],[Closing Date]],"mmmm")</f>
        <v>July</v>
      </c>
      <c r="T197" s="5" t="s">
        <v>240</v>
      </c>
      <c r="U197" s="5" t="s">
        <v>301</v>
      </c>
    </row>
    <row r="198" spans="2:21" x14ac:dyDescent="0.25">
      <c r="B198" t="s">
        <v>201</v>
      </c>
      <c r="C198" t="s">
        <v>305</v>
      </c>
      <c r="D198" t="s">
        <v>16</v>
      </c>
      <c r="E198" t="s">
        <v>5</v>
      </c>
      <c r="F198" s="5"/>
      <c r="G198" s="7">
        <v>45122</v>
      </c>
      <c r="H198" t="s">
        <v>137</v>
      </c>
      <c r="I198">
        <v>13000</v>
      </c>
      <c r="J198" s="5">
        <v>170231.75</v>
      </c>
      <c r="L198" s="5">
        <v>180220.7</v>
      </c>
      <c r="M198" s="5">
        <v>13.094749999999999</v>
      </c>
      <c r="N198" s="5">
        <v>13.86313076923077</v>
      </c>
      <c r="O198" s="5">
        <v>-9988.9500000000116</v>
      </c>
      <c r="P198" s="3">
        <v>-5.8678536759447127E-2</v>
      </c>
      <c r="Q198" s="9">
        <f t="shared" si="3"/>
        <v>-49520.128519942911</v>
      </c>
      <c r="R198" s="5" t="str">
        <f>TEXT(Table1[[#This Row],[Closing Date]],"yyyy")</f>
        <v>2023</v>
      </c>
      <c r="S198" s="5" t="str">
        <f>TEXT(Table1[[#This Row],[Closing Date]],"mmmm")</f>
        <v>July</v>
      </c>
      <c r="T198" s="5" t="s">
        <v>240</v>
      </c>
      <c r="U198" s="5" t="s">
        <v>301</v>
      </c>
    </row>
    <row r="199" spans="2:21" x14ac:dyDescent="0.25">
      <c r="B199" t="s">
        <v>201</v>
      </c>
      <c r="C199" t="s">
        <v>305</v>
      </c>
      <c r="D199" t="s">
        <v>16</v>
      </c>
      <c r="E199" t="s">
        <v>7</v>
      </c>
      <c r="F199" s="5"/>
      <c r="G199" s="7">
        <v>45122</v>
      </c>
      <c r="H199" t="s">
        <v>77</v>
      </c>
      <c r="I199">
        <v>3500</v>
      </c>
      <c r="J199" s="5">
        <v>318517.5</v>
      </c>
      <c r="L199" s="5">
        <v>337484.29000000004</v>
      </c>
      <c r="M199" s="5">
        <v>91.004999999999995</v>
      </c>
      <c r="N199" s="5">
        <v>96.424082857142864</v>
      </c>
      <c r="O199" s="5">
        <v>18966.790000000037</v>
      </c>
      <c r="P199" s="3">
        <v>5.9547089249413425E-2</v>
      </c>
      <c r="Q199" s="9">
        <f t="shared" si="3"/>
        <v>-30553.338519942874</v>
      </c>
      <c r="R199" s="5" t="str">
        <f>TEXT(Table1[[#This Row],[Closing Date]],"yyyy")</f>
        <v>2023</v>
      </c>
      <c r="S199" s="5" t="str">
        <f>TEXT(Table1[[#This Row],[Closing Date]],"mmmm")</f>
        <v>July</v>
      </c>
      <c r="T199" s="5" t="s">
        <v>240</v>
      </c>
      <c r="U199" s="5" t="s">
        <v>301</v>
      </c>
    </row>
    <row r="200" spans="2:21" x14ac:dyDescent="0.25">
      <c r="B200" t="s">
        <v>201</v>
      </c>
      <c r="C200" t="s">
        <v>306</v>
      </c>
      <c r="D200" t="s">
        <v>12</v>
      </c>
      <c r="E200" t="s">
        <v>7</v>
      </c>
      <c r="F200" s="5"/>
      <c r="G200" s="7">
        <v>45122</v>
      </c>
      <c r="H200" t="s">
        <v>50</v>
      </c>
      <c r="I200">
        <v>10</v>
      </c>
      <c r="J200" s="5">
        <v>1005872.2</v>
      </c>
      <c r="L200" s="5">
        <v>998427.8</v>
      </c>
      <c r="M200" s="5">
        <v>100.58722</v>
      </c>
      <c r="N200" s="5">
        <v>99.842780000000005</v>
      </c>
      <c r="O200" s="5">
        <v>-7488.3999999999069</v>
      </c>
      <c r="P200" s="3">
        <v>-7.4446833305462732E-3</v>
      </c>
      <c r="Q200" s="9">
        <f t="shared" si="3"/>
        <v>-38041.738519942781</v>
      </c>
      <c r="R200" s="5" t="str">
        <f>TEXT(Table1[[#This Row],[Closing Date]],"yyyy")</f>
        <v>2023</v>
      </c>
      <c r="S200" s="5" t="str">
        <f>TEXT(Table1[[#This Row],[Closing Date]],"mmmm")</f>
        <v>July</v>
      </c>
      <c r="T200" s="5" t="s">
        <v>240</v>
      </c>
      <c r="U200" s="5" t="s">
        <v>301</v>
      </c>
    </row>
    <row r="201" spans="2:21" x14ac:dyDescent="0.25">
      <c r="B201" t="s">
        <v>201</v>
      </c>
      <c r="C201" t="s">
        <v>305</v>
      </c>
      <c r="D201" t="s">
        <v>16</v>
      </c>
      <c r="E201" t="s">
        <v>5</v>
      </c>
      <c r="F201" s="5"/>
      <c r="G201" s="7">
        <v>45123</v>
      </c>
      <c r="H201" t="s">
        <v>83</v>
      </c>
      <c r="I201">
        <v>1111</v>
      </c>
      <c r="J201" s="5">
        <v>222200.64</v>
      </c>
      <c r="L201" s="5">
        <v>232223.74</v>
      </c>
      <c r="M201" s="5">
        <v>200.00057605760577</v>
      </c>
      <c r="N201" s="5">
        <v>209.02226822682266</v>
      </c>
      <c r="O201" s="5">
        <v>-10023.099999999977</v>
      </c>
      <c r="P201" s="3">
        <v>-4.5108330921098901E-2</v>
      </c>
      <c r="Q201" s="9">
        <f t="shared" si="3"/>
        <v>-48064.838519942758</v>
      </c>
      <c r="R201" s="5" t="str">
        <f>TEXT(Table1[[#This Row],[Closing Date]],"yyyy")</f>
        <v>2023</v>
      </c>
      <c r="S201" s="5" t="str">
        <f>TEXT(Table1[[#This Row],[Closing Date]],"mmmm")</f>
        <v>July</v>
      </c>
      <c r="T201" s="5" t="s">
        <v>240</v>
      </c>
      <c r="U201" s="5" t="s">
        <v>301</v>
      </c>
    </row>
    <row r="202" spans="2:21" x14ac:dyDescent="0.25">
      <c r="B202" t="s">
        <v>201</v>
      </c>
      <c r="C202" t="s">
        <v>303</v>
      </c>
      <c r="D202" t="s">
        <v>16</v>
      </c>
      <c r="E202" t="s">
        <v>7</v>
      </c>
      <c r="F202" s="5"/>
      <c r="G202" s="7">
        <v>45124</v>
      </c>
      <c r="H202" t="s">
        <v>37</v>
      </c>
      <c r="I202">
        <v>205</v>
      </c>
      <c r="J202" s="5">
        <v>55348.5</v>
      </c>
      <c r="L202" s="5">
        <v>59364.92</v>
      </c>
      <c r="M202" s="5">
        <v>269.99268292682927</v>
      </c>
      <c r="N202" s="5">
        <v>289.5849756097561</v>
      </c>
      <c r="O202" s="5">
        <v>-4016.4199999999983</v>
      </c>
      <c r="P202" s="3">
        <v>-7.2566013532435372E-2</v>
      </c>
      <c r="Q202" s="9">
        <f t="shared" si="3"/>
        <v>-52081.258519942756</v>
      </c>
      <c r="R202" s="5" t="str">
        <f>TEXT(Table1[[#This Row],[Closing Date]],"yyyy")</f>
        <v>2023</v>
      </c>
      <c r="S202" s="5" t="str">
        <f>TEXT(Table1[[#This Row],[Closing Date]],"mmmm")</f>
        <v>July</v>
      </c>
      <c r="T202" s="5" t="s">
        <v>240</v>
      </c>
      <c r="U202" s="5" t="s">
        <v>301</v>
      </c>
    </row>
    <row r="203" spans="2:21" x14ac:dyDescent="0.25">
      <c r="B203" t="s">
        <v>201</v>
      </c>
      <c r="C203" t="s">
        <v>305</v>
      </c>
      <c r="D203" t="s">
        <v>16</v>
      </c>
      <c r="E203" t="s">
        <v>7</v>
      </c>
      <c r="F203" s="5"/>
      <c r="G203" s="7">
        <v>45124</v>
      </c>
      <c r="H203" t="s">
        <v>73</v>
      </c>
      <c r="I203">
        <v>1200</v>
      </c>
      <c r="J203" s="5">
        <v>578973.60000000009</v>
      </c>
      <c r="L203" s="5">
        <v>650388.63</v>
      </c>
      <c r="M203" s="5">
        <v>482.47800000000007</v>
      </c>
      <c r="N203" s="5">
        <v>541.99052500000005</v>
      </c>
      <c r="O203" s="5">
        <v>71415.029999999912</v>
      </c>
      <c r="P203" s="3">
        <v>0.12334764486670889</v>
      </c>
      <c r="Q203" s="9">
        <f t="shared" si="3"/>
        <v>19333.771480057156</v>
      </c>
      <c r="R203" s="5" t="str">
        <f>TEXT(Table1[[#This Row],[Closing Date]],"yyyy")</f>
        <v>2023</v>
      </c>
      <c r="S203" s="5" t="str">
        <f>TEXT(Table1[[#This Row],[Closing Date]],"mmmm")</f>
        <v>July</v>
      </c>
      <c r="T203" s="5" t="s">
        <v>240</v>
      </c>
      <c r="U203" s="5" t="s">
        <v>301</v>
      </c>
    </row>
    <row r="204" spans="2:21" x14ac:dyDescent="0.25">
      <c r="B204" t="s">
        <v>201</v>
      </c>
      <c r="C204" t="s">
        <v>305</v>
      </c>
      <c r="D204" t="s">
        <v>4</v>
      </c>
      <c r="E204" t="s">
        <v>5</v>
      </c>
      <c r="F204" s="5"/>
      <c r="G204" s="7">
        <v>45127</v>
      </c>
      <c r="H204" t="s">
        <v>6</v>
      </c>
      <c r="I204">
        <v>2700000</v>
      </c>
      <c r="J204" s="5">
        <v>2433337.42</v>
      </c>
      <c r="L204" s="5">
        <v>2361302.12</v>
      </c>
      <c r="M204" s="5">
        <v>0.90123608148148149</v>
      </c>
      <c r="N204" s="5">
        <v>0.87455634074074073</v>
      </c>
      <c r="O204" s="5">
        <v>82367.820853012876</v>
      </c>
      <c r="P204" s="3">
        <v>3.4882372804125913E-2</v>
      </c>
      <c r="Q204" s="9">
        <f t="shared" si="3"/>
        <v>101701.59233307003</v>
      </c>
      <c r="R204" s="5" t="str">
        <f>TEXT(Table1[[#This Row],[Closing Date]],"yyyy")</f>
        <v>2023</v>
      </c>
      <c r="S204" s="5" t="str">
        <f>TEXT(Table1[[#This Row],[Closing Date]],"mmmm")</f>
        <v>July</v>
      </c>
      <c r="T204" s="5" t="s">
        <v>240</v>
      </c>
      <c r="U204" s="5" t="s">
        <v>301</v>
      </c>
    </row>
    <row r="205" spans="2:21" x14ac:dyDescent="0.25">
      <c r="B205" t="s">
        <v>197</v>
      </c>
      <c r="C205" t="s">
        <v>305</v>
      </c>
      <c r="D205" t="s">
        <v>102</v>
      </c>
      <c r="E205" t="s">
        <v>7</v>
      </c>
      <c r="F205" s="5"/>
      <c r="G205" s="7">
        <v>45128</v>
      </c>
      <c r="H205" t="s">
        <v>78</v>
      </c>
      <c r="I205">
        <v>40</v>
      </c>
      <c r="J205" s="5">
        <v>7993.56</v>
      </c>
      <c r="K205" s="13">
        <v>100</v>
      </c>
      <c r="L205" s="5">
        <v>12355.78</v>
      </c>
      <c r="M205" s="5">
        <v>1.9983899999999999</v>
      </c>
      <c r="N205" s="5">
        <v>3.0889449999999998</v>
      </c>
      <c r="O205" s="5">
        <v>4362.22</v>
      </c>
      <c r="P205" s="3">
        <v>0.54571680202563067</v>
      </c>
      <c r="Q205" s="9">
        <f t="shared" si="3"/>
        <v>106063.81233307003</v>
      </c>
      <c r="R205" s="5" t="str">
        <f>TEXT(Table1[[#This Row],[Closing Date]],"yyyy")</f>
        <v>2023</v>
      </c>
      <c r="S205" s="5" t="str">
        <f>TEXT(Table1[[#This Row],[Closing Date]],"mmmm")</f>
        <v>July</v>
      </c>
      <c r="T205" s="5" t="s">
        <v>240</v>
      </c>
      <c r="U205" s="5" t="s">
        <v>301</v>
      </c>
    </row>
    <row r="206" spans="2:21" x14ac:dyDescent="0.25">
      <c r="B206" t="s">
        <v>201</v>
      </c>
      <c r="C206" t="s">
        <v>305</v>
      </c>
      <c r="D206" t="s">
        <v>16</v>
      </c>
      <c r="E206" t="s">
        <v>7</v>
      </c>
      <c r="F206" s="5"/>
      <c r="G206" s="7">
        <v>45131</v>
      </c>
      <c r="H206" t="s">
        <v>80</v>
      </c>
      <c r="I206">
        <v>6000</v>
      </c>
      <c r="J206" s="5">
        <v>446225</v>
      </c>
      <c r="L206" s="5">
        <v>461317.1</v>
      </c>
      <c r="M206" s="5">
        <v>74.370833333333337</v>
      </c>
      <c r="N206" s="5">
        <v>76.886183333333335</v>
      </c>
      <c r="O206" s="5">
        <v>15092.099999999977</v>
      </c>
      <c r="P206" s="3">
        <v>3.3821726707378534E-2</v>
      </c>
      <c r="Q206" s="9">
        <f t="shared" si="3"/>
        <v>121155.91233307001</v>
      </c>
      <c r="R206" s="5" t="str">
        <f>TEXT(Table1[[#This Row],[Closing Date]],"yyyy")</f>
        <v>2023</v>
      </c>
      <c r="S206" s="5" t="str">
        <f>TEXT(Table1[[#This Row],[Closing Date]],"mmmm")</f>
        <v>July</v>
      </c>
      <c r="T206" s="5" t="s">
        <v>240</v>
      </c>
      <c r="U206" s="5" t="s">
        <v>301</v>
      </c>
    </row>
    <row r="207" spans="2:21" x14ac:dyDescent="0.25">
      <c r="B207" t="s">
        <v>201</v>
      </c>
      <c r="C207" t="s">
        <v>306</v>
      </c>
      <c r="D207" t="s">
        <v>12</v>
      </c>
      <c r="E207" t="s">
        <v>5</v>
      </c>
      <c r="F207" s="5"/>
      <c r="G207" s="7">
        <v>45131</v>
      </c>
      <c r="H207" t="s">
        <v>13</v>
      </c>
      <c r="I207">
        <v>6</v>
      </c>
      <c r="J207" s="5">
        <v>456585.78</v>
      </c>
      <c r="L207" s="5">
        <v>466514.22</v>
      </c>
      <c r="M207" s="5">
        <v>76.097630000000009</v>
      </c>
      <c r="N207" s="5">
        <v>77.752369999999999</v>
      </c>
      <c r="O207" s="5">
        <v>-9972.4399999999441</v>
      </c>
      <c r="Q207" s="9">
        <f t="shared" si="3"/>
        <v>111183.47233307007</v>
      </c>
      <c r="R207" s="5" t="str">
        <f>TEXT(Table1[[#This Row],[Closing Date]],"yyyy")</f>
        <v>2023</v>
      </c>
      <c r="S207" s="5" t="str">
        <f>TEXT(Table1[[#This Row],[Closing Date]],"mmmm")</f>
        <v>July</v>
      </c>
      <c r="T207" s="5" t="s">
        <v>240</v>
      </c>
      <c r="U207" s="5" t="s">
        <v>301</v>
      </c>
    </row>
    <row r="208" spans="2:21" x14ac:dyDescent="0.25">
      <c r="B208" t="s">
        <v>201</v>
      </c>
      <c r="C208" t="s">
        <v>305</v>
      </c>
      <c r="D208" t="s">
        <v>4</v>
      </c>
      <c r="E208" t="s">
        <v>7</v>
      </c>
      <c r="F208" s="5"/>
      <c r="G208" s="7">
        <v>45132</v>
      </c>
      <c r="H208" t="s">
        <v>134</v>
      </c>
      <c r="I208">
        <v>750000</v>
      </c>
      <c r="J208" s="5">
        <v>13163664.51</v>
      </c>
      <c r="L208" s="5">
        <v>13163664.51</v>
      </c>
      <c r="M208" s="5">
        <v>17.55155268</v>
      </c>
      <c r="N208" s="5">
        <v>17.55155268</v>
      </c>
      <c r="O208" s="5">
        <v>-5815</v>
      </c>
      <c r="P208" s="3">
        <v>-4.41746293031286E-4</v>
      </c>
      <c r="Q208" s="9">
        <f t="shared" si="3"/>
        <v>105368.47233307007</v>
      </c>
      <c r="R208" s="5" t="str">
        <f>TEXT(Table1[[#This Row],[Closing Date]],"yyyy")</f>
        <v>2023</v>
      </c>
      <c r="S208" s="5" t="str">
        <f>TEXT(Table1[[#This Row],[Closing Date]],"mmmm")</f>
        <v>July</v>
      </c>
      <c r="T208" s="5" t="s">
        <v>240</v>
      </c>
      <c r="U208" s="5" t="s">
        <v>301</v>
      </c>
    </row>
    <row r="209" spans="2:21" x14ac:dyDescent="0.25">
      <c r="B209" t="s">
        <v>201</v>
      </c>
      <c r="C209" t="s">
        <v>305</v>
      </c>
      <c r="D209" t="s">
        <v>16</v>
      </c>
      <c r="E209" t="s">
        <v>5</v>
      </c>
      <c r="F209" s="5"/>
      <c r="G209" s="7">
        <v>45133</v>
      </c>
      <c r="H209" t="s">
        <v>136</v>
      </c>
      <c r="I209">
        <v>1000</v>
      </c>
      <c r="J209" s="5">
        <v>219993.1</v>
      </c>
      <c r="L209" s="5">
        <v>230104.4</v>
      </c>
      <c r="M209" s="5">
        <v>219.9931</v>
      </c>
      <c r="N209" s="5">
        <v>230.1044</v>
      </c>
      <c r="O209" s="5">
        <v>-10111.299999999988</v>
      </c>
      <c r="P209" s="3">
        <v>-4.5961896077649708E-2</v>
      </c>
      <c r="Q209" s="9">
        <f t="shared" si="3"/>
        <v>95257.172333070077</v>
      </c>
      <c r="R209" s="5" t="str">
        <f>TEXT(Table1[[#This Row],[Closing Date]],"yyyy")</f>
        <v>2023</v>
      </c>
      <c r="S209" s="5" t="str">
        <f>TEXT(Table1[[#This Row],[Closing Date]],"mmmm")</f>
        <v>July</v>
      </c>
      <c r="T209" s="5" t="s">
        <v>240</v>
      </c>
      <c r="U209" s="5" t="s">
        <v>301</v>
      </c>
    </row>
    <row r="210" spans="2:21" x14ac:dyDescent="0.25">
      <c r="B210" t="s">
        <v>201</v>
      </c>
      <c r="C210" t="s">
        <v>306</v>
      </c>
      <c r="D210" t="s">
        <v>12</v>
      </c>
      <c r="E210" t="s">
        <v>5</v>
      </c>
      <c r="F210" s="5"/>
      <c r="G210" s="7">
        <v>45133</v>
      </c>
      <c r="H210" t="s">
        <v>81</v>
      </c>
      <c r="I210">
        <v>8</v>
      </c>
      <c r="J210" s="5">
        <v>274296.24</v>
      </c>
      <c r="L210" s="5">
        <v>284503.76</v>
      </c>
      <c r="M210" s="5">
        <v>3428.703</v>
      </c>
      <c r="N210" s="5">
        <v>3556.297</v>
      </c>
      <c r="O210" s="5">
        <v>-10251.520000000019</v>
      </c>
      <c r="P210" s="3">
        <v>-3.7373899109955061E-2</v>
      </c>
      <c r="Q210" s="9">
        <f t="shared" si="3"/>
        <v>85005.652333070058</v>
      </c>
      <c r="R210" s="5" t="str">
        <f>TEXT(Table1[[#This Row],[Closing Date]],"yyyy")</f>
        <v>2023</v>
      </c>
      <c r="S210" s="5" t="str">
        <f>TEXT(Table1[[#This Row],[Closing Date]],"mmmm")</f>
        <v>July</v>
      </c>
      <c r="T210" s="5" t="s">
        <v>240</v>
      </c>
      <c r="U210" s="5" t="s">
        <v>301</v>
      </c>
    </row>
    <row r="211" spans="2:21" x14ac:dyDescent="0.25">
      <c r="B211" t="s">
        <v>201</v>
      </c>
      <c r="C211" t="s">
        <v>303</v>
      </c>
      <c r="D211" t="s">
        <v>12</v>
      </c>
      <c r="E211" t="s">
        <v>7</v>
      </c>
      <c r="F211" s="5"/>
      <c r="G211" s="7">
        <v>45134</v>
      </c>
      <c r="H211" t="s">
        <v>86</v>
      </c>
      <c r="I211">
        <v>125</v>
      </c>
      <c r="J211" s="5">
        <v>475767.25</v>
      </c>
      <c r="L211" s="5">
        <v>499928.75</v>
      </c>
      <c r="M211" s="5">
        <v>3.8061379999999998</v>
      </c>
      <c r="N211" s="5">
        <v>3.9994299999999998</v>
      </c>
      <c r="O211" s="5">
        <v>24117.5</v>
      </c>
      <c r="P211" s="3">
        <v>5.0691803607751482E-2</v>
      </c>
      <c r="Q211" s="9">
        <f t="shared" si="3"/>
        <v>109123.15233307006</v>
      </c>
      <c r="R211" s="5" t="str">
        <f>TEXT(Table1[[#This Row],[Closing Date]],"yyyy")</f>
        <v>2023</v>
      </c>
      <c r="S211" s="5" t="str">
        <f>TEXT(Table1[[#This Row],[Closing Date]],"mmmm")</f>
        <v>July</v>
      </c>
      <c r="T211" s="5" t="s">
        <v>240</v>
      </c>
      <c r="U211" s="5" t="s">
        <v>301</v>
      </c>
    </row>
    <row r="212" spans="2:21" x14ac:dyDescent="0.25">
      <c r="B212" t="s">
        <v>201</v>
      </c>
      <c r="C212" t="s">
        <v>305</v>
      </c>
      <c r="D212" t="s">
        <v>12</v>
      </c>
      <c r="E212" t="s">
        <v>5</v>
      </c>
      <c r="F212" s="5"/>
      <c r="G212" s="7">
        <v>45134</v>
      </c>
      <c r="H212" t="s">
        <v>82</v>
      </c>
      <c r="I212">
        <v>6</v>
      </c>
      <c r="J212" s="5">
        <v>1373086.8</v>
      </c>
      <c r="L212" s="5">
        <v>1388088.8</v>
      </c>
      <c r="M212" s="5">
        <v>4576.9560000000001</v>
      </c>
      <c r="N212" s="5">
        <v>4626.9626666666672</v>
      </c>
      <c r="O212" s="5">
        <v>-15046</v>
      </c>
      <c r="P212" s="3">
        <v>-1.0957792326020467E-2</v>
      </c>
      <c r="Q212" s="9">
        <f t="shared" si="3"/>
        <v>94077.152333070058</v>
      </c>
      <c r="R212" s="5" t="str">
        <f>TEXT(Table1[[#This Row],[Closing Date]],"yyyy")</f>
        <v>2023</v>
      </c>
      <c r="S212" s="5" t="str">
        <f>TEXT(Table1[[#This Row],[Closing Date]],"mmmm")</f>
        <v>July</v>
      </c>
      <c r="T212" s="5" t="s">
        <v>240</v>
      </c>
      <c r="U212" s="5" t="s">
        <v>301</v>
      </c>
    </row>
    <row r="213" spans="2:21" x14ac:dyDescent="0.25">
      <c r="B213" t="s">
        <v>201</v>
      </c>
      <c r="C213" t="s">
        <v>306</v>
      </c>
      <c r="D213" t="s">
        <v>12</v>
      </c>
      <c r="E213" t="s">
        <v>7</v>
      </c>
      <c r="F213" s="5"/>
      <c r="G213" s="7">
        <v>45141</v>
      </c>
      <c r="H213" t="s">
        <v>44</v>
      </c>
      <c r="I213">
        <v>2</v>
      </c>
      <c r="J213" s="5">
        <v>331906.03999999998</v>
      </c>
      <c r="L213" s="5">
        <v>317643.96000000002</v>
      </c>
      <c r="M213" s="5">
        <v>33190.603999999999</v>
      </c>
      <c r="N213" s="5">
        <v>31764.396000000001</v>
      </c>
      <c r="O213" s="5">
        <v>-14306.079999999958</v>
      </c>
      <c r="P213" s="3">
        <v>-4.3102801021638409E-2</v>
      </c>
      <c r="Q213" s="9">
        <f t="shared" si="3"/>
        <v>79771.0723330701</v>
      </c>
      <c r="R213" s="5" t="str">
        <f>TEXT(Table1[[#This Row],[Closing Date]],"yyyy")</f>
        <v>2023</v>
      </c>
      <c r="S213" s="5" t="str">
        <f>TEXT(Table1[[#This Row],[Closing Date]],"mmmm")</f>
        <v>August</v>
      </c>
      <c r="T213" s="5" t="s">
        <v>240</v>
      </c>
      <c r="U213" s="5" t="s">
        <v>301</v>
      </c>
    </row>
    <row r="214" spans="2:21" x14ac:dyDescent="0.25">
      <c r="B214" t="s">
        <v>201</v>
      </c>
      <c r="C214" t="s">
        <v>306</v>
      </c>
      <c r="D214" t="s">
        <v>12</v>
      </c>
      <c r="E214" t="s">
        <v>5</v>
      </c>
      <c r="F214" s="5"/>
      <c r="G214" s="7">
        <v>45145</v>
      </c>
      <c r="H214" t="s">
        <v>81</v>
      </c>
      <c r="I214">
        <v>8</v>
      </c>
      <c r="J214" s="5">
        <v>280776.24</v>
      </c>
      <c r="L214" s="5">
        <v>289053.76</v>
      </c>
      <c r="M214" s="5">
        <v>3509.703</v>
      </c>
      <c r="N214" s="5">
        <v>3613.172</v>
      </c>
      <c r="O214" s="5">
        <v>-8321.5200000000186</v>
      </c>
      <c r="P214" s="3">
        <v>-2.963755052777977E-2</v>
      </c>
      <c r="Q214" s="9">
        <f t="shared" si="3"/>
        <v>71449.552333070082</v>
      </c>
      <c r="R214" s="5" t="str">
        <f>TEXT(Table1[[#This Row],[Closing Date]],"yyyy")</f>
        <v>2023</v>
      </c>
      <c r="S214" s="5" t="str">
        <f>TEXT(Table1[[#This Row],[Closing Date]],"mmmm")</f>
        <v>August</v>
      </c>
      <c r="T214" s="5" t="s">
        <v>240</v>
      </c>
      <c r="U214" s="5" t="s">
        <v>301</v>
      </c>
    </row>
    <row r="215" spans="2:21" x14ac:dyDescent="0.25">
      <c r="B215" t="s">
        <v>201</v>
      </c>
      <c r="C215" t="s">
        <v>306</v>
      </c>
      <c r="D215" t="s">
        <v>12</v>
      </c>
      <c r="E215" t="s">
        <v>5</v>
      </c>
      <c r="F215" s="5"/>
      <c r="G215" s="7">
        <v>45146</v>
      </c>
      <c r="H215" t="s">
        <v>13</v>
      </c>
      <c r="I215">
        <v>4</v>
      </c>
      <c r="J215" s="5">
        <v>318990.52</v>
      </c>
      <c r="L215" s="5">
        <v>335409.48</v>
      </c>
      <c r="M215" s="5">
        <v>79.747630000000001</v>
      </c>
      <c r="N215" s="5">
        <v>83.852369999999993</v>
      </c>
      <c r="O215" s="5">
        <v>-16462.959999999963</v>
      </c>
      <c r="P215" s="3">
        <v>-5.1609558804443345E-2</v>
      </c>
      <c r="Q215" s="9">
        <f t="shared" si="3"/>
        <v>54986.592333070119</v>
      </c>
      <c r="R215" s="5" t="str">
        <f>TEXT(Table1[[#This Row],[Closing Date]],"yyyy")</f>
        <v>2023</v>
      </c>
      <c r="S215" s="5" t="str">
        <f>TEXT(Table1[[#This Row],[Closing Date]],"mmmm")</f>
        <v>August</v>
      </c>
      <c r="T215" s="5" t="s">
        <v>240</v>
      </c>
      <c r="U215" s="5" t="s">
        <v>301</v>
      </c>
    </row>
    <row r="216" spans="2:21" x14ac:dyDescent="0.25">
      <c r="B216" t="s">
        <v>201</v>
      </c>
      <c r="C216" t="s">
        <v>303</v>
      </c>
      <c r="D216" t="s">
        <v>12</v>
      </c>
      <c r="E216" t="s">
        <v>7</v>
      </c>
      <c r="F216" s="5"/>
      <c r="G216" s="7">
        <v>45147</v>
      </c>
      <c r="H216" t="s">
        <v>84</v>
      </c>
      <c r="I216">
        <v>50</v>
      </c>
      <c r="J216" s="5">
        <v>223025</v>
      </c>
      <c r="L216" s="5">
        <v>210351</v>
      </c>
      <c r="M216" s="5">
        <v>4460.5</v>
      </c>
      <c r="N216" s="5">
        <v>4207.0200000000004</v>
      </c>
      <c r="O216" s="5">
        <v>-13774</v>
      </c>
      <c r="P216" s="3">
        <v>-6.1759892388745657E-2</v>
      </c>
      <c r="Q216" s="9">
        <f t="shared" si="3"/>
        <v>41212.592333070119</v>
      </c>
      <c r="R216" s="5" t="str">
        <f>TEXT(Table1[[#This Row],[Closing Date]],"yyyy")</f>
        <v>2023</v>
      </c>
      <c r="S216" s="5" t="str">
        <f>TEXT(Table1[[#This Row],[Closing Date]],"mmmm")</f>
        <v>August</v>
      </c>
      <c r="T216" s="5" t="s">
        <v>240</v>
      </c>
      <c r="U216" s="5" t="s">
        <v>301</v>
      </c>
    </row>
    <row r="217" spans="2:21" x14ac:dyDescent="0.25">
      <c r="B217" t="s">
        <v>197</v>
      </c>
      <c r="C217" t="s">
        <v>305</v>
      </c>
      <c r="D217" t="s">
        <v>98</v>
      </c>
      <c r="E217" t="s">
        <v>7</v>
      </c>
      <c r="F217" s="5"/>
      <c r="G217" s="7">
        <v>45156</v>
      </c>
      <c r="H217" t="s">
        <v>10</v>
      </c>
      <c r="I217">
        <v>45</v>
      </c>
      <c r="J217" s="5">
        <v>8198.3799999999992</v>
      </c>
      <c r="K217" s="13">
        <v>100</v>
      </c>
      <c r="L217" s="5">
        <v>15092.63</v>
      </c>
      <c r="M217" s="5">
        <v>1.821862222222222</v>
      </c>
      <c r="N217" s="5">
        <v>3.3539177777777773</v>
      </c>
      <c r="O217" s="5">
        <v>6894.25</v>
      </c>
      <c r="P217" s="3">
        <v>0.84092832974319309</v>
      </c>
      <c r="Q217" s="9">
        <f t="shared" si="3"/>
        <v>48106.842333070119</v>
      </c>
      <c r="R217" s="5" t="str">
        <f>TEXT(Table1[[#This Row],[Closing Date]],"yyyy")</f>
        <v>2023</v>
      </c>
      <c r="S217" s="5" t="str">
        <f>TEXT(Table1[[#This Row],[Closing Date]],"mmmm")</f>
        <v>August</v>
      </c>
      <c r="T217" s="5" t="s">
        <v>240</v>
      </c>
      <c r="U217" s="5" t="s">
        <v>301</v>
      </c>
    </row>
    <row r="218" spans="2:21" x14ac:dyDescent="0.25">
      <c r="B218" t="s">
        <v>197</v>
      </c>
      <c r="C218" t="s">
        <v>305</v>
      </c>
      <c r="D218" t="s">
        <v>99</v>
      </c>
      <c r="E218" t="s">
        <v>7</v>
      </c>
      <c r="F218" s="5"/>
      <c r="G218" s="7">
        <v>45156</v>
      </c>
      <c r="H218" t="s">
        <v>210</v>
      </c>
      <c r="I218">
        <v>85</v>
      </c>
      <c r="J218" s="5">
        <v>14862.18</v>
      </c>
      <c r="K218" s="13">
        <v>100</v>
      </c>
      <c r="L218" s="5">
        <v>0</v>
      </c>
      <c r="M218" s="5">
        <v>1.7484917647058824</v>
      </c>
      <c r="N218" s="5"/>
      <c r="O218" s="5">
        <v>-14862.18</v>
      </c>
      <c r="P218" s="3">
        <v>-1</v>
      </c>
      <c r="Q218" s="9">
        <f t="shared" si="3"/>
        <v>33244.662333070119</v>
      </c>
      <c r="R218" s="5" t="str">
        <f>TEXT(Table1[[#This Row],[Closing Date]],"yyyy")</f>
        <v>2023</v>
      </c>
      <c r="S218" s="5" t="str">
        <f>TEXT(Table1[[#This Row],[Closing Date]],"mmmm")</f>
        <v>August</v>
      </c>
      <c r="T218" s="5" t="s">
        <v>240</v>
      </c>
      <c r="U218" s="5" t="s">
        <v>301</v>
      </c>
    </row>
    <row r="219" spans="2:21" x14ac:dyDescent="0.25">
      <c r="B219" t="s">
        <v>201</v>
      </c>
      <c r="C219" t="s">
        <v>303</v>
      </c>
      <c r="D219" t="s">
        <v>16</v>
      </c>
      <c r="E219" t="s">
        <v>7</v>
      </c>
      <c r="F219" s="5"/>
      <c r="G219" s="7">
        <v>45167</v>
      </c>
      <c r="H219" t="s">
        <v>142</v>
      </c>
      <c r="I219">
        <v>1800</v>
      </c>
      <c r="J219" s="5">
        <v>78840</v>
      </c>
      <c r="L219" s="5">
        <v>82832.67</v>
      </c>
      <c r="M219" s="5">
        <v>43.8</v>
      </c>
      <c r="N219" s="5">
        <v>46.018149999999999</v>
      </c>
      <c r="O219" s="5">
        <v>3992.6699999999983</v>
      </c>
      <c r="P219" s="3">
        <v>5.0642694063926921E-2</v>
      </c>
      <c r="Q219" s="9">
        <f t="shared" si="3"/>
        <v>37237.332333070117</v>
      </c>
      <c r="R219" s="5" t="str">
        <f>TEXT(Table1[[#This Row],[Closing Date]],"yyyy")</f>
        <v>2023</v>
      </c>
      <c r="S219" s="5" t="str">
        <f>TEXT(Table1[[#This Row],[Closing Date]],"mmmm")</f>
        <v>August</v>
      </c>
      <c r="T219" s="5" t="s">
        <v>240</v>
      </c>
      <c r="U219" s="5" t="s">
        <v>203</v>
      </c>
    </row>
    <row r="220" spans="2:21" x14ac:dyDescent="0.25">
      <c r="B220" t="s">
        <v>201</v>
      </c>
      <c r="C220" t="s">
        <v>303</v>
      </c>
      <c r="D220" t="s">
        <v>12</v>
      </c>
      <c r="E220" t="s">
        <v>7</v>
      </c>
      <c r="F220" s="5"/>
      <c r="G220" s="7">
        <v>45168</v>
      </c>
      <c r="H220" t="s">
        <v>86</v>
      </c>
      <c r="I220">
        <v>175</v>
      </c>
      <c r="J220" s="5">
        <v>694936.85</v>
      </c>
      <c r="L220" s="5">
        <v>719451.25</v>
      </c>
      <c r="M220" s="5">
        <v>3.9710677142857138</v>
      </c>
      <c r="N220" s="5">
        <v>4.1111499999999994</v>
      </c>
      <c r="O220" s="5">
        <v>24470.400000000023</v>
      </c>
      <c r="P220" s="3">
        <v>3.5212408149028249E-2</v>
      </c>
      <c r="Q220" s="9">
        <f t="shared" si="3"/>
        <v>61707.73233307014</v>
      </c>
      <c r="R220" s="5" t="str">
        <f>TEXT(Table1[[#This Row],[Closing Date]],"yyyy")</f>
        <v>2023</v>
      </c>
      <c r="S220" s="5" t="str">
        <f>TEXT(Table1[[#This Row],[Closing Date]],"mmmm")</f>
        <v>August</v>
      </c>
      <c r="T220" s="5" t="s">
        <v>240</v>
      </c>
      <c r="U220" s="5" t="s">
        <v>301</v>
      </c>
    </row>
    <row r="221" spans="2:21" x14ac:dyDescent="0.25">
      <c r="B221" t="s">
        <v>197</v>
      </c>
      <c r="C221" t="s">
        <v>305</v>
      </c>
      <c r="D221" t="s">
        <v>98</v>
      </c>
      <c r="E221" t="s">
        <v>7</v>
      </c>
      <c r="F221" s="5"/>
      <c r="G221" s="7">
        <v>45168</v>
      </c>
      <c r="H221" t="s">
        <v>133</v>
      </c>
      <c r="I221">
        <v>25</v>
      </c>
      <c r="J221" s="5">
        <v>6274.9999999999991</v>
      </c>
      <c r="K221" s="13">
        <v>100</v>
      </c>
      <c r="L221" s="5">
        <v>0</v>
      </c>
      <c r="M221" s="5">
        <v>2.5099999999999998</v>
      </c>
      <c r="N221" s="5"/>
      <c r="O221" s="5">
        <v>-6274.9999999999991</v>
      </c>
      <c r="P221" s="3">
        <v>-1</v>
      </c>
      <c r="Q221" s="9">
        <f t="shared" si="3"/>
        <v>55432.73233307014</v>
      </c>
      <c r="R221" s="5" t="str">
        <f>TEXT(Table1[[#This Row],[Closing Date]],"yyyy")</f>
        <v>2023</v>
      </c>
      <c r="S221" s="5" t="str">
        <f>TEXT(Table1[[#This Row],[Closing Date]],"mmmm")</f>
        <v>August</v>
      </c>
      <c r="T221" s="5" t="s">
        <v>240</v>
      </c>
      <c r="U221" s="5" t="s">
        <v>301</v>
      </c>
    </row>
    <row r="222" spans="2:21" x14ac:dyDescent="0.25">
      <c r="B222" t="s">
        <v>201</v>
      </c>
      <c r="C222" t="s">
        <v>303</v>
      </c>
      <c r="D222" t="s">
        <v>16</v>
      </c>
      <c r="E222" t="s">
        <v>7</v>
      </c>
      <c r="F222" s="5"/>
      <c r="G222" s="7">
        <v>45168</v>
      </c>
      <c r="H222" t="s">
        <v>114</v>
      </c>
      <c r="I222">
        <v>2500</v>
      </c>
      <c r="J222" s="5">
        <v>49724.75</v>
      </c>
      <c r="L222" s="5">
        <v>52749.83</v>
      </c>
      <c r="M222" s="5">
        <v>19.889900000000001</v>
      </c>
      <c r="N222" s="5">
        <v>21.099931999999999</v>
      </c>
      <c r="O222" s="5">
        <v>3025.0800000000017</v>
      </c>
      <c r="P222" s="3">
        <v>6.0836504959803757E-2</v>
      </c>
      <c r="Q222" s="9">
        <f t="shared" si="3"/>
        <v>58457.812333070142</v>
      </c>
      <c r="R222" s="5" t="str">
        <f>TEXT(Table1[[#This Row],[Closing Date]],"yyyy")</f>
        <v>2023</v>
      </c>
      <c r="S222" s="5" t="str">
        <f>TEXT(Table1[[#This Row],[Closing Date]],"mmmm")</f>
        <v>August</v>
      </c>
      <c r="T222" s="5" t="s">
        <v>240</v>
      </c>
      <c r="U222" s="5" t="s">
        <v>203</v>
      </c>
    </row>
    <row r="223" spans="2:21" x14ac:dyDescent="0.25">
      <c r="B223" t="s">
        <v>201</v>
      </c>
      <c r="C223" t="s">
        <v>303</v>
      </c>
      <c r="D223" t="s">
        <v>12</v>
      </c>
      <c r="E223" t="s">
        <v>7</v>
      </c>
      <c r="F223" s="5"/>
      <c r="G223" s="7">
        <v>45171</v>
      </c>
      <c r="H223" t="s">
        <v>85</v>
      </c>
      <c r="I223">
        <v>65</v>
      </c>
      <c r="J223" s="5">
        <v>181270.05</v>
      </c>
      <c r="L223" s="5">
        <v>166018.45000000001</v>
      </c>
      <c r="M223" s="5">
        <v>27887.699999999997</v>
      </c>
      <c r="N223" s="5">
        <v>25541.300000000003</v>
      </c>
      <c r="O223" s="5">
        <v>-15251.599999999977</v>
      </c>
      <c r="P223" s="3">
        <v>-8.4137451277803352E-2</v>
      </c>
      <c r="Q223" s="9">
        <f t="shared" si="3"/>
        <v>43206.212333070165</v>
      </c>
      <c r="R223" s="5" t="str">
        <f>TEXT(Table1[[#This Row],[Closing Date]],"yyyy")</f>
        <v>2023</v>
      </c>
      <c r="S223" s="5" t="str">
        <f>TEXT(Table1[[#This Row],[Closing Date]],"mmmm")</f>
        <v>September</v>
      </c>
      <c r="T223" s="5" t="s">
        <v>240</v>
      </c>
      <c r="U223" s="5" t="s">
        <v>301</v>
      </c>
    </row>
    <row r="224" spans="2:21" x14ac:dyDescent="0.25">
      <c r="B224" t="s">
        <v>201</v>
      </c>
      <c r="C224" t="s">
        <v>303</v>
      </c>
      <c r="D224" t="s">
        <v>16</v>
      </c>
      <c r="E224" t="s">
        <v>7</v>
      </c>
      <c r="F224" s="5"/>
      <c r="G224" s="7">
        <v>45174</v>
      </c>
      <c r="H224" t="s">
        <v>96</v>
      </c>
      <c r="I224">
        <v>1600</v>
      </c>
      <c r="J224" s="5">
        <v>217600</v>
      </c>
      <c r="L224" s="5">
        <v>210468.55</v>
      </c>
      <c r="M224" s="5">
        <v>136</v>
      </c>
      <c r="N224" s="5">
        <v>131.54284375</v>
      </c>
      <c r="O224" s="5">
        <v>-7131.4500000000116</v>
      </c>
      <c r="P224" s="3">
        <v>-3.2773207720588289E-2</v>
      </c>
      <c r="Q224" s="9">
        <f t="shared" si="3"/>
        <v>36074.762333070154</v>
      </c>
      <c r="R224" s="5" t="str">
        <f>TEXT(Table1[[#This Row],[Closing Date]],"yyyy")</f>
        <v>2023</v>
      </c>
      <c r="S224" s="5" t="str">
        <f>TEXT(Table1[[#This Row],[Closing Date]],"mmmm")</f>
        <v>September</v>
      </c>
      <c r="T224" s="5" t="s">
        <v>240</v>
      </c>
      <c r="U224" s="5" t="s">
        <v>203</v>
      </c>
    </row>
    <row r="225" spans="2:21" x14ac:dyDescent="0.25">
      <c r="B225" t="s">
        <v>215</v>
      </c>
      <c r="C225" t="s">
        <v>304</v>
      </c>
      <c r="D225" t="s">
        <v>12</v>
      </c>
      <c r="E225" t="s">
        <v>7</v>
      </c>
      <c r="F225" s="5"/>
      <c r="G225" s="7">
        <v>45175</v>
      </c>
      <c r="H225" t="s">
        <v>82</v>
      </c>
      <c r="I225">
        <v>12</v>
      </c>
      <c r="J225" s="5">
        <v>2688776.4</v>
      </c>
      <c r="L225" s="5">
        <v>2682723.6</v>
      </c>
      <c r="M225" s="5">
        <v>4481.2939999999999</v>
      </c>
      <c r="N225" s="5">
        <v>4471.2060000000001</v>
      </c>
      <c r="O225" s="5">
        <v>-6096.7999999998137</v>
      </c>
      <c r="P225" s="3">
        <v>-2.2511354979163917E-3</v>
      </c>
      <c r="Q225" s="9">
        <f t="shared" si="3"/>
        <v>29977.96233307034</v>
      </c>
      <c r="R225" s="5" t="str">
        <f>TEXT(Table1[[#This Row],[Closing Date]],"yyyy")</f>
        <v>2023</v>
      </c>
      <c r="S225" s="5" t="str">
        <f>TEXT(Table1[[#This Row],[Closing Date]],"mmmm")</f>
        <v>September</v>
      </c>
      <c r="T225" s="5" t="s">
        <v>240</v>
      </c>
      <c r="U225" s="5" t="s">
        <v>301</v>
      </c>
    </row>
    <row r="226" spans="2:21" x14ac:dyDescent="0.25">
      <c r="B226" t="s">
        <v>201</v>
      </c>
      <c r="C226" t="s">
        <v>303</v>
      </c>
      <c r="D226" t="s">
        <v>16</v>
      </c>
      <c r="E226" t="s">
        <v>7</v>
      </c>
      <c r="F226" s="5"/>
      <c r="G226" s="7">
        <v>45176</v>
      </c>
      <c r="H226" t="s">
        <v>191</v>
      </c>
      <c r="I226">
        <v>325</v>
      </c>
      <c r="J226" s="5">
        <v>151450</v>
      </c>
      <c r="L226" s="5">
        <v>142414.18</v>
      </c>
      <c r="M226" s="5">
        <v>466</v>
      </c>
      <c r="N226" s="5">
        <v>438.19747692307692</v>
      </c>
      <c r="O226" s="5">
        <v>-9035.820000000007</v>
      </c>
      <c r="P226" s="3">
        <v>-5.9662066688676178E-2</v>
      </c>
      <c r="Q226" s="9">
        <f t="shared" si="3"/>
        <v>20942.142333070333</v>
      </c>
      <c r="R226" s="5" t="str">
        <f>TEXT(Table1[[#This Row],[Closing Date]],"yyyy")</f>
        <v>2023</v>
      </c>
      <c r="S226" s="5" t="str">
        <f>TEXT(Table1[[#This Row],[Closing Date]],"mmmm")</f>
        <v>September</v>
      </c>
      <c r="T226" s="5" t="s">
        <v>240</v>
      </c>
      <c r="U226" s="5" t="s">
        <v>203</v>
      </c>
    </row>
    <row r="227" spans="2:21" x14ac:dyDescent="0.25">
      <c r="B227" t="s">
        <v>201</v>
      </c>
      <c r="C227" t="s">
        <v>303</v>
      </c>
      <c r="D227" t="s">
        <v>16</v>
      </c>
      <c r="E227" t="s">
        <v>7</v>
      </c>
      <c r="F227" s="5"/>
      <c r="G227" s="7">
        <v>45177</v>
      </c>
      <c r="H227" t="s">
        <v>140</v>
      </c>
      <c r="I227">
        <v>6900</v>
      </c>
      <c r="J227" s="5">
        <v>90750.5</v>
      </c>
      <c r="L227" s="5">
        <v>81415</v>
      </c>
      <c r="M227" s="5">
        <v>13.152246376811593</v>
      </c>
      <c r="N227" s="5">
        <v>11.799275362318841</v>
      </c>
      <c r="O227" s="5">
        <v>-9335.5</v>
      </c>
      <c r="P227" s="3">
        <v>-0.10286995663935725</v>
      </c>
      <c r="Q227" s="9">
        <f t="shared" si="3"/>
        <v>11606.642333070333</v>
      </c>
      <c r="R227" s="5" t="str">
        <f>TEXT(Table1[[#This Row],[Closing Date]],"yyyy")</f>
        <v>2023</v>
      </c>
      <c r="S227" s="5" t="str">
        <f>TEXT(Table1[[#This Row],[Closing Date]],"mmmm")</f>
        <v>September</v>
      </c>
      <c r="T227" s="5" t="s">
        <v>240</v>
      </c>
      <c r="U227" s="5" t="s">
        <v>301</v>
      </c>
    </row>
    <row r="228" spans="2:21" x14ac:dyDescent="0.25">
      <c r="B228" t="s">
        <v>201</v>
      </c>
      <c r="C228" t="s">
        <v>303</v>
      </c>
      <c r="D228" t="s">
        <v>16</v>
      </c>
      <c r="E228" t="s">
        <v>7</v>
      </c>
      <c r="F228" s="5"/>
      <c r="G228" s="7">
        <v>45177</v>
      </c>
      <c r="H228" t="s">
        <v>138</v>
      </c>
      <c r="I228">
        <v>1730</v>
      </c>
      <c r="J228" s="5">
        <v>196379.13</v>
      </c>
      <c r="L228" s="5">
        <v>195854.59</v>
      </c>
      <c r="M228" s="5">
        <v>113.51394797687861</v>
      </c>
      <c r="N228" s="5">
        <v>113.21074566473989</v>
      </c>
      <c r="O228" s="5">
        <v>524.54000000000815</v>
      </c>
      <c r="P228" s="3">
        <v>2.6710577646412333E-3</v>
      </c>
      <c r="Q228" s="9">
        <f t="shared" si="3"/>
        <v>12131.182333070341</v>
      </c>
      <c r="R228" s="5" t="str">
        <f>TEXT(Table1[[#This Row],[Closing Date]],"yyyy")</f>
        <v>2023</v>
      </c>
      <c r="S228" s="5" t="str">
        <f>TEXT(Table1[[#This Row],[Closing Date]],"mmmm")</f>
        <v>September</v>
      </c>
      <c r="T228" s="5" t="s">
        <v>240</v>
      </c>
      <c r="U228" s="5" t="s">
        <v>301</v>
      </c>
    </row>
    <row r="229" spans="2:21" x14ac:dyDescent="0.25">
      <c r="B229" t="s">
        <v>201</v>
      </c>
      <c r="C229" t="s">
        <v>305</v>
      </c>
      <c r="D229" t="s">
        <v>12</v>
      </c>
      <c r="E229" t="s">
        <v>7</v>
      </c>
      <c r="F229" s="5"/>
      <c r="G229" s="7">
        <v>45179</v>
      </c>
      <c r="H229" t="s">
        <v>87</v>
      </c>
      <c r="I229">
        <v>7</v>
      </c>
      <c r="J229" s="5">
        <v>483458.29</v>
      </c>
      <c r="L229" s="5">
        <v>473529.5</v>
      </c>
      <c r="M229" s="5">
        <v>1381.3093999999999</v>
      </c>
      <c r="N229" s="5">
        <v>1352.9414285714286</v>
      </c>
      <c r="O229" s="5">
        <v>-9928.789999999979</v>
      </c>
      <c r="P229" s="3">
        <v>-2.0500000000000001E-2</v>
      </c>
      <c r="Q229" s="9">
        <f t="shared" si="3"/>
        <v>2202.3923330703619</v>
      </c>
      <c r="R229" s="5" t="str">
        <f>TEXT(Table1[[#This Row],[Closing Date]],"yyyy")</f>
        <v>2023</v>
      </c>
      <c r="S229" s="5" t="str">
        <f>TEXT(Table1[[#This Row],[Closing Date]],"mmmm")</f>
        <v>September</v>
      </c>
      <c r="T229" s="5" t="s">
        <v>240</v>
      </c>
      <c r="U229" s="5" t="s">
        <v>301</v>
      </c>
    </row>
    <row r="230" spans="2:21" x14ac:dyDescent="0.25">
      <c r="B230" t="s">
        <v>197</v>
      </c>
      <c r="C230" t="s">
        <v>303</v>
      </c>
      <c r="D230" t="s">
        <v>102</v>
      </c>
      <c r="E230" t="s">
        <v>7</v>
      </c>
      <c r="F230" s="5"/>
      <c r="G230" s="7">
        <v>45182</v>
      </c>
      <c r="H230" t="s">
        <v>113</v>
      </c>
      <c r="I230">
        <v>200</v>
      </c>
      <c r="J230" s="5">
        <v>8133</v>
      </c>
      <c r="K230" s="13">
        <v>100</v>
      </c>
      <c r="L230" s="5">
        <v>17473</v>
      </c>
      <c r="M230" s="5">
        <v>0.40665000000000001</v>
      </c>
      <c r="N230" s="5">
        <v>0.87364999999999993</v>
      </c>
      <c r="O230" s="5">
        <v>9340</v>
      </c>
      <c r="P230" s="3">
        <v>1.1484077216279354</v>
      </c>
      <c r="Q230" s="9">
        <f t="shared" si="3"/>
        <v>11542.392333070362</v>
      </c>
      <c r="R230" s="5" t="str">
        <f>TEXT(Table1[[#This Row],[Closing Date]],"yyyy")</f>
        <v>2023</v>
      </c>
      <c r="S230" s="5" t="str">
        <f>TEXT(Table1[[#This Row],[Closing Date]],"mmmm")</f>
        <v>September</v>
      </c>
      <c r="T230" s="5" t="s">
        <v>240</v>
      </c>
      <c r="U230" s="5" t="s">
        <v>301</v>
      </c>
    </row>
    <row r="231" spans="2:21" x14ac:dyDescent="0.25">
      <c r="B231" t="s">
        <v>201</v>
      </c>
      <c r="C231" t="s">
        <v>303</v>
      </c>
      <c r="D231" t="s">
        <v>16</v>
      </c>
      <c r="E231" t="s">
        <v>7</v>
      </c>
      <c r="F231" s="5"/>
      <c r="G231" s="7">
        <v>45182</v>
      </c>
      <c r="H231" t="s">
        <v>141</v>
      </c>
      <c r="I231">
        <v>9000</v>
      </c>
      <c r="J231" s="5">
        <v>168554</v>
      </c>
      <c r="L231" s="5">
        <v>168489.31</v>
      </c>
      <c r="M231" s="5">
        <v>18.728222222222222</v>
      </c>
      <c r="N231" s="5">
        <v>18.721034444444445</v>
      </c>
      <c r="O231" s="5">
        <v>-64.690000000002328</v>
      </c>
      <c r="P231" s="3">
        <v>-3.8379391767616401E-4</v>
      </c>
      <c r="Q231" s="9">
        <f t="shared" si="3"/>
        <v>11477.70233307036</v>
      </c>
      <c r="R231" s="5" t="str">
        <f>TEXT(Table1[[#This Row],[Closing Date]],"yyyy")</f>
        <v>2023</v>
      </c>
      <c r="S231" s="5" t="str">
        <f>TEXT(Table1[[#This Row],[Closing Date]],"mmmm")</f>
        <v>September</v>
      </c>
      <c r="T231" s="5" t="s">
        <v>240</v>
      </c>
      <c r="U231" s="5" t="s">
        <v>301</v>
      </c>
    </row>
    <row r="232" spans="2:21" x14ac:dyDescent="0.25">
      <c r="B232" t="s">
        <v>201</v>
      </c>
      <c r="C232" t="s">
        <v>303</v>
      </c>
      <c r="D232" t="s">
        <v>16</v>
      </c>
      <c r="E232" t="s">
        <v>7</v>
      </c>
      <c r="F232" s="5"/>
      <c r="G232" s="7">
        <v>45182</v>
      </c>
      <c r="H232" t="s">
        <v>11</v>
      </c>
      <c r="I232">
        <v>600</v>
      </c>
      <c r="J232" s="5">
        <v>269924.49</v>
      </c>
      <c r="L232" s="5">
        <v>271076.99</v>
      </c>
      <c r="M232" s="5">
        <v>449.87414999999999</v>
      </c>
      <c r="N232" s="5">
        <v>451.79498333333333</v>
      </c>
      <c r="O232" s="5">
        <v>1152.5</v>
      </c>
      <c r="P232" s="3">
        <v>4.2697126148131615E-3</v>
      </c>
      <c r="Q232" s="9">
        <f t="shared" si="3"/>
        <v>12630.20233307036</v>
      </c>
      <c r="R232" s="5" t="str">
        <f>TEXT(Table1[[#This Row],[Closing Date]],"yyyy")</f>
        <v>2023</v>
      </c>
      <c r="S232" s="5" t="str">
        <f>TEXT(Table1[[#This Row],[Closing Date]],"mmmm")</f>
        <v>September</v>
      </c>
      <c r="T232" s="5" t="s">
        <v>240</v>
      </c>
      <c r="U232" s="5" t="s">
        <v>301</v>
      </c>
    </row>
    <row r="233" spans="2:21" x14ac:dyDescent="0.25">
      <c r="B233" t="s">
        <v>201</v>
      </c>
      <c r="C233" t="s">
        <v>303</v>
      </c>
      <c r="D233" t="s">
        <v>16</v>
      </c>
      <c r="E233" t="s">
        <v>7</v>
      </c>
      <c r="F233" s="5"/>
      <c r="G233" s="7">
        <v>45182</v>
      </c>
      <c r="H233" t="s">
        <v>142</v>
      </c>
      <c r="I233">
        <v>2250</v>
      </c>
      <c r="J233" s="5">
        <v>109256.05</v>
      </c>
      <c r="L233" s="5">
        <v>110908.04</v>
      </c>
      <c r="M233" s="5">
        <v>48.558244444444448</v>
      </c>
      <c r="N233" s="5">
        <v>49.29246222222222</v>
      </c>
      <c r="O233" s="5">
        <v>1651.9899999999907</v>
      </c>
      <c r="P233" s="3">
        <v>1.5120352602899218E-2</v>
      </c>
      <c r="Q233" s="9">
        <f t="shared" si="3"/>
        <v>14282.19233307035</v>
      </c>
      <c r="R233" s="5" t="str">
        <f>TEXT(Table1[[#This Row],[Closing Date]],"yyyy")</f>
        <v>2023</v>
      </c>
      <c r="S233" s="5" t="str">
        <f>TEXT(Table1[[#This Row],[Closing Date]],"mmmm")</f>
        <v>September</v>
      </c>
      <c r="T233" s="5" t="s">
        <v>240</v>
      </c>
      <c r="U233" s="5" t="s">
        <v>301</v>
      </c>
    </row>
    <row r="234" spans="2:21" x14ac:dyDescent="0.25">
      <c r="B234" t="s">
        <v>201</v>
      </c>
      <c r="C234" t="s">
        <v>305</v>
      </c>
      <c r="D234" t="s">
        <v>12</v>
      </c>
      <c r="E234" t="s">
        <v>7</v>
      </c>
      <c r="F234" s="5"/>
      <c r="G234" s="7">
        <v>45182</v>
      </c>
      <c r="H234" t="s">
        <v>87</v>
      </c>
      <c r="I234">
        <v>5</v>
      </c>
      <c r="J234" s="5">
        <v>342491.21</v>
      </c>
      <c r="L234" s="5">
        <v>338008.5</v>
      </c>
      <c r="M234" s="5">
        <v>1369.9648400000001</v>
      </c>
      <c r="N234" s="5">
        <v>1352.0340000000001</v>
      </c>
      <c r="O234" s="5">
        <v>-4482.710000000021</v>
      </c>
      <c r="P234" s="3">
        <v>-1.3100000000000001E-2</v>
      </c>
      <c r="Q234" s="9">
        <f t="shared" si="3"/>
        <v>9799.4823330703293</v>
      </c>
      <c r="R234" s="5" t="str">
        <f>TEXT(Table1[[#This Row],[Closing Date]],"yyyy")</f>
        <v>2023</v>
      </c>
      <c r="S234" s="5" t="str">
        <f>TEXT(Table1[[#This Row],[Closing Date]],"mmmm")</f>
        <v>September</v>
      </c>
      <c r="T234" s="5" t="s">
        <v>240</v>
      </c>
      <c r="U234" s="5" t="s">
        <v>301</v>
      </c>
    </row>
    <row r="235" spans="2:21" x14ac:dyDescent="0.25">
      <c r="B235" t="s">
        <v>201</v>
      </c>
      <c r="C235" t="s">
        <v>303</v>
      </c>
      <c r="D235" t="s">
        <v>16</v>
      </c>
      <c r="E235" t="s">
        <v>7</v>
      </c>
      <c r="F235" s="5"/>
      <c r="G235" s="7">
        <v>45183</v>
      </c>
      <c r="H235" t="s">
        <v>143</v>
      </c>
      <c r="I235">
        <v>15000</v>
      </c>
      <c r="J235" s="5">
        <v>153075</v>
      </c>
      <c r="L235" s="5">
        <v>152651.6</v>
      </c>
      <c r="M235" s="5">
        <v>10.205</v>
      </c>
      <c r="N235" s="5">
        <v>10.176773333333333</v>
      </c>
      <c r="O235" s="5">
        <v>-423.39999999999418</v>
      </c>
      <c r="P235" s="3">
        <v>-2.7659643965376622E-3</v>
      </c>
      <c r="Q235" s="9">
        <f t="shared" si="3"/>
        <v>9376.0823330703352</v>
      </c>
      <c r="R235" s="5" t="str">
        <f>TEXT(Table1[[#This Row],[Closing Date]],"yyyy")</f>
        <v>2023</v>
      </c>
      <c r="S235" s="5" t="str">
        <f>TEXT(Table1[[#This Row],[Closing Date]],"mmmm")</f>
        <v>September</v>
      </c>
      <c r="T235" s="5" t="s">
        <v>240</v>
      </c>
      <c r="U235" s="5" t="s">
        <v>301</v>
      </c>
    </row>
    <row r="236" spans="2:21" x14ac:dyDescent="0.25">
      <c r="B236" t="s">
        <v>201</v>
      </c>
      <c r="C236" t="s">
        <v>303</v>
      </c>
      <c r="D236" t="s">
        <v>16</v>
      </c>
      <c r="E236" t="s">
        <v>7</v>
      </c>
      <c r="F236" s="5"/>
      <c r="G236" s="7">
        <v>45183</v>
      </c>
      <c r="H236" t="s">
        <v>139</v>
      </c>
      <c r="I236">
        <v>1800</v>
      </c>
      <c r="J236" s="5">
        <v>124210</v>
      </c>
      <c r="L236" s="5">
        <v>125310.82</v>
      </c>
      <c r="M236" s="5">
        <v>69.00555555555556</v>
      </c>
      <c r="N236" s="5">
        <v>69.617122222222221</v>
      </c>
      <c r="O236" s="5">
        <v>1100.820000000007</v>
      </c>
      <c r="P236" s="3">
        <v>8.8625714515738682E-3</v>
      </c>
      <c r="Q236" s="9">
        <f t="shared" si="3"/>
        <v>10476.902333070342</v>
      </c>
      <c r="R236" s="5" t="str">
        <f>TEXT(Table1[[#This Row],[Closing Date]],"yyyy")</f>
        <v>2023</v>
      </c>
      <c r="S236" s="5" t="str">
        <f>TEXT(Table1[[#This Row],[Closing Date]],"mmmm")</f>
        <v>September</v>
      </c>
      <c r="T236" s="5" t="s">
        <v>240</v>
      </c>
      <c r="U236" s="5" t="s">
        <v>301</v>
      </c>
    </row>
    <row r="237" spans="2:21" x14ac:dyDescent="0.25">
      <c r="B237" t="s">
        <v>201</v>
      </c>
      <c r="C237" t="s">
        <v>305</v>
      </c>
      <c r="D237" t="s">
        <v>16</v>
      </c>
      <c r="E237" t="s">
        <v>7</v>
      </c>
      <c r="F237" s="5"/>
      <c r="G237" s="7">
        <v>45183</v>
      </c>
      <c r="H237" t="s">
        <v>190</v>
      </c>
      <c r="I237">
        <v>15000</v>
      </c>
      <c r="J237" s="5">
        <v>233513.49</v>
      </c>
      <c r="L237" s="5">
        <v>227548.18</v>
      </c>
      <c r="M237" s="5">
        <v>15.567565999999999</v>
      </c>
      <c r="N237" s="5">
        <v>15.169878666666666</v>
      </c>
      <c r="O237" s="5">
        <v>-5965.3099999999977</v>
      </c>
      <c r="P237" s="3">
        <v>-2.5545890303810704E-2</v>
      </c>
      <c r="Q237" s="9">
        <f t="shared" si="3"/>
        <v>4511.5923330703445</v>
      </c>
      <c r="R237" s="5" t="str">
        <f>TEXT(Table1[[#This Row],[Closing Date]],"yyyy")</f>
        <v>2023</v>
      </c>
      <c r="S237" s="5" t="str">
        <f>TEXT(Table1[[#This Row],[Closing Date]],"mmmm")</f>
        <v>September</v>
      </c>
      <c r="T237" s="5" t="s">
        <v>240</v>
      </c>
      <c r="U237" s="5" t="s">
        <v>203</v>
      </c>
    </row>
    <row r="238" spans="2:21" x14ac:dyDescent="0.25">
      <c r="B238" t="s">
        <v>201</v>
      </c>
      <c r="C238" t="s">
        <v>303</v>
      </c>
      <c r="D238" t="s">
        <v>16</v>
      </c>
      <c r="E238" t="s">
        <v>7</v>
      </c>
      <c r="F238" s="5"/>
      <c r="G238" s="7">
        <v>45183</v>
      </c>
      <c r="H238" t="s">
        <v>192</v>
      </c>
      <c r="I238">
        <v>6500</v>
      </c>
      <c r="J238" s="5">
        <v>103951.65</v>
      </c>
      <c r="L238" s="5">
        <v>103696.47</v>
      </c>
      <c r="M238" s="5">
        <v>15.992561538461537</v>
      </c>
      <c r="N238" s="5">
        <v>15.953303076923078</v>
      </c>
      <c r="O238" s="5">
        <v>-255.17999999999302</v>
      </c>
      <c r="P238" s="3">
        <v>-2.454795089832562E-3</v>
      </c>
      <c r="Q238" s="9">
        <f t="shared" si="3"/>
        <v>4256.4123330703515</v>
      </c>
      <c r="R238" s="5" t="str">
        <f>TEXT(Table1[[#This Row],[Closing Date]],"yyyy")</f>
        <v>2023</v>
      </c>
      <c r="S238" s="5" t="str">
        <f>TEXT(Table1[[#This Row],[Closing Date]],"mmmm")</f>
        <v>September</v>
      </c>
      <c r="T238" s="5" t="s">
        <v>240</v>
      </c>
      <c r="U238" s="5" t="s">
        <v>203</v>
      </c>
    </row>
    <row r="239" spans="2:21" x14ac:dyDescent="0.25">
      <c r="B239" t="s">
        <v>201</v>
      </c>
      <c r="C239" t="s">
        <v>303</v>
      </c>
      <c r="D239" t="s">
        <v>16</v>
      </c>
      <c r="E239" t="s">
        <v>7</v>
      </c>
      <c r="F239" s="5"/>
      <c r="G239" s="7">
        <v>45188</v>
      </c>
      <c r="H239" t="s">
        <v>146</v>
      </c>
      <c r="I239">
        <v>2640</v>
      </c>
      <c r="J239" s="5">
        <v>115569.57</v>
      </c>
      <c r="L239" s="5">
        <v>109536.17</v>
      </c>
      <c r="M239" s="5">
        <v>43.776352272727273</v>
      </c>
      <c r="N239" s="5">
        <v>41.490973484848482</v>
      </c>
      <c r="O239" s="5">
        <v>-6033.4000000000087</v>
      </c>
      <c r="P239" s="3">
        <v>-5.2205783927378194E-2</v>
      </c>
      <c r="Q239" s="9">
        <f t="shared" si="3"/>
        <v>-1776.9876669296573</v>
      </c>
      <c r="R239" s="5" t="str">
        <f>TEXT(Table1[[#This Row],[Closing Date]],"yyyy")</f>
        <v>2023</v>
      </c>
      <c r="S239" s="5" t="str">
        <f>TEXT(Table1[[#This Row],[Closing Date]],"mmmm")</f>
        <v>September</v>
      </c>
      <c r="T239" s="5" t="s">
        <v>240</v>
      </c>
      <c r="U239" s="5" t="s">
        <v>301</v>
      </c>
    </row>
    <row r="240" spans="2:21" x14ac:dyDescent="0.25">
      <c r="B240" t="s">
        <v>201</v>
      </c>
      <c r="C240" t="s">
        <v>303</v>
      </c>
      <c r="D240" t="s">
        <v>16</v>
      </c>
      <c r="E240" t="s">
        <v>5</v>
      </c>
      <c r="F240" s="5"/>
      <c r="G240" s="7">
        <v>45188</v>
      </c>
      <c r="H240" t="s">
        <v>144</v>
      </c>
      <c r="I240">
        <v>2000</v>
      </c>
      <c r="J240" s="5">
        <v>108013.45</v>
      </c>
      <c r="L240" s="5">
        <v>99610</v>
      </c>
      <c r="M240" s="5">
        <v>54.006724999999996</v>
      </c>
      <c r="N240" s="5">
        <v>49.805</v>
      </c>
      <c r="O240" s="5">
        <v>8403.4499999999971</v>
      </c>
      <c r="P240" s="3">
        <v>-7.7800033236601493E-2</v>
      </c>
      <c r="Q240" s="9">
        <f t="shared" si="3"/>
        <v>6626.4623330703398</v>
      </c>
      <c r="R240" s="5" t="str">
        <f>TEXT(Table1[[#This Row],[Closing Date]],"yyyy")</f>
        <v>2023</v>
      </c>
      <c r="S240" s="5" t="str">
        <f>TEXT(Table1[[#This Row],[Closing Date]],"mmmm")</f>
        <v>September</v>
      </c>
      <c r="T240" s="5" t="s">
        <v>240</v>
      </c>
      <c r="U240" s="5" t="s">
        <v>301</v>
      </c>
    </row>
    <row r="241" spans="2:21" x14ac:dyDescent="0.25">
      <c r="B241" t="s">
        <v>201</v>
      </c>
      <c r="C241" t="s">
        <v>303</v>
      </c>
      <c r="D241" t="s">
        <v>16</v>
      </c>
      <c r="E241" t="s">
        <v>7</v>
      </c>
      <c r="F241" s="5"/>
      <c r="G241" s="7">
        <v>45189</v>
      </c>
      <c r="H241" t="s">
        <v>145</v>
      </c>
      <c r="I241">
        <v>2300</v>
      </c>
      <c r="J241" s="5">
        <v>111550</v>
      </c>
      <c r="L241" s="5">
        <v>106411.72</v>
      </c>
      <c r="M241" s="5">
        <v>48.5</v>
      </c>
      <c r="N241" s="5">
        <v>46.265965217391305</v>
      </c>
      <c r="O241" s="5">
        <v>-5138.2799999999988</v>
      </c>
      <c r="P241" s="3">
        <v>-4.606257283729269E-2</v>
      </c>
      <c r="Q241" s="9">
        <f t="shared" si="3"/>
        <v>1488.182333070341</v>
      </c>
      <c r="R241" s="5" t="str">
        <f>TEXT(Table1[[#This Row],[Closing Date]],"yyyy")</f>
        <v>2023</v>
      </c>
      <c r="S241" s="5" t="str">
        <f>TEXT(Table1[[#This Row],[Closing Date]],"mmmm")</f>
        <v>September</v>
      </c>
      <c r="T241" s="5" t="s">
        <v>240</v>
      </c>
      <c r="U241" s="5" t="s">
        <v>301</v>
      </c>
    </row>
    <row r="242" spans="2:21" x14ac:dyDescent="0.25">
      <c r="B242" t="s">
        <v>201</v>
      </c>
      <c r="C242" t="s">
        <v>303</v>
      </c>
      <c r="D242" t="s">
        <v>16</v>
      </c>
      <c r="E242" t="s">
        <v>7</v>
      </c>
      <c r="F242" s="5"/>
      <c r="G242" s="7">
        <v>45189</v>
      </c>
      <c r="H242" t="s">
        <v>148</v>
      </c>
      <c r="I242">
        <v>6750</v>
      </c>
      <c r="J242" s="5">
        <v>135000</v>
      </c>
      <c r="L242" s="5">
        <v>132370.07</v>
      </c>
      <c r="M242" s="5">
        <v>20</v>
      </c>
      <c r="N242" s="5">
        <v>19.610380740740741</v>
      </c>
      <c r="O242" s="5">
        <v>-2629.929999999993</v>
      </c>
      <c r="P242" s="3">
        <v>-1.9480962962962912E-2</v>
      </c>
      <c r="Q242" s="9">
        <f t="shared" si="3"/>
        <v>-1141.747666929652</v>
      </c>
      <c r="R242" s="5" t="str">
        <f>TEXT(Table1[[#This Row],[Closing Date]],"yyyy")</f>
        <v>2023</v>
      </c>
      <c r="S242" s="5" t="str">
        <f>TEXT(Table1[[#This Row],[Closing Date]],"mmmm")</f>
        <v>September</v>
      </c>
      <c r="T242" s="5" t="s">
        <v>240</v>
      </c>
      <c r="U242" s="5" t="s">
        <v>301</v>
      </c>
    </row>
    <row r="243" spans="2:21" x14ac:dyDescent="0.25">
      <c r="B243" t="s">
        <v>201</v>
      </c>
      <c r="C243" t="s">
        <v>303</v>
      </c>
      <c r="D243" t="s">
        <v>12</v>
      </c>
      <c r="E243" t="s">
        <v>7</v>
      </c>
      <c r="F243" s="5"/>
      <c r="G243" s="7">
        <v>45189</v>
      </c>
      <c r="H243" t="s">
        <v>44</v>
      </c>
      <c r="I243">
        <v>4</v>
      </c>
      <c r="J243" s="5">
        <v>658062.07999999996</v>
      </c>
      <c r="L243" s="5">
        <v>657087.92000000004</v>
      </c>
      <c r="M243" s="5">
        <v>32903.103999999999</v>
      </c>
      <c r="N243" s="5">
        <v>32854.396000000001</v>
      </c>
      <c r="O243" s="5">
        <v>-974.15999999991618</v>
      </c>
      <c r="P243" s="3">
        <v>-1.4803466566557311E-3</v>
      </c>
      <c r="Q243" s="9">
        <f t="shared" si="3"/>
        <v>-2115.9076669295682</v>
      </c>
      <c r="R243" s="5" t="str">
        <f>TEXT(Table1[[#This Row],[Closing Date]],"yyyy")</f>
        <v>2023</v>
      </c>
      <c r="S243" s="5" t="str">
        <f>TEXT(Table1[[#This Row],[Closing Date]],"mmmm")</f>
        <v>September</v>
      </c>
      <c r="T243" s="5" t="s">
        <v>240</v>
      </c>
      <c r="U243" s="5" t="s">
        <v>301</v>
      </c>
    </row>
    <row r="244" spans="2:21" x14ac:dyDescent="0.25">
      <c r="B244" t="s">
        <v>201</v>
      </c>
      <c r="C244" t="s">
        <v>305</v>
      </c>
      <c r="D244" t="s">
        <v>4</v>
      </c>
      <c r="E244" t="s">
        <v>5</v>
      </c>
      <c r="F244" s="5"/>
      <c r="G244" s="7">
        <v>45189</v>
      </c>
      <c r="H244" t="s">
        <v>128</v>
      </c>
      <c r="I244">
        <v>1950000</v>
      </c>
      <c r="J244" s="5">
        <v>1906018.4799999997</v>
      </c>
      <c r="L244" s="5">
        <v>1873328.23</v>
      </c>
      <c r="M244" s="5">
        <v>0.97744537435897427</v>
      </c>
      <c r="N244" s="5">
        <v>0.96068114358974355</v>
      </c>
      <c r="O244" s="5">
        <v>36367.903124999742</v>
      </c>
      <c r="P244" s="3">
        <v>1.9413524305348102E-2</v>
      </c>
      <c r="Q244" s="9">
        <f t="shared" si="3"/>
        <v>34251.995458070174</v>
      </c>
      <c r="R244" s="5" t="str">
        <f>TEXT(Table1[[#This Row],[Closing Date]],"yyyy")</f>
        <v>2023</v>
      </c>
      <c r="S244" s="5" t="str">
        <f>TEXT(Table1[[#This Row],[Closing Date]],"mmmm")</f>
        <v>September</v>
      </c>
      <c r="T244" s="5" t="s">
        <v>240</v>
      </c>
      <c r="U244" s="5" t="s">
        <v>301</v>
      </c>
    </row>
    <row r="245" spans="2:21" x14ac:dyDescent="0.25">
      <c r="B245" t="s">
        <v>215</v>
      </c>
      <c r="C245" t="s">
        <v>304</v>
      </c>
      <c r="D245" t="s">
        <v>12</v>
      </c>
      <c r="E245" t="s">
        <v>7</v>
      </c>
      <c r="F245" s="5"/>
      <c r="G245" s="7">
        <v>45189</v>
      </c>
      <c r="H245" t="s">
        <v>82</v>
      </c>
      <c r="I245">
        <v>7</v>
      </c>
      <c r="J245" s="5">
        <v>1568463.9</v>
      </c>
      <c r="L245" s="5">
        <v>1565761.1</v>
      </c>
      <c r="M245" s="5">
        <v>4481.3254285714283</v>
      </c>
      <c r="N245" s="5">
        <v>4473.6031428571432</v>
      </c>
      <c r="O245" s="5">
        <v>-2746.7999999998137</v>
      </c>
      <c r="P245" s="3">
        <v>-1.7232146688232973E-3</v>
      </c>
      <c r="Q245" s="9">
        <f t="shared" si="3"/>
        <v>31505.19545807036</v>
      </c>
      <c r="R245" s="5" t="str">
        <f>TEXT(Table1[[#This Row],[Closing Date]],"yyyy")</f>
        <v>2023</v>
      </c>
      <c r="S245" s="5" t="str">
        <f>TEXT(Table1[[#This Row],[Closing Date]],"mmmm")</f>
        <v>September</v>
      </c>
      <c r="T245" s="5" t="s">
        <v>240</v>
      </c>
      <c r="U245" s="5" t="s">
        <v>301</v>
      </c>
    </row>
    <row r="246" spans="2:21" x14ac:dyDescent="0.25">
      <c r="B246" t="s">
        <v>201</v>
      </c>
      <c r="C246" t="s">
        <v>303</v>
      </c>
      <c r="D246" t="s">
        <v>16</v>
      </c>
      <c r="E246" t="s">
        <v>7</v>
      </c>
      <c r="F246" s="5"/>
      <c r="G246" s="7">
        <v>45190</v>
      </c>
      <c r="H246" t="s">
        <v>37</v>
      </c>
      <c r="I246">
        <v>350</v>
      </c>
      <c r="J246" s="5">
        <v>96951.75</v>
      </c>
      <c r="L246" s="5">
        <v>91263</v>
      </c>
      <c r="M246" s="5">
        <v>277.005</v>
      </c>
      <c r="N246" s="5">
        <v>260.75142857142856</v>
      </c>
      <c r="O246" s="5">
        <v>-5688.75</v>
      </c>
      <c r="P246" s="3">
        <v>5.8676094036466613E-2</v>
      </c>
      <c r="Q246" s="9">
        <f t="shared" si="3"/>
        <v>25816.44545807036</v>
      </c>
      <c r="R246" s="5" t="str">
        <f>TEXT(Table1[[#This Row],[Closing Date]],"yyyy")</f>
        <v>2023</v>
      </c>
      <c r="S246" s="5" t="str">
        <f>TEXT(Table1[[#This Row],[Closing Date]],"mmmm")</f>
        <v>September</v>
      </c>
      <c r="T246" s="5" t="s">
        <v>240</v>
      </c>
      <c r="U246" s="5" t="s">
        <v>301</v>
      </c>
    </row>
    <row r="247" spans="2:21" x14ac:dyDescent="0.25">
      <c r="B247" t="s">
        <v>201</v>
      </c>
      <c r="C247" t="s">
        <v>303</v>
      </c>
      <c r="D247" t="s">
        <v>4</v>
      </c>
      <c r="E247" t="s">
        <v>7</v>
      </c>
      <c r="F247" s="5"/>
      <c r="G247" s="7">
        <v>45190</v>
      </c>
      <c r="H247" t="s">
        <v>118</v>
      </c>
      <c r="I247">
        <v>1250000</v>
      </c>
      <c r="J247" s="5">
        <v>721264.47</v>
      </c>
      <c r="L247" s="5">
        <v>724232.91</v>
      </c>
      <c r="M247" s="5">
        <v>0.57701157599999997</v>
      </c>
      <c r="N247" s="5">
        <v>0.57938632800000001</v>
      </c>
      <c r="O247" s="5">
        <v>3295</v>
      </c>
      <c r="P247" s="3">
        <v>2.6359999999999999E-3</v>
      </c>
      <c r="Q247" s="9">
        <f t="shared" si="3"/>
        <v>29111.44545807036</v>
      </c>
      <c r="R247" s="5" t="str">
        <f>TEXT(Table1[[#This Row],[Closing Date]],"yyyy")</f>
        <v>2023</v>
      </c>
      <c r="S247" s="5" t="str">
        <f>TEXT(Table1[[#This Row],[Closing Date]],"mmmm")</f>
        <v>September</v>
      </c>
      <c r="T247" s="5" t="s">
        <v>240</v>
      </c>
      <c r="U247" s="5" t="s">
        <v>301</v>
      </c>
    </row>
    <row r="248" spans="2:21" x14ac:dyDescent="0.25">
      <c r="B248" t="s">
        <v>201</v>
      </c>
      <c r="C248" t="s">
        <v>303</v>
      </c>
      <c r="D248" t="s">
        <v>16</v>
      </c>
      <c r="E248" t="s">
        <v>5</v>
      </c>
      <c r="F248" s="5"/>
      <c r="G248" s="7">
        <v>45194</v>
      </c>
      <c r="H248" t="s">
        <v>149</v>
      </c>
      <c r="I248">
        <v>4000</v>
      </c>
      <c r="J248" s="5">
        <v>159778.14000000001</v>
      </c>
      <c r="L248" s="5">
        <v>158397.24</v>
      </c>
      <c r="M248" s="5">
        <v>39.944535000000002</v>
      </c>
      <c r="N248" s="5">
        <v>39.599309999999996</v>
      </c>
      <c r="O248" s="5">
        <v>1380.9000000000233</v>
      </c>
      <c r="P248" s="3">
        <v>8.6426090577848957E-3</v>
      </c>
      <c r="Q248" s="9">
        <f t="shared" si="3"/>
        <v>30492.345458070384</v>
      </c>
      <c r="R248" s="5" t="str">
        <f>TEXT(Table1[[#This Row],[Closing Date]],"yyyy")</f>
        <v>2023</v>
      </c>
      <c r="S248" s="5" t="str">
        <f>TEXT(Table1[[#This Row],[Closing Date]],"mmmm")</f>
        <v>September</v>
      </c>
      <c r="T248" s="5" t="s">
        <v>240</v>
      </c>
      <c r="U248" s="5" t="s">
        <v>301</v>
      </c>
    </row>
    <row r="249" spans="2:21" x14ac:dyDescent="0.25">
      <c r="B249" t="s">
        <v>201</v>
      </c>
      <c r="C249" t="s">
        <v>303</v>
      </c>
      <c r="D249" t="s">
        <v>16</v>
      </c>
      <c r="E249" t="s">
        <v>7</v>
      </c>
      <c r="F249" s="5"/>
      <c r="G249" s="7">
        <v>45195</v>
      </c>
      <c r="H249" t="s">
        <v>147</v>
      </c>
      <c r="I249">
        <v>2250</v>
      </c>
      <c r="J249" s="5">
        <v>239069.64</v>
      </c>
      <c r="L249" s="5">
        <v>239799.25</v>
      </c>
      <c r="M249" s="5">
        <v>106.25317333333334</v>
      </c>
      <c r="N249" s="5">
        <v>106.57744444444444</v>
      </c>
      <c r="O249" s="5">
        <v>729.60999999998603</v>
      </c>
      <c r="P249" s="3">
        <v>3.0518722494415418E-3</v>
      </c>
      <c r="Q249" s="9">
        <f t="shared" si="3"/>
        <v>31221.95545807037</v>
      </c>
      <c r="R249" s="5" t="str">
        <f>TEXT(Table1[[#This Row],[Closing Date]],"yyyy")</f>
        <v>2023</v>
      </c>
      <c r="S249" s="5" t="str">
        <f>TEXT(Table1[[#This Row],[Closing Date]],"mmmm")</f>
        <v>September</v>
      </c>
      <c r="T249" s="5" t="s">
        <v>240</v>
      </c>
      <c r="U249" s="5" t="s">
        <v>301</v>
      </c>
    </row>
    <row r="250" spans="2:21" x14ac:dyDescent="0.25">
      <c r="B250" t="s">
        <v>201</v>
      </c>
      <c r="C250" t="s">
        <v>306</v>
      </c>
      <c r="D250" t="s">
        <v>12</v>
      </c>
      <c r="E250" t="s">
        <v>7</v>
      </c>
      <c r="F250" s="5"/>
      <c r="G250" s="7">
        <v>45196</v>
      </c>
      <c r="H250" t="s">
        <v>86</v>
      </c>
      <c r="I250">
        <v>260</v>
      </c>
      <c r="J250" s="5">
        <v>1087099</v>
      </c>
      <c r="L250" s="5">
        <v>1170255</v>
      </c>
      <c r="M250" s="5">
        <v>4.1811499999999997</v>
      </c>
      <c r="N250" s="5">
        <v>4.50098076923077</v>
      </c>
      <c r="O250" s="5">
        <v>83156</v>
      </c>
      <c r="P250" s="3">
        <v>7.6493493232907037E-2</v>
      </c>
      <c r="Q250" s="9">
        <f t="shared" si="3"/>
        <v>114377.95545807037</v>
      </c>
      <c r="R250" s="5" t="str">
        <f>TEXT(Table1[[#This Row],[Closing Date]],"yyyy")</f>
        <v>2023</v>
      </c>
      <c r="S250" s="5" t="str">
        <f>TEXT(Table1[[#This Row],[Closing Date]],"mmmm")</f>
        <v>September</v>
      </c>
      <c r="T250" s="5" t="s">
        <v>240</v>
      </c>
      <c r="U250" s="5" t="s">
        <v>301</v>
      </c>
    </row>
    <row r="251" spans="2:21" x14ac:dyDescent="0.25">
      <c r="B251" t="s">
        <v>201</v>
      </c>
      <c r="C251" t="s">
        <v>303</v>
      </c>
      <c r="D251" t="s">
        <v>16</v>
      </c>
      <c r="E251" t="s">
        <v>5</v>
      </c>
      <c r="F251" s="5"/>
      <c r="G251" s="7">
        <v>45197</v>
      </c>
      <c r="H251" t="s">
        <v>72</v>
      </c>
      <c r="I251">
        <v>295</v>
      </c>
      <c r="J251" s="5">
        <v>78998.850000000006</v>
      </c>
      <c r="L251" s="5">
        <v>79551.570000000007</v>
      </c>
      <c r="M251" s="5">
        <v>267.79271186440678</v>
      </c>
      <c r="N251" s="5">
        <v>269.66633898305088</v>
      </c>
      <c r="O251" s="5">
        <v>-552.72000000000116</v>
      </c>
      <c r="P251" s="3">
        <v>6.9965575448251195E-3</v>
      </c>
      <c r="Q251" s="9">
        <f t="shared" si="3"/>
        <v>113825.23545807037</v>
      </c>
      <c r="R251" s="5" t="str">
        <f>TEXT(Table1[[#This Row],[Closing Date]],"yyyy")</f>
        <v>2023</v>
      </c>
      <c r="S251" s="5" t="str">
        <f>TEXT(Table1[[#This Row],[Closing Date]],"mmmm")</f>
        <v>September</v>
      </c>
      <c r="T251" s="5" t="s">
        <v>240</v>
      </c>
      <c r="U251" s="5" t="s">
        <v>301</v>
      </c>
    </row>
    <row r="252" spans="2:21" x14ac:dyDescent="0.25">
      <c r="B252" t="s">
        <v>201</v>
      </c>
      <c r="C252" t="s">
        <v>306</v>
      </c>
      <c r="D252" t="s">
        <v>12</v>
      </c>
      <c r="E252" t="s">
        <v>7</v>
      </c>
      <c r="F252" s="5"/>
      <c r="G252" s="7">
        <v>45197</v>
      </c>
      <c r="H252" t="s">
        <v>88</v>
      </c>
      <c r="I252">
        <v>6</v>
      </c>
      <c r="J252" s="5">
        <v>183272.22</v>
      </c>
      <c r="L252" s="5">
        <v>174921.60000000001</v>
      </c>
      <c r="M252" s="5">
        <v>27.272651785714285</v>
      </c>
      <c r="N252" s="5">
        <v>26.03</v>
      </c>
      <c r="O252" s="5">
        <v>-8350.6199999999953</v>
      </c>
      <c r="P252" s="3">
        <v>-4.5564024924235627E-2</v>
      </c>
      <c r="Q252" s="9">
        <f t="shared" si="3"/>
        <v>105474.61545807037</v>
      </c>
      <c r="R252" s="5" t="str">
        <f>TEXT(Table1[[#This Row],[Closing Date]],"yyyy")</f>
        <v>2023</v>
      </c>
      <c r="S252" s="5" t="str">
        <f>TEXT(Table1[[#This Row],[Closing Date]],"mmmm")</f>
        <v>September</v>
      </c>
      <c r="T252" s="5" t="s">
        <v>240</v>
      </c>
      <c r="U252" s="5" t="s">
        <v>301</v>
      </c>
    </row>
    <row r="253" spans="2:21" x14ac:dyDescent="0.25">
      <c r="B253" t="s">
        <v>201</v>
      </c>
      <c r="C253" t="s">
        <v>303</v>
      </c>
      <c r="D253" t="s">
        <v>4</v>
      </c>
      <c r="E253" t="s">
        <v>5</v>
      </c>
      <c r="F253" s="5"/>
      <c r="G253" s="7">
        <v>45198</v>
      </c>
      <c r="H253" t="s">
        <v>119</v>
      </c>
      <c r="I253">
        <v>1500000</v>
      </c>
      <c r="J253" s="5">
        <v>2136802.31</v>
      </c>
      <c r="L253" s="5">
        <v>2149078.14</v>
      </c>
      <c r="M253" s="5">
        <v>1.4245348733333334</v>
      </c>
      <c r="N253" s="5">
        <v>1.43271876</v>
      </c>
      <c r="O253" s="5">
        <v>-9044.8315440000551</v>
      </c>
      <c r="P253" s="3">
        <v>-6.0298876960000365E-3</v>
      </c>
      <c r="Q253" s="9">
        <f t="shared" si="3"/>
        <v>96429.783914070314</v>
      </c>
      <c r="R253" s="5" t="str">
        <f>TEXT(Table1[[#This Row],[Closing Date]],"yyyy")</f>
        <v>2023</v>
      </c>
      <c r="S253" s="5" t="str">
        <f>TEXT(Table1[[#This Row],[Closing Date]],"mmmm")</f>
        <v>September</v>
      </c>
      <c r="T253" s="5" t="s">
        <v>240</v>
      </c>
      <c r="U253" s="5" t="s">
        <v>301</v>
      </c>
    </row>
    <row r="254" spans="2:21" x14ac:dyDescent="0.25">
      <c r="B254" t="s">
        <v>201</v>
      </c>
      <c r="C254" t="s">
        <v>303</v>
      </c>
      <c r="D254" t="s">
        <v>16</v>
      </c>
      <c r="E254" t="s">
        <v>7</v>
      </c>
      <c r="F254" s="5"/>
      <c r="G254" s="7">
        <v>45198</v>
      </c>
      <c r="H254" t="s">
        <v>11</v>
      </c>
      <c r="I254">
        <v>465</v>
      </c>
      <c r="J254" s="5">
        <v>195720.83</v>
      </c>
      <c r="L254" s="5">
        <v>202278.3</v>
      </c>
      <c r="M254" s="5">
        <v>420.90501075268816</v>
      </c>
      <c r="N254" s="5">
        <v>435.00709677419354</v>
      </c>
      <c r="O254" s="5">
        <v>6557.4700000000012</v>
      </c>
      <c r="P254" s="3">
        <v>3.3504200855882335E-2</v>
      </c>
      <c r="Q254" s="9">
        <f t="shared" si="3"/>
        <v>102987.25391407032</v>
      </c>
      <c r="R254" s="5" t="str">
        <f>TEXT(Table1[[#This Row],[Closing Date]],"yyyy")</f>
        <v>2023</v>
      </c>
      <c r="S254" s="5" t="str">
        <f>TEXT(Table1[[#This Row],[Closing Date]],"mmmm")</f>
        <v>September</v>
      </c>
      <c r="T254" s="5" t="s">
        <v>240</v>
      </c>
      <c r="U254" s="5" t="s">
        <v>301</v>
      </c>
    </row>
    <row r="255" spans="2:21" x14ac:dyDescent="0.25">
      <c r="B255" t="s">
        <v>201</v>
      </c>
      <c r="C255" t="s">
        <v>303</v>
      </c>
      <c r="D255" t="s">
        <v>16</v>
      </c>
      <c r="E255" t="s">
        <v>7</v>
      </c>
      <c r="F255" s="5"/>
      <c r="G255" s="7">
        <v>45198</v>
      </c>
      <c r="H255" t="s">
        <v>114</v>
      </c>
      <c r="I255">
        <v>6000</v>
      </c>
      <c r="J255" s="5">
        <v>119141.3</v>
      </c>
      <c r="L255" s="5">
        <v>134968.04999999999</v>
      </c>
      <c r="M255" s="5">
        <v>19.856883333333332</v>
      </c>
      <c r="N255" s="5">
        <v>22.494674999999997</v>
      </c>
      <c r="O255" s="5">
        <v>15826.749999999985</v>
      </c>
      <c r="P255" s="3">
        <v>0.13284016541702989</v>
      </c>
      <c r="Q255" s="9">
        <f t="shared" si="3"/>
        <v>118814.0039140703</v>
      </c>
      <c r="R255" s="5" t="str">
        <f>TEXT(Table1[[#This Row],[Closing Date]],"yyyy")</f>
        <v>2023</v>
      </c>
      <c r="S255" s="5" t="str">
        <f>TEXT(Table1[[#This Row],[Closing Date]],"mmmm")</f>
        <v>September</v>
      </c>
      <c r="T255" s="5" t="s">
        <v>240</v>
      </c>
      <c r="U255" s="5" t="s">
        <v>301</v>
      </c>
    </row>
    <row r="256" spans="2:21" x14ac:dyDescent="0.25">
      <c r="B256" t="s">
        <v>201</v>
      </c>
      <c r="C256" t="s">
        <v>303</v>
      </c>
      <c r="D256" t="s">
        <v>4</v>
      </c>
      <c r="E256" t="s">
        <v>7</v>
      </c>
      <c r="F256" s="5"/>
      <c r="G256" s="7">
        <v>45198</v>
      </c>
      <c r="H256" t="s">
        <v>60</v>
      </c>
      <c r="I256">
        <v>2000000</v>
      </c>
      <c r="J256" s="5">
        <v>1324126.57</v>
      </c>
      <c r="L256" s="5">
        <v>1345645.49</v>
      </c>
      <c r="M256" s="5">
        <v>0.662063285</v>
      </c>
      <c r="N256" s="5">
        <v>0.67282274499999994</v>
      </c>
      <c r="O256" s="5">
        <v>23502.533857579649</v>
      </c>
      <c r="P256" s="3">
        <v>1.1751266928789823E-2</v>
      </c>
      <c r="Q256" s="9">
        <f t="shared" si="3"/>
        <v>142316.53777164995</v>
      </c>
      <c r="R256" s="5" t="str">
        <f>TEXT(Table1[[#This Row],[Closing Date]],"yyyy")</f>
        <v>2023</v>
      </c>
      <c r="S256" s="5" t="str">
        <f>TEXT(Table1[[#This Row],[Closing Date]],"mmmm")</f>
        <v>September</v>
      </c>
      <c r="T256" s="5" t="s">
        <v>240</v>
      </c>
      <c r="U256" s="5" t="s">
        <v>301</v>
      </c>
    </row>
    <row r="257" spans="2:21" x14ac:dyDescent="0.25">
      <c r="B257" t="s">
        <v>197</v>
      </c>
      <c r="C257" t="s">
        <v>305</v>
      </c>
      <c r="D257" t="s">
        <v>102</v>
      </c>
      <c r="E257" t="s">
        <v>7</v>
      </c>
      <c r="F257" s="5"/>
      <c r="G257" s="7">
        <v>45198</v>
      </c>
      <c r="H257" t="s">
        <v>130</v>
      </c>
      <c r="I257">
        <v>110</v>
      </c>
      <c r="J257" s="5">
        <v>9875.91</v>
      </c>
      <c r="K257" s="13">
        <v>100</v>
      </c>
      <c r="L257" s="5">
        <v>2558.85</v>
      </c>
      <c r="M257" s="5">
        <v>0.89780999999999989</v>
      </c>
      <c r="N257" s="5">
        <v>0.23262272727272726</v>
      </c>
      <c r="O257" s="5">
        <v>-7317.0599999999995</v>
      </c>
      <c r="P257" s="3">
        <v>-0.74089982594009052</v>
      </c>
      <c r="Q257" s="9">
        <f t="shared" si="3"/>
        <v>134999.47777164995</v>
      </c>
      <c r="R257" s="5" t="str">
        <f>TEXT(Table1[[#This Row],[Closing Date]],"yyyy")</f>
        <v>2023</v>
      </c>
      <c r="S257" s="5" t="str">
        <f>TEXT(Table1[[#This Row],[Closing Date]],"mmmm")</f>
        <v>September</v>
      </c>
      <c r="T257" s="5" t="s">
        <v>240</v>
      </c>
      <c r="U257" s="5" t="s">
        <v>301</v>
      </c>
    </row>
    <row r="258" spans="2:21" x14ac:dyDescent="0.25">
      <c r="B258" t="s">
        <v>201</v>
      </c>
      <c r="C258" t="s">
        <v>306</v>
      </c>
      <c r="D258" t="s">
        <v>12</v>
      </c>
      <c r="E258" t="s">
        <v>5</v>
      </c>
      <c r="F258" s="5"/>
      <c r="G258" s="7">
        <v>45198</v>
      </c>
      <c r="H258" t="s">
        <v>90</v>
      </c>
      <c r="I258">
        <v>3</v>
      </c>
      <c r="J258" s="5">
        <v>891278.4</v>
      </c>
      <c r="L258" s="5">
        <v>894753.65</v>
      </c>
      <c r="M258" s="5">
        <v>14854.640000000001</v>
      </c>
      <c r="N258" s="5">
        <v>14912.560833333335</v>
      </c>
      <c r="O258" s="5">
        <v>-3475.25</v>
      </c>
      <c r="P258" s="3">
        <v>-3.8991744891382985E-3</v>
      </c>
      <c r="Q258" s="9">
        <f t="shared" si="3"/>
        <v>131524.22777164995</v>
      </c>
      <c r="R258" s="5" t="str">
        <f>TEXT(Table1[[#This Row],[Closing Date]],"yyyy")</f>
        <v>2023</v>
      </c>
      <c r="S258" s="5" t="str">
        <f>TEXT(Table1[[#This Row],[Closing Date]],"mmmm")</f>
        <v>September</v>
      </c>
      <c r="T258" s="5" t="s">
        <v>240</v>
      </c>
      <c r="U258" s="5" t="s">
        <v>301</v>
      </c>
    </row>
    <row r="259" spans="2:21" x14ac:dyDescent="0.25">
      <c r="B259" t="s">
        <v>201</v>
      </c>
      <c r="C259" t="s">
        <v>306</v>
      </c>
      <c r="D259" t="s">
        <v>12</v>
      </c>
      <c r="E259" t="s">
        <v>5</v>
      </c>
      <c r="F259" s="5"/>
      <c r="G259" s="7">
        <v>45198</v>
      </c>
      <c r="H259" t="s">
        <v>89</v>
      </c>
      <c r="I259">
        <v>9</v>
      </c>
      <c r="J259" s="5">
        <v>836910.02</v>
      </c>
      <c r="L259" s="5">
        <v>811519.79999999993</v>
      </c>
      <c r="M259" s="5">
        <v>1859.8000444444444</v>
      </c>
      <c r="N259" s="5">
        <v>1803.3773333333331</v>
      </c>
      <c r="O259" s="5">
        <v>25390.220000000088</v>
      </c>
      <c r="P259" s="3">
        <v>3.0338052351195518E-2</v>
      </c>
      <c r="Q259" s="9">
        <f t="shared" ref="Q259:Q322" si="4">O259+Q258</f>
        <v>156914.44777165004</v>
      </c>
      <c r="R259" s="5" t="str">
        <f>TEXT(Table1[[#This Row],[Closing Date]],"yyyy")</f>
        <v>2023</v>
      </c>
      <c r="S259" s="5" t="str">
        <f>TEXT(Table1[[#This Row],[Closing Date]],"mmmm")</f>
        <v>September</v>
      </c>
      <c r="T259" s="5" t="s">
        <v>240</v>
      </c>
      <c r="U259" s="5" t="s">
        <v>301</v>
      </c>
    </row>
    <row r="260" spans="2:21" x14ac:dyDescent="0.25">
      <c r="B260" t="s">
        <v>201</v>
      </c>
      <c r="C260" t="s">
        <v>303</v>
      </c>
      <c r="D260" t="s">
        <v>16</v>
      </c>
      <c r="E260" t="s">
        <v>7</v>
      </c>
      <c r="F260" s="5"/>
      <c r="G260" s="7">
        <v>45199</v>
      </c>
      <c r="H260" t="s">
        <v>148</v>
      </c>
      <c r="I260">
        <v>5000</v>
      </c>
      <c r="J260" s="5">
        <v>93775</v>
      </c>
      <c r="L260" s="5">
        <v>95750</v>
      </c>
      <c r="M260" s="5">
        <v>18.754999999999999</v>
      </c>
      <c r="N260" s="5">
        <v>19.149999999999999</v>
      </c>
      <c r="O260" s="5">
        <v>1975</v>
      </c>
      <c r="P260" s="3">
        <v>2.1061050386563585E-2</v>
      </c>
      <c r="Q260" s="9">
        <f t="shared" si="4"/>
        <v>158889.44777165004</v>
      </c>
      <c r="R260" s="5" t="str">
        <f>TEXT(Table1[[#This Row],[Closing Date]],"yyyy")</f>
        <v>2023</v>
      </c>
      <c r="S260" s="5" t="str">
        <f>TEXT(Table1[[#This Row],[Closing Date]],"mmmm")</f>
        <v>September</v>
      </c>
      <c r="T260" s="5" t="s">
        <v>240</v>
      </c>
      <c r="U260" s="5" t="s">
        <v>301</v>
      </c>
    </row>
    <row r="261" spans="2:21" x14ac:dyDescent="0.25">
      <c r="B261" t="s">
        <v>201</v>
      </c>
      <c r="C261" t="s">
        <v>305</v>
      </c>
      <c r="D261" t="s">
        <v>12</v>
      </c>
      <c r="E261" t="s">
        <v>7</v>
      </c>
      <c r="F261" s="5"/>
      <c r="G261" s="7">
        <v>45200</v>
      </c>
      <c r="H261" t="s">
        <v>91</v>
      </c>
      <c r="I261">
        <v>3</v>
      </c>
      <c r="J261" s="5">
        <v>310235.90999999997</v>
      </c>
      <c r="L261" s="5">
        <v>301762.89</v>
      </c>
      <c r="M261" s="5">
        <v>2.4621897619047619</v>
      </c>
      <c r="N261" s="5">
        <v>2.3949435714285716</v>
      </c>
      <c r="O261" s="5">
        <v>-8473.0199999999604</v>
      </c>
      <c r="P261" s="3">
        <v>-2.7311538499846653E-2</v>
      </c>
      <c r="Q261" s="9">
        <f t="shared" si="4"/>
        <v>150416.42777165008</v>
      </c>
      <c r="R261" s="5" t="str">
        <f>TEXT(Table1[[#This Row],[Closing Date]],"yyyy")</f>
        <v>2023</v>
      </c>
      <c r="S261" s="5" t="str">
        <f>TEXT(Table1[[#This Row],[Closing Date]],"mmmm")</f>
        <v>October</v>
      </c>
      <c r="T261" s="5" t="s">
        <v>240</v>
      </c>
      <c r="U261" s="5" t="s">
        <v>301</v>
      </c>
    </row>
    <row r="262" spans="2:21" x14ac:dyDescent="0.25">
      <c r="B262" t="s">
        <v>201</v>
      </c>
      <c r="C262" t="s">
        <v>303</v>
      </c>
      <c r="D262" t="s">
        <v>4</v>
      </c>
      <c r="E262" t="s">
        <v>7</v>
      </c>
      <c r="F262" s="5"/>
      <c r="G262" s="7">
        <v>45201</v>
      </c>
      <c r="H262" t="s">
        <v>118</v>
      </c>
      <c r="I262">
        <v>1000000</v>
      </c>
      <c r="J262" s="5">
        <v>587400</v>
      </c>
      <c r="L262" s="5">
        <v>582788.31000000006</v>
      </c>
      <c r="M262" s="5">
        <v>0.58740000000000003</v>
      </c>
      <c r="N262" s="5">
        <v>0.58278831000000009</v>
      </c>
      <c r="O262" s="5">
        <v>-5402.8149999999996</v>
      </c>
      <c r="P262" s="3">
        <v>-5.4028149999999992E-3</v>
      </c>
      <c r="Q262" s="9">
        <f t="shared" si="4"/>
        <v>145013.61277165008</v>
      </c>
      <c r="R262" s="5" t="str">
        <f>TEXT(Table1[[#This Row],[Closing Date]],"yyyy")</f>
        <v>2023</v>
      </c>
      <c r="S262" s="5" t="str">
        <f>TEXT(Table1[[#This Row],[Closing Date]],"mmmm")</f>
        <v>October</v>
      </c>
      <c r="T262" s="5" t="s">
        <v>240</v>
      </c>
      <c r="U262" s="5" t="s">
        <v>301</v>
      </c>
    </row>
    <row r="263" spans="2:21" x14ac:dyDescent="0.25">
      <c r="B263" t="s">
        <v>201</v>
      </c>
      <c r="C263" t="s">
        <v>303</v>
      </c>
      <c r="D263" t="s">
        <v>4</v>
      </c>
      <c r="E263" t="s">
        <v>7</v>
      </c>
      <c r="F263" s="5"/>
      <c r="G263" s="7">
        <v>45201</v>
      </c>
      <c r="H263" t="s">
        <v>120</v>
      </c>
      <c r="I263">
        <v>335000</v>
      </c>
      <c r="J263" s="5">
        <v>129675727.47</v>
      </c>
      <c r="L263" s="5">
        <v>129641085.31999999</v>
      </c>
      <c r="M263" s="5">
        <v>387.09172379104479</v>
      </c>
      <c r="N263" s="5">
        <v>386.98831438805968</v>
      </c>
      <c r="O263" s="5">
        <v>-88</v>
      </c>
      <c r="P263" s="3">
        <v>-6.7879715587681877E-7</v>
      </c>
      <c r="Q263" s="9">
        <f t="shared" si="4"/>
        <v>144925.61277165008</v>
      </c>
      <c r="R263" s="5" t="str">
        <f>TEXT(Table1[[#This Row],[Closing Date]],"yyyy")</f>
        <v>2023</v>
      </c>
      <c r="S263" s="5" t="str">
        <f>TEXT(Table1[[#This Row],[Closing Date]],"mmmm")</f>
        <v>October</v>
      </c>
      <c r="T263" s="5" t="s">
        <v>240</v>
      </c>
      <c r="U263" s="5" t="s">
        <v>301</v>
      </c>
    </row>
    <row r="264" spans="2:21" x14ac:dyDescent="0.25">
      <c r="B264" t="s">
        <v>201</v>
      </c>
      <c r="C264" t="s">
        <v>303</v>
      </c>
      <c r="D264" t="s">
        <v>4</v>
      </c>
      <c r="E264" t="s">
        <v>7</v>
      </c>
      <c r="F264" s="5"/>
      <c r="G264" s="7">
        <v>45202</v>
      </c>
      <c r="H264" t="s">
        <v>116</v>
      </c>
      <c r="I264">
        <v>1200000</v>
      </c>
      <c r="J264" s="5">
        <v>132415154.62</v>
      </c>
      <c r="L264" s="5">
        <v>130760196.22</v>
      </c>
      <c r="M264" s="5">
        <v>110.34596218333334</v>
      </c>
      <c r="N264" s="5">
        <v>108.96683018333333</v>
      </c>
      <c r="O264" s="5">
        <v>-11107.103355704738</v>
      </c>
      <c r="P264" s="3">
        <v>-8.4942541207397543E-5</v>
      </c>
      <c r="Q264" s="9">
        <f t="shared" si="4"/>
        <v>133818.50941594533</v>
      </c>
      <c r="R264" s="5" t="str">
        <f>TEXT(Table1[[#This Row],[Closing Date]],"yyyy")</f>
        <v>2023</v>
      </c>
      <c r="S264" s="5" t="str">
        <f>TEXT(Table1[[#This Row],[Closing Date]],"mmmm")</f>
        <v>October</v>
      </c>
      <c r="T264" s="5" t="s">
        <v>240</v>
      </c>
      <c r="U264" s="5" t="s">
        <v>301</v>
      </c>
    </row>
    <row r="265" spans="2:21" x14ac:dyDescent="0.25">
      <c r="B265" t="s">
        <v>201</v>
      </c>
      <c r="C265" t="s">
        <v>303</v>
      </c>
      <c r="D265" t="s">
        <v>4</v>
      </c>
      <c r="E265" t="s">
        <v>7</v>
      </c>
      <c r="F265" s="5"/>
      <c r="G265" s="7">
        <v>45202</v>
      </c>
      <c r="H265" t="s">
        <v>125</v>
      </c>
      <c r="I265">
        <v>1000000</v>
      </c>
      <c r="J265" s="5">
        <v>599011.98</v>
      </c>
      <c r="L265" s="5">
        <v>589878.19999999995</v>
      </c>
      <c r="M265" s="5">
        <v>0.59901198</v>
      </c>
      <c r="N265" s="5">
        <v>0.58987819999999991</v>
      </c>
      <c r="O265" s="5">
        <v>-9133.7800000000279</v>
      </c>
      <c r="P265" s="3">
        <v>-9.1337800000000271E-3</v>
      </c>
      <c r="Q265" s="9">
        <f t="shared" si="4"/>
        <v>124684.7294159453</v>
      </c>
      <c r="R265" s="5" t="str">
        <f>TEXT(Table1[[#This Row],[Closing Date]],"yyyy")</f>
        <v>2023</v>
      </c>
      <c r="S265" s="5" t="str">
        <f>TEXT(Table1[[#This Row],[Closing Date]],"mmmm")</f>
        <v>October</v>
      </c>
      <c r="T265" s="5" t="s">
        <v>240</v>
      </c>
      <c r="U265" s="5" t="s">
        <v>301</v>
      </c>
    </row>
    <row r="266" spans="2:21" x14ac:dyDescent="0.25">
      <c r="B266" t="s">
        <v>201</v>
      </c>
      <c r="C266" t="s">
        <v>303</v>
      </c>
      <c r="D266" t="s">
        <v>4</v>
      </c>
      <c r="E266" t="s">
        <v>7</v>
      </c>
      <c r="F266" s="5"/>
      <c r="G266" s="7">
        <v>45202</v>
      </c>
      <c r="H266" t="s">
        <v>124</v>
      </c>
      <c r="I266">
        <v>1000000</v>
      </c>
      <c r="J266" s="5">
        <v>89501791.459999993</v>
      </c>
      <c r="L266" s="5">
        <v>88267242.370000005</v>
      </c>
      <c r="M266" s="5">
        <v>89.501791459999993</v>
      </c>
      <c r="N266" s="5">
        <v>88.267242370000005</v>
      </c>
      <c r="O266" s="5">
        <v>-8285.5643624160311</v>
      </c>
      <c r="P266" s="3">
        <v>-8.2855643624160299E-3</v>
      </c>
      <c r="Q266" s="9">
        <f t="shared" si="4"/>
        <v>116399.16505352927</v>
      </c>
      <c r="R266" s="5" t="str">
        <f>TEXT(Table1[[#This Row],[Closing Date]],"yyyy")</f>
        <v>2023</v>
      </c>
      <c r="S266" s="5" t="str">
        <f>TEXT(Table1[[#This Row],[Closing Date]],"mmmm")</f>
        <v>October</v>
      </c>
      <c r="T266" s="5" t="s">
        <v>240</v>
      </c>
      <c r="U266" s="5" t="s">
        <v>301</v>
      </c>
    </row>
    <row r="267" spans="2:21" x14ac:dyDescent="0.25">
      <c r="B267" t="s">
        <v>201</v>
      </c>
      <c r="C267" t="s">
        <v>306</v>
      </c>
      <c r="D267" t="s">
        <v>12</v>
      </c>
      <c r="E267" t="s">
        <v>7</v>
      </c>
      <c r="F267" s="5"/>
      <c r="G267" s="7">
        <v>45202</v>
      </c>
      <c r="H267" t="s">
        <v>88</v>
      </c>
      <c r="I267">
        <v>12</v>
      </c>
      <c r="J267" s="5">
        <v>357539.64</v>
      </c>
      <c r="L267" s="5">
        <v>348364.79999999999</v>
      </c>
      <c r="M267" s="5">
        <v>26.602651785714286</v>
      </c>
      <c r="N267" s="5">
        <v>25.919999999999998</v>
      </c>
      <c r="O267" s="5">
        <v>-9174.8400000000256</v>
      </c>
      <c r="P267" s="3">
        <v>-2.5661042786752332E-2</v>
      </c>
      <c r="Q267" s="9">
        <f t="shared" si="4"/>
        <v>107224.32505352925</v>
      </c>
      <c r="R267" s="5" t="str">
        <f>TEXT(Table1[[#This Row],[Closing Date]],"yyyy")</f>
        <v>2023</v>
      </c>
      <c r="S267" s="5" t="str">
        <f>TEXT(Table1[[#This Row],[Closing Date]],"mmmm")</f>
        <v>October</v>
      </c>
      <c r="T267" s="5" t="s">
        <v>240</v>
      </c>
      <c r="U267" s="5" t="s">
        <v>301</v>
      </c>
    </row>
    <row r="268" spans="2:21" x14ac:dyDescent="0.25">
      <c r="B268" t="s">
        <v>201</v>
      </c>
      <c r="C268" t="s">
        <v>305</v>
      </c>
      <c r="D268" t="s">
        <v>16</v>
      </c>
      <c r="E268" t="s">
        <v>7</v>
      </c>
      <c r="F268" s="5"/>
      <c r="G268" s="7">
        <v>45202</v>
      </c>
      <c r="H268" t="s">
        <v>195</v>
      </c>
      <c r="I268">
        <v>1500</v>
      </c>
      <c r="J268" s="5">
        <v>56800</v>
      </c>
      <c r="L268" s="5">
        <v>67870.210000000006</v>
      </c>
      <c r="M268" s="5">
        <v>37.866666666666667</v>
      </c>
      <c r="N268" s="5">
        <v>45.246806666666672</v>
      </c>
      <c r="O268" s="5">
        <v>11070.210000000006</v>
      </c>
      <c r="P268" s="3">
        <v>0.19489806338028182</v>
      </c>
      <c r="Q268" s="9">
        <f t="shared" si="4"/>
        <v>118294.53505352925</v>
      </c>
      <c r="R268" s="5" t="str">
        <f>TEXT(Table1[[#This Row],[Closing Date]],"yyyy")</f>
        <v>2023</v>
      </c>
      <c r="S268" s="5" t="str">
        <f>TEXT(Table1[[#This Row],[Closing Date]],"mmmm")</f>
        <v>October</v>
      </c>
      <c r="T268" s="5" t="s">
        <v>240</v>
      </c>
      <c r="U268" s="5" t="s">
        <v>203</v>
      </c>
    </row>
    <row r="269" spans="2:21" x14ac:dyDescent="0.25">
      <c r="B269" t="s">
        <v>197</v>
      </c>
      <c r="C269" t="s">
        <v>302</v>
      </c>
      <c r="D269" t="s">
        <v>99</v>
      </c>
      <c r="E269" t="s">
        <v>7</v>
      </c>
      <c r="F269" s="5"/>
      <c r="G269" s="7">
        <v>45203</v>
      </c>
      <c r="H269" t="s">
        <v>52</v>
      </c>
      <c r="I269">
        <v>350</v>
      </c>
      <c r="J269" s="5">
        <v>6195</v>
      </c>
      <c r="K269" s="13">
        <v>100</v>
      </c>
      <c r="L269" s="5">
        <v>25950.480000000003</v>
      </c>
      <c r="M269" s="5">
        <v>0.17699999999999999</v>
      </c>
      <c r="N269" s="5">
        <v>0.74144228571428583</v>
      </c>
      <c r="O269" s="5">
        <v>19755.480000000003</v>
      </c>
      <c r="P269" s="3">
        <v>3.1889394673123497</v>
      </c>
      <c r="Q269" s="9">
        <f t="shared" si="4"/>
        <v>138050.01505352926</v>
      </c>
      <c r="R269" s="5" t="str">
        <f>TEXT(Table1[[#This Row],[Closing Date]],"yyyy")</f>
        <v>2023</v>
      </c>
      <c r="S269" s="5" t="str">
        <f>TEXT(Table1[[#This Row],[Closing Date]],"mmmm")</f>
        <v>October</v>
      </c>
      <c r="T269" s="5" t="s">
        <v>240</v>
      </c>
      <c r="U269" s="5" t="s">
        <v>301</v>
      </c>
    </row>
    <row r="270" spans="2:21" x14ac:dyDescent="0.25">
      <c r="B270" t="s">
        <v>201</v>
      </c>
      <c r="C270" t="s">
        <v>303</v>
      </c>
      <c r="D270" t="s">
        <v>16</v>
      </c>
      <c r="E270" t="s">
        <v>5</v>
      </c>
      <c r="F270" s="5"/>
      <c r="G270" s="7">
        <v>45203</v>
      </c>
      <c r="H270" t="s">
        <v>151</v>
      </c>
      <c r="I270">
        <v>3600</v>
      </c>
      <c r="J270" s="5">
        <v>163240.17000000001</v>
      </c>
      <c r="L270" s="5">
        <v>162404</v>
      </c>
      <c r="M270" s="5">
        <v>45.34449166666667</v>
      </c>
      <c r="N270" s="5">
        <v>45.112222222222222</v>
      </c>
      <c r="O270" s="5">
        <v>836.17000000001281</v>
      </c>
      <c r="P270" s="3">
        <v>5.122329877505106E-3</v>
      </c>
      <c r="Q270" s="9">
        <f t="shared" si="4"/>
        <v>138886.18505352928</v>
      </c>
      <c r="R270" s="5" t="str">
        <f>TEXT(Table1[[#This Row],[Closing Date]],"yyyy")</f>
        <v>2023</v>
      </c>
      <c r="S270" s="5" t="str">
        <f>TEXT(Table1[[#This Row],[Closing Date]],"mmmm")</f>
        <v>October</v>
      </c>
      <c r="T270" s="5" t="s">
        <v>240</v>
      </c>
      <c r="U270" s="5" t="s">
        <v>301</v>
      </c>
    </row>
    <row r="271" spans="2:21" x14ac:dyDescent="0.25">
      <c r="B271" t="s">
        <v>201</v>
      </c>
      <c r="C271" t="s">
        <v>303</v>
      </c>
      <c r="D271" t="s">
        <v>16</v>
      </c>
      <c r="E271" t="s">
        <v>5</v>
      </c>
      <c r="F271" s="5"/>
      <c r="G271" s="7">
        <v>45203</v>
      </c>
      <c r="H271" t="s">
        <v>152</v>
      </c>
      <c r="I271">
        <v>2200</v>
      </c>
      <c r="J271" s="5">
        <v>161247.39000000001</v>
      </c>
      <c r="L271" s="5">
        <v>159079.51</v>
      </c>
      <c r="M271" s="5">
        <v>73.294268181818182</v>
      </c>
      <c r="N271" s="5">
        <v>72.308868181818184</v>
      </c>
      <c r="O271" s="5">
        <v>2167.8800000000047</v>
      </c>
      <c r="P271" s="3">
        <v>1.3444434666508428E-2</v>
      </c>
      <c r="Q271" s="9">
        <f t="shared" si="4"/>
        <v>141054.06505352928</v>
      </c>
      <c r="R271" s="5" t="str">
        <f>TEXT(Table1[[#This Row],[Closing Date]],"yyyy")</f>
        <v>2023</v>
      </c>
      <c r="S271" s="5" t="str">
        <f>TEXT(Table1[[#This Row],[Closing Date]],"mmmm")</f>
        <v>October</v>
      </c>
      <c r="T271" s="5" t="s">
        <v>240</v>
      </c>
      <c r="U271" s="5" t="s">
        <v>301</v>
      </c>
    </row>
    <row r="272" spans="2:21" x14ac:dyDescent="0.25">
      <c r="B272" t="s">
        <v>201</v>
      </c>
      <c r="C272" t="s">
        <v>303</v>
      </c>
      <c r="D272" t="s">
        <v>16</v>
      </c>
      <c r="E272" t="s">
        <v>5</v>
      </c>
      <c r="F272" s="5"/>
      <c r="G272" s="7">
        <v>45203</v>
      </c>
      <c r="H272" t="s">
        <v>150</v>
      </c>
      <c r="I272">
        <v>4400</v>
      </c>
      <c r="J272" s="5">
        <v>133111.14000000001</v>
      </c>
      <c r="L272" s="5">
        <v>126492.72</v>
      </c>
      <c r="M272" s="5">
        <v>30.252531818181822</v>
      </c>
      <c r="N272" s="5">
        <v>28.748345454545454</v>
      </c>
      <c r="O272" s="5">
        <v>6618.4200000000128</v>
      </c>
      <c r="P272" s="3">
        <v>4.9721007573070235E-2</v>
      </c>
      <c r="Q272" s="9">
        <f t="shared" si="4"/>
        <v>147672.48505352929</v>
      </c>
      <c r="R272" s="5" t="str">
        <f>TEXT(Table1[[#This Row],[Closing Date]],"yyyy")</f>
        <v>2023</v>
      </c>
      <c r="S272" s="5" t="str">
        <f>TEXT(Table1[[#This Row],[Closing Date]],"mmmm")</f>
        <v>October</v>
      </c>
      <c r="T272" s="5" t="s">
        <v>240</v>
      </c>
      <c r="U272" s="5" t="s">
        <v>301</v>
      </c>
    </row>
    <row r="273" spans="2:21" x14ac:dyDescent="0.25">
      <c r="B273" t="s">
        <v>201</v>
      </c>
      <c r="C273" t="s">
        <v>306</v>
      </c>
      <c r="D273" t="s">
        <v>12</v>
      </c>
      <c r="E273" t="s">
        <v>7</v>
      </c>
      <c r="F273" s="5"/>
      <c r="G273" s="7">
        <v>45203</v>
      </c>
      <c r="H273" t="s">
        <v>13</v>
      </c>
      <c r="I273">
        <v>6</v>
      </c>
      <c r="J273" s="5">
        <v>473624.22</v>
      </c>
      <c r="L273" s="5">
        <v>520425.78</v>
      </c>
      <c r="M273" s="5">
        <v>157.87473999999997</v>
      </c>
      <c r="N273" s="5">
        <v>86.73763000000001</v>
      </c>
      <c r="O273" s="5">
        <v>46801.560000000056</v>
      </c>
      <c r="P273" s="3">
        <v>9.881580802603393E-2</v>
      </c>
      <c r="Q273" s="9">
        <f t="shared" si="4"/>
        <v>194474.04505352935</v>
      </c>
      <c r="R273" s="5" t="str">
        <f>TEXT(Table1[[#This Row],[Closing Date]],"yyyy")</f>
        <v>2023</v>
      </c>
      <c r="S273" s="5" t="str">
        <f>TEXT(Table1[[#This Row],[Closing Date]],"mmmm")</f>
        <v>October</v>
      </c>
      <c r="T273" s="5" t="s">
        <v>240</v>
      </c>
      <c r="U273" s="5" t="s">
        <v>301</v>
      </c>
    </row>
    <row r="274" spans="2:21" x14ac:dyDescent="0.25">
      <c r="B274" t="s">
        <v>201</v>
      </c>
      <c r="C274" t="s">
        <v>303</v>
      </c>
      <c r="D274" t="s">
        <v>12</v>
      </c>
      <c r="E274" t="s">
        <v>7</v>
      </c>
      <c r="F274" s="5"/>
      <c r="G274" s="7">
        <v>45204</v>
      </c>
      <c r="H274" t="s">
        <v>50</v>
      </c>
      <c r="I274">
        <v>18</v>
      </c>
      <c r="J274" s="5">
        <v>1890579.96</v>
      </c>
      <c r="L274" s="5">
        <v>1914320.04</v>
      </c>
      <c r="M274" s="5">
        <v>105.03222</v>
      </c>
      <c r="N274" s="5">
        <v>106.35111333333333</v>
      </c>
      <c r="O274" s="5">
        <v>23740.080000000075</v>
      </c>
      <c r="P274" s="3">
        <v>1.2557035672799617E-2</v>
      </c>
      <c r="Q274" s="9">
        <f t="shared" si="4"/>
        <v>218214.12505352942</v>
      </c>
      <c r="R274" s="5" t="str">
        <f>TEXT(Table1[[#This Row],[Closing Date]],"yyyy")</f>
        <v>2023</v>
      </c>
      <c r="S274" s="5" t="str">
        <f>TEXT(Table1[[#This Row],[Closing Date]],"mmmm")</f>
        <v>October</v>
      </c>
      <c r="T274" s="5" t="s">
        <v>240</v>
      </c>
      <c r="U274" s="5" t="s">
        <v>301</v>
      </c>
    </row>
    <row r="275" spans="2:21" x14ac:dyDescent="0.25">
      <c r="B275" t="s">
        <v>197</v>
      </c>
      <c r="C275" t="s">
        <v>302</v>
      </c>
      <c r="D275" t="s">
        <v>99</v>
      </c>
      <c r="E275" t="s">
        <v>7</v>
      </c>
      <c r="F275" s="5"/>
      <c r="G275" s="7">
        <v>45205</v>
      </c>
      <c r="H275" t="s">
        <v>17</v>
      </c>
      <c r="I275">
        <v>25</v>
      </c>
      <c r="J275" s="5">
        <v>6007.01</v>
      </c>
      <c r="K275" s="13">
        <v>100</v>
      </c>
      <c r="L275" s="5">
        <v>12473.33</v>
      </c>
      <c r="M275" s="5">
        <v>2.4028040000000002</v>
      </c>
      <c r="N275" s="5">
        <v>4.9893320000000001</v>
      </c>
      <c r="O275" s="5">
        <v>6466.32</v>
      </c>
      <c r="P275" s="3">
        <v>1.0764623331740748</v>
      </c>
      <c r="Q275" s="9">
        <f t="shared" si="4"/>
        <v>224680.44505352943</v>
      </c>
      <c r="R275" s="5" t="str">
        <f>TEXT(Table1[[#This Row],[Closing Date]],"yyyy")</f>
        <v>2023</v>
      </c>
      <c r="S275" s="5" t="str">
        <f>TEXT(Table1[[#This Row],[Closing Date]],"mmmm")</f>
        <v>October</v>
      </c>
      <c r="T275" s="5" t="s">
        <v>240</v>
      </c>
      <c r="U275" s="5" t="s">
        <v>301</v>
      </c>
    </row>
    <row r="276" spans="2:21" x14ac:dyDescent="0.25">
      <c r="B276" t="s">
        <v>201</v>
      </c>
      <c r="C276" t="s">
        <v>303</v>
      </c>
      <c r="D276" t="s">
        <v>4</v>
      </c>
      <c r="E276" t="s">
        <v>7</v>
      </c>
      <c r="F276" s="5"/>
      <c r="G276" s="7">
        <v>45205</v>
      </c>
      <c r="H276" t="s">
        <v>122</v>
      </c>
      <c r="I276">
        <v>900000</v>
      </c>
      <c r="J276" s="5">
        <v>3969979.9800000004</v>
      </c>
      <c r="L276" s="5">
        <v>3902142.41</v>
      </c>
      <c r="M276" s="5">
        <v>4.4110888666666668</v>
      </c>
      <c r="N276" s="5">
        <v>4.3357137888888895</v>
      </c>
      <c r="O276" s="5">
        <v>-15626</v>
      </c>
      <c r="P276" s="3">
        <v>-4.0044668692652864E-3</v>
      </c>
      <c r="Q276" s="9">
        <f t="shared" si="4"/>
        <v>209054.44505352943</v>
      </c>
      <c r="R276" s="5" t="str">
        <f>TEXT(Table1[[#This Row],[Closing Date]],"yyyy")</f>
        <v>2023</v>
      </c>
      <c r="S276" s="5" t="str">
        <f>TEXT(Table1[[#This Row],[Closing Date]],"mmmm")</f>
        <v>October</v>
      </c>
      <c r="T276" s="5" t="s">
        <v>240</v>
      </c>
      <c r="U276" s="5" t="s">
        <v>301</v>
      </c>
    </row>
    <row r="277" spans="2:21" x14ac:dyDescent="0.25">
      <c r="B277" t="s">
        <v>215</v>
      </c>
      <c r="C277" t="s">
        <v>304</v>
      </c>
      <c r="D277" t="s">
        <v>12</v>
      </c>
      <c r="E277" t="s">
        <v>5</v>
      </c>
      <c r="F277" s="5"/>
      <c r="G277" s="7">
        <v>45205</v>
      </c>
      <c r="H277" t="s">
        <v>82</v>
      </c>
      <c r="I277">
        <v>5</v>
      </c>
      <c r="J277" s="5">
        <v>1087250</v>
      </c>
      <c r="L277" s="5">
        <v>1089272</v>
      </c>
      <c r="M277" s="5">
        <v>4349</v>
      </c>
      <c r="N277" s="5">
        <v>4357.0879999999997</v>
      </c>
      <c r="O277" s="5">
        <v>-2022</v>
      </c>
      <c r="P277" s="3">
        <v>1.8597378707748305E-3</v>
      </c>
      <c r="Q277" s="9">
        <f t="shared" si="4"/>
        <v>207032.44505352943</v>
      </c>
      <c r="R277" s="5" t="str">
        <f>TEXT(Table1[[#This Row],[Closing Date]],"yyyy")</f>
        <v>2023</v>
      </c>
      <c r="S277" s="5" t="str">
        <f>TEXT(Table1[[#This Row],[Closing Date]],"mmmm")</f>
        <v>October</v>
      </c>
      <c r="T277" s="5" t="s">
        <v>240</v>
      </c>
      <c r="U277" s="5" t="s">
        <v>301</v>
      </c>
    </row>
    <row r="278" spans="2:21" x14ac:dyDescent="0.25">
      <c r="B278" t="s">
        <v>201</v>
      </c>
      <c r="C278" t="s">
        <v>303</v>
      </c>
      <c r="D278" t="s">
        <v>16</v>
      </c>
      <c r="E278" t="s">
        <v>7</v>
      </c>
      <c r="F278" s="5"/>
      <c r="G278" s="7">
        <v>45208</v>
      </c>
      <c r="H278" t="s">
        <v>194</v>
      </c>
      <c r="I278">
        <v>742</v>
      </c>
      <c r="J278" s="5">
        <v>189395.5</v>
      </c>
      <c r="L278" s="5">
        <v>174344.64</v>
      </c>
      <c r="M278" s="5">
        <v>255.25</v>
      </c>
      <c r="N278" s="5">
        <v>234.9658221024259</v>
      </c>
      <c r="O278" s="5">
        <v>-15050.859999999986</v>
      </c>
      <c r="P278" s="3">
        <v>-7.9467885984619416E-2</v>
      </c>
      <c r="Q278" s="9">
        <f t="shared" si="4"/>
        <v>191981.58505352944</v>
      </c>
      <c r="R278" s="5" t="str">
        <f>TEXT(Table1[[#This Row],[Closing Date]],"yyyy")</f>
        <v>2023</v>
      </c>
      <c r="S278" s="5" t="str">
        <f>TEXT(Table1[[#This Row],[Closing Date]],"mmmm")</f>
        <v>October</v>
      </c>
      <c r="T278" s="5" t="s">
        <v>240</v>
      </c>
      <c r="U278" s="5" t="s">
        <v>203</v>
      </c>
    </row>
    <row r="279" spans="2:21" x14ac:dyDescent="0.25">
      <c r="B279" t="s">
        <v>201</v>
      </c>
      <c r="C279" t="s">
        <v>303</v>
      </c>
      <c r="D279" t="s">
        <v>16</v>
      </c>
      <c r="E279" t="s">
        <v>7</v>
      </c>
      <c r="F279" s="5"/>
      <c r="G279" s="7">
        <v>45209</v>
      </c>
      <c r="H279" t="s">
        <v>141</v>
      </c>
      <c r="I279">
        <v>9000</v>
      </c>
      <c r="J279" s="5">
        <v>130427.72</v>
      </c>
      <c r="L279" s="5">
        <v>143952.54</v>
      </c>
      <c r="M279" s="5">
        <v>14.49196888888889</v>
      </c>
      <c r="N279" s="5">
        <v>15.994726666666667</v>
      </c>
      <c r="O279" s="5">
        <v>13524.820000000007</v>
      </c>
      <c r="P279" s="3">
        <v>0.10369590145407745</v>
      </c>
      <c r="Q279" s="9">
        <f t="shared" si="4"/>
        <v>205506.40505352945</v>
      </c>
      <c r="R279" s="5" t="str">
        <f>TEXT(Table1[[#This Row],[Closing Date]],"yyyy")</f>
        <v>2023</v>
      </c>
      <c r="S279" s="5" t="str">
        <f>TEXT(Table1[[#This Row],[Closing Date]],"mmmm")</f>
        <v>October</v>
      </c>
      <c r="T279" s="5" t="s">
        <v>240</v>
      </c>
      <c r="U279" s="5" t="s">
        <v>301</v>
      </c>
    </row>
    <row r="280" spans="2:21" x14ac:dyDescent="0.25">
      <c r="B280" t="s">
        <v>201</v>
      </c>
      <c r="C280" t="s">
        <v>303</v>
      </c>
      <c r="D280" t="s">
        <v>4</v>
      </c>
      <c r="E280" t="s">
        <v>5</v>
      </c>
      <c r="F280" s="5"/>
      <c r="G280" s="7">
        <v>45211</v>
      </c>
      <c r="H280" t="s">
        <v>126</v>
      </c>
      <c r="I280">
        <v>8500000</v>
      </c>
      <c r="J280" s="5">
        <v>69520660.920000002</v>
      </c>
      <c r="L280" s="5">
        <v>70445959.920000002</v>
      </c>
      <c r="M280" s="5">
        <v>8.1789012847058817</v>
      </c>
      <c r="N280" s="5">
        <v>8.2877599905882349</v>
      </c>
      <c r="O280" s="5">
        <v>-6195</v>
      </c>
      <c r="P280" s="3">
        <v>-7.2882352941176472E-4</v>
      </c>
      <c r="Q280" s="9">
        <f t="shared" si="4"/>
        <v>199311.40505352945</v>
      </c>
      <c r="R280" s="5" t="str">
        <f>TEXT(Table1[[#This Row],[Closing Date]],"yyyy")</f>
        <v>2023</v>
      </c>
      <c r="S280" s="5" t="str">
        <f>TEXT(Table1[[#This Row],[Closing Date]],"mmmm")</f>
        <v>October</v>
      </c>
      <c r="T280" s="5" t="s">
        <v>240</v>
      </c>
      <c r="U280" s="5" t="s">
        <v>301</v>
      </c>
    </row>
    <row r="281" spans="2:21" x14ac:dyDescent="0.25">
      <c r="B281" t="s">
        <v>201</v>
      </c>
      <c r="C281" t="s">
        <v>303</v>
      </c>
      <c r="D281" t="s">
        <v>4</v>
      </c>
      <c r="E281" t="s">
        <v>7</v>
      </c>
      <c r="F281" s="5"/>
      <c r="G281" s="7">
        <v>45211</v>
      </c>
      <c r="H281" t="s">
        <v>117</v>
      </c>
      <c r="I281">
        <v>1340000</v>
      </c>
      <c r="J281" s="5">
        <v>1815180.8599999999</v>
      </c>
      <c r="L281" s="5">
        <v>1828572.6600000001</v>
      </c>
      <c r="M281" s="5">
        <v>1.354612582089552</v>
      </c>
      <c r="N281" s="5">
        <v>1.3646064626865673</v>
      </c>
      <c r="O281" s="5">
        <v>3311.4</v>
      </c>
      <c r="P281" s="3">
        <v>1.8109206554581211E-3</v>
      </c>
      <c r="Q281" s="9">
        <f t="shared" si="4"/>
        <v>202622.80505352945</v>
      </c>
      <c r="R281" s="5" t="str">
        <f>TEXT(Table1[[#This Row],[Closing Date]],"yyyy")</f>
        <v>2023</v>
      </c>
      <c r="S281" s="5" t="str">
        <f>TEXT(Table1[[#This Row],[Closing Date]],"mmmm")</f>
        <v>October</v>
      </c>
      <c r="T281" s="5" t="s">
        <v>240</v>
      </c>
      <c r="U281" s="5" t="s">
        <v>301</v>
      </c>
    </row>
    <row r="282" spans="2:21" x14ac:dyDescent="0.25">
      <c r="B282" t="s">
        <v>201</v>
      </c>
      <c r="C282" t="s">
        <v>303</v>
      </c>
      <c r="D282" t="s">
        <v>16</v>
      </c>
      <c r="E282" t="s">
        <v>7</v>
      </c>
      <c r="F282" s="5"/>
      <c r="G282" s="7">
        <v>45211</v>
      </c>
      <c r="H282" t="s">
        <v>153</v>
      </c>
      <c r="I282">
        <v>4000</v>
      </c>
      <c r="J282" s="5">
        <v>73420</v>
      </c>
      <c r="L282" s="5">
        <v>82699.75</v>
      </c>
      <c r="M282" s="5">
        <v>18.355</v>
      </c>
      <c r="N282" s="5">
        <v>20.674937499999999</v>
      </c>
      <c r="O282" s="5">
        <v>9279.75</v>
      </c>
      <c r="P282" s="3">
        <v>0.12639267229637702</v>
      </c>
      <c r="Q282" s="9">
        <f t="shared" si="4"/>
        <v>211902.55505352945</v>
      </c>
      <c r="R282" s="5" t="str">
        <f>TEXT(Table1[[#This Row],[Closing Date]],"yyyy")</f>
        <v>2023</v>
      </c>
      <c r="S282" s="5" t="str">
        <f>TEXT(Table1[[#This Row],[Closing Date]],"mmmm")</f>
        <v>October</v>
      </c>
      <c r="T282" s="5" t="s">
        <v>240</v>
      </c>
      <c r="U282" s="5" t="s">
        <v>301</v>
      </c>
    </row>
    <row r="283" spans="2:21" x14ac:dyDescent="0.25">
      <c r="B283" t="s">
        <v>201</v>
      </c>
      <c r="C283" t="s">
        <v>303</v>
      </c>
      <c r="D283" t="s">
        <v>16</v>
      </c>
      <c r="E283" t="s">
        <v>7</v>
      </c>
      <c r="F283" s="5"/>
      <c r="G283" s="7">
        <v>45211</v>
      </c>
      <c r="H283" t="s">
        <v>154</v>
      </c>
      <c r="I283">
        <v>3333</v>
      </c>
      <c r="J283" s="5">
        <v>127337.26</v>
      </c>
      <c r="L283" s="5">
        <v>140663.76</v>
      </c>
      <c r="M283" s="5">
        <v>38.204998499849985</v>
      </c>
      <c r="N283" s="5">
        <v>42.203348334833485</v>
      </c>
      <c r="O283" s="5">
        <v>13326.500000000015</v>
      </c>
      <c r="P283" s="3">
        <v>0.10465514963962641</v>
      </c>
      <c r="Q283" s="9">
        <f t="shared" si="4"/>
        <v>225229.05505352945</v>
      </c>
      <c r="R283" s="5" t="str">
        <f>TEXT(Table1[[#This Row],[Closing Date]],"yyyy")</f>
        <v>2023</v>
      </c>
      <c r="S283" s="5" t="str">
        <f>TEXT(Table1[[#This Row],[Closing Date]],"mmmm")</f>
        <v>October</v>
      </c>
      <c r="T283" s="5" t="s">
        <v>240</v>
      </c>
      <c r="U283" s="5" t="s">
        <v>301</v>
      </c>
    </row>
    <row r="284" spans="2:21" x14ac:dyDescent="0.25">
      <c r="B284" t="s">
        <v>201</v>
      </c>
      <c r="C284" t="s">
        <v>305</v>
      </c>
      <c r="D284" t="s">
        <v>16</v>
      </c>
      <c r="E284" t="s">
        <v>7</v>
      </c>
      <c r="F284" s="5"/>
      <c r="G284" s="7">
        <v>45211</v>
      </c>
      <c r="H284" t="s">
        <v>193</v>
      </c>
      <c r="I284">
        <v>8200</v>
      </c>
      <c r="J284" s="5">
        <v>204179.89</v>
      </c>
      <c r="L284" s="5">
        <v>194516.94</v>
      </c>
      <c r="M284" s="5">
        <v>24.899986585365856</v>
      </c>
      <c r="N284" s="5">
        <v>23.721578048780486</v>
      </c>
      <c r="O284" s="5">
        <v>-9662.9500000000116</v>
      </c>
      <c r="P284" s="3">
        <v>-4.7325669535819667E-2</v>
      </c>
      <c r="Q284" s="9">
        <f t="shared" si="4"/>
        <v>215566.10505352943</v>
      </c>
      <c r="R284" s="5" t="str">
        <f>TEXT(Table1[[#This Row],[Closing Date]],"yyyy")</f>
        <v>2023</v>
      </c>
      <c r="S284" s="5" t="str">
        <f>TEXT(Table1[[#This Row],[Closing Date]],"mmmm")</f>
        <v>October</v>
      </c>
      <c r="T284" s="5" t="s">
        <v>240</v>
      </c>
      <c r="U284" s="5" t="s">
        <v>203</v>
      </c>
    </row>
    <row r="285" spans="2:21" x14ac:dyDescent="0.25">
      <c r="B285" t="s">
        <v>201</v>
      </c>
      <c r="C285" t="s">
        <v>303</v>
      </c>
      <c r="D285" t="s">
        <v>16</v>
      </c>
      <c r="E285" t="s">
        <v>7</v>
      </c>
      <c r="F285" s="5"/>
      <c r="G285" s="7">
        <v>45215</v>
      </c>
      <c r="H285" t="s">
        <v>155</v>
      </c>
      <c r="I285">
        <v>1500</v>
      </c>
      <c r="J285" s="5">
        <v>270007.5</v>
      </c>
      <c r="L285" s="5">
        <v>278922.81</v>
      </c>
      <c r="M285" s="5">
        <v>180.005</v>
      </c>
      <c r="N285" s="5">
        <v>185.94854000000001</v>
      </c>
      <c r="O285" s="5">
        <v>8915.3099999999977</v>
      </c>
      <c r="P285" s="3">
        <v>3.3018749479181125E-2</v>
      </c>
      <c r="Q285" s="9">
        <f t="shared" si="4"/>
        <v>224481.41505352943</v>
      </c>
      <c r="R285" s="5" t="str">
        <f>TEXT(Table1[[#This Row],[Closing Date]],"yyyy")</f>
        <v>2023</v>
      </c>
      <c r="S285" s="5" t="str">
        <f>TEXT(Table1[[#This Row],[Closing Date]],"mmmm")</f>
        <v>October</v>
      </c>
      <c r="T285" s="5" t="s">
        <v>240</v>
      </c>
      <c r="U285" s="5" t="s">
        <v>301</v>
      </c>
    </row>
    <row r="286" spans="2:21" x14ac:dyDescent="0.25">
      <c r="B286" t="s">
        <v>201</v>
      </c>
      <c r="C286" t="s">
        <v>302</v>
      </c>
      <c r="D286" t="s">
        <v>12</v>
      </c>
      <c r="E286" t="s">
        <v>7</v>
      </c>
      <c r="F286" s="5"/>
      <c r="G286" s="7">
        <v>45217</v>
      </c>
      <c r="H286" t="s">
        <v>92</v>
      </c>
      <c r="I286">
        <v>2</v>
      </c>
      <c r="J286" s="5">
        <v>366806</v>
      </c>
      <c r="L286" s="5">
        <v>388195.16</v>
      </c>
      <c r="M286" s="5">
        <v>1834.03</v>
      </c>
      <c r="N286" s="5">
        <v>1940.9757999999999</v>
      </c>
      <c r="O286" s="5">
        <v>21389.159999999974</v>
      </c>
      <c r="P286" s="3">
        <v>5.8311914199876705E-2</v>
      </c>
      <c r="Q286" s="9">
        <f t="shared" si="4"/>
        <v>245870.57505352941</v>
      </c>
      <c r="R286" s="5" t="str">
        <f>TEXT(Table1[[#This Row],[Closing Date]],"yyyy")</f>
        <v>2023</v>
      </c>
      <c r="S286" s="5" t="str">
        <f>TEXT(Table1[[#This Row],[Closing Date]],"mmmm")</f>
        <v>October</v>
      </c>
      <c r="T286" s="5" t="s">
        <v>240</v>
      </c>
      <c r="U286" s="5" t="s">
        <v>301</v>
      </c>
    </row>
    <row r="287" spans="2:21" x14ac:dyDescent="0.25">
      <c r="B287" t="s">
        <v>201</v>
      </c>
      <c r="C287" t="s">
        <v>303</v>
      </c>
      <c r="D287" t="s">
        <v>16</v>
      </c>
      <c r="E287" t="s">
        <v>7</v>
      </c>
      <c r="F287" s="5"/>
      <c r="G287" s="7">
        <v>45217</v>
      </c>
      <c r="H287" t="s">
        <v>157</v>
      </c>
      <c r="I287">
        <v>3000</v>
      </c>
      <c r="J287" s="5">
        <v>116115</v>
      </c>
      <c r="L287" s="5">
        <v>113922.64</v>
      </c>
      <c r="M287" s="5">
        <v>38.704999999999998</v>
      </c>
      <c r="N287" s="5">
        <v>37.974213333333331</v>
      </c>
      <c r="O287" s="5">
        <v>-2192.3600000000006</v>
      </c>
      <c r="P287" s="3">
        <v>-1.8880937002109983E-2</v>
      </c>
      <c r="Q287" s="9">
        <f t="shared" si="4"/>
        <v>243678.21505352942</v>
      </c>
      <c r="R287" s="5" t="str">
        <f>TEXT(Table1[[#This Row],[Closing Date]],"yyyy")</f>
        <v>2023</v>
      </c>
      <c r="S287" s="5" t="str">
        <f>TEXT(Table1[[#This Row],[Closing Date]],"mmmm")</f>
        <v>October</v>
      </c>
      <c r="T287" s="5" t="s">
        <v>240</v>
      </c>
      <c r="U287" s="5" t="s">
        <v>301</v>
      </c>
    </row>
    <row r="288" spans="2:21" x14ac:dyDescent="0.25">
      <c r="B288" t="s">
        <v>197</v>
      </c>
      <c r="C288" t="s">
        <v>306</v>
      </c>
      <c r="D288" t="s">
        <v>102</v>
      </c>
      <c r="E288" t="s">
        <v>7</v>
      </c>
      <c r="F288" s="5"/>
      <c r="G288" s="7">
        <v>45217</v>
      </c>
      <c r="H288" t="s">
        <v>199</v>
      </c>
      <c r="I288">
        <v>100</v>
      </c>
      <c r="J288" s="5">
        <v>20065</v>
      </c>
      <c r="K288" s="13">
        <v>100</v>
      </c>
      <c r="L288" s="5">
        <v>57434.54</v>
      </c>
      <c r="M288" s="5">
        <v>2.0065</v>
      </c>
      <c r="N288" s="5">
        <v>5.7434540000000007</v>
      </c>
      <c r="O288" s="5">
        <v>37369.54</v>
      </c>
      <c r="P288" s="3">
        <v>1.8624241216047845</v>
      </c>
      <c r="Q288" s="9">
        <f t="shared" si="4"/>
        <v>281047.7550535294</v>
      </c>
      <c r="R288" s="5" t="str">
        <f>TEXT(Table1[[#This Row],[Closing Date]],"yyyy")</f>
        <v>2023</v>
      </c>
      <c r="S288" s="5" t="str">
        <f>TEXT(Table1[[#This Row],[Closing Date]],"mmmm")</f>
        <v>October</v>
      </c>
      <c r="T288" s="5" t="s">
        <v>240</v>
      </c>
      <c r="U288" s="5" t="s">
        <v>203</v>
      </c>
    </row>
    <row r="289" spans="2:21" x14ac:dyDescent="0.25">
      <c r="B289" t="s">
        <v>197</v>
      </c>
      <c r="C289" t="s">
        <v>305</v>
      </c>
      <c r="D289" t="s">
        <v>99</v>
      </c>
      <c r="E289" t="s">
        <v>7</v>
      </c>
      <c r="F289" s="5"/>
      <c r="G289" s="7">
        <v>45218</v>
      </c>
      <c r="H289" t="s">
        <v>131</v>
      </c>
      <c r="I289">
        <v>160</v>
      </c>
      <c r="J289" s="5">
        <v>11431.4</v>
      </c>
      <c r="K289" s="13">
        <v>100</v>
      </c>
      <c r="L289" s="5">
        <v>0</v>
      </c>
      <c r="M289" s="5">
        <v>0.71446249999999989</v>
      </c>
      <c r="N289" s="5">
        <v>0</v>
      </c>
      <c r="O289" s="5">
        <v>-11431.4</v>
      </c>
      <c r="P289" s="3">
        <v>-1</v>
      </c>
      <c r="Q289" s="9">
        <f t="shared" si="4"/>
        <v>269616.35505352938</v>
      </c>
      <c r="R289" s="5" t="str">
        <f>TEXT(Table1[[#This Row],[Closing Date]],"yyyy")</f>
        <v>2023</v>
      </c>
      <c r="S289" s="5" t="str">
        <f>TEXT(Table1[[#This Row],[Closing Date]],"mmmm")</f>
        <v>October</v>
      </c>
      <c r="T289" s="5" t="s">
        <v>240</v>
      </c>
      <c r="U289" s="5" t="s">
        <v>301</v>
      </c>
    </row>
    <row r="290" spans="2:21" x14ac:dyDescent="0.25">
      <c r="B290" t="s">
        <v>197</v>
      </c>
      <c r="C290" t="s">
        <v>303</v>
      </c>
      <c r="D290" t="s">
        <v>102</v>
      </c>
      <c r="E290" t="s">
        <v>7</v>
      </c>
      <c r="F290" s="5"/>
      <c r="G290" s="7">
        <v>45219</v>
      </c>
      <c r="H290" t="s">
        <v>113</v>
      </c>
      <c r="I290">
        <v>200</v>
      </c>
      <c r="J290" s="5">
        <v>8734</v>
      </c>
      <c r="K290" s="13">
        <v>100</v>
      </c>
      <c r="L290" s="5">
        <v>0</v>
      </c>
      <c r="M290" s="5">
        <v>0.43670000000000003</v>
      </c>
      <c r="N290" s="5"/>
      <c r="O290" s="5">
        <v>-8734</v>
      </c>
      <c r="P290" s="3">
        <v>-1</v>
      </c>
      <c r="Q290" s="9">
        <f t="shared" si="4"/>
        <v>260882.35505352938</v>
      </c>
      <c r="R290" s="5" t="str">
        <f>TEXT(Table1[[#This Row],[Closing Date]],"yyyy")</f>
        <v>2023</v>
      </c>
      <c r="S290" s="5" t="str">
        <f>TEXT(Table1[[#This Row],[Closing Date]],"mmmm")</f>
        <v>October</v>
      </c>
      <c r="T290" s="5" t="s">
        <v>240</v>
      </c>
      <c r="U290" s="5" t="s">
        <v>301</v>
      </c>
    </row>
    <row r="291" spans="2:21" x14ac:dyDescent="0.25">
      <c r="B291" t="s">
        <v>201</v>
      </c>
      <c r="C291" t="s">
        <v>303</v>
      </c>
      <c r="D291" t="s">
        <v>12</v>
      </c>
      <c r="E291" t="s">
        <v>7</v>
      </c>
      <c r="F291" s="5"/>
      <c r="G291" s="7">
        <v>45219</v>
      </c>
      <c r="H291" t="s">
        <v>43</v>
      </c>
      <c r="I291">
        <v>5</v>
      </c>
      <c r="J291" s="5">
        <v>172011.85</v>
      </c>
      <c r="L291" s="5">
        <v>163038.15</v>
      </c>
      <c r="M291" s="5">
        <v>3.4402370000000002</v>
      </c>
      <c r="N291" s="5">
        <v>0</v>
      </c>
      <c r="O291" s="5">
        <v>-8973.7000000000116</v>
      </c>
      <c r="P291" s="3">
        <v>-5.2169080211625023E-2</v>
      </c>
      <c r="Q291" s="9">
        <f t="shared" si="4"/>
        <v>251908.65505352936</v>
      </c>
      <c r="R291" s="5" t="str">
        <f>TEXT(Table1[[#This Row],[Closing Date]],"yyyy")</f>
        <v>2023</v>
      </c>
      <c r="S291" s="5" t="str">
        <f>TEXT(Table1[[#This Row],[Closing Date]],"mmmm")</f>
        <v>October</v>
      </c>
      <c r="T291" s="5" t="s">
        <v>240</v>
      </c>
      <c r="U291" s="5" t="s">
        <v>301</v>
      </c>
    </row>
    <row r="292" spans="2:21" x14ac:dyDescent="0.25">
      <c r="B292" t="s">
        <v>201</v>
      </c>
      <c r="C292" t="s">
        <v>303</v>
      </c>
      <c r="D292" t="s">
        <v>16</v>
      </c>
      <c r="E292" t="s">
        <v>5</v>
      </c>
      <c r="F292" s="5"/>
      <c r="G292" s="7">
        <v>45219</v>
      </c>
      <c r="H292" t="s">
        <v>144</v>
      </c>
      <c r="I292">
        <v>2500</v>
      </c>
      <c r="J292" s="5">
        <v>110250</v>
      </c>
      <c r="L292" s="5">
        <v>110838.97</v>
      </c>
      <c r="M292" s="5">
        <v>44.1</v>
      </c>
      <c r="N292" s="5">
        <v>44.335588000000001</v>
      </c>
      <c r="O292" s="5">
        <v>-588.97000000000116</v>
      </c>
      <c r="P292" s="3">
        <v>-5.3421315192743873E-3</v>
      </c>
      <c r="Q292" s="9">
        <f t="shared" si="4"/>
        <v>251319.68505352936</v>
      </c>
      <c r="R292" s="5" t="str">
        <f>TEXT(Table1[[#This Row],[Closing Date]],"yyyy")</f>
        <v>2023</v>
      </c>
      <c r="S292" s="5" t="str">
        <f>TEXT(Table1[[#This Row],[Closing Date]],"mmmm")</f>
        <v>October</v>
      </c>
      <c r="T292" s="5" t="s">
        <v>240</v>
      </c>
      <c r="U292" s="5" t="s">
        <v>301</v>
      </c>
    </row>
    <row r="293" spans="2:21" x14ac:dyDescent="0.25">
      <c r="B293" t="s">
        <v>201</v>
      </c>
      <c r="C293" t="s">
        <v>303</v>
      </c>
      <c r="D293" t="s">
        <v>16</v>
      </c>
      <c r="E293" t="s">
        <v>7</v>
      </c>
      <c r="F293" s="5"/>
      <c r="G293" s="7">
        <v>45219</v>
      </c>
      <c r="H293" t="s">
        <v>156</v>
      </c>
      <c r="I293">
        <v>10000</v>
      </c>
      <c r="J293" s="5">
        <v>674050</v>
      </c>
      <c r="L293" s="5">
        <v>676750</v>
      </c>
      <c r="M293" s="5">
        <v>67.405000000000001</v>
      </c>
      <c r="N293" s="5">
        <v>67.674999999999997</v>
      </c>
      <c r="O293" s="5">
        <v>2700</v>
      </c>
      <c r="P293" s="3">
        <v>4.0056375639789333E-3</v>
      </c>
      <c r="Q293" s="9">
        <f t="shared" si="4"/>
        <v>254019.68505352936</v>
      </c>
      <c r="R293" s="5" t="str">
        <f>TEXT(Table1[[#This Row],[Closing Date]],"yyyy")</f>
        <v>2023</v>
      </c>
      <c r="S293" s="5" t="str">
        <f>TEXT(Table1[[#This Row],[Closing Date]],"mmmm")</f>
        <v>October</v>
      </c>
      <c r="T293" s="5" t="s">
        <v>240</v>
      </c>
      <c r="U293" s="5" t="s">
        <v>301</v>
      </c>
    </row>
    <row r="294" spans="2:21" x14ac:dyDescent="0.25">
      <c r="B294" t="s">
        <v>201</v>
      </c>
      <c r="C294" t="s">
        <v>303</v>
      </c>
      <c r="D294" t="s">
        <v>4</v>
      </c>
      <c r="E294" t="s">
        <v>7</v>
      </c>
      <c r="F294" s="5"/>
      <c r="G294" s="7">
        <v>45219</v>
      </c>
      <c r="H294" t="s">
        <v>121</v>
      </c>
      <c r="I294">
        <v>1000000</v>
      </c>
      <c r="J294" s="5">
        <v>23113664.699999999</v>
      </c>
      <c r="L294" s="5">
        <v>23222138.140000001</v>
      </c>
      <c r="M294" s="5">
        <v>23.113664699999998</v>
      </c>
      <c r="N294" s="5">
        <v>23.222138140000002</v>
      </c>
      <c r="O294" s="5">
        <v>4671.1219848079554</v>
      </c>
      <c r="P294" s="3">
        <v>2.0114952191942973E-4</v>
      </c>
      <c r="Q294" s="9">
        <f t="shared" si="4"/>
        <v>258690.80703833731</v>
      </c>
      <c r="R294" s="5" t="str">
        <f>TEXT(Table1[[#This Row],[Closing Date]],"yyyy")</f>
        <v>2023</v>
      </c>
      <c r="S294" s="5" t="str">
        <f>TEXT(Table1[[#This Row],[Closing Date]],"mmmm")</f>
        <v>October</v>
      </c>
      <c r="T294" s="5" t="s">
        <v>240</v>
      </c>
      <c r="U294" s="5" t="s">
        <v>301</v>
      </c>
    </row>
    <row r="295" spans="2:21" x14ac:dyDescent="0.25">
      <c r="B295" t="s">
        <v>201</v>
      </c>
      <c r="C295" t="s">
        <v>303</v>
      </c>
      <c r="D295" t="s">
        <v>16</v>
      </c>
      <c r="E295" t="s">
        <v>5</v>
      </c>
      <c r="F295" s="5"/>
      <c r="G295" s="7">
        <v>45219</v>
      </c>
      <c r="H295" t="s">
        <v>150</v>
      </c>
      <c r="I295">
        <v>6000</v>
      </c>
      <c r="J295" s="5">
        <v>170033.21</v>
      </c>
      <c r="L295" s="5">
        <v>164851.65</v>
      </c>
      <c r="M295" s="5">
        <v>28.33886833333333</v>
      </c>
      <c r="N295" s="5">
        <v>27.475275</v>
      </c>
      <c r="O295" s="5">
        <v>5181.5599999999977</v>
      </c>
      <c r="P295" s="3">
        <v>3.0473811557165789E-2</v>
      </c>
      <c r="Q295" s="9">
        <f t="shared" si="4"/>
        <v>263872.36703833728</v>
      </c>
      <c r="R295" s="5" t="str">
        <f>TEXT(Table1[[#This Row],[Closing Date]],"yyyy")</f>
        <v>2023</v>
      </c>
      <c r="S295" s="5" t="str">
        <f>TEXT(Table1[[#This Row],[Closing Date]],"mmmm")</f>
        <v>October</v>
      </c>
      <c r="T295" s="5" t="s">
        <v>240</v>
      </c>
      <c r="U295" s="5" t="s">
        <v>301</v>
      </c>
    </row>
    <row r="296" spans="2:21" x14ac:dyDescent="0.25">
      <c r="B296" t="s">
        <v>201</v>
      </c>
      <c r="C296" t="s">
        <v>303</v>
      </c>
      <c r="D296" t="s">
        <v>12</v>
      </c>
      <c r="E296" t="s">
        <v>5</v>
      </c>
      <c r="F296" s="5"/>
      <c r="G296" s="7">
        <v>45219</v>
      </c>
      <c r="H296" t="s">
        <v>90</v>
      </c>
      <c r="I296">
        <v>1</v>
      </c>
      <c r="J296" s="5">
        <v>301850</v>
      </c>
      <c r="L296" s="5">
        <v>295340</v>
      </c>
      <c r="M296" s="5">
        <v>15092.5</v>
      </c>
      <c r="N296" s="5">
        <v>0</v>
      </c>
      <c r="O296" s="5">
        <v>6510</v>
      </c>
      <c r="P296" s="3">
        <v>2.1567003478548948E-2</v>
      </c>
      <c r="Q296" s="9">
        <f t="shared" si="4"/>
        <v>270382.36703833728</v>
      </c>
      <c r="R296" s="5" t="str">
        <f>TEXT(Table1[[#This Row],[Closing Date]],"yyyy")</f>
        <v>2023</v>
      </c>
      <c r="S296" s="5" t="str">
        <f>TEXT(Table1[[#This Row],[Closing Date]],"mmmm")</f>
        <v>October</v>
      </c>
      <c r="T296" s="5" t="s">
        <v>240</v>
      </c>
      <c r="U296" s="5" t="s">
        <v>301</v>
      </c>
    </row>
    <row r="297" spans="2:21" x14ac:dyDescent="0.25">
      <c r="B297" t="s">
        <v>201</v>
      </c>
      <c r="C297" t="s">
        <v>303</v>
      </c>
      <c r="D297" t="s">
        <v>12</v>
      </c>
      <c r="E297" t="s">
        <v>7</v>
      </c>
      <c r="F297" s="5"/>
      <c r="G297" s="7">
        <v>45223</v>
      </c>
      <c r="H297" t="s">
        <v>50</v>
      </c>
      <c r="I297">
        <v>12</v>
      </c>
      <c r="J297" s="5">
        <v>1271906.6399999999</v>
      </c>
      <c r="L297" s="5">
        <v>1263480</v>
      </c>
      <c r="M297" s="5">
        <v>105.99221999999999</v>
      </c>
      <c r="N297" s="5">
        <v>105.29</v>
      </c>
      <c r="O297" s="5">
        <v>-8426.6399999998976</v>
      </c>
      <c r="P297" s="3">
        <v>-6.6252032460494886E-3</v>
      </c>
      <c r="Q297" s="9">
        <f t="shared" si="4"/>
        <v>261955.72703833738</v>
      </c>
      <c r="R297" s="5" t="str">
        <f>TEXT(Table1[[#This Row],[Closing Date]],"yyyy")</f>
        <v>2023</v>
      </c>
      <c r="S297" s="5" t="str">
        <f>TEXT(Table1[[#This Row],[Closing Date]],"mmmm")</f>
        <v>October</v>
      </c>
      <c r="T297" s="5" t="s">
        <v>240</v>
      </c>
      <c r="U297" s="5" t="s">
        <v>301</v>
      </c>
    </row>
    <row r="298" spans="2:21" x14ac:dyDescent="0.25">
      <c r="B298" t="s">
        <v>201</v>
      </c>
      <c r="C298" t="s">
        <v>303</v>
      </c>
      <c r="D298" t="s">
        <v>16</v>
      </c>
      <c r="E298" t="s">
        <v>7</v>
      </c>
      <c r="F298" s="5"/>
      <c r="G298" s="7">
        <v>45224</v>
      </c>
      <c r="H298" t="s">
        <v>159</v>
      </c>
      <c r="I298">
        <v>135</v>
      </c>
      <c r="J298" s="5">
        <v>55438.75</v>
      </c>
      <c r="L298" s="5">
        <v>55583.09</v>
      </c>
      <c r="M298" s="5">
        <v>410.65740740740739</v>
      </c>
      <c r="N298" s="5">
        <v>411.72659259259257</v>
      </c>
      <c r="O298" s="5">
        <v>144.33999999999651</v>
      </c>
      <c r="P298" s="3">
        <v>2.603594056503736E-3</v>
      </c>
      <c r="Q298" s="9">
        <f t="shared" si="4"/>
        <v>262100.06703833738</v>
      </c>
      <c r="R298" s="5" t="str">
        <f>TEXT(Table1[[#This Row],[Closing Date]],"yyyy")</f>
        <v>2023</v>
      </c>
      <c r="S298" s="5" t="str">
        <f>TEXT(Table1[[#This Row],[Closing Date]],"mmmm")</f>
        <v>October</v>
      </c>
      <c r="T298" s="5" t="s">
        <v>240</v>
      </c>
      <c r="U298" s="5" t="s">
        <v>301</v>
      </c>
    </row>
    <row r="299" spans="2:21" x14ac:dyDescent="0.25">
      <c r="B299" t="s">
        <v>201</v>
      </c>
      <c r="C299" t="s">
        <v>303</v>
      </c>
      <c r="D299" t="s">
        <v>16</v>
      </c>
      <c r="E299" t="s">
        <v>7</v>
      </c>
      <c r="F299" s="5"/>
      <c r="G299" s="7">
        <v>45224</v>
      </c>
      <c r="H299" t="s">
        <v>158</v>
      </c>
      <c r="I299">
        <v>6500</v>
      </c>
      <c r="J299" s="5">
        <v>116707.5</v>
      </c>
      <c r="L299" s="5">
        <v>119190.6</v>
      </c>
      <c r="M299" s="5">
        <v>17.954999999999998</v>
      </c>
      <c r="N299" s="5">
        <v>18.337015384615384</v>
      </c>
      <c r="O299" s="5">
        <v>2483.1000000000058</v>
      </c>
      <c r="P299" s="3">
        <v>2.1276267592057117E-2</v>
      </c>
      <c r="Q299" s="9">
        <f t="shared" si="4"/>
        <v>264583.16703833739</v>
      </c>
      <c r="R299" s="5" t="str">
        <f>TEXT(Table1[[#This Row],[Closing Date]],"yyyy")</f>
        <v>2023</v>
      </c>
      <c r="S299" s="5" t="str">
        <f>TEXT(Table1[[#This Row],[Closing Date]],"mmmm")</f>
        <v>October</v>
      </c>
      <c r="T299" s="5" t="s">
        <v>240</v>
      </c>
      <c r="U299" s="5" t="s">
        <v>301</v>
      </c>
    </row>
    <row r="300" spans="2:21" x14ac:dyDescent="0.25">
      <c r="B300" t="s">
        <v>201</v>
      </c>
      <c r="C300" t="s">
        <v>303</v>
      </c>
      <c r="D300" t="s">
        <v>12</v>
      </c>
      <c r="E300" t="s">
        <v>7</v>
      </c>
      <c r="F300" s="5"/>
      <c r="G300" s="7">
        <v>45225</v>
      </c>
      <c r="H300" t="s">
        <v>13</v>
      </c>
      <c r="I300">
        <v>4</v>
      </c>
      <c r="J300" s="5">
        <v>341249.48</v>
      </c>
      <c r="L300" s="5">
        <v>333640</v>
      </c>
      <c r="M300" s="5">
        <v>85.312370000000001</v>
      </c>
      <c r="N300" s="5">
        <v>83.41</v>
      </c>
      <c r="O300" s="5">
        <v>-7609.4799999999814</v>
      </c>
      <c r="P300" s="3">
        <v>-2.2298876470082774E-2</v>
      </c>
      <c r="Q300" s="9">
        <f t="shared" si="4"/>
        <v>256973.6870383374</v>
      </c>
      <c r="R300" s="5" t="str">
        <f>TEXT(Table1[[#This Row],[Closing Date]],"yyyy")</f>
        <v>2023</v>
      </c>
      <c r="S300" s="5" t="str">
        <f>TEXT(Table1[[#This Row],[Closing Date]],"mmmm")</f>
        <v>October</v>
      </c>
      <c r="T300" s="5" t="s">
        <v>240</v>
      </c>
      <c r="U300" s="5" t="s">
        <v>301</v>
      </c>
    </row>
    <row r="301" spans="2:21" x14ac:dyDescent="0.25">
      <c r="B301" t="s">
        <v>201</v>
      </c>
      <c r="C301" t="s">
        <v>303</v>
      </c>
      <c r="D301" t="s">
        <v>16</v>
      </c>
      <c r="E301" t="s">
        <v>7</v>
      </c>
      <c r="F301" s="5"/>
      <c r="G301" s="7">
        <v>45225</v>
      </c>
      <c r="H301" t="s">
        <v>156</v>
      </c>
      <c r="I301">
        <v>11000</v>
      </c>
      <c r="J301" s="5">
        <v>744048</v>
      </c>
      <c r="L301" s="5">
        <v>743270</v>
      </c>
      <c r="M301" s="5">
        <v>67.640727272727275</v>
      </c>
      <c r="N301" s="5">
        <v>67.569999999999993</v>
      </c>
      <c r="O301" s="5">
        <v>-778</v>
      </c>
      <c r="P301" s="3">
        <v>-1.04563146463669E-3</v>
      </c>
      <c r="Q301" s="9">
        <f t="shared" si="4"/>
        <v>256195.6870383374</v>
      </c>
      <c r="R301" s="5" t="str">
        <f>TEXT(Table1[[#This Row],[Closing Date]],"yyyy")</f>
        <v>2023</v>
      </c>
      <c r="S301" s="5" t="str">
        <f>TEXT(Table1[[#This Row],[Closing Date]],"mmmm")</f>
        <v>October</v>
      </c>
      <c r="T301" s="5" t="s">
        <v>240</v>
      </c>
      <c r="U301" s="5" t="s">
        <v>301</v>
      </c>
    </row>
    <row r="302" spans="2:21" x14ac:dyDescent="0.25">
      <c r="B302" t="s">
        <v>201</v>
      </c>
      <c r="C302" t="s">
        <v>303</v>
      </c>
      <c r="D302" t="s">
        <v>16</v>
      </c>
      <c r="E302" t="s">
        <v>5</v>
      </c>
      <c r="F302" s="5"/>
      <c r="G302" s="7">
        <v>45225</v>
      </c>
      <c r="H302" t="s">
        <v>160</v>
      </c>
      <c r="I302">
        <v>800</v>
      </c>
      <c r="J302" s="5">
        <v>134649.56</v>
      </c>
      <c r="L302" s="5">
        <v>128868.38</v>
      </c>
      <c r="M302" s="5">
        <v>168.31195</v>
      </c>
      <c r="N302" s="5">
        <v>161.085475</v>
      </c>
      <c r="O302" s="5">
        <v>5781.179999999993</v>
      </c>
      <c r="P302" s="3">
        <v>4.2935008476819331E-2</v>
      </c>
      <c r="Q302" s="9">
        <f t="shared" si="4"/>
        <v>261976.8670383374</v>
      </c>
      <c r="R302" s="5" t="str">
        <f>TEXT(Table1[[#This Row],[Closing Date]],"yyyy")</f>
        <v>2023</v>
      </c>
      <c r="S302" s="5" t="str">
        <f>TEXT(Table1[[#This Row],[Closing Date]],"mmmm")</f>
        <v>October</v>
      </c>
      <c r="T302" s="5" t="s">
        <v>240</v>
      </c>
      <c r="U302" s="5" t="s">
        <v>301</v>
      </c>
    </row>
    <row r="303" spans="2:21" x14ac:dyDescent="0.25">
      <c r="B303" t="s">
        <v>201</v>
      </c>
      <c r="C303" t="s">
        <v>305</v>
      </c>
      <c r="D303" t="s">
        <v>4</v>
      </c>
      <c r="E303" t="s">
        <v>7</v>
      </c>
      <c r="F303" s="5"/>
      <c r="G303" s="7">
        <v>45225</v>
      </c>
      <c r="H303" t="s">
        <v>134</v>
      </c>
      <c r="I303">
        <v>625000</v>
      </c>
      <c r="J303" s="5">
        <v>11870187.5</v>
      </c>
      <c r="L303" s="5">
        <v>11829718.75</v>
      </c>
      <c r="M303" s="5">
        <v>18.9923</v>
      </c>
      <c r="N303" s="5">
        <v>18.92755</v>
      </c>
      <c r="O303" s="5">
        <v>-2163</v>
      </c>
      <c r="P303" s="3">
        <v>-3.4608E-3</v>
      </c>
      <c r="Q303" s="9">
        <f t="shared" si="4"/>
        <v>259813.8670383374</v>
      </c>
      <c r="R303" s="5" t="str">
        <f>TEXT(Table1[[#This Row],[Closing Date]],"yyyy")</f>
        <v>2023</v>
      </c>
      <c r="S303" s="5" t="str">
        <f>TEXT(Table1[[#This Row],[Closing Date]],"mmmm")</f>
        <v>October</v>
      </c>
      <c r="T303" s="5" t="s">
        <v>240</v>
      </c>
      <c r="U303" s="5" t="s">
        <v>301</v>
      </c>
    </row>
    <row r="304" spans="2:21" x14ac:dyDescent="0.25">
      <c r="B304" t="s">
        <v>201</v>
      </c>
      <c r="C304" t="s">
        <v>306</v>
      </c>
      <c r="D304" t="s">
        <v>12</v>
      </c>
      <c r="E304" t="s">
        <v>7</v>
      </c>
      <c r="F304" s="5"/>
      <c r="G304" s="7">
        <v>45225</v>
      </c>
      <c r="H304" t="s">
        <v>86</v>
      </c>
      <c r="I304">
        <v>200</v>
      </c>
      <c r="J304" s="5">
        <v>904192.8</v>
      </c>
      <c r="L304" s="5">
        <v>979503.2</v>
      </c>
      <c r="M304" s="5">
        <v>4.5209640000000002</v>
      </c>
      <c r="N304" s="5">
        <v>4.8975159999999995</v>
      </c>
      <c r="O304" s="5">
        <v>75310.399999999907</v>
      </c>
      <c r="P304" s="3">
        <v>8.3290200939445544E-2</v>
      </c>
      <c r="Q304" s="9">
        <f t="shared" si="4"/>
        <v>335124.2670383373</v>
      </c>
      <c r="R304" s="5" t="str">
        <f>TEXT(Table1[[#This Row],[Closing Date]],"yyyy")</f>
        <v>2023</v>
      </c>
      <c r="S304" s="5" t="str">
        <f>TEXT(Table1[[#This Row],[Closing Date]],"mmmm")</f>
        <v>October</v>
      </c>
      <c r="T304" s="5" t="s">
        <v>240</v>
      </c>
      <c r="U304" s="5" t="s">
        <v>301</v>
      </c>
    </row>
    <row r="305" spans="2:21" x14ac:dyDescent="0.25">
      <c r="B305" t="s">
        <v>201</v>
      </c>
      <c r="C305" t="s">
        <v>303</v>
      </c>
      <c r="D305" t="s">
        <v>4</v>
      </c>
      <c r="E305" t="s">
        <v>7</v>
      </c>
      <c r="F305" s="5"/>
      <c r="G305" s="7">
        <v>45226</v>
      </c>
      <c r="H305" t="s">
        <v>117</v>
      </c>
      <c r="I305">
        <v>1300000</v>
      </c>
      <c r="J305" s="5">
        <v>1774535.46</v>
      </c>
      <c r="L305" s="5">
        <v>1780967.37</v>
      </c>
      <c r="M305" s="5">
        <v>1.3650272769230769</v>
      </c>
      <c r="N305" s="5">
        <v>1.3699749000000001</v>
      </c>
      <c r="O305" s="5">
        <v>4721</v>
      </c>
      <c r="P305" s="3">
        <v>3.6315384615384617E-3</v>
      </c>
      <c r="Q305" s="9">
        <f t="shared" si="4"/>
        <v>339845.2670383373</v>
      </c>
      <c r="R305" s="5" t="str">
        <f>TEXT(Table1[[#This Row],[Closing Date]],"yyyy")</f>
        <v>2023</v>
      </c>
      <c r="S305" s="5" t="str">
        <f>TEXT(Table1[[#This Row],[Closing Date]],"mmmm")</f>
        <v>October</v>
      </c>
      <c r="T305" s="5" t="s">
        <v>240</v>
      </c>
      <c r="U305" s="5" t="s">
        <v>301</v>
      </c>
    </row>
    <row r="306" spans="2:21" x14ac:dyDescent="0.25">
      <c r="B306" t="s">
        <v>201</v>
      </c>
      <c r="C306" t="s">
        <v>306</v>
      </c>
      <c r="D306" t="s">
        <v>12</v>
      </c>
      <c r="E306" t="s">
        <v>7</v>
      </c>
      <c r="F306" s="5"/>
      <c r="G306" s="7">
        <v>45229</v>
      </c>
      <c r="H306" t="s">
        <v>88</v>
      </c>
      <c r="I306">
        <v>12</v>
      </c>
      <c r="J306" s="5">
        <v>363251.54</v>
      </c>
      <c r="L306" s="5">
        <v>359753.16</v>
      </c>
      <c r="M306" s="5">
        <v>27.027644345238091</v>
      </c>
      <c r="N306" s="5">
        <v>26.767348214285711</v>
      </c>
      <c r="O306" s="5">
        <v>-3498.3800000000047</v>
      </c>
      <c r="P306" s="3">
        <v>-9.6307368717556026E-3</v>
      </c>
      <c r="Q306" s="9">
        <f t="shared" si="4"/>
        <v>336346.8870383373</v>
      </c>
      <c r="R306" s="5" t="str">
        <f>TEXT(Table1[[#This Row],[Closing Date]],"yyyy")</f>
        <v>2023</v>
      </c>
      <c r="S306" s="5" t="str">
        <f>TEXT(Table1[[#This Row],[Closing Date]],"mmmm")</f>
        <v>October</v>
      </c>
      <c r="T306" s="5" t="s">
        <v>240</v>
      </c>
      <c r="U306" s="5" t="s">
        <v>301</v>
      </c>
    </row>
    <row r="307" spans="2:21" x14ac:dyDescent="0.25">
      <c r="B307" t="s">
        <v>201</v>
      </c>
      <c r="C307" t="s">
        <v>306</v>
      </c>
      <c r="D307" t="s">
        <v>12</v>
      </c>
      <c r="E307" t="s">
        <v>7</v>
      </c>
      <c r="F307" s="5"/>
      <c r="G307" s="7">
        <v>45231</v>
      </c>
      <c r="H307" t="s">
        <v>86</v>
      </c>
      <c r="I307">
        <v>160</v>
      </c>
      <c r="J307" s="5">
        <v>777325</v>
      </c>
      <c r="L307" s="5">
        <v>764241</v>
      </c>
      <c r="M307" s="5">
        <v>9.7330000000000005</v>
      </c>
      <c r="N307" s="5">
        <v>4.7765062499999997</v>
      </c>
      <c r="O307" s="5">
        <v>-13084</v>
      </c>
      <c r="P307" s="3">
        <v>-1.6832084391985334E-2</v>
      </c>
      <c r="Q307" s="9">
        <f t="shared" si="4"/>
        <v>323262.8870383373</v>
      </c>
      <c r="R307" s="5" t="str">
        <f>TEXT(Table1[[#This Row],[Closing Date]],"yyyy")</f>
        <v>2023</v>
      </c>
      <c r="S307" s="5" t="str">
        <f>TEXT(Table1[[#This Row],[Closing Date]],"mmmm")</f>
        <v>November</v>
      </c>
      <c r="T307" s="5" t="s">
        <v>240</v>
      </c>
      <c r="U307" s="5" t="s">
        <v>301</v>
      </c>
    </row>
    <row r="308" spans="2:21" x14ac:dyDescent="0.25">
      <c r="B308" t="s">
        <v>201</v>
      </c>
      <c r="C308" t="s">
        <v>303</v>
      </c>
      <c r="D308" t="s">
        <v>16</v>
      </c>
      <c r="E308" t="s">
        <v>5</v>
      </c>
      <c r="F308" s="5"/>
      <c r="G308" s="7">
        <v>45232</v>
      </c>
      <c r="H308" t="s">
        <v>144</v>
      </c>
      <c r="I308">
        <v>3000</v>
      </c>
      <c r="J308" s="5">
        <v>124775</v>
      </c>
      <c r="L308" s="5">
        <v>120765</v>
      </c>
      <c r="M308" s="5">
        <v>41.591666666666669</v>
      </c>
      <c r="N308" s="5">
        <v>40.255000000000003</v>
      </c>
      <c r="O308" s="5">
        <v>4010</v>
      </c>
      <c r="P308" s="3">
        <v>3.2137848126627927E-2</v>
      </c>
      <c r="Q308" s="9">
        <f t="shared" si="4"/>
        <v>327272.8870383373</v>
      </c>
      <c r="R308" s="5" t="str">
        <f>TEXT(Table1[[#This Row],[Closing Date]],"yyyy")</f>
        <v>2023</v>
      </c>
      <c r="S308" s="5" t="str">
        <f>TEXT(Table1[[#This Row],[Closing Date]],"mmmm")</f>
        <v>November</v>
      </c>
      <c r="T308" s="5" t="s">
        <v>240</v>
      </c>
      <c r="U308" s="5" t="s">
        <v>301</v>
      </c>
    </row>
    <row r="309" spans="2:21" x14ac:dyDescent="0.25">
      <c r="B309" t="s">
        <v>201</v>
      </c>
      <c r="C309" t="s">
        <v>303</v>
      </c>
      <c r="D309" t="s">
        <v>4</v>
      </c>
      <c r="E309" t="s">
        <v>7</v>
      </c>
      <c r="F309" s="5"/>
      <c r="G309" s="7">
        <v>45232</v>
      </c>
      <c r="H309" t="s">
        <v>123</v>
      </c>
      <c r="I309">
        <v>2000000</v>
      </c>
      <c r="J309" s="5">
        <v>2710150.73</v>
      </c>
      <c r="L309" s="5">
        <v>2747185.23</v>
      </c>
      <c r="M309" s="5">
        <v>1.355075365</v>
      </c>
      <c r="N309" s="5">
        <v>1.373592615</v>
      </c>
      <c r="O309" s="5">
        <v>26938</v>
      </c>
      <c r="P309" s="3">
        <v>1.3468999999999998E-2</v>
      </c>
      <c r="Q309" s="9">
        <f t="shared" si="4"/>
        <v>354210.8870383373</v>
      </c>
      <c r="R309" s="5" t="str">
        <f>TEXT(Table1[[#This Row],[Closing Date]],"yyyy")</f>
        <v>2023</v>
      </c>
      <c r="S309" s="5" t="str">
        <f>TEXT(Table1[[#This Row],[Closing Date]],"mmmm")</f>
        <v>November</v>
      </c>
      <c r="T309" s="5" t="s">
        <v>240</v>
      </c>
      <c r="U309" s="5" t="s">
        <v>301</v>
      </c>
    </row>
    <row r="310" spans="2:21" x14ac:dyDescent="0.25">
      <c r="B310" t="s">
        <v>201</v>
      </c>
      <c r="C310" t="s">
        <v>303</v>
      </c>
      <c r="D310" t="s">
        <v>4</v>
      </c>
      <c r="E310" t="s">
        <v>7</v>
      </c>
      <c r="F310" s="5"/>
      <c r="G310" s="7">
        <v>45233</v>
      </c>
      <c r="H310" t="s">
        <v>127</v>
      </c>
      <c r="I310">
        <v>450000</v>
      </c>
      <c r="J310" s="5">
        <v>7969532.8600000003</v>
      </c>
      <c r="L310" s="5">
        <v>7805140.04</v>
      </c>
      <c r="M310" s="5">
        <v>17.710073022222222</v>
      </c>
      <c r="N310" s="5">
        <v>17.344755644444444</v>
      </c>
      <c r="O310" s="5">
        <v>-9468</v>
      </c>
      <c r="P310" s="3">
        <v>-2.104E-2</v>
      </c>
      <c r="Q310" s="9">
        <f t="shared" si="4"/>
        <v>344742.8870383373</v>
      </c>
      <c r="R310" s="5" t="str">
        <f>TEXT(Table1[[#This Row],[Closing Date]],"yyyy")</f>
        <v>2023</v>
      </c>
      <c r="S310" s="5" t="str">
        <f>TEXT(Table1[[#This Row],[Closing Date]],"mmmm")</f>
        <v>November</v>
      </c>
      <c r="T310" s="5" t="s">
        <v>240</v>
      </c>
      <c r="U310" s="5" t="s">
        <v>301</v>
      </c>
    </row>
    <row r="311" spans="2:21" x14ac:dyDescent="0.25">
      <c r="B311" t="s">
        <v>201</v>
      </c>
      <c r="C311" t="s">
        <v>303</v>
      </c>
      <c r="D311" t="s">
        <v>16</v>
      </c>
      <c r="E311" t="s">
        <v>7</v>
      </c>
      <c r="F311" s="5"/>
      <c r="G311" s="7">
        <v>45238</v>
      </c>
      <c r="H311" t="s">
        <v>155</v>
      </c>
      <c r="I311">
        <v>980</v>
      </c>
      <c r="J311" s="5">
        <v>173121.9</v>
      </c>
      <c r="L311" s="5">
        <v>188847.77000000002</v>
      </c>
      <c r="M311" s="5">
        <v>176.655</v>
      </c>
      <c r="N311" s="5">
        <v>192.701806122449</v>
      </c>
      <c r="O311" s="5">
        <v>15725.870000000024</v>
      </c>
      <c r="P311" s="3">
        <v>9.0836976719872092E-2</v>
      </c>
      <c r="Q311" s="9">
        <f t="shared" si="4"/>
        <v>360468.75703833729</v>
      </c>
      <c r="R311" s="5" t="str">
        <f>TEXT(Table1[[#This Row],[Closing Date]],"yyyy")</f>
        <v>2023</v>
      </c>
      <c r="S311" s="5" t="str">
        <f>TEXT(Table1[[#This Row],[Closing Date]],"mmmm")</f>
        <v>November</v>
      </c>
      <c r="T311" s="5" t="s">
        <v>240</v>
      </c>
      <c r="U311" s="5" t="s">
        <v>301</v>
      </c>
    </row>
    <row r="312" spans="2:21" x14ac:dyDescent="0.25">
      <c r="B312" t="s">
        <v>201</v>
      </c>
      <c r="C312" t="s">
        <v>303</v>
      </c>
      <c r="D312" t="s">
        <v>12</v>
      </c>
      <c r="E312" t="s">
        <v>5</v>
      </c>
      <c r="F312" s="5"/>
      <c r="G312" s="7">
        <v>45239</v>
      </c>
      <c r="H312" t="s">
        <v>44</v>
      </c>
      <c r="I312">
        <v>2</v>
      </c>
      <c r="J312" s="5">
        <v>321893.96000000002</v>
      </c>
      <c r="L312" s="5">
        <v>328481.03999999998</v>
      </c>
      <c r="M312" s="5">
        <v>32189.396000000001</v>
      </c>
      <c r="N312" s="5">
        <v>0</v>
      </c>
      <c r="O312" s="5">
        <v>-6587.0799999999581</v>
      </c>
      <c r="P312" s="3">
        <v>-2.0463509163079537E-2</v>
      </c>
      <c r="Q312" s="9">
        <f t="shared" si="4"/>
        <v>353881.67703833734</v>
      </c>
      <c r="R312" s="5" t="str">
        <f>TEXT(Table1[[#This Row],[Closing Date]],"yyyy")</f>
        <v>2023</v>
      </c>
      <c r="S312" s="5" t="str">
        <f>TEXT(Table1[[#This Row],[Closing Date]],"mmmm")</f>
        <v>November</v>
      </c>
      <c r="T312" s="5" t="s">
        <v>240</v>
      </c>
      <c r="U312" s="5" t="s">
        <v>301</v>
      </c>
    </row>
    <row r="313" spans="2:21" x14ac:dyDescent="0.25">
      <c r="B313" t="s">
        <v>201</v>
      </c>
      <c r="C313" t="s">
        <v>303</v>
      </c>
      <c r="D313" t="s">
        <v>16</v>
      </c>
      <c r="E313" t="s">
        <v>7</v>
      </c>
      <c r="F313" s="5"/>
      <c r="G313" s="7">
        <v>45239</v>
      </c>
      <c r="H313" t="s">
        <v>142</v>
      </c>
      <c r="I313">
        <v>1900</v>
      </c>
      <c r="J313" s="5">
        <v>63659.5</v>
      </c>
      <c r="L313" s="5">
        <v>58722.65</v>
      </c>
      <c r="M313" s="5">
        <v>33.505000000000003</v>
      </c>
      <c r="N313" s="5">
        <v>30.906657894736842</v>
      </c>
      <c r="O313" s="5">
        <v>-4936.8499999999985</v>
      </c>
      <c r="P313" s="3">
        <v>-7.755087614574413E-2</v>
      </c>
      <c r="Q313" s="9">
        <f t="shared" si="4"/>
        <v>348944.82703833736</v>
      </c>
      <c r="R313" s="5" t="str">
        <f>TEXT(Table1[[#This Row],[Closing Date]],"yyyy")</f>
        <v>2023</v>
      </c>
      <c r="S313" s="5" t="str">
        <f>TEXT(Table1[[#This Row],[Closing Date]],"mmmm")</f>
        <v>November</v>
      </c>
      <c r="T313" s="5" t="s">
        <v>240</v>
      </c>
      <c r="U313" s="5" t="s">
        <v>301</v>
      </c>
    </row>
    <row r="314" spans="2:21" x14ac:dyDescent="0.25">
      <c r="B314" t="s">
        <v>201</v>
      </c>
      <c r="C314" t="s">
        <v>306</v>
      </c>
      <c r="D314" t="s">
        <v>4</v>
      </c>
      <c r="E314" t="s">
        <v>7</v>
      </c>
      <c r="F314" s="5"/>
      <c r="G314" s="7">
        <v>45239</v>
      </c>
      <c r="H314" t="s">
        <v>134</v>
      </c>
      <c r="I314">
        <v>670000</v>
      </c>
      <c r="J314" s="5">
        <v>12352060.130000001</v>
      </c>
      <c r="L314" s="5">
        <v>12313439.91</v>
      </c>
      <c r="M314" s="5">
        <v>18.435910641791047</v>
      </c>
      <c r="N314" s="5">
        <v>18.378268522388058</v>
      </c>
      <c r="O314" s="5">
        <v>-2088</v>
      </c>
      <c r="P314" s="3">
        <v>-3.1164179104477613E-3</v>
      </c>
      <c r="Q314" s="9">
        <f t="shared" si="4"/>
        <v>346856.82703833736</v>
      </c>
      <c r="R314" s="5" t="str">
        <f>TEXT(Table1[[#This Row],[Closing Date]],"yyyy")</f>
        <v>2023</v>
      </c>
      <c r="S314" s="5" t="str">
        <f>TEXT(Table1[[#This Row],[Closing Date]],"mmmm")</f>
        <v>November</v>
      </c>
      <c r="T314" s="5" t="s">
        <v>240</v>
      </c>
      <c r="U314" s="5" t="s">
        <v>301</v>
      </c>
    </row>
    <row r="315" spans="2:21" x14ac:dyDescent="0.25">
      <c r="B315" t="s">
        <v>201</v>
      </c>
      <c r="C315" t="s">
        <v>305</v>
      </c>
      <c r="D315" t="s">
        <v>4</v>
      </c>
      <c r="E315" t="s">
        <v>7</v>
      </c>
      <c r="F315" s="5"/>
      <c r="G315" s="7">
        <v>45244</v>
      </c>
      <c r="H315" t="s">
        <v>135</v>
      </c>
      <c r="I315">
        <v>750000</v>
      </c>
      <c r="J315" s="5">
        <v>9005075.6099999994</v>
      </c>
      <c r="L315" s="5">
        <v>9275812.0899999999</v>
      </c>
      <c r="M315" s="5">
        <v>12.006767479999999</v>
      </c>
      <c r="N315" s="5">
        <v>12.367749453333333</v>
      </c>
      <c r="O315" s="5">
        <v>24443</v>
      </c>
      <c r="P315" s="3">
        <v>3.2590666666666671E-2</v>
      </c>
      <c r="Q315" s="9">
        <f t="shared" si="4"/>
        <v>371299.82703833736</v>
      </c>
      <c r="R315" s="5" t="str">
        <f>TEXT(Table1[[#This Row],[Closing Date]],"yyyy")</f>
        <v>2023</v>
      </c>
      <c r="S315" s="5" t="str">
        <f>TEXT(Table1[[#This Row],[Closing Date]],"mmmm")</f>
        <v>November</v>
      </c>
      <c r="T315" s="5" t="s">
        <v>240</v>
      </c>
      <c r="U315" s="5" t="s">
        <v>301</v>
      </c>
    </row>
    <row r="316" spans="2:21" x14ac:dyDescent="0.25">
      <c r="B316" t="s">
        <v>197</v>
      </c>
      <c r="C316" t="s">
        <v>302</v>
      </c>
      <c r="D316" t="s">
        <v>97</v>
      </c>
      <c r="E316" t="s">
        <v>7</v>
      </c>
      <c r="F316" s="5"/>
      <c r="G316" s="7">
        <v>45245</v>
      </c>
      <c r="H316" t="s">
        <v>104</v>
      </c>
      <c r="I316">
        <v>6</v>
      </c>
      <c r="J316" s="5">
        <v>9567.16</v>
      </c>
      <c r="K316" s="13">
        <v>100</v>
      </c>
      <c r="L316" s="5">
        <v>9674.31</v>
      </c>
      <c r="M316" s="5">
        <v>15.945266666666667</v>
      </c>
      <c r="N316" s="5">
        <v>16.123850000000001</v>
      </c>
      <c r="O316" s="5">
        <v>107.14999999999964</v>
      </c>
      <c r="P316" s="3">
        <v>1.1199770882895277E-2</v>
      </c>
      <c r="Q316" s="9">
        <f t="shared" si="4"/>
        <v>371406.97703833738</v>
      </c>
      <c r="R316" s="5" t="str">
        <f>TEXT(Table1[[#This Row],[Closing Date]],"yyyy")</f>
        <v>2023</v>
      </c>
      <c r="S316" s="5" t="str">
        <f>TEXT(Table1[[#This Row],[Closing Date]],"mmmm")</f>
        <v>November</v>
      </c>
      <c r="T316" s="5" t="s">
        <v>240</v>
      </c>
      <c r="U316" s="5" t="s">
        <v>301</v>
      </c>
    </row>
    <row r="317" spans="2:21" x14ac:dyDescent="0.25">
      <c r="B317" t="s">
        <v>201</v>
      </c>
      <c r="C317" t="s">
        <v>303</v>
      </c>
      <c r="D317" t="s">
        <v>4</v>
      </c>
      <c r="E317" t="s">
        <v>5</v>
      </c>
      <c r="F317" s="5"/>
      <c r="G317" s="7">
        <v>45245</v>
      </c>
      <c r="H317" t="s">
        <v>21</v>
      </c>
      <c r="I317">
        <v>600000</v>
      </c>
      <c r="J317" s="5">
        <v>735675.29</v>
      </c>
      <c r="L317" s="5">
        <v>745809.33</v>
      </c>
      <c r="M317" s="5">
        <v>1.2261254833333335</v>
      </c>
      <c r="N317" s="5">
        <v>1.24301555</v>
      </c>
      <c r="O317" s="5">
        <v>-10134</v>
      </c>
      <c r="P317" s="3">
        <v>-1.6890000000000002E-2</v>
      </c>
      <c r="Q317" s="9">
        <f t="shared" si="4"/>
        <v>361272.97703833738</v>
      </c>
      <c r="R317" s="5" t="str">
        <f>TEXT(Table1[[#This Row],[Closing Date]],"yyyy")</f>
        <v>2023</v>
      </c>
      <c r="S317" s="5" t="str">
        <f>TEXT(Table1[[#This Row],[Closing Date]],"mmmm")</f>
        <v>November</v>
      </c>
      <c r="T317" s="5" t="s">
        <v>240</v>
      </c>
      <c r="U317" s="5" t="s">
        <v>301</v>
      </c>
    </row>
    <row r="318" spans="2:21" x14ac:dyDescent="0.25">
      <c r="B318" t="s">
        <v>201</v>
      </c>
      <c r="C318" t="s">
        <v>303</v>
      </c>
      <c r="D318" t="s">
        <v>4</v>
      </c>
      <c r="E318" t="s">
        <v>7</v>
      </c>
      <c r="F318" s="5"/>
      <c r="G318" s="7">
        <v>45245</v>
      </c>
      <c r="H318" t="s">
        <v>47</v>
      </c>
      <c r="I318">
        <v>750000</v>
      </c>
      <c r="J318" s="5">
        <v>8913964.3100000005</v>
      </c>
      <c r="L318" s="5">
        <v>8825114.1600000001</v>
      </c>
      <c r="M318" s="5">
        <v>11.885285746666668</v>
      </c>
      <c r="N318" s="5">
        <v>11.766818880000001</v>
      </c>
      <c r="O318" s="5">
        <v>-8274</v>
      </c>
      <c r="P318" s="3">
        <v>-1.1032E-2</v>
      </c>
      <c r="Q318" s="9">
        <f t="shared" si="4"/>
        <v>352998.97703833738</v>
      </c>
      <c r="R318" s="5" t="str">
        <f>TEXT(Table1[[#This Row],[Closing Date]],"yyyy")</f>
        <v>2023</v>
      </c>
      <c r="S318" s="5" t="str">
        <f>TEXT(Table1[[#This Row],[Closing Date]],"mmmm")</f>
        <v>November</v>
      </c>
      <c r="T318" s="5" t="s">
        <v>240</v>
      </c>
      <c r="U318" s="5" t="s">
        <v>301</v>
      </c>
    </row>
    <row r="319" spans="2:21" x14ac:dyDescent="0.25">
      <c r="B319" t="s">
        <v>201</v>
      </c>
      <c r="C319" t="s">
        <v>303</v>
      </c>
      <c r="D319" t="s">
        <v>16</v>
      </c>
      <c r="E319" t="s">
        <v>7</v>
      </c>
      <c r="F319" s="5"/>
      <c r="G319" s="7">
        <v>45246</v>
      </c>
      <c r="H319" t="s">
        <v>139</v>
      </c>
      <c r="I319">
        <v>3600</v>
      </c>
      <c r="J319" s="5">
        <v>259212</v>
      </c>
      <c r="L319" s="5">
        <v>260157.37</v>
      </c>
      <c r="M319" s="5">
        <v>72.00333333333333</v>
      </c>
      <c r="N319" s="5">
        <v>72.265936111111117</v>
      </c>
      <c r="O319" s="5">
        <v>945.36999999999534</v>
      </c>
      <c r="P319" s="3">
        <v>3.6470919556193205E-3</v>
      </c>
      <c r="Q319" s="9">
        <f t="shared" si="4"/>
        <v>353944.34703833738</v>
      </c>
      <c r="R319" s="5" t="str">
        <f>TEXT(Table1[[#This Row],[Closing Date]],"yyyy")</f>
        <v>2023</v>
      </c>
      <c r="S319" s="5" t="str">
        <f>TEXT(Table1[[#This Row],[Closing Date]],"mmmm")</f>
        <v>November</v>
      </c>
      <c r="T319" s="5" t="s">
        <v>240</v>
      </c>
      <c r="U319" s="5" t="s">
        <v>301</v>
      </c>
    </row>
    <row r="320" spans="2:21" x14ac:dyDescent="0.25">
      <c r="B320" t="s">
        <v>201</v>
      </c>
      <c r="C320" t="s">
        <v>306</v>
      </c>
      <c r="D320" t="s">
        <v>12</v>
      </c>
      <c r="E320" t="s">
        <v>7</v>
      </c>
      <c r="F320" s="5"/>
      <c r="G320" s="7">
        <v>45246</v>
      </c>
      <c r="H320" t="s">
        <v>13</v>
      </c>
      <c r="I320">
        <v>7</v>
      </c>
      <c r="J320" s="5">
        <v>542476.59</v>
      </c>
      <c r="L320" s="5">
        <v>529950</v>
      </c>
      <c r="M320" s="5">
        <v>154.90974</v>
      </c>
      <c r="N320" s="5">
        <v>0</v>
      </c>
      <c r="O320" s="5">
        <v>-12526.589999999967</v>
      </c>
      <c r="P320" s="3">
        <v>-2.3091484924722683E-2</v>
      </c>
      <c r="Q320" s="9">
        <f t="shared" si="4"/>
        <v>341417.75703833741</v>
      </c>
      <c r="R320" s="5" t="str">
        <f>TEXT(Table1[[#This Row],[Closing Date]],"yyyy")</f>
        <v>2023</v>
      </c>
      <c r="S320" s="5" t="str">
        <f>TEXT(Table1[[#This Row],[Closing Date]],"mmmm")</f>
        <v>November</v>
      </c>
      <c r="T320" s="5" t="s">
        <v>240</v>
      </c>
      <c r="U320" s="5" t="s">
        <v>301</v>
      </c>
    </row>
    <row r="321" spans="2:21" x14ac:dyDescent="0.25">
      <c r="B321" t="s">
        <v>201</v>
      </c>
      <c r="C321" t="s">
        <v>303</v>
      </c>
      <c r="D321" t="s">
        <v>4</v>
      </c>
      <c r="E321" t="s">
        <v>7</v>
      </c>
      <c r="F321" s="5"/>
      <c r="G321" s="7">
        <v>45247</v>
      </c>
      <c r="H321" t="s">
        <v>71</v>
      </c>
      <c r="I321">
        <v>2500000</v>
      </c>
      <c r="J321" s="5">
        <v>368877342.65999997</v>
      </c>
      <c r="L321" s="5">
        <v>374944992.81999999</v>
      </c>
      <c r="M321" s="5">
        <v>147.55093706399998</v>
      </c>
      <c r="N321" s="5">
        <v>149.977997128</v>
      </c>
      <c r="O321" s="5">
        <v>40456.935525159322</v>
      </c>
      <c r="P321" s="3">
        <v>1.0790098894474769E-4</v>
      </c>
      <c r="Q321" s="9">
        <f t="shared" si="4"/>
        <v>381874.69256349676</v>
      </c>
      <c r="R321" s="5" t="str">
        <f>TEXT(Table1[[#This Row],[Closing Date]],"yyyy")</f>
        <v>2023</v>
      </c>
      <c r="S321" s="5" t="str">
        <f>TEXT(Table1[[#This Row],[Closing Date]],"mmmm")</f>
        <v>November</v>
      </c>
      <c r="T321" s="5" t="s">
        <v>240</v>
      </c>
      <c r="U321" s="5" t="s">
        <v>301</v>
      </c>
    </row>
    <row r="322" spans="2:21" x14ac:dyDescent="0.25">
      <c r="B322" t="s">
        <v>201</v>
      </c>
      <c r="C322" t="s">
        <v>306</v>
      </c>
      <c r="D322" t="s">
        <v>12</v>
      </c>
      <c r="E322" t="s">
        <v>5</v>
      </c>
      <c r="F322" s="5"/>
      <c r="G322" s="7">
        <v>45247</v>
      </c>
      <c r="H322" t="s">
        <v>92</v>
      </c>
      <c r="I322">
        <v>3</v>
      </c>
      <c r="J322" s="5">
        <v>589192.74</v>
      </c>
      <c r="L322" s="5">
        <v>598507.26</v>
      </c>
      <c r="M322" s="5">
        <v>1963.9757999999999</v>
      </c>
      <c r="N322" s="5">
        <v>0</v>
      </c>
      <c r="O322" s="5">
        <v>-9314.5200000000186</v>
      </c>
      <c r="P322" s="3">
        <v>-1.58089524321023E-2</v>
      </c>
      <c r="Q322" s="9">
        <f t="shared" si="4"/>
        <v>372560.17256349674</v>
      </c>
      <c r="R322" s="5" t="str">
        <f>TEXT(Table1[[#This Row],[Closing Date]],"yyyy")</f>
        <v>2023</v>
      </c>
      <c r="S322" s="5" t="str">
        <f>TEXT(Table1[[#This Row],[Closing Date]],"mmmm")</f>
        <v>November</v>
      </c>
      <c r="T322" s="5" t="s">
        <v>240</v>
      </c>
      <c r="U322" s="5" t="s">
        <v>301</v>
      </c>
    </row>
    <row r="323" spans="2:21" x14ac:dyDescent="0.25">
      <c r="B323" t="s">
        <v>197</v>
      </c>
      <c r="C323" t="s">
        <v>302</v>
      </c>
      <c r="D323" t="s">
        <v>99</v>
      </c>
      <c r="E323" t="s">
        <v>7</v>
      </c>
      <c r="F323" s="5"/>
      <c r="G323" s="7">
        <v>45250</v>
      </c>
      <c r="H323" t="s">
        <v>100</v>
      </c>
      <c r="I323">
        <v>30</v>
      </c>
      <c r="J323" s="5">
        <v>5420.38</v>
      </c>
      <c r="K323" s="13">
        <v>100</v>
      </c>
      <c r="L323" s="5">
        <v>9784.32</v>
      </c>
      <c r="M323" s="5">
        <v>1.8067933333333335</v>
      </c>
      <c r="N323" s="5">
        <v>3.2614399999999999</v>
      </c>
      <c r="O323" s="5">
        <v>4363.9399999999996</v>
      </c>
      <c r="P323" s="3">
        <v>0.80509853552702926</v>
      </c>
      <c r="Q323" s="9">
        <f t="shared" ref="Q323:Q386" si="5">O323+Q322</f>
        <v>376924.11256349675</v>
      </c>
      <c r="R323" s="5" t="str">
        <f>TEXT(Table1[[#This Row],[Closing Date]],"yyyy")</f>
        <v>2023</v>
      </c>
      <c r="S323" s="5" t="str">
        <f>TEXT(Table1[[#This Row],[Closing Date]],"mmmm")</f>
        <v>November</v>
      </c>
      <c r="T323" s="5" t="s">
        <v>240</v>
      </c>
      <c r="U323" s="5" t="s">
        <v>301</v>
      </c>
    </row>
    <row r="324" spans="2:21" x14ac:dyDescent="0.25">
      <c r="B324" t="s">
        <v>197</v>
      </c>
      <c r="C324" t="s">
        <v>303</v>
      </c>
      <c r="D324" t="s">
        <v>102</v>
      </c>
      <c r="E324" t="s">
        <v>7</v>
      </c>
      <c r="F324" s="5"/>
      <c r="G324" s="7">
        <v>45250</v>
      </c>
      <c r="H324" t="s">
        <v>114</v>
      </c>
      <c r="I324">
        <v>20</v>
      </c>
      <c r="J324" s="5">
        <v>2910.5</v>
      </c>
      <c r="K324" s="13">
        <v>100</v>
      </c>
      <c r="L324" s="5">
        <v>0</v>
      </c>
      <c r="M324" s="5">
        <v>1.4552500000000002</v>
      </c>
      <c r="N324" s="5"/>
      <c r="O324" s="5">
        <v>-2910.5</v>
      </c>
      <c r="P324" s="3">
        <v>-1</v>
      </c>
      <c r="Q324" s="9">
        <f t="shared" si="5"/>
        <v>374013.61256349675</v>
      </c>
      <c r="R324" s="5" t="str">
        <f>TEXT(Table1[[#This Row],[Closing Date]],"yyyy")</f>
        <v>2023</v>
      </c>
      <c r="S324" s="5" t="str">
        <f>TEXT(Table1[[#This Row],[Closing Date]],"mmmm")</f>
        <v>November</v>
      </c>
      <c r="T324" s="5" t="s">
        <v>240</v>
      </c>
      <c r="U324" s="5" t="s">
        <v>301</v>
      </c>
    </row>
    <row r="325" spans="2:21" x14ac:dyDescent="0.25">
      <c r="B325" t="s">
        <v>201</v>
      </c>
      <c r="C325" t="s">
        <v>303</v>
      </c>
      <c r="D325" t="s">
        <v>16</v>
      </c>
      <c r="E325" t="s">
        <v>7</v>
      </c>
      <c r="F325" s="5"/>
      <c r="G325" s="7">
        <v>45250</v>
      </c>
      <c r="H325" t="s">
        <v>11</v>
      </c>
      <c r="I325">
        <v>950</v>
      </c>
      <c r="J325" s="5">
        <v>432067.84000000003</v>
      </c>
      <c r="L325" s="5">
        <v>466333.89</v>
      </c>
      <c r="M325" s="5">
        <v>454.80825263157897</v>
      </c>
      <c r="N325" s="5">
        <v>490.87777894736843</v>
      </c>
      <c r="O325" s="5">
        <v>34266.049999999988</v>
      </c>
      <c r="P325" s="3">
        <v>7.9307106032237867E-2</v>
      </c>
      <c r="Q325" s="9">
        <f t="shared" si="5"/>
        <v>408279.66256349673</v>
      </c>
      <c r="R325" s="5" t="str">
        <f>TEXT(Table1[[#This Row],[Closing Date]],"yyyy")</f>
        <v>2023</v>
      </c>
      <c r="S325" s="5" t="str">
        <f>TEXT(Table1[[#This Row],[Closing Date]],"mmmm")</f>
        <v>November</v>
      </c>
      <c r="T325" s="5" t="s">
        <v>240</v>
      </c>
      <c r="U325" s="5" t="s">
        <v>301</v>
      </c>
    </row>
    <row r="326" spans="2:21" x14ac:dyDescent="0.25">
      <c r="B326" t="s">
        <v>201</v>
      </c>
      <c r="C326" t="s">
        <v>303</v>
      </c>
      <c r="D326" t="s">
        <v>16</v>
      </c>
      <c r="E326" t="s">
        <v>7</v>
      </c>
      <c r="F326" s="5"/>
      <c r="G326" s="7">
        <v>45251</v>
      </c>
      <c r="H326" t="s">
        <v>154</v>
      </c>
      <c r="I326">
        <v>3500</v>
      </c>
      <c r="J326" s="5">
        <v>148004.74</v>
      </c>
      <c r="L326" s="5">
        <v>155267.64000000001</v>
      </c>
      <c r="M326" s="5">
        <v>42.28706857142857</v>
      </c>
      <c r="N326" s="5">
        <v>44.362182857142862</v>
      </c>
      <c r="O326" s="5">
        <v>7262.9000000000233</v>
      </c>
      <c r="P326" s="3">
        <v>4.9072077015911951E-2</v>
      </c>
      <c r="Q326" s="9">
        <f t="shared" si="5"/>
        <v>415542.56256349676</v>
      </c>
      <c r="R326" s="5" t="str">
        <f>TEXT(Table1[[#This Row],[Closing Date]],"yyyy")</f>
        <v>2023</v>
      </c>
      <c r="S326" s="5" t="str">
        <f>TEXT(Table1[[#This Row],[Closing Date]],"mmmm")</f>
        <v>November</v>
      </c>
      <c r="T326" s="5" t="s">
        <v>240</v>
      </c>
      <c r="U326" s="5" t="s">
        <v>301</v>
      </c>
    </row>
    <row r="327" spans="2:21" x14ac:dyDescent="0.25">
      <c r="B327" t="s">
        <v>201</v>
      </c>
      <c r="C327" t="s">
        <v>303</v>
      </c>
      <c r="D327" t="s">
        <v>16</v>
      </c>
      <c r="E327" t="s">
        <v>7</v>
      </c>
      <c r="F327" s="5"/>
      <c r="G327" s="7">
        <v>45254</v>
      </c>
      <c r="H327" t="s">
        <v>163</v>
      </c>
      <c r="I327">
        <v>15000</v>
      </c>
      <c r="J327" s="5">
        <v>293144.83</v>
      </c>
      <c r="L327" s="5">
        <v>288516.14</v>
      </c>
      <c r="M327" s="5">
        <v>19.542988666666666</v>
      </c>
      <c r="N327" s="5">
        <v>19.234409333333335</v>
      </c>
      <c r="O327" s="5">
        <v>-4628.6900000000023</v>
      </c>
      <c r="P327" s="3">
        <v>-1.5789771902168639E-2</v>
      </c>
      <c r="Q327" s="9">
        <f t="shared" si="5"/>
        <v>410913.87256349676</v>
      </c>
      <c r="R327" s="5" t="str">
        <f>TEXT(Table1[[#This Row],[Closing Date]],"yyyy")</f>
        <v>2023</v>
      </c>
      <c r="S327" s="5" t="str">
        <f>TEXT(Table1[[#This Row],[Closing Date]],"mmmm")</f>
        <v>November</v>
      </c>
      <c r="T327" s="5" t="s">
        <v>240</v>
      </c>
      <c r="U327" s="5" t="s">
        <v>301</v>
      </c>
    </row>
    <row r="328" spans="2:21" x14ac:dyDescent="0.25">
      <c r="B328" t="s">
        <v>201</v>
      </c>
      <c r="C328" t="s">
        <v>303</v>
      </c>
      <c r="D328" t="s">
        <v>12</v>
      </c>
      <c r="E328" t="s">
        <v>7</v>
      </c>
      <c r="F328" s="5"/>
      <c r="G328" s="7">
        <v>45254</v>
      </c>
      <c r="H328" t="s">
        <v>50</v>
      </c>
      <c r="I328">
        <v>10</v>
      </c>
      <c r="J328" s="5">
        <v>1035500</v>
      </c>
      <c r="L328" s="5">
        <v>1032927.8</v>
      </c>
      <c r="M328" s="5">
        <v>103.55</v>
      </c>
      <c r="N328" s="5">
        <v>0</v>
      </c>
      <c r="O328" s="5">
        <v>-2572.1999999999534</v>
      </c>
      <c r="P328" s="3">
        <v>-2.4840173829067634E-3</v>
      </c>
      <c r="Q328" s="9">
        <f t="shared" si="5"/>
        <v>408341.6725634968</v>
      </c>
      <c r="R328" s="5" t="str">
        <f>TEXT(Table1[[#This Row],[Closing Date]],"yyyy")</f>
        <v>2023</v>
      </c>
      <c r="S328" s="5" t="str">
        <f>TEXT(Table1[[#This Row],[Closing Date]],"mmmm")</f>
        <v>November</v>
      </c>
      <c r="T328" s="5" t="s">
        <v>240</v>
      </c>
      <c r="U328" s="5" t="s">
        <v>301</v>
      </c>
    </row>
    <row r="329" spans="2:21" x14ac:dyDescent="0.25">
      <c r="B329" t="s">
        <v>201</v>
      </c>
      <c r="C329" t="s">
        <v>303</v>
      </c>
      <c r="D329" t="s">
        <v>16</v>
      </c>
      <c r="E329" t="s">
        <v>7</v>
      </c>
      <c r="F329" s="5"/>
      <c r="G329" s="7">
        <v>45254</v>
      </c>
      <c r="H329" t="s">
        <v>145</v>
      </c>
      <c r="I329">
        <v>1700</v>
      </c>
      <c r="J329" s="5">
        <v>44616.05</v>
      </c>
      <c r="L329" s="5">
        <v>42231.92</v>
      </c>
      <c r="M329" s="5">
        <v>26.24473529411765</v>
      </c>
      <c r="N329" s="5">
        <v>24.842305882352939</v>
      </c>
      <c r="O329" s="5">
        <v>-2384.1300000000047</v>
      </c>
      <c r="P329" s="3">
        <v>-5.3436599609333515E-2</v>
      </c>
      <c r="Q329" s="9">
        <f t="shared" si="5"/>
        <v>405957.5425634968</v>
      </c>
      <c r="R329" s="5" t="str">
        <f>TEXT(Table1[[#This Row],[Closing Date]],"yyyy")</f>
        <v>2023</v>
      </c>
      <c r="S329" s="5" t="str">
        <f>TEXT(Table1[[#This Row],[Closing Date]],"mmmm")</f>
        <v>November</v>
      </c>
      <c r="T329" s="5" t="s">
        <v>240</v>
      </c>
      <c r="U329" s="5" t="s">
        <v>301</v>
      </c>
    </row>
    <row r="330" spans="2:21" x14ac:dyDescent="0.25">
      <c r="B330" t="s">
        <v>197</v>
      </c>
      <c r="C330" t="s">
        <v>305</v>
      </c>
      <c r="D330" t="s">
        <v>99</v>
      </c>
      <c r="E330" t="s">
        <v>7</v>
      </c>
      <c r="F330" s="5"/>
      <c r="G330" s="7">
        <v>45254</v>
      </c>
      <c r="H330" t="s">
        <v>10</v>
      </c>
      <c r="I330">
        <v>20</v>
      </c>
      <c r="J330" s="5">
        <v>6435.78</v>
      </c>
      <c r="K330" s="13">
        <v>100</v>
      </c>
      <c r="L330" s="5">
        <v>0</v>
      </c>
      <c r="M330" s="5">
        <v>3.2178899999999997</v>
      </c>
      <c r="N330" s="5"/>
      <c r="O330" s="5">
        <v>-6435.78</v>
      </c>
      <c r="P330" s="3">
        <v>-1</v>
      </c>
      <c r="Q330" s="9">
        <f t="shared" si="5"/>
        <v>399521.76256349677</v>
      </c>
      <c r="R330" s="5" t="str">
        <f>TEXT(Table1[[#This Row],[Closing Date]],"yyyy")</f>
        <v>2023</v>
      </c>
      <c r="S330" s="5" t="str">
        <f>TEXT(Table1[[#This Row],[Closing Date]],"mmmm")</f>
        <v>November</v>
      </c>
      <c r="T330" s="5" t="s">
        <v>240</v>
      </c>
      <c r="U330" s="5" t="s">
        <v>301</v>
      </c>
    </row>
    <row r="331" spans="2:21" x14ac:dyDescent="0.25">
      <c r="B331" t="s">
        <v>201</v>
      </c>
      <c r="C331" t="s">
        <v>303</v>
      </c>
      <c r="D331" t="s">
        <v>16</v>
      </c>
      <c r="E331" t="s">
        <v>7</v>
      </c>
      <c r="F331" s="5"/>
      <c r="G331" s="7">
        <v>45257</v>
      </c>
      <c r="H331" t="s">
        <v>114</v>
      </c>
      <c r="I331">
        <v>4200</v>
      </c>
      <c r="J331" s="5">
        <v>99050</v>
      </c>
      <c r="L331" s="5">
        <v>123131.4</v>
      </c>
      <c r="M331" s="5">
        <v>23.583333333333332</v>
      </c>
      <c r="N331" s="5">
        <v>29.317</v>
      </c>
      <c r="O331" s="5">
        <v>24081.399999999994</v>
      </c>
      <c r="P331" s="3">
        <v>0.24312367491166073</v>
      </c>
      <c r="Q331" s="9">
        <f t="shared" si="5"/>
        <v>423603.16256349673</v>
      </c>
      <c r="R331" s="5" t="str">
        <f>TEXT(Table1[[#This Row],[Closing Date]],"yyyy")</f>
        <v>2023</v>
      </c>
      <c r="S331" s="5" t="str">
        <f>TEXT(Table1[[#This Row],[Closing Date]],"mmmm")</f>
        <v>November</v>
      </c>
      <c r="T331" s="5" t="s">
        <v>240</v>
      </c>
      <c r="U331" s="5" t="s">
        <v>301</v>
      </c>
    </row>
    <row r="332" spans="2:21" x14ac:dyDescent="0.25">
      <c r="B332" t="s">
        <v>201</v>
      </c>
      <c r="C332" t="s">
        <v>303</v>
      </c>
      <c r="D332" t="s">
        <v>16</v>
      </c>
      <c r="E332" t="s">
        <v>7</v>
      </c>
      <c r="F332" s="5"/>
      <c r="G332" s="7">
        <v>45258</v>
      </c>
      <c r="H332" t="s">
        <v>161</v>
      </c>
      <c r="I332">
        <v>990</v>
      </c>
      <c r="J332" s="5">
        <v>127912.95</v>
      </c>
      <c r="L332" s="5">
        <v>128035.09</v>
      </c>
      <c r="M332" s="5">
        <v>129.20499999999998</v>
      </c>
      <c r="N332" s="5">
        <v>129.32837373737374</v>
      </c>
      <c r="O332" s="5">
        <v>122.13999999999942</v>
      </c>
      <c r="P332" s="3">
        <v>9.548681349308215E-4</v>
      </c>
      <c r="Q332" s="9">
        <f t="shared" si="5"/>
        <v>423725.30256349675</v>
      </c>
      <c r="R332" s="5" t="str">
        <f>TEXT(Table1[[#This Row],[Closing Date]],"yyyy")</f>
        <v>2023</v>
      </c>
      <c r="S332" s="5" t="str">
        <f>TEXT(Table1[[#This Row],[Closing Date]],"mmmm")</f>
        <v>November</v>
      </c>
      <c r="T332" s="5" t="s">
        <v>240</v>
      </c>
      <c r="U332" s="5" t="s">
        <v>301</v>
      </c>
    </row>
    <row r="333" spans="2:21" x14ac:dyDescent="0.25">
      <c r="B333" t="s">
        <v>201</v>
      </c>
      <c r="C333" t="s">
        <v>303</v>
      </c>
      <c r="D333" t="s">
        <v>16</v>
      </c>
      <c r="E333" t="s">
        <v>7</v>
      </c>
      <c r="F333" s="5"/>
      <c r="G333" s="7">
        <v>45258</v>
      </c>
      <c r="H333" t="s">
        <v>150</v>
      </c>
      <c r="I333">
        <v>6500</v>
      </c>
      <c r="J333" s="5">
        <v>228091.5</v>
      </c>
      <c r="L333" s="5">
        <v>249427.75</v>
      </c>
      <c r="M333" s="5">
        <v>35.091000000000001</v>
      </c>
      <c r="N333" s="5">
        <v>38.3735</v>
      </c>
      <c r="O333" s="5">
        <v>21336.25</v>
      </c>
      <c r="P333" s="3">
        <v>9.3542503775896957E-2</v>
      </c>
      <c r="Q333" s="9">
        <f t="shared" si="5"/>
        <v>445061.55256349675</v>
      </c>
      <c r="R333" s="5" t="str">
        <f>TEXT(Table1[[#This Row],[Closing Date]],"yyyy")</f>
        <v>2023</v>
      </c>
      <c r="S333" s="5" t="str">
        <f>TEXT(Table1[[#This Row],[Closing Date]],"mmmm")</f>
        <v>November</v>
      </c>
      <c r="T333" s="5" t="s">
        <v>240</v>
      </c>
      <c r="U333" s="5" t="s">
        <v>301</v>
      </c>
    </row>
    <row r="334" spans="2:21" x14ac:dyDescent="0.25">
      <c r="B334" t="s">
        <v>201</v>
      </c>
      <c r="C334" t="s">
        <v>303</v>
      </c>
      <c r="D334" t="s">
        <v>16</v>
      </c>
      <c r="E334" t="s">
        <v>7</v>
      </c>
      <c r="F334" s="5"/>
      <c r="G334" s="7">
        <v>45259</v>
      </c>
      <c r="H334" t="s">
        <v>164</v>
      </c>
      <c r="I334">
        <v>600</v>
      </c>
      <c r="J334" s="5">
        <v>62750.57</v>
      </c>
      <c r="L334" s="5">
        <v>69358.36</v>
      </c>
      <c r="M334" s="5">
        <v>104.58428333333333</v>
      </c>
      <c r="N334" s="5">
        <v>115.59726666666667</v>
      </c>
      <c r="O334" s="5">
        <v>6607.7900000000009</v>
      </c>
      <c r="P334" s="3">
        <v>0.10530246976242608</v>
      </c>
      <c r="Q334" s="9">
        <f t="shared" si="5"/>
        <v>451669.34256349673</v>
      </c>
      <c r="R334" s="5" t="str">
        <f>TEXT(Table1[[#This Row],[Closing Date]],"yyyy")</f>
        <v>2023</v>
      </c>
      <c r="S334" s="5" t="str">
        <f>TEXT(Table1[[#This Row],[Closing Date]],"mmmm")</f>
        <v>November</v>
      </c>
      <c r="T334" s="5" t="s">
        <v>240</v>
      </c>
      <c r="U334" s="5" t="s">
        <v>301</v>
      </c>
    </row>
    <row r="335" spans="2:21" x14ac:dyDescent="0.25">
      <c r="B335" t="s">
        <v>201</v>
      </c>
      <c r="C335" t="s">
        <v>303</v>
      </c>
      <c r="D335" t="s">
        <v>16</v>
      </c>
      <c r="E335" t="s">
        <v>7</v>
      </c>
      <c r="F335" s="5"/>
      <c r="G335" s="7">
        <v>45260</v>
      </c>
      <c r="H335" t="s">
        <v>162</v>
      </c>
      <c r="I335">
        <v>500</v>
      </c>
      <c r="J335" s="5">
        <v>164562.32</v>
      </c>
      <c r="L335" s="5">
        <v>165124.35999999999</v>
      </c>
      <c r="M335" s="5">
        <v>329.12464</v>
      </c>
      <c r="N335" s="5">
        <v>330.24871999999999</v>
      </c>
      <c r="O335" s="5">
        <v>562.03999999997905</v>
      </c>
      <c r="P335" s="3">
        <v>3.4153626419460969E-3</v>
      </c>
      <c r="Q335" s="9">
        <f t="shared" si="5"/>
        <v>452231.38256349671</v>
      </c>
      <c r="R335" s="5" t="str">
        <f>TEXT(Table1[[#This Row],[Closing Date]],"yyyy")</f>
        <v>2023</v>
      </c>
      <c r="S335" s="5" t="str">
        <f>TEXT(Table1[[#This Row],[Closing Date]],"mmmm")</f>
        <v>November</v>
      </c>
      <c r="T335" s="5" t="s">
        <v>240</v>
      </c>
      <c r="U335" s="5" t="s">
        <v>301</v>
      </c>
    </row>
    <row r="336" spans="2:21" x14ac:dyDescent="0.25">
      <c r="B336" t="s">
        <v>201</v>
      </c>
      <c r="C336" t="s">
        <v>303</v>
      </c>
      <c r="D336" t="s">
        <v>16</v>
      </c>
      <c r="E336" t="s">
        <v>7</v>
      </c>
      <c r="F336" s="5"/>
      <c r="G336" s="7">
        <v>45260</v>
      </c>
      <c r="H336" t="s">
        <v>37</v>
      </c>
      <c r="I336">
        <v>680</v>
      </c>
      <c r="J336" s="5">
        <v>161166.79999999999</v>
      </c>
      <c r="L336" s="5">
        <v>163226.79999999999</v>
      </c>
      <c r="M336" s="5">
        <v>237.01</v>
      </c>
      <c r="N336" s="5">
        <v>240.03941176470587</v>
      </c>
      <c r="O336" s="5">
        <v>2060</v>
      </c>
      <c r="P336" s="3">
        <v>1.2781788805138528E-2</v>
      </c>
      <c r="Q336" s="9">
        <f t="shared" si="5"/>
        <v>454291.38256349671</v>
      </c>
      <c r="R336" s="5" t="str">
        <f>TEXT(Table1[[#This Row],[Closing Date]],"yyyy")</f>
        <v>2023</v>
      </c>
      <c r="S336" s="5" t="str">
        <f>TEXT(Table1[[#This Row],[Closing Date]],"mmmm")</f>
        <v>November</v>
      </c>
      <c r="T336" s="5" t="s">
        <v>240</v>
      </c>
      <c r="U336" s="5" t="s">
        <v>301</v>
      </c>
    </row>
    <row r="337" spans="2:21" x14ac:dyDescent="0.25">
      <c r="B337" t="s">
        <v>201</v>
      </c>
      <c r="C337" t="s">
        <v>303</v>
      </c>
      <c r="D337" t="s">
        <v>12</v>
      </c>
      <c r="E337" t="s">
        <v>7</v>
      </c>
      <c r="F337" s="5"/>
      <c r="G337" s="7">
        <v>45261</v>
      </c>
      <c r="H337" t="s">
        <v>89</v>
      </c>
      <c r="I337">
        <v>6</v>
      </c>
      <c r="J337" s="5">
        <v>540853.19999999995</v>
      </c>
      <c r="L337" s="5">
        <v>557836.80000000005</v>
      </c>
      <c r="M337" s="5">
        <v>1802.8439999999998</v>
      </c>
      <c r="N337" s="5">
        <v>1859.4560000000001</v>
      </c>
      <c r="O337" s="5">
        <v>16983.600000000093</v>
      </c>
      <c r="P337" s="3">
        <v>3.1401496746252207E-2</v>
      </c>
      <c r="Q337" s="9">
        <f t="shared" si="5"/>
        <v>471274.9825634968</v>
      </c>
      <c r="R337" s="5" t="str">
        <f>TEXT(Table1[[#This Row],[Closing Date]],"yyyy")</f>
        <v>2023</v>
      </c>
      <c r="S337" s="5" t="str">
        <f>TEXT(Table1[[#This Row],[Closing Date]],"mmmm")</f>
        <v>December</v>
      </c>
      <c r="T337" s="5" t="s">
        <v>240</v>
      </c>
      <c r="U337" s="5" t="s">
        <v>301</v>
      </c>
    </row>
    <row r="338" spans="2:21" x14ac:dyDescent="0.25">
      <c r="B338" t="s">
        <v>201</v>
      </c>
      <c r="C338" t="s">
        <v>303</v>
      </c>
      <c r="D338" t="s">
        <v>16</v>
      </c>
      <c r="E338" t="s">
        <v>5</v>
      </c>
      <c r="F338" s="5"/>
      <c r="G338" s="7">
        <v>45264</v>
      </c>
      <c r="H338" t="s">
        <v>146</v>
      </c>
      <c r="I338">
        <v>2600</v>
      </c>
      <c r="J338" s="5">
        <v>96605.61</v>
      </c>
      <c r="L338" s="5">
        <v>98111</v>
      </c>
      <c r="M338" s="5">
        <v>37.156003846153844</v>
      </c>
      <c r="N338" s="5">
        <v>37.734999999999999</v>
      </c>
      <c r="O338" s="5">
        <v>-1505.3899999999994</v>
      </c>
      <c r="P338" s="3">
        <v>-1.558284244569233E-2</v>
      </c>
      <c r="Q338" s="9">
        <f t="shared" si="5"/>
        <v>469769.59256349679</v>
      </c>
      <c r="R338" s="5" t="str">
        <f>TEXT(Table1[[#This Row],[Closing Date]],"yyyy")</f>
        <v>2023</v>
      </c>
      <c r="S338" s="5" t="str">
        <f>TEXT(Table1[[#This Row],[Closing Date]],"mmmm")</f>
        <v>December</v>
      </c>
      <c r="T338" s="5" t="s">
        <v>240</v>
      </c>
      <c r="U338" s="5" t="s">
        <v>301</v>
      </c>
    </row>
    <row r="339" spans="2:21" x14ac:dyDescent="0.25">
      <c r="B339" t="s">
        <v>201</v>
      </c>
      <c r="C339" t="s">
        <v>303</v>
      </c>
      <c r="D339" t="s">
        <v>16</v>
      </c>
      <c r="E339" t="s">
        <v>7</v>
      </c>
      <c r="F339" s="5"/>
      <c r="G339" s="7">
        <v>45264</v>
      </c>
      <c r="H339" t="s">
        <v>37</v>
      </c>
      <c r="I339">
        <v>100</v>
      </c>
      <c r="J339" s="5">
        <v>23888.5</v>
      </c>
      <c r="L339" s="5">
        <v>23603</v>
      </c>
      <c r="M339" s="5">
        <v>238.88499999999999</v>
      </c>
      <c r="N339" s="5">
        <v>236.03</v>
      </c>
      <c r="O339" s="5">
        <v>-285.5</v>
      </c>
      <c r="P339" s="3">
        <v>-1.1951357347677752E-2</v>
      </c>
      <c r="Q339" s="9">
        <f t="shared" si="5"/>
        <v>469484.09256349679</v>
      </c>
      <c r="R339" s="5" t="str">
        <f>TEXT(Table1[[#This Row],[Closing Date]],"yyyy")</f>
        <v>2023</v>
      </c>
      <c r="S339" s="5" t="str">
        <f>TEXT(Table1[[#This Row],[Closing Date]],"mmmm")</f>
        <v>December</v>
      </c>
      <c r="T339" s="5" t="s">
        <v>240</v>
      </c>
      <c r="U339" s="5" t="s">
        <v>301</v>
      </c>
    </row>
    <row r="340" spans="2:21" x14ac:dyDescent="0.25">
      <c r="B340" t="s">
        <v>201</v>
      </c>
      <c r="C340" t="s">
        <v>303</v>
      </c>
      <c r="D340" t="s">
        <v>16</v>
      </c>
      <c r="E340" t="s">
        <v>5</v>
      </c>
      <c r="F340" s="5"/>
      <c r="G340" s="7">
        <v>45265</v>
      </c>
      <c r="H340" t="s">
        <v>115</v>
      </c>
      <c r="I340">
        <v>10000</v>
      </c>
      <c r="J340" s="5">
        <v>137450.18</v>
      </c>
      <c r="L340" s="5">
        <v>145050</v>
      </c>
      <c r="M340" s="5">
        <v>13.745018</v>
      </c>
      <c r="N340" s="5">
        <v>14.505000000000001</v>
      </c>
      <c r="O340" s="5">
        <v>-7599.820000000007</v>
      </c>
      <c r="P340" s="3">
        <v>-5.5291451782747809E-2</v>
      </c>
      <c r="Q340" s="9">
        <f t="shared" si="5"/>
        <v>461884.27256349678</v>
      </c>
      <c r="R340" s="5" t="str">
        <f>TEXT(Table1[[#This Row],[Closing Date]],"yyyy")</f>
        <v>2023</v>
      </c>
      <c r="S340" s="5" t="str">
        <f>TEXT(Table1[[#This Row],[Closing Date]],"mmmm")</f>
        <v>December</v>
      </c>
      <c r="T340" s="5" t="s">
        <v>240</v>
      </c>
      <c r="U340" s="5" t="s">
        <v>301</v>
      </c>
    </row>
    <row r="341" spans="2:21" x14ac:dyDescent="0.25">
      <c r="B341" t="s">
        <v>201</v>
      </c>
      <c r="C341" t="s">
        <v>303</v>
      </c>
      <c r="D341" t="s">
        <v>16</v>
      </c>
      <c r="E341" t="s">
        <v>7</v>
      </c>
      <c r="F341" s="5"/>
      <c r="G341" s="7">
        <v>45265</v>
      </c>
      <c r="H341" t="s">
        <v>168</v>
      </c>
      <c r="I341">
        <v>3900</v>
      </c>
      <c r="J341" s="5">
        <v>127959</v>
      </c>
      <c r="L341" s="5">
        <v>120721.86</v>
      </c>
      <c r="M341" s="5">
        <v>32.81</v>
      </c>
      <c r="N341" s="5">
        <v>30.954323076923078</v>
      </c>
      <c r="O341" s="5">
        <v>-7237.1399999999994</v>
      </c>
      <c r="P341" s="3">
        <v>-5.655827257168311E-2</v>
      </c>
      <c r="Q341" s="9">
        <f t="shared" si="5"/>
        <v>454647.13256349677</v>
      </c>
      <c r="R341" s="5" t="str">
        <f>TEXT(Table1[[#This Row],[Closing Date]],"yyyy")</f>
        <v>2023</v>
      </c>
      <c r="S341" s="5" t="str">
        <f>TEXT(Table1[[#This Row],[Closing Date]],"mmmm")</f>
        <v>December</v>
      </c>
      <c r="T341" s="5" t="s">
        <v>240</v>
      </c>
      <c r="U341" s="5" t="s">
        <v>301</v>
      </c>
    </row>
    <row r="342" spans="2:21" x14ac:dyDescent="0.25">
      <c r="B342" t="s">
        <v>201</v>
      </c>
      <c r="C342" t="s">
        <v>303</v>
      </c>
      <c r="D342" t="s">
        <v>16</v>
      </c>
      <c r="E342" t="s">
        <v>7</v>
      </c>
      <c r="F342" s="5"/>
      <c r="G342" s="7">
        <v>45265</v>
      </c>
      <c r="H342" t="s">
        <v>165</v>
      </c>
      <c r="I342">
        <v>1560</v>
      </c>
      <c r="J342" s="5">
        <v>147864.95999999999</v>
      </c>
      <c r="L342" s="5">
        <v>149231.34</v>
      </c>
      <c r="M342" s="5">
        <v>94.785230769230765</v>
      </c>
      <c r="N342" s="5">
        <v>95.661115384615385</v>
      </c>
      <c r="O342" s="5">
        <v>1366.3800000000047</v>
      </c>
      <c r="P342" s="3">
        <v>9.2407288379884236E-3</v>
      </c>
      <c r="Q342" s="9">
        <f t="shared" si="5"/>
        <v>456013.51256349677</v>
      </c>
      <c r="R342" s="5" t="str">
        <f>TEXT(Table1[[#This Row],[Closing Date]],"yyyy")</f>
        <v>2023</v>
      </c>
      <c r="S342" s="5" t="str">
        <f>TEXT(Table1[[#This Row],[Closing Date]],"mmmm")</f>
        <v>December</v>
      </c>
      <c r="T342" s="5" t="s">
        <v>240</v>
      </c>
      <c r="U342" s="5" t="s">
        <v>301</v>
      </c>
    </row>
    <row r="343" spans="2:21" x14ac:dyDescent="0.25">
      <c r="B343" t="s">
        <v>201</v>
      </c>
      <c r="C343" t="s">
        <v>302</v>
      </c>
      <c r="D343" t="s">
        <v>16</v>
      </c>
      <c r="E343" t="s">
        <v>7</v>
      </c>
      <c r="F343" s="5"/>
      <c r="G343" s="7">
        <v>45266</v>
      </c>
      <c r="H343" t="s">
        <v>11</v>
      </c>
      <c r="I343">
        <v>450</v>
      </c>
      <c r="J343" s="5">
        <v>207423.95</v>
      </c>
      <c r="L343" s="5">
        <v>204912.55</v>
      </c>
      <c r="M343" s="5">
        <v>460.94211111111116</v>
      </c>
      <c r="N343" s="5">
        <v>455.36122222222218</v>
      </c>
      <c r="O343" s="5">
        <v>-2511.4000000000233</v>
      </c>
      <c r="P343" s="3">
        <v>-1.2107570027472831E-2</v>
      </c>
      <c r="Q343" s="9">
        <f t="shared" si="5"/>
        <v>453502.11256349675</v>
      </c>
      <c r="R343" s="5" t="str">
        <f>TEXT(Table1[[#This Row],[Closing Date]],"yyyy")</f>
        <v>2023</v>
      </c>
      <c r="S343" s="5" t="str">
        <f>TEXT(Table1[[#This Row],[Closing Date]],"mmmm")</f>
        <v>December</v>
      </c>
      <c r="T343" s="5" t="s">
        <v>240</v>
      </c>
      <c r="U343" s="5" t="s">
        <v>301</v>
      </c>
    </row>
    <row r="344" spans="2:21" x14ac:dyDescent="0.25">
      <c r="B344" t="s">
        <v>201</v>
      </c>
      <c r="C344" t="s">
        <v>303</v>
      </c>
      <c r="D344" t="s">
        <v>16</v>
      </c>
      <c r="E344" t="s">
        <v>7</v>
      </c>
      <c r="F344" s="5"/>
      <c r="G344" s="7">
        <v>45267</v>
      </c>
      <c r="H344" t="s">
        <v>167</v>
      </c>
      <c r="I344">
        <v>5000</v>
      </c>
      <c r="J344" s="5">
        <v>122876.73999999999</v>
      </c>
      <c r="L344" s="5">
        <v>115424.35</v>
      </c>
      <c r="M344" s="5">
        <v>24.575347999999998</v>
      </c>
      <c r="N344" s="5">
        <v>23.084870000000002</v>
      </c>
      <c r="O344" s="5">
        <v>-7452.3899999999849</v>
      </c>
      <c r="P344" s="3">
        <v>-6.0649314101269169E-2</v>
      </c>
      <c r="Q344" s="9">
        <f t="shared" si="5"/>
        <v>446049.72256349679</v>
      </c>
      <c r="R344" s="5" t="str">
        <f>TEXT(Table1[[#This Row],[Closing Date]],"yyyy")</f>
        <v>2023</v>
      </c>
      <c r="S344" s="5" t="str">
        <f>TEXT(Table1[[#This Row],[Closing Date]],"mmmm")</f>
        <v>December</v>
      </c>
      <c r="T344" s="5" t="s">
        <v>240</v>
      </c>
      <c r="U344" s="5" t="s">
        <v>301</v>
      </c>
    </row>
    <row r="345" spans="2:21" x14ac:dyDescent="0.25">
      <c r="B345" t="s">
        <v>201</v>
      </c>
      <c r="C345" t="s">
        <v>303</v>
      </c>
      <c r="D345" t="s">
        <v>16</v>
      </c>
      <c r="E345" t="s">
        <v>7</v>
      </c>
      <c r="F345" s="5"/>
      <c r="G345" s="7">
        <v>45268</v>
      </c>
      <c r="H345" t="s">
        <v>166</v>
      </c>
      <c r="I345">
        <v>4000</v>
      </c>
      <c r="J345" s="5">
        <v>137577.45000000001</v>
      </c>
      <c r="L345" s="5">
        <v>129708.36</v>
      </c>
      <c r="M345" s="5">
        <v>34.3943625</v>
      </c>
      <c r="N345" s="5">
        <v>32.42709</v>
      </c>
      <c r="O345" s="5">
        <v>-7869.0900000000111</v>
      </c>
      <c r="P345" s="3">
        <v>-5.719752764715446E-2</v>
      </c>
      <c r="Q345" s="9">
        <f t="shared" si="5"/>
        <v>438180.63256349677</v>
      </c>
      <c r="R345" s="5" t="str">
        <f>TEXT(Table1[[#This Row],[Closing Date]],"yyyy")</f>
        <v>2023</v>
      </c>
      <c r="S345" s="5" t="str">
        <f>TEXT(Table1[[#This Row],[Closing Date]],"mmmm")</f>
        <v>December</v>
      </c>
      <c r="T345" s="5" t="s">
        <v>240</v>
      </c>
      <c r="U345" s="5" t="s">
        <v>301</v>
      </c>
    </row>
    <row r="346" spans="2:21" x14ac:dyDescent="0.25">
      <c r="B346" t="s">
        <v>197</v>
      </c>
      <c r="C346" t="s">
        <v>303</v>
      </c>
      <c r="D346" t="s">
        <v>102</v>
      </c>
      <c r="E346" t="s">
        <v>7</v>
      </c>
      <c r="F346" s="5"/>
      <c r="G346" s="7">
        <v>45273</v>
      </c>
      <c r="H346" t="s">
        <v>13</v>
      </c>
      <c r="I346">
        <v>270</v>
      </c>
      <c r="J346" s="5">
        <v>78064.740000000005</v>
      </c>
      <c r="K346" s="13">
        <v>100</v>
      </c>
      <c r="L346" s="5">
        <v>71447.86</v>
      </c>
      <c r="M346" s="5">
        <v>4.5047700000000006</v>
      </c>
      <c r="N346" s="5">
        <v>3.2476299999999996</v>
      </c>
      <c r="O346" s="5">
        <v>-6616.8800000000047</v>
      </c>
      <c r="P346" s="3">
        <v>-0.27906863169484808</v>
      </c>
      <c r="Q346" s="9">
        <f t="shared" si="5"/>
        <v>431563.75256349676</v>
      </c>
      <c r="R346" s="5" t="str">
        <f>TEXT(Table1[[#This Row],[Closing Date]],"yyyy")</f>
        <v>2023</v>
      </c>
      <c r="S346" s="5" t="str">
        <f>TEXT(Table1[[#This Row],[Closing Date]],"mmmm")</f>
        <v>December</v>
      </c>
      <c r="T346" s="5" t="s">
        <v>240</v>
      </c>
      <c r="U346" s="5" t="s">
        <v>301</v>
      </c>
    </row>
    <row r="347" spans="2:21" x14ac:dyDescent="0.25">
      <c r="B347" t="s">
        <v>197</v>
      </c>
      <c r="C347" t="s">
        <v>303</v>
      </c>
      <c r="D347" t="s">
        <v>99</v>
      </c>
      <c r="E347" t="s">
        <v>7</v>
      </c>
      <c r="F347" s="5"/>
      <c r="G347" s="7">
        <v>45273</v>
      </c>
      <c r="H347" t="s">
        <v>92</v>
      </c>
      <c r="I347">
        <v>4</v>
      </c>
      <c r="J347" s="5">
        <v>7369.48</v>
      </c>
      <c r="K347" s="13">
        <v>100</v>
      </c>
      <c r="L347" s="5">
        <v>12490.52</v>
      </c>
      <c r="M347" s="5">
        <v>18.4237</v>
      </c>
      <c r="N347" s="5">
        <v>31.226300000000002</v>
      </c>
      <c r="O347" s="5">
        <v>5121.0400000000009</v>
      </c>
      <c r="P347" s="3">
        <v>0.69489841888437187</v>
      </c>
      <c r="Q347" s="9">
        <f t="shared" si="5"/>
        <v>436684.79256349674</v>
      </c>
      <c r="R347" s="5" t="str">
        <f>TEXT(Table1[[#This Row],[Closing Date]],"yyyy")</f>
        <v>2023</v>
      </c>
      <c r="S347" s="5" t="str">
        <f>TEXT(Table1[[#This Row],[Closing Date]],"mmmm")</f>
        <v>December</v>
      </c>
      <c r="T347" s="5" t="s">
        <v>240</v>
      </c>
      <c r="U347" s="5" t="s">
        <v>301</v>
      </c>
    </row>
    <row r="348" spans="2:21" x14ac:dyDescent="0.25">
      <c r="B348" t="s">
        <v>201</v>
      </c>
      <c r="C348" t="s">
        <v>306</v>
      </c>
      <c r="D348" t="s">
        <v>4</v>
      </c>
      <c r="E348" t="s">
        <v>7</v>
      </c>
      <c r="F348" s="5"/>
      <c r="G348" s="7">
        <v>45273</v>
      </c>
      <c r="H348" t="s">
        <v>134</v>
      </c>
      <c r="I348">
        <v>270000</v>
      </c>
      <c r="J348" s="5">
        <v>5124513.5999999996</v>
      </c>
      <c r="L348" s="5">
        <v>5075478.17</v>
      </c>
      <c r="M348" s="5">
        <v>18.979679999999998</v>
      </c>
      <c r="N348" s="5">
        <v>18.798067296296296</v>
      </c>
      <c r="O348" s="5">
        <v>-2608</v>
      </c>
      <c r="P348" s="3">
        <v>-9.6592592592592598E-3</v>
      </c>
      <c r="Q348" s="9">
        <f t="shared" si="5"/>
        <v>434076.79256349674</v>
      </c>
      <c r="R348" s="5" t="str">
        <f>TEXT(Table1[[#This Row],[Closing Date]],"yyyy")</f>
        <v>2023</v>
      </c>
      <c r="S348" s="5" t="str">
        <f>TEXT(Table1[[#This Row],[Closing Date]],"mmmm")</f>
        <v>December</v>
      </c>
      <c r="T348" s="5" t="s">
        <v>240</v>
      </c>
      <c r="U348" s="5" t="s">
        <v>301</v>
      </c>
    </row>
    <row r="349" spans="2:21" x14ac:dyDescent="0.25">
      <c r="B349" t="s">
        <v>201</v>
      </c>
      <c r="C349" t="s">
        <v>303</v>
      </c>
      <c r="D349" t="s">
        <v>16</v>
      </c>
      <c r="E349" t="s">
        <v>7</v>
      </c>
      <c r="F349" s="5"/>
      <c r="G349" s="7">
        <v>45274</v>
      </c>
      <c r="H349" t="s">
        <v>170</v>
      </c>
      <c r="I349">
        <v>4800</v>
      </c>
      <c r="J349" s="5">
        <v>166416</v>
      </c>
      <c r="L349" s="5">
        <v>182373.84</v>
      </c>
      <c r="M349" s="5">
        <v>34.67</v>
      </c>
      <c r="N349" s="5">
        <v>37.994549999999997</v>
      </c>
      <c r="O349" s="5">
        <v>15957.839999999997</v>
      </c>
      <c r="P349" s="3">
        <v>9.5891260455725394E-2</v>
      </c>
      <c r="Q349" s="9">
        <f t="shared" si="5"/>
        <v>450034.63256349671</v>
      </c>
      <c r="R349" s="5" t="str">
        <f>TEXT(Table1[[#This Row],[Closing Date]],"yyyy")</f>
        <v>2023</v>
      </c>
      <c r="S349" s="5" t="str">
        <f>TEXT(Table1[[#This Row],[Closing Date]],"mmmm")</f>
        <v>December</v>
      </c>
      <c r="T349" s="5" t="s">
        <v>240</v>
      </c>
      <c r="U349" s="5" t="s">
        <v>301</v>
      </c>
    </row>
    <row r="350" spans="2:21" x14ac:dyDescent="0.25">
      <c r="B350" t="s">
        <v>201</v>
      </c>
      <c r="C350" t="s">
        <v>303</v>
      </c>
      <c r="D350" t="s">
        <v>16</v>
      </c>
      <c r="E350" t="s">
        <v>7</v>
      </c>
      <c r="F350" s="5"/>
      <c r="G350" s="7">
        <v>45274</v>
      </c>
      <c r="H350" t="s">
        <v>142</v>
      </c>
      <c r="I350">
        <v>3900</v>
      </c>
      <c r="J350" s="5">
        <v>155451.78</v>
      </c>
      <c r="L350" s="5">
        <v>176290.04</v>
      </c>
      <c r="M350" s="5">
        <v>39.859430769230769</v>
      </c>
      <c r="N350" s="5">
        <v>45.20257435897436</v>
      </c>
      <c r="O350" s="5">
        <v>20838.260000000009</v>
      </c>
      <c r="P350" s="3">
        <v>0.13404967122280625</v>
      </c>
      <c r="Q350" s="9">
        <f t="shared" si="5"/>
        <v>470872.89256349672</v>
      </c>
      <c r="R350" s="5" t="str">
        <f>TEXT(Table1[[#This Row],[Closing Date]],"yyyy")</f>
        <v>2023</v>
      </c>
      <c r="S350" s="5" t="str">
        <f>TEXT(Table1[[#This Row],[Closing Date]],"mmmm")</f>
        <v>December</v>
      </c>
      <c r="T350" s="5" t="s">
        <v>240</v>
      </c>
      <c r="U350" s="5" t="s">
        <v>301</v>
      </c>
    </row>
    <row r="351" spans="2:21" x14ac:dyDescent="0.25">
      <c r="B351" t="s">
        <v>201</v>
      </c>
      <c r="C351" t="s">
        <v>303</v>
      </c>
      <c r="D351" t="s">
        <v>16</v>
      </c>
      <c r="E351" t="s">
        <v>7</v>
      </c>
      <c r="F351" s="5"/>
      <c r="G351" s="7">
        <v>45274</v>
      </c>
      <c r="H351" t="s">
        <v>169</v>
      </c>
      <c r="I351">
        <v>6650</v>
      </c>
      <c r="J351" s="5">
        <v>238850</v>
      </c>
      <c r="L351" s="5">
        <v>288811.5</v>
      </c>
      <c r="M351" s="5">
        <v>35.917293233082709</v>
      </c>
      <c r="N351" s="5">
        <v>43.430300751879699</v>
      </c>
      <c r="O351" s="5">
        <v>49961.5</v>
      </c>
      <c r="P351" s="3">
        <v>0.20917521456981369</v>
      </c>
      <c r="Q351" s="9">
        <f t="shared" si="5"/>
        <v>520834.39256349672</v>
      </c>
      <c r="R351" s="5" t="str">
        <f>TEXT(Table1[[#This Row],[Closing Date]],"yyyy")</f>
        <v>2023</v>
      </c>
      <c r="S351" s="5" t="str">
        <f>TEXT(Table1[[#This Row],[Closing Date]],"mmmm")</f>
        <v>December</v>
      </c>
      <c r="T351" s="5" t="s">
        <v>240</v>
      </c>
      <c r="U351" s="5" t="s">
        <v>301</v>
      </c>
    </row>
    <row r="352" spans="2:21" x14ac:dyDescent="0.25">
      <c r="B352" t="s">
        <v>201</v>
      </c>
      <c r="C352" t="s">
        <v>305</v>
      </c>
      <c r="D352" t="s">
        <v>16</v>
      </c>
      <c r="E352" t="s">
        <v>7</v>
      </c>
      <c r="F352" s="5"/>
      <c r="G352" s="7">
        <v>45274</v>
      </c>
      <c r="H352" t="s">
        <v>196</v>
      </c>
      <c r="I352">
        <v>2400</v>
      </c>
      <c r="J352" s="5">
        <v>148042.25</v>
      </c>
      <c r="L352" s="5">
        <v>147925.35999999999</v>
      </c>
      <c r="M352" s="5">
        <v>61.684270833333336</v>
      </c>
      <c r="N352" s="5">
        <v>61.635566666666662</v>
      </c>
      <c r="O352" s="5">
        <v>-116.89000000001397</v>
      </c>
      <c r="P352" s="3">
        <v>-7.8957189586090432E-4</v>
      </c>
      <c r="Q352" s="9">
        <f t="shared" si="5"/>
        <v>520717.5025634967</v>
      </c>
      <c r="R352" s="5" t="str">
        <f>TEXT(Table1[[#This Row],[Closing Date]],"yyyy")</f>
        <v>2023</v>
      </c>
      <c r="S352" s="5" t="str">
        <f>TEXT(Table1[[#This Row],[Closing Date]],"mmmm")</f>
        <v>December</v>
      </c>
      <c r="T352" s="5" t="s">
        <v>240</v>
      </c>
      <c r="U352" s="5" t="s">
        <v>301</v>
      </c>
    </row>
    <row r="353" spans="2:21" x14ac:dyDescent="0.25">
      <c r="B353" t="s">
        <v>197</v>
      </c>
      <c r="C353" t="s">
        <v>302</v>
      </c>
      <c r="D353" t="s">
        <v>106</v>
      </c>
      <c r="E353" t="s">
        <v>5</v>
      </c>
      <c r="F353" s="5"/>
      <c r="G353" s="7">
        <v>45275</v>
      </c>
      <c r="H353" t="s">
        <v>105</v>
      </c>
      <c r="I353">
        <v>20</v>
      </c>
      <c r="J353" s="5">
        <v>-4672.33</v>
      </c>
      <c r="K353" s="13">
        <v>100</v>
      </c>
      <c r="L353" s="5">
        <v>-12498.03</v>
      </c>
      <c r="M353" s="5">
        <v>-2.3361649999999998</v>
      </c>
      <c r="N353" s="5">
        <v>-6.2490150000000009</v>
      </c>
      <c r="O353" s="5">
        <v>-7825.7000000000007</v>
      </c>
      <c r="P353" s="3">
        <v>-1.6749030997382468</v>
      </c>
      <c r="Q353" s="9">
        <f t="shared" si="5"/>
        <v>512891.80256349669</v>
      </c>
      <c r="R353" s="5" t="str">
        <f>TEXT(Table1[[#This Row],[Closing Date]],"yyyy")</f>
        <v>2023</v>
      </c>
      <c r="S353" s="5" t="str">
        <f>TEXT(Table1[[#This Row],[Closing Date]],"mmmm")</f>
        <v>December</v>
      </c>
      <c r="T353" s="5" t="s">
        <v>240</v>
      </c>
      <c r="U353" s="5" t="s">
        <v>301</v>
      </c>
    </row>
    <row r="354" spans="2:21" x14ac:dyDescent="0.25">
      <c r="B354" t="s">
        <v>197</v>
      </c>
      <c r="C354" t="s">
        <v>302</v>
      </c>
      <c r="D354" t="s">
        <v>106</v>
      </c>
      <c r="E354" t="s">
        <v>7</v>
      </c>
      <c r="F354" s="5"/>
      <c r="G354" s="7">
        <v>45275</v>
      </c>
      <c r="H354" t="s">
        <v>107</v>
      </c>
      <c r="I354">
        <v>12</v>
      </c>
      <c r="J354" s="5">
        <v>-4327.34</v>
      </c>
      <c r="K354" s="13">
        <v>100</v>
      </c>
      <c r="L354" s="5">
        <v>-2650.64</v>
      </c>
      <c r="M354" s="5">
        <v>-3.6061166666666669</v>
      </c>
      <c r="N354" s="5">
        <v>-2.2088666666666668</v>
      </c>
      <c r="O354" s="5">
        <v>1676.7000000000003</v>
      </c>
      <c r="P354" s="3">
        <v>0.38746666543419284</v>
      </c>
      <c r="Q354" s="9">
        <f t="shared" si="5"/>
        <v>514568.5025634967</v>
      </c>
      <c r="R354" s="5" t="str">
        <f>TEXT(Table1[[#This Row],[Closing Date]],"yyyy")</f>
        <v>2023</v>
      </c>
      <c r="S354" s="5" t="str">
        <f>TEXT(Table1[[#This Row],[Closing Date]],"mmmm")</f>
        <v>December</v>
      </c>
      <c r="T354" s="5" t="s">
        <v>240</v>
      </c>
      <c r="U354" s="5" t="s">
        <v>301</v>
      </c>
    </row>
    <row r="355" spans="2:21" x14ac:dyDescent="0.25">
      <c r="B355" t="s">
        <v>201</v>
      </c>
      <c r="C355" t="s">
        <v>303</v>
      </c>
      <c r="D355" t="s">
        <v>16</v>
      </c>
      <c r="E355" t="s">
        <v>7</v>
      </c>
      <c r="F355" s="5"/>
      <c r="G355" s="7">
        <v>45276</v>
      </c>
      <c r="H355" t="s">
        <v>145</v>
      </c>
      <c r="I355">
        <v>3200</v>
      </c>
      <c r="J355" s="5">
        <v>85616</v>
      </c>
      <c r="L355" s="5">
        <v>89184.47</v>
      </c>
      <c r="M355" s="5">
        <v>26.754999999999999</v>
      </c>
      <c r="N355" s="5">
        <v>27.870146875</v>
      </c>
      <c r="O355" s="5">
        <v>3568.4700000000012</v>
      </c>
      <c r="P355" s="3">
        <v>4.167994300130818E-2</v>
      </c>
      <c r="Q355" s="9">
        <f t="shared" si="5"/>
        <v>518136.97256349667</v>
      </c>
      <c r="R355" s="5" t="str">
        <f>TEXT(Table1[[#This Row],[Closing Date]],"yyyy")</f>
        <v>2023</v>
      </c>
      <c r="S355" s="5" t="str">
        <f>TEXT(Table1[[#This Row],[Closing Date]],"mmmm")</f>
        <v>December</v>
      </c>
      <c r="T355" s="5" t="s">
        <v>240</v>
      </c>
      <c r="U355" s="5" t="s">
        <v>301</v>
      </c>
    </row>
    <row r="356" spans="2:21" x14ac:dyDescent="0.25">
      <c r="B356" t="s">
        <v>201</v>
      </c>
      <c r="C356" t="s">
        <v>303</v>
      </c>
      <c r="D356" t="s">
        <v>16</v>
      </c>
      <c r="E356" t="s">
        <v>7</v>
      </c>
      <c r="F356" s="5"/>
      <c r="G356" s="7">
        <v>45279</v>
      </c>
      <c r="H356" t="s">
        <v>171</v>
      </c>
      <c r="I356">
        <v>1000</v>
      </c>
      <c r="J356" s="5">
        <v>146449.5</v>
      </c>
      <c r="L356" s="5">
        <v>146442.18</v>
      </c>
      <c r="M356" s="5">
        <v>146.4495</v>
      </c>
      <c r="N356" s="5">
        <v>146.44217999999998</v>
      </c>
      <c r="O356" s="5">
        <v>-7.3200000000069849</v>
      </c>
      <c r="P356" s="3">
        <v>-4.9983099976490085E-5</v>
      </c>
      <c r="Q356" s="9">
        <f t="shared" si="5"/>
        <v>518129.65256349667</v>
      </c>
      <c r="R356" s="5" t="str">
        <f>TEXT(Table1[[#This Row],[Closing Date]],"yyyy")</f>
        <v>2023</v>
      </c>
      <c r="S356" s="5" t="str">
        <f>TEXT(Table1[[#This Row],[Closing Date]],"mmmm")</f>
        <v>December</v>
      </c>
      <c r="T356" s="5" t="s">
        <v>240</v>
      </c>
      <c r="U356" s="5" t="s">
        <v>301</v>
      </c>
    </row>
    <row r="357" spans="2:21" x14ac:dyDescent="0.25">
      <c r="B357" t="s">
        <v>201</v>
      </c>
      <c r="C357" t="s">
        <v>303</v>
      </c>
      <c r="D357" t="s">
        <v>16</v>
      </c>
      <c r="E357" t="s">
        <v>7</v>
      </c>
      <c r="F357" s="5"/>
      <c r="G357" s="7">
        <v>45281</v>
      </c>
      <c r="H357" t="s">
        <v>115</v>
      </c>
      <c r="I357">
        <v>8400</v>
      </c>
      <c r="J357" s="5">
        <v>140308.29</v>
      </c>
      <c r="L357" s="5">
        <v>142787.29</v>
      </c>
      <c r="M357" s="5">
        <v>16.703367857142858</v>
      </c>
      <c r="N357" s="5">
        <v>16.998486904761904</v>
      </c>
      <c r="O357" s="5">
        <v>-2479</v>
      </c>
      <c r="P357" s="3">
        <v>-1.7668236139147586E-2</v>
      </c>
      <c r="Q357" s="9">
        <f t="shared" si="5"/>
        <v>515650.65256349667</v>
      </c>
      <c r="R357" s="5" t="str">
        <f>TEXT(Table1[[#This Row],[Closing Date]],"yyyy")</f>
        <v>2023</v>
      </c>
      <c r="S357" s="5" t="str">
        <f>TEXT(Table1[[#This Row],[Closing Date]],"mmmm")</f>
        <v>December</v>
      </c>
      <c r="T357" s="5" t="s">
        <v>240</v>
      </c>
      <c r="U357" s="5" t="s">
        <v>301</v>
      </c>
    </row>
    <row r="358" spans="2:21" x14ac:dyDescent="0.25">
      <c r="B358" t="s">
        <v>201</v>
      </c>
      <c r="C358" t="s">
        <v>306</v>
      </c>
      <c r="D358" t="s">
        <v>16</v>
      </c>
      <c r="E358" t="s">
        <v>7</v>
      </c>
      <c r="F358" s="5"/>
      <c r="G358" s="7">
        <v>45281</v>
      </c>
      <c r="H358" t="s">
        <v>172</v>
      </c>
      <c r="I358">
        <v>1400</v>
      </c>
      <c r="J358" s="5">
        <v>292937.15000000002</v>
      </c>
      <c r="L358" s="5">
        <v>303089.15000000002</v>
      </c>
      <c r="M358" s="5">
        <v>209.24082142857145</v>
      </c>
      <c r="N358" s="5">
        <v>216.49225000000001</v>
      </c>
      <c r="O358" s="5">
        <v>-10152</v>
      </c>
      <c r="P358" s="3">
        <v>-3.4655898031369523E-2</v>
      </c>
      <c r="Q358" s="9">
        <f t="shared" si="5"/>
        <v>505498.65256349667</v>
      </c>
      <c r="R358" s="5" t="str">
        <f>TEXT(Table1[[#This Row],[Closing Date]],"yyyy")</f>
        <v>2023</v>
      </c>
      <c r="S358" s="5" t="str">
        <f>TEXT(Table1[[#This Row],[Closing Date]],"mmmm")</f>
        <v>December</v>
      </c>
      <c r="T358" s="5" t="s">
        <v>240</v>
      </c>
      <c r="U358" s="5" t="s">
        <v>301</v>
      </c>
    </row>
    <row r="359" spans="2:21" x14ac:dyDescent="0.25">
      <c r="B359" t="s">
        <v>201</v>
      </c>
      <c r="C359" t="s">
        <v>303</v>
      </c>
      <c r="D359" t="s">
        <v>16</v>
      </c>
      <c r="E359" t="s">
        <v>7</v>
      </c>
      <c r="F359" s="5"/>
      <c r="G359" s="7">
        <v>45282</v>
      </c>
      <c r="H359" t="s">
        <v>72</v>
      </c>
      <c r="I359">
        <v>500</v>
      </c>
      <c r="J359" s="5">
        <v>157097.5</v>
      </c>
      <c r="L359" s="5">
        <v>148832.34</v>
      </c>
      <c r="M359" s="5">
        <v>314.19499999999999</v>
      </c>
      <c r="N359" s="5">
        <v>297.66467999999998</v>
      </c>
      <c r="O359" s="5">
        <v>-8265.1600000000035</v>
      </c>
      <c r="P359" s="3">
        <v>-5.2611658365028111E-2</v>
      </c>
      <c r="Q359" s="9">
        <f t="shared" si="5"/>
        <v>497233.49256349669</v>
      </c>
      <c r="R359" s="5" t="str">
        <f>TEXT(Table1[[#This Row],[Closing Date]],"yyyy")</f>
        <v>2023</v>
      </c>
      <c r="S359" s="5" t="str">
        <f>TEXT(Table1[[#This Row],[Closing Date]],"mmmm")</f>
        <v>December</v>
      </c>
      <c r="T359" s="5" t="s">
        <v>240</v>
      </c>
      <c r="U359" s="5" t="s">
        <v>301</v>
      </c>
    </row>
    <row r="360" spans="2:21" x14ac:dyDescent="0.25">
      <c r="B360" t="s">
        <v>201</v>
      </c>
      <c r="C360" t="s">
        <v>303</v>
      </c>
      <c r="D360" t="s">
        <v>16</v>
      </c>
      <c r="E360" t="s">
        <v>7</v>
      </c>
      <c r="F360" s="5"/>
      <c r="G360" s="7">
        <v>45282</v>
      </c>
      <c r="H360" t="s">
        <v>37</v>
      </c>
      <c r="I360">
        <v>1950</v>
      </c>
      <c r="J360" s="5">
        <v>495094.9</v>
      </c>
      <c r="L360" s="5">
        <v>492283.8</v>
      </c>
      <c r="M360" s="5">
        <v>253.89482051282053</v>
      </c>
      <c r="N360" s="5">
        <v>252.45323076923077</v>
      </c>
      <c r="O360" s="5">
        <v>-2811.1000000000349</v>
      </c>
      <c r="P360" s="3">
        <v>-5.6779013478022791E-3</v>
      </c>
      <c r="Q360" s="9">
        <f t="shared" si="5"/>
        <v>494422.39256349666</v>
      </c>
      <c r="R360" s="5" t="str">
        <f>TEXT(Table1[[#This Row],[Closing Date]],"yyyy")</f>
        <v>2023</v>
      </c>
      <c r="S360" s="5" t="str">
        <f>TEXT(Table1[[#This Row],[Closing Date]],"mmmm")</f>
        <v>December</v>
      </c>
      <c r="T360" s="5" t="s">
        <v>240</v>
      </c>
      <c r="U360" s="5" t="s">
        <v>301</v>
      </c>
    </row>
    <row r="361" spans="2:21" x14ac:dyDescent="0.25">
      <c r="B361" t="s">
        <v>201</v>
      </c>
      <c r="C361" t="s">
        <v>302</v>
      </c>
      <c r="D361" t="s">
        <v>12</v>
      </c>
      <c r="E361" t="s">
        <v>7</v>
      </c>
      <c r="F361" s="5"/>
      <c r="G361" s="7">
        <v>45287</v>
      </c>
      <c r="H361" t="s">
        <v>86</v>
      </c>
      <c r="I361">
        <v>100</v>
      </c>
      <c r="J361" s="5">
        <v>389557</v>
      </c>
      <c r="L361" s="5">
        <v>382142</v>
      </c>
      <c r="M361" s="5">
        <v>3.8955700000000002</v>
      </c>
      <c r="N361" s="5">
        <v>38.214199999999998</v>
      </c>
      <c r="O361" s="5">
        <v>-7415</v>
      </c>
      <c r="P361" s="3">
        <v>-1.9034441686325749E-2</v>
      </c>
      <c r="Q361" s="9">
        <f t="shared" si="5"/>
        <v>487007.39256349666</v>
      </c>
      <c r="R361" s="5" t="str">
        <f>TEXT(Table1[[#This Row],[Closing Date]],"yyyy")</f>
        <v>2023</v>
      </c>
      <c r="S361" s="5" t="str">
        <f>TEXT(Table1[[#This Row],[Closing Date]],"mmmm")</f>
        <v>December</v>
      </c>
      <c r="T361" s="5" t="s">
        <v>240</v>
      </c>
      <c r="U361" s="5" t="s">
        <v>301</v>
      </c>
    </row>
    <row r="362" spans="2:21" x14ac:dyDescent="0.25">
      <c r="B362" t="s">
        <v>201</v>
      </c>
      <c r="C362" t="s">
        <v>303</v>
      </c>
      <c r="D362" t="s">
        <v>16</v>
      </c>
      <c r="E362" t="s">
        <v>7</v>
      </c>
      <c r="F362" s="5"/>
      <c r="G362" s="7">
        <v>45289</v>
      </c>
      <c r="H362" t="s">
        <v>173</v>
      </c>
      <c r="I362">
        <v>25000</v>
      </c>
      <c r="J362" s="5">
        <v>541504</v>
      </c>
      <c r="L362" s="5">
        <v>524120.48</v>
      </c>
      <c r="M362" s="5">
        <v>21.660160000000001</v>
      </c>
      <c r="N362" s="5">
        <v>20.964819200000001</v>
      </c>
      <c r="O362" s="5">
        <v>-17383.520000000019</v>
      </c>
      <c r="P362" s="3">
        <v>-3.2102292873182871E-2</v>
      </c>
      <c r="Q362" s="9">
        <f t="shared" si="5"/>
        <v>469623.87256349664</v>
      </c>
      <c r="R362" s="5" t="str">
        <f>TEXT(Table1[[#This Row],[Closing Date]],"yyyy")</f>
        <v>2023</v>
      </c>
      <c r="S362" s="5" t="str">
        <f>TEXT(Table1[[#This Row],[Closing Date]],"mmmm")</f>
        <v>December</v>
      </c>
      <c r="T362" s="5" t="s">
        <v>240</v>
      </c>
      <c r="U362" s="5" t="s">
        <v>301</v>
      </c>
    </row>
    <row r="363" spans="2:21" x14ac:dyDescent="0.25">
      <c r="B363" t="s">
        <v>201</v>
      </c>
      <c r="C363" t="s">
        <v>303</v>
      </c>
      <c r="D363" t="s">
        <v>16</v>
      </c>
      <c r="E363" t="s">
        <v>7</v>
      </c>
      <c r="F363" s="5"/>
      <c r="G363" s="7">
        <v>45289</v>
      </c>
      <c r="H363" t="s">
        <v>96</v>
      </c>
      <c r="I363">
        <v>1000</v>
      </c>
      <c r="J363" s="5">
        <v>154579.20000000001</v>
      </c>
      <c r="L363" s="5">
        <v>152718.63</v>
      </c>
      <c r="M363" s="5">
        <v>154.57920000000001</v>
      </c>
      <c r="N363" s="5">
        <v>152.71863000000002</v>
      </c>
      <c r="O363" s="5">
        <v>-1860.570000000007</v>
      </c>
      <c r="P363" s="3">
        <v>-1.2036354179605063E-2</v>
      </c>
      <c r="Q363" s="9">
        <f t="shared" si="5"/>
        <v>467763.30256349663</v>
      </c>
      <c r="R363" s="5" t="str">
        <f>TEXT(Table1[[#This Row],[Closing Date]],"yyyy")</f>
        <v>2023</v>
      </c>
      <c r="S363" s="5" t="str">
        <f>TEXT(Table1[[#This Row],[Closing Date]],"mmmm")</f>
        <v>December</v>
      </c>
      <c r="T363" s="5" t="s">
        <v>240</v>
      </c>
      <c r="U363" s="5" t="s">
        <v>301</v>
      </c>
    </row>
    <row r="364" spans="2:21" x14ac:dyDescent="0.25">
      <c r="B364" t="s">
        <v>201</v>
      </c>
      <c r="C364" t="s">
        <v>303</v>
      </c>
      <c r="D364" t="s">
        <v>16</v>
      </c>
      <c r="E364" t="s">
        <v>7</v>
      </c>
      <c r="F364" s="5"/>
      <c r="G364" s="7">
        <v>45289</v>
      </c>
      <c r="H364" t="s">
        <v>169</v>
      </c>
      <c r="I364">
        <v>4500</v>
      </c>
      <c r="J364" s="5">
        <v>201982</v>
      </c>
      <c r="L364" s="5">
        <v>200402.69</v>
      </c>
      <c r="M364" s="5">
        <v>44.884888888888888</v>
      </c>
      <c r="N364" s="5">
        <v>44.533931111111109</v>
      </c>
      <c r="O364" s="5">
        <v>-1579.3099999999977</v>
      </c>
      <c r="P364" s="3">
        <v>-7.8190630848293304E-3</v>
      </c>
      <c r="Q364" s="9">
        <f t="shared" si="5"/>
        <v>466183.99256349663</v>
      </c>
      <c r="R364" s="5" t="str">
        <f>TEXT(Table1[[#This Row],[Closing Date]],"yyyy")</f>
        <v>2023</v>
      </c>
      <c r="S364" s="5" t="str">
        <f>TEXT(Table1[[#This Row],[Closing Date]],"mmmm")</f>
        <v>December</v>
      </c>
      <c r="T364" s="5" t="s">
        <v>240</v>
      </c>
      <c r="U364" s="5" t="s">
        <v>301</v>
      </c>
    </row>
    <row r="365" spans="2:21" x14ac:dyDescent="0.25">
      <c r="B365" t="s">
        <v>201</v>
      </c>
      <c r="C365" t="s">
        <v>303</v>
      </c>
      <c r="D365" t="s">
        <v>16</v>
      </c>
      <c r="E365" t="s">
        <v>7</v>
      </c>
      <c r="F365" s="5"/>
      <c r="G365" s="7">
        <v>45289</v>
      </c>
      <c r="H365" t="s">
        <v>142</v>
      </c>
      <c r="I365">
        <v>4000</v>
      </c>
      <c r="J365" s="5">
        <v>218020</v>
      </c>
      <c r="L365" s="5">
        <v>217734.71</v>
      </c>
      <c r="M365" s="5">
        <v>54.505000000000003</v>
      </c>
      <c r="N365" s="5">
        <v>54.433677499999995</v>
      </c>
      <c r="O365" s="5">
        <v>-285.29000000000815</v>
      </c>
      <c r="P365" s="3">
        <v>-1.3085496743418408E-3</v>
      </c>
      <c r="Q365" s="9">
        <f t="shared" si="5"/>
        <v>465898.70256349666</v>
      </c>
      <c r="R365" s="5" t="str">
        <f>TEXT(Table1[[#This Row],[Closing Date]],"yyyy")</f>
        <v>2023</v>
      </c>
      <c r="S365" s="5" t="str">
        <f>TEXT(Table1[[#This Row],[Closing Date]],"mmmm")</f>
        <v>December</v>
      </c>
      <c r="T365" s="5" t="s">
        <v>240</v>
      </c>
      <c r="U365" s="5" t="s">
        <v>301</v>
      </c>
    </row>
    <row r="366" spans="2:21" x14ac:dyDescent="0.25">
      <c r="B366" t="s">
        <v>201</v>
      </c>
      <c r="C366" t="s">
        <v>303</v>
      </c>
      <c r="D366" t="s">
        <v>16</v>
      </c>
      <c r="E366" t="s">
        <v>7</v>
      </c>
      <c r="F366" s="5"/>
      <c r="G366" s="7">
        <v>45293</v>
      </c>
      <c r="H366" t="s">
        <v>206</v>
      </c>
      <c r="I366">
        <v>6500</v>
      </c>
      <c r="J366" s="5">
        <v>907237.5</v>
      </c>
      <c r="L366" s="5">
        <v>908141.81</v>
      </c>
      <c r="M366" s="5">
        <v>139.57499999999999</v>
      </c>
      <c r="N366" s="5">
        <v>139.71412461538463</v>
      </c>
      <c r="O366" s="5">
        <v>864.31000000005588</v>
      </c>
      <c r="P366" s="3">
        <v>9.5268328304336616E-4</v>
      </c>
      <c r="Q366" s="9">
        <f t="shared" si="5"/>
        <v>466763.01256349671</v>
      </c>
      <c r="R366" s="5" t="str">
        <f>TEXT(Table1[[#This Row],[Closing Date]],"yyyy")</f>
        <v>2024</v>
      </c>
      <c r="S366" s="5" t="str">
        <f>TEXT(Table1[[#This Row],[Closing Date]],"mmmm")</f>
        <v>January</v>
      </c>
      <c r="T366" s="5" t="s">
        <v>240</v>
      </c>
      <c r="U366" s="5" t="s">
        <v>301</v>
      </c>
    </row>
    <row r="367" spans="2:21" x14ac:dyDescent="0.25">
      <c r="B367" t="s">
        <v>201</v>
      </c>
      <c r="C367" t="s">
        <v>303</v>
      </c>
      <c r="D367" t="s">
        <v>12</v>
      </c>
      <c r="E367" t="s">
        <v>7</v>
      </c>
      <c r="F367" s="5"/>
      <c r="G367" s="7">
        <v>45293</v>
      </c>
      <c r="H367" t="s">
        <v>13</v>
      </c>
      <c r="I367">
        <v>5</v>
      </c>
      <c r="J367" s="5">
        <v>350011.85</v>
      </c>
      <c r="L367" s="5">
        <v>368760.52</v>
      </c>
      <c r="M367" s="5">
        <v>70.002369999999999</v>
      </c>
      <c r="N367" s="5">
        <v>0</v>
      </c>
      <c r="O367" s="5">
        <v>18748.670000000042</v>
      </c>
      <c r="P367" s="3">
        <v>5.3565814985978455E-2</v>
      </c>
      <c r="Q367" s="9">
        <f t="shared" si="5"/>
        <v>485511.68256349675</v>
      </c>
      <c r="R367" s="5" t="str">
        <f>TEXT(Table1[[#This Row],[Closing Date]],"yyyy")</f>
        <v>2024</v>
      </c>
      <c r="S367" s="5" t="str">
        <f>TEXT(Table1[[#This Row],[Closing Date]],"mmmm")</f>
        <v>January</v>
      </c>
      <c r="T367" s="5" t="s">
        <v>240</v>
      </c>
      <c r="U367" s="5" t="s">
        <v>301</v>
      </c>
    </row>
    <row r="368" spans="2:21" x14ac:dyDescent="0.25">
      <c r="B368" t="s">
        <v>201</v>
      </c>
      <c r="C368" t="s">
        <v>303</v>
      </c>
      <c r="D368" t="s">
        <v>16</v>
      </c>
      <c r="E368" t="s">
        <v>7</v>
      </c>
      <c r="F368" s="5"/>
      <c r="G368" s="7">
        <v>45295</v>
      </c>
      <c r="H368" t="s">
        <v>15</v>
      </c>
      <c r="I368">
        <v>2200</v>
      </c>
      <c r="J368" s="5">
        <v>432051.05</v>
      </c>
      <c r="L368" s="5">
        <v>428435.3</v>
      </c>
      <c r="M368" s="5">
        <v>196.38684090909089</v>
      </c>
      <c r="N368" s="5">
        <v>194.74331818181818</v>
      </c>
      <c r="O368" s="5">
        <v>-3615.75</v>
      </c>
      <c r="P368" s="3">
        <v>-8.368802714401458E-3</v>
      </c>
      <c r="Q368" s="9">
        <f t="shared" si="5"/>
        <v>481895.93256349675</v>
      </c>
      <c r="R368" s="5" t="str">
        <f>TEXT(Table1[[#This Row],[Closing Date]],"yyyy")</f>
        <v>2024</v>
      </c>
      <c r="S368" s="5" t="str">
        <f>TEXT(Table1[[#This Row],[Closing Date]],"mmmm")</f>
        <v>January</v>
      </c>
      <c r="T368" s="5" t="s">
        <v>240</v>
      </c>
      <c r="U368" s="5" t="s">
        <v>301</v>
      </c>
    </row>
    <row r="369" spans="2:21" x14ac:dyDescent="0.25">
      <c r="B369" t="s">
        <v>201</v>
      </c>
      <c r="C369" t="s">
        <v>303</v>
      </c>
      <c r="D369" t="s">
        <v>16</v>
      </c>
      <c r="E369" t="s">
        <v>7</v>
      </c>
      <c r="F369" s="5"/>
      <c r="G369" s="7">
        <v>45295</v>
      </c>
      <c r="H369" t="s">
        <v>169</v>
      </c>
      <c r="I369">
        <v>5000</v>
      </c>
      <c r="J369" s="5">
        <v>176750</v>
      </c>
      <c r="L369" s="5">
        <v>175956.91</v>
      </c>
      <c r="M369" s="5">
        <v>35.35</v>
      </c>
      <c r="N369" s="5">
        <v>35.191381999999997</v>
      </c>
      <c r="O369" s="5">
        <v>-833.08999999999651</v>
      </c>
      <c r="P369" s="3">
        <v>-4.7133804809052137E-3</v>
      </c>
      <c r="Q369" s="9">
        <f t="shared" si="5"/>
        <v>481062.84256349679</v>
      </c>
      <c r="R369" s="5" t="str">
        <f>TEXT(Table1[[#This Row],[Closing Date]],"yyyy")</f>
        <v>2024</v>
      </c>
      <c r="S369" s="5" t="str">
        <f>TEXT(Table1[[#This Row],[Closing Date]],"mmmm")</f>
        <v>January</v>
      </c>
      <c r="T369" s="5" t="s">
        <v>240</v>
      </c>
      <c r="U369" s="5" t="s">
        <v>301</v>
      </c>
    </row>
    <row r="370" spans="2:21" x14ac:dyDescent="0.25">
      <c r="B370" t="s">
        <v>201</v>
      </c>
      <c r="C370" t="s">
        <v>303</v>
      </c>
      <c r="D370" t="s">
        <v>16</v>
      </c>
      <c r="E370" t="s">
        <v>7</v>
      </c>
      <c r="F370" s="5"/>
      <c r="G370" s="7">
        <v>45296</v>
      </c>
      <c r="H370" t="s">
        <v>142</v>
      </c>
      <c r="I370">
        <v>4500</v>
      </c>
      <c r="J370" s="5">
        <v>207965.5</v>
      </c>
      <c r="L370" s="5">
        <v>201311.9</v>
      </c>
      <c r="M370" s="5">
        <v>46.214555555555556</v>
      </c>
      <c r="N370" s="5">
        <v>44.735977777777777</v>
      </c>
      <c r="O370" s="5">
        <v>-6653.6000000000058</v>
      </c>
      <c r="P370" s="3">
        <v>-3.1993768197128881E-2</v>
      </c>
      <c r="Q370" s="9">
        <f t="shared" si="5"/>
        <v>474409.24256349681</v>
      </c>
      <c r="R370" s="5" t="str">
        <f>TEXT(Table1[[#This Row],[Closing Date]],"yyyy")</f>
        <v>2024</v>
      </c>
      <c r="S370" s="5" t="str">
        <f>TEXT(Table1[[#This Row],[Closing Date]],"mmmm")</f>
        <v>January</v>
      </c>
      <c r="T370" s="5" t="s">
        <v>240</v>
      </c>
      <c r="U370" s="5" t="s">
        <v>301</v>
      </c>
    </row>
    <row r="371" spans="2:21" x14ac:dyDescent="0.25">
      <c r="B371" t="s">
        <v>201</v>
      </c>
      <c r="C371" t="s">
        <v>302</v>
      </c>
      <c r="D371" t="s">
        <v>12</v>
      </c>
      <c r="E371" t="s">
        <v>7</v>
      </c>
      <c r="F371" s="5"/>
      <c r="G371" s="7">
        <v>45296</v>
      </c>
      <c r="H371" t="s">
        <v>92</v>
      </c>
      <c r="I371">
        <v>5</v>
      </c>
      <c r="J371" s="5">
        <v>1029272.1</v>
      </c>
      <c r="L371" s="5">
        <v>1027307.8999999999</v>
      </c>
      <c r="M371" s="5">
        <v>2048.02</v>
      </c>
      <c r="N371" s="5">
        <v>2093.9757999999997</v>
      </c>
      <c r="O371" s="5">
        <v>-1964.2000000001863</v>
      </c>
      <c r="P371" s="3">
        <v>-1.9083389125190376E-3</v>
      </c>
      <c r="Q371" s="9">
        <f t="shared" si="5"/>
        <v>472445.04256349662</v>
      </c>
      <c r="R371" s="5" t="str">
        <f>TEXT(Table1[[#This Row],[Closing Date]],"yyyy")</f>
        <v>2024</v>
      </c>
      <c r="S371" s="5" t="str">
        <f>TEXT(Table1[[#This Row],[Closing Date]],"mmmm")</f>
        <v>January</v>
      </c>
      <c r="T371" s="5" t="s">
        <v>240</v>
      </c>
      <c r="U371" s="5" t="s">
        <v>301</v>
      </c>
    </row>
    <row r="372" spans="2:21" x14ac:dyDescent="0.25">
      <c r="B372" t="s">
        <v>201</v>
      </c>
      <c r="C372" t="s">
        <v>303</v>
      </c>
      <c r="D372" t="s">
        <v>16</v>
      </c>
      <c r="E372" t="s">
        <v>7</v>
      </c>
      <c r="F372" s="5"/>
      <c r="G372" s="7">
        <v>45299</v>
      </c>
      <c r="H372" t="s">
        <v>153</v>
      </c>
      <c r="I372">
        <v>6000</v>
      </c>
      <c r="J372" s="5">
        <v>153700.95000000001</v>
      </c>
      <c r="L372" s="5">
        <v>167907.66</v>
      </c>
      <c r="M372" s="5">
        <v>25.616825000000002</v>
      </c>
      <c r="N372" s="5">
        <v>27.98461</v>
      </c>
      <c r="O372" s="5">
        <v>14206.709999999992</v>
      </c>
      <c r="P372" s="3">
        <v>9.2430853550352104E-2</v>
      </c>
      <c r="Q372" s="9">
        <f t="shared" si="5"/>
        <v>486651.75256349659</v>
      </c>
      <c r="R372" s="5" t="str">
        <f>TEXT(Table1[[#This Row],[Closing Date]],"yyyy")</f>
        <v>2024</v>
      </c>
      <c r="S372" s="5" t="str">
        <f>TEXT(Table1[[#This Row],[Closing Date]],"mmmm")</f>
        <v>January</v>
      </c>
      <c r="T372" s="5" t="s">
        <v>240</v>
      </c>
      <c r="U372" s="5" t="s">
        <v>301</v>
      </c>
    </row>
    <row r="373" spans="2:21" x14ac:dyDescent="0.25">
      <c r="B373" t="s">
        <v>201</v>
      </c>
      <c r="C373" t="s">
        <v>303</v>
      </c>
      <c r="D373" t="s">
        <v>16</v>
      </c>
      <c r="E373" t="s">
        <v>7</v>
      </c>
      <c r="F373" s="5"/>
      <c r="G373" s="7">
        <v>45300</v>
      </c>
      <c r="H373" t="s">
        <v>176</v>
      </c>
      <c r="I373">
        <v>10000</v>
      </c>
      <c r="J373" s="5">
        <v>170000</v>
      </c>
      <c r="L373" s="5">
        <v>164776.92000000001</v>
      </c>
      <c r="M373" s="5">
        <v>17</v>
      </c>
      <c r="N373" s="5">
        <v>16.477692000000001</v>
      </c>
      <c r="O373" s="5">
        <v>-5326.0599999999868</v>
      </c>
      <c r="P373" s="3">
        <v>-3.1329764705882272E-2</v>
      </c>
      <c r="Q373" s="9">
        <f t="shared" si="5"/>
        <v>481325.69256349659</v>
      </c>
      <c r="R373" s="5" t="str">
        <f>TEXT(Table1[[#This Row],[Closing Date]],"yyyy")</f>
        <v>2024</v>
      </c>
      <c r="S373" s="5" t="str">
        <f>TEXT(Table1[[#This Row],[Closing Date]],"mmmm")</f>
        <v>January</v>
      </c>
      <c r="T373" s="5" t="s">
        <v>240</v>
      </c>
      <c r="U373" s="5" t="s">
        <v>301</v>
      </c>
    </row>
    <row r="374" spans="2:21" x14ac:dyDescent="0.25">
      <c r="B374" t="s">
        <v>201</v>
      </c>
      <c r="C374" t="s">
        <v>303</v>
      </c>
      <c r="D374" t="s">
        <v>16</v>
      </c>
      <c r="E374" t="s">
        <v>7</v>
      </c>
      <c r="F374" s="5"/>
      <c r="G374" s="7">
        <v>45300</v>
      </c>
      <c r="H374" t="s">
        <v>168</v>
      </c>
      <c r="I374">
        <v>3100</v>
      </c>
      <c r="J374" s="5">
        <v>116902.41</v>
      </c>
      <c r="L374" s="5">
        <v>111880</v>
      </c>
      <c r="M374" s="5">
        <v>37.71045483870968</v>
      </c>
      <c r="N374" s="5">
        <v>36.090322580645164</v>
      </c>
      <c r="O374" s="5">
        <v>-5022.4100000000035</v>
      </c>
      <c r="P374" s="3">
        <v>-4.2962416258142185E-2</v>
      </c>
      <c r="Q374" s="9">
        <f t="shared" si="5"/>
        <v>476303.28256349661</v>
      </c>
      <c r="R374" s="5" t="str">
        <f>TEXT(Table1[[#This Row],[Closing Date]],"yyyy")</f>
        <v>2024</v>
      </c>
      <c r="S374" s="5" t="str">
        <f>TEXT(Table1[[#This Row],[Closing Date]],"mmmm")</f>
        <v>January</v>
      </c>
      <c r="T374" s="5" t="s">
        <v>240</v>
      </c>
      <c r="U374" s="5" t="s">
        <v>301</v>
      </c>
    </row>
    <row r="375" spans="2:21" x14ac:dyDescent="0.25">
      <c r="B375" t="s">
        <v>201</v>
      </c>
      <c r="C375" t="s">
        <v>303</v>
      </c>
      <c r="D375" t="s">
        <v>16</v>
      </c>
      <c r="E375" t="s">
        <v>7</v>
      </c>
      <c r="F375" s="5"/>
      <c r="G375" s="7">
        <v>45301</v>
      </c>
      <c r="H375" t="s">
        <v>168</v>
      </c>
      <c r="I375">
        <v>3700</v>
      </c>
      <c r="J375" s="5">
        <v>141775</v>
      </c>
      <c r="L375" s="5">
        <v>121766.07</v>
      </c>
      <c r="M375" s="5">
        <v>38.317567567567565</v>
      </c>
      <c r="N375" s="5">
        <v>32.909748648648652</v>
      </c>
      <c r="O375" s="5">
        <v>-20008.929999999993</v>
      </c>
      <c r="P375" s="3">
        <v>-0.14113158173161694</v>
      </c>
      <c r="Q375" s="9">
        <f t="shared" si="5"/>
        <v>456294.35256349662</v>
      </c>
      <c r="R375" s="5" t="str">
        <f>TEXT(Table1[[#This Row],[Closing Date]],"yyyy")</f>
        <v>2024</v>
      </c>
      <c r="S375" s="5" t="str">
        <f>TEXT(Table1[[#This Row],[Closing Date]],"mmmm")</f>
        <v>January</v>
      </c>
      <c r="T375" s="5" t="s">
        <v>240</v>
      </c>
      <c r="U375" s="5" t="s">
        <v>301</v>
      </c>
    </row>
    <row r="376" spans="2:21" x14ac:dyDescent="0.25">
      <c r="B376" t="s">
        <v>201</v>
      </c>
      <c r="C376" t="s">
        <v>303</v>
      </c>
      <c r="D376" t="s">
        <v>16</v>
      </c>
      <c r="E376" t="s">
        <v>7</v>
      </c>
      <c r="F376" s="5"/>
      <c r="G376" s="7">
        <v>45302</v>
      </c>
      <c r="H376" t="s">
        <v>169</v>
      </c>
      <c r="I376">
        <v>6500</v>
      </c>
      <c r="J376" s="5">
        <v>221487.5</v>
      </c>
      <c r="L376" s="5">
        <v>212054.44</v>
      </c>
      <c r="M376" s="5">
        <v>34.075000000000003</v>
      </c>
      <c r="N376" s="5">
        <v>32.623759999999997</v>
      </c>
      <c r="O376" s="5">
        <v>-9433.0599999999977</v>
      </c>
      <c r="P376" s="3">
        <v>-4.258958180484225E-2</v>
      </c>
      <c r="Q376" s="9">
        <f t="shared" si="5"/>
        <v>446861.29256349662</v>
      </c>
      <c r="R376" s="5" t="str">
        <f>TEXT(Table1[[#This Row],[Closing Date]],"yyyy")</f>
        <v>2024</v>
      </c>
      <c r="S376" s="5" t="str">
        <f>TEXT(Table1[[#This Row],[Closing Date]],"mmmm")</f>
        <v>January</v>
      </c>
      <c r="T376" s="5" t="s">
        <v>240</v>
      </c>
      <c r="U376" s="5" t="s">
        <v>301</v>
      </c>
    </row>
    <row r="377" spans="2:21" x14ac:dyDescent="0.25">
      <c r="B377" t="s">
        <v>201</v>
      </c>
      <c r="C377" t="s">
        <v>303</v>
      </c>
      <c r="D377" t="s">
        <v>16</v>
      </c>
      <c r="E377" t="s">
        <v>7</v>
      </c>
      <c r="F377" s="5"/>
      <c r="G377" s="7">
        <v>45302</v>
      </c>
      <c r="H377" t="s">
        <v>114</v>
      </c>
      <c r="I377">
        <v>3700</v>
      </c>
      <c r="J377" s="5">
        <v>159188.98000000001</v>
      </c>
      <c r="L377" s="5">
        <v>161304.88</v>
      </c>
      <c r="M377" s="5">
        <v>43.024048648648652</v>
      </c>
      <c r="N377" s="5">
        <v>43.595913513513516</v>
      </c>
      <c r="O377" s="5">
        <v>2115.8999999999942</v>
      </c>
      <c r="P377" s="3">
        <v>1.3291749215303685E-2</v>
      </c>
      <c r="Q377" s="9">
        <f t="shared" si="5"/>
        <v>448977.19256349665</v>
      </c>
      <c r="R377" s="5" t="str">
        <f>TEXT(Table1[[#This Row],[Closing Date]],"yyyy")</f>
        <v>2024</v>
      </c>
      <c r="S377" s="5" t="str">
        <f>TEXT(Table1[[#This Row],[Closing Date]],"mmmm")</f>
        <v>January</v>
      </c>
      <c r="T377" s="5" t="s">
        <v>240</v>
      </c>
      <c r="U377" s="5" t="s">
        <v>301</v>
      </c>
    </row>
    <row r="378" spans="2:21" x14ac:dyDescent="0.25">
      <c r="B378" t="s">
        <v>201</v>
      </c>
      <c r="C378" t="s">
        <v>303</v>
      </c>
      <c r="D378" t="s">
        <v>4</v>
      </c>
      <c r="E378" t="s">
        <v>5</v>
      </c>
      <c r="F378" s="5"/>
      <c r="G378" s="7">
        <v>45304</v>
      </c>
      <c r="H378" t="s">
        <v>128</v>
      </c>
      <c r="I378">
        <v>2000000</v>
      </c>
      <c r="J378" s="5">
        <v>1921661.55</v>
      </c>
      <c r="L378" s="5">
        <v>1930888.7</v>
      </c>
      <c r="M378" s="5">
        <v>0.96083077500000003</v>
      </c>
      <c r="N378" s="5">
        <v>0.96544434999999995</v>
      </c>
      <c r="O378" s="5">
        <v>-10161</v>
      </c>
      <c r="P378" s="3">
        <v>-5.0804999999999999E-3</v>
      </c>
      <c r="Q378" s="9">
        <f t="shared" si="5"/>
        <v>438816.19256349665</v>
      </c>
      <c r="R378" s="5" t="str">
        <f>TEXT(Table1[[#This Row],[Closing Date]],"yyyy")</f>
        <v>2024</v>
      </c>
      <c r="S378" s="5" t="str">
        <f>TEXT(Table1[[#This Row],[Closing Date]],"mmmm")</f>
        <v>January</v>
      </c>
      <c r="T378" s="5" t="s">
        <v>240</v>
      </c>
      <c r="U378" s="5" t="s">
        <v>301</v>
      </c>
    </row>
    <row r="379" spans="2:21" x14ac:dyDescent="0.25">
      <c r="B379" t="s">
        <v>201</v>
      </c>
      <c r="C379" t="s">
        <v>303</v>
      </c>
      <c r="D379" t="s">
        <v>16</v>
      </c>
      <c r="E379" t="s">
        <v>7</v>
      </c>
      <c r="F379" s="5"/>
      <c r="G379" s="7">
        <v>45307</v>
      </c>
      <c r="H379" t="s">
        <v>171</v>
      </c>
      <c r="I379">
        <v>1000</v>
      </c>
      <c r="J379" s="5">
        <v>150735</v>
      </c>
      <c r="L379" s="5">
        <v>143131.34</v>
      </c>
      <c r="M379" s="5">
        <v>150.73500000000001</v>
      </c>
      <c r="N379" s="5">
        <v>143.13133999999999</v>
      </c>
      <c r="O379" s="5">
        <v>-7603.6600000000035</v>
      </c>
      <c r="P379" s="3">
        <v>-5.0443891597837284E-2</v>
      </c>
      <c r="Q379" s="9">
        <f t="shared" si="5"/>
        <v>431212.53256349661</v>
      </c>
      <c r="R379" s="5" t="str">
        <f>TEXT(Table1[[#This Row],[Closing Date]],"yyyy")</f>
        <v>2024</v>
      </c>
      <c r="S379" s="5" t="str">
        <f>TEXT(Table1[[#This Row],[Closing Date]],"mmmm")</f>
        <v>January</v>
      </c>
      <c r="T379" s="5" t="s">
        <v>240</v>
      </c>
      <c r="U379" s="5" t="s">
        <v>301</v>
      </c>
    </row>
    <row r="380" spans="2:21" x14ac:dyDescent="0.25">
      <c r="B380" t="s">
        <v>201</v>
      </c>
      <c r="C380" t="s">
        <v>303</v>
      </c>
      <c r="D380" t="s">
        <v>16</v>
      </c>
      <c r="E380" t="s">
        <v>7</v>
      </c>
      <c r="F380" s="5"/>
      <c r="G380" s="7">
        <v>45307</v>
      </c>
      <c r="H380" t="s">
        <v>173</v>
      </c>
      <c r="I380">
        <v>5000</v>
      </c>
      <c r="J380" s="5">
        <v>105775</v>
      </c>
      <c r="L380" s="5">
        <v>99412.05</v>
      </c>
      <c r="M380" s="5">
        <v>21.155000000000001</v>
      </c>
      <c r="N380" s="5">
        <v>19.88241</v>
      </c>
      <c r="O380" s="5">
        <v>-6362.9499999999971</v>
      </c>
      <c r="P380" s="3">
        <v>-6.0155518789884163E-2</v>
      </c>
      <c r="Q380" s="9">
        <f t="shared" si="5"/>
        <v>424849.5825634966</v>
      </c>
      <c r="R380" s="5" t="str">
        <f>TEXT(Table1[[#This Row],[Closing Date]],"yyyy")</f>
        <v>2024</v>
      </c>
      <c r="S380" s="5" t="str">
        <f>TEXT(Table1[[#This Row],[Closing Date]],"mmmm")</f>
        <v>January</v>
      </c>
      <c r="T380" s="5" t="s">
        <v>240</v>
      </c>
      <c r="U380" s="5" t="s">
        <v>301</v>
      </c>
    </row>
    <row r="381" spans="2:21" x14ac:dyDescent="0.25">
      <c r="B381" t="s">
        <v>201</v>
      </c>
      <c r="C381" t="s">
        <v>303</v>
      </c>
      <c r="D381" t="s">
        <v>16</v>
      </c>
      <c r="E381" t="s">
        <v>7</v>
      </c>
      <c r="F381" s="11">
        <v>45301</v>
      </c>
      <c r="G381" s="7">
        <v>45308</v>
      </c>
      <c r="H381" t="s">
        <v>168</v>
      </c>
      <c r="I381">
        <v>3700</v>
      </c>
      <c r="J381" s="5">
        <f>124540+17235</f>
        <v>141775</v>
      </c>
      <c r="K381" s="13">
        <v>1</v>
      </c>
      <c r="L381" s="5">
        <v>121766.07</v>
      </c>
      <c r="M381" s="5">
        <f>Table1[[#This Row],[Open Value]]/Table1[[#This Row],[Shares]]/Table1[[#This Row],[Multiplier]]</f>
        <v>38.317567567567565</v>
      </c>
      <c r="N381" s="5">
        <f>Table1[[#This Row],[Close Value]]/Table1[[#This Row],[Shares]]/Table1[[#This Row],[Multiplier]]</f>
        <v>32.909748648648652</v>
      </c>
      <c r="O381" s="5">
        <f>Table1[[#This Row],[Close Value]]-Table1[[#This Row],[Open Value]]</f>
        <v>-20008.929999999993</v>
      </c>
      <c r="P381" s="3">
        <f>Table1[[#This Row],[PnL]]/Table1[[#This Row],[Open Value]]</f>
        <v>-0.14113158173161694</v>
      </c>
      <c r="Q381" s="14">
        <f t="shared" si="5"/>
        <v>404840.65256349661</v>
      </c>
      <c r="R381" s="5" t="str">
        <f>TEXT(Table1[[#This Row],[Closing Date]],"yyyy")</f>
        <v>2024</v>
      </c>
      <c r="S381" s="5" t="str">
        <f>TEXT(Table1[[#This Row],[Closing Date]],"mmmm")</f>
        <v>January</v>
      </c>
      <c r="T381" s="5"/>
      <c r="U381" s="5" t="s">
        <v>301</v>
      </c>
    </row>
    <row r="382" spans="2:21" x14ac:dyDescent="0.25">
      <c r="B382" t="s">
        <v>201</v>
      </c>
      <c r="C382" t="s">
        <v>302</v>
      </c>
      <c r="D382" t="s">
        <v>28</v>
      </c>
      <c r="E382" t="s">
        <v>5</v>
      </c>
      <c r="F382" s="5"/>
      <c r="G382" s="7">
        <v>45310</v>
      </c>
      <c r="H382" t="s">
        <v>178</v>
      </c>
      <c r="I382">
        <v>3775</v>
      </c>
      <c r="J382" s="5">
        <v>743592.92</v>
      </c>
      <c r="L382" s="5">
        <v>753376.74</v>
      </c>
      <c r="M382" s="5">
        <v>196.97825695364239</v>
      </c>
      <c r="N382" s="5">
        <v>199.56999735099336</v>
      </c>
      <c r="O382" s="5">
        <v>-9783.8199999999488</v>
      </c>
      <c r="P382" s="3">
        <v>-1.3157494829294432E-2</v>
      </c>
      <c r="Q382" s="9">
        <f t="shared" si="5"/>
        <v>395056.83256349666</v>
      </c>
      <c r="R382" s="5" t="str">
        <f>TEXT(Table1[[#This Row],[Closing Date]],"yyyy")</f>
        <v>2024</v>
      </c>
      <c r="S382" s="5" t="str">
        <f>TEXT(Table1[[#This Row],[Closing Date]],"mmmm")</f>
        <v>January</v>
      </c>
      <c r="T382" s="5" t="s">
        <v>240</v>
      </c>
      <c r="U382" s="5" t="s">
        <v>301</v>
      </c>
    </row>
    <row r="383" spans="2:21" x14ac:dyDescent="0.25">
      <c r="B383" t="s">
        <v>197</v>
      </c>
      <c r="C383" t="s">
        <v>303</v>
      </c>
      <c r="D383" t="s">
        <v>99</v>
      </c>
      <c r="E383" t="s">
        <v>7</v>
      </c>
      <c r="F383" s="5"/>
      <c r="G383" s="7">
        <v>45310</v>
      </c>
      <c r="H383" t="s">
        <v>115</v>
      </c>
      <c r="I383">
        <v>130</v>
      </c>
      <c r="J383" s="5">
        <v>19459.599999999999</v>
      </c>
      <c r="K383" s="13">
        <v>100</v>
      </c>
      <c r="L383" s="5">
        <v>24959.73</v>
      </c>
      <c r="M383" s="5">
        <v>1.4968923076923075</v>
      </c>
      <c r="N383" s="5">
        <v>1.9199792307692309</v>
      </c>
      <c r="O383" s="5">
        <v>5500.130000000001</v>
      </c>
      <c r="P383" s="3">
        <v>0.28264352813007487</v>
      </c>
      <c r="Q383" s="9">
        <f t="shared" si="5"/>
        <v>400556.96256349667</v>
      </c>
      <c r="R383" s="5" t="str">
        <f>TEXT(Table1[[#This Row],[Closing Date]],"yyyy")</f>
        <v>2024</v>
      </c>
      <c r="S383" s="5" t="str">
        <f>TEXT(Table1[[#This Row],[Closing Date]],"mmmm")</f>
        <v>January</v>
      </c>
      <c r="T383" s="5" t="s">
        <v>240</v>
      </c>
      <c r="U383" s="5" t="s">
        <v>301</v>
      </c>
    </row>
    <row r="384" spans="2:21" x14ac:dyDescent="0.25">
      <c r="B384" t="s">
        <v>201</v>
      </c>
      <c r="C384" t="s">
        <v>303</v>
      </c>
      <c r="D384" t="s">
        <v>16</v>
      </c>
      <c r="E384" t="s">
        <v>7</v>
      </c>
      <c r="F384" s="5"/>
      <c r="G384" s="7">
        <v>45313</v>
      </c>
      <c r="H384" t="s">
        <v>206</v>
      </c>
      <c r="I384">
        <v>2250</v>
      </c>
      <c r="J384" s="5">
        <v>374400</v>
      </c>
      <c r="L384" s="5">
        <v>380174.36</v>
      </c>
      <c r="M384" s="5">
        <v>166.4</v>
      </c>
      <c r="N384" s="5">
        <v>168.96638222222222</v>
      </c>
      <c r="O384" s="5">
        <v>5734.359999999986</v>
      </c>
      <c r="P384" s="3">
        <v>1.5316132478632441E-2</v>
      </c>
      <c r="Q384" s="9">
        <f t="shared" si="5"/>
        <v>406291.32256349665</v>
      </c>
      <c r="R384" s="5" t="str">
        <f>TEXT(Table1[[#This Row],[Closing Date]],"yyyy")</f>
        <v>2024</v>
      </c>
      <c r="S384" s="5" t="str">
        <f>TEXT(Table1[[#This Row],[Closing Date]],"mmmm")</f>
        <v>January</v>
      </c>
      <c r="T384" s="5" t="s">
        <v>240</v>
      </c>
      <c r="U384" s="5" t="s">
        <v>301</v>
      </c>
    </row>
    <row r="385" spans="2:21" x14ac:dyDescent="0.25">
      <c r="B385" t="s">
        <v>201</v>
      </c>
      <c r="C385" t="s">
        <v>303</v>
      </c>
      <c r="D385" t="s">
        <v>16</v>
      </c>
      <c r="E385" t="s">
        <v>7</v>
      </c>
      <c r="F385" s="5"/>
      <c r="G385" s="7">
        <v>45313</v>
      </c>
      <c r="H385" t="s">
        <v>176</v>
      </c>
      <c r="I385">
        <v>10000</v>
      </c>
      <c r="J385" s="5">
        <v>169286.94</v>
      </c>
      <c r="L385" s="5">
        <v>179464.16</v>
      </c>
      <c r="M385" s="5">
        <v>16.928694</v>
      </c>
      <c r="N385" s="5">
        <v>17.946415999999999</v>
      </c>
      <c r="O385" s="5">
        <v>10177.220000000001</v>
      </c>
      <c r="P385" s="3">
        <v>6.0118163870172152E-2</v>
      </c>
      <c r="Q385" s="9">
        <f t="shared" si="5"/>
        <v>416468.54256349662</v>
      </c>
      <c r="R385" s="5" t="str">
        <f>TEXT(Table1[[#This Row],[Closing Date]],"yyyy")</f>
        <v>2024</v>
      </c>
      <c r="S385" s="5" t="str">
        <f>TEXT(Table1[[#This Row],[Closing Date]],"mmmm")</f>
        <v>January</v>
      </c>
      <c r="T385" s="5" t="s">
        <v>240</v>
      </c>
      <c r="U385" s="5" t="s">
        <v>301</v>
      </c>
    </row>
    <row r="386" spans="2:21" x14ac:dyDescent="0.25">
      <c r="B386" t="s">
        <v>201</v>
      </c>
      <c r="C386" t="s">
        <v>303</v>
      </c>
      <c r="D386" t="s">
        <v>16</v>
      </c>
      <c r="E386" t="s">
        <v>7</v>
      </c>
      <c r="F386" s="5"/>
      <c r="G386" s="7">
        <v>45314</v>
      </c>
      <c r="H386" t="s">
        <v>152</v>
      </c>
      <c r="I386">
        <v>10000</v>
      </c>
      <c r="J386" s="5">
        <v>1038600</v>
      </c>
      <c r="L386" s="5">
        <v>1032613.16</v>
      </c>
      <c r="M386" s="5">
        <v>103.86</v>
      </c>
      <c r="N386" s="5">
        <v>103.26131600000001</v>
      </c>
      <c r="O386" s="5">
        <v>-6026.8399999999674</v>
      </c>
      <c r="P386" s="3">
        <v>-5.8028499903716229E-3</v>
      </c>
      <c r="Q386" s="9">
        <f t="shared" si="5"/>
        <v>410441.70256349666</v>
      </c>
      <c r="R386" s="5" t="str">
        <f>TEXT(Table1[[#This Row],[Closing Date]],"yyyy")</f>
        <v>2024</v>
      </c>
      <c r="S386" s="5" t="str">
        <f>TEXT(Table1[[#This Row],[Closing Date]],"mmmm")</f>
        <v>January</v>
      </c>
      <c r="T386" s="5" t="s">
        <v>240</v>
      </c>
      <c r="U386" s="5" t="s">
        <v>301</v>
      </c>
    </row>
    <row r="387" spans="2:21" x14ac:dyDescent="0.25">
      <c r="B387" t="s">
        <v>201</v>
      </c>
      <c r="C387" t="s">
        <v>303</v>
      </c>
      <c r="D387" t="s">
        <v>16</v>
      </c>
      <c r="E387" t="s">
        <v>7</v>
      </c>
      <c r="F387" s="5"/>
      <c r="G387" s="7">
        <v>45314</v>
      </c>
      <c r="H387" t="s">
        <v>207</v>
      </c>
      <c r="I387">
        <v>4200</v>
      </c>
      <c r="J387" s="5">
        <v>622104</v>
      </c>
      <c r="L387" s="5">
        <v>616453.66</v>
      </c>
      <c r="M387" s="5">
        <v>148.12</v>
      </c>
      <c r="N387" s="5">
        <v>146.77468095238095</v>
      </c>
      <c r="O387" s="5">
        <v>-5690.3399999999674</v>
      </c>
      <c r="P387" s="3">
        <v>-9.1469272018825914E-3</v>
      </c>
      <c r="Q387" s="9">
        <f t="shared" ref="Q387:Q450" si="6">O387+Q386</f>
        <v>404751.36256349669</v>
      </c>
      <c r="R387" s="5" t="str">
        <f>TEXT(Table1[[#This Row],[Closing Date]],"yyyy")</f>
        <v>2024</v>
      </c>
      <c r="S387" s="5" t="str">
        <f>TEXT(Table1[[#This Row],[Closing Date]],"mmmm")</f>
        <v>January</v>
      </c>
      <c r="T387" s="5" t="s">
        <v>240</v>
      </c>
      <c r="U387" s="5" t="s">
        <v>301</v>
      </c>
    </row>
    <row r="388" spans="2:21" x14ac:dyDescent="0.25">
      <c r="B388" t="s">
        <v>201</v>
      </c>
      <c r="C388" t="s">
        <v>303</v>
      </c>
      <c r="D388" t="s">
        <v>16</v>
      </c>
      <c r="E388" t="s">
        <v>7</v>
      </c>
      <c r="F388" s="5"/>
      <c r="G388" s="7">
        <v>45315</v>
      </c>
      <c r="H388" t="s">
        <v>114</v>
      </c>
      <c r="I388">
        <v>3400</v>
      </c>
      <c r="J388" s="5">
        <v>142191.4</v>
      </c>
      <c r="L388" s="5">
        <v>159407.16</v>
      </c>
      <c r="M388" s="5">
        <v>41.820999999999998</v>
      </c>
      <c r="N388" s="5">
        <v>46.884458823529414</v>
      </c>
      <c r="O388" s="5">
        <v>17215.760000000009</v>
      </c>
      <c r="P388" s="3">
        <v>0.12107455162548515</v>
      </c>
      <c r="Q388" s="9">
        <f t="shared" si="6"/>
        <v>421967.1225634967</v>
      </c>
      <c r="R388" s="5" t="str">
        <f>TEXT(Table1[[#This Row],[Closing Date]],"yyyy")</f>
        <v>2024</v>
      </c>
      <c r="S388" s="5" t="str">
        <f>TEXT(Table1[[#This Row],[Closing Date]],"mmmm")</f>
        <v>January</v>
      </c>
      <c r="T388" s="5" t="s">
        <v>240</v>
      </c>
      <c r="U388" s="5" t="s">
        <v>301</v>
      </c>
    </row>
    <row r="389" spans="2:21" x14ac:dyDescent="0.25">
      <c r="B389" t="s">
        <v>201</v>
      </c>
      <c r="C389" t="s">
        <v>303</v>
      </c>
      <c r="D389" t="s">
        <v>16</v>
      </c>
      <c r="E389" t="s">
        <v>7</v>
      </c>
      <c r="F389" s="5"/>
      <c r="G389" s="7">
        <v>45316</v>
      </c>
      <c r="H389" t="s">
        <v>177</v>
      </c>
      <c r="I389">
        <v>5000</v>
      </c>
      <c r="J389" s="5">
        <v>232275</v>
      </c>
      <c r="L389" s="5">
        <v>246848.35</v>
      </c>
      <c r="M389" s="5">
        <v>46.454999999999998</v>
      </c>
      <c r="N389" s="5">
        <v>49.369669999999999</v>
      </c>
      <c r="O389" s="5">
        <v>14573.350000000006</v>
      </c>
      <c r="P389" s="3">
        <v>6.2741793133139628E-2</v>
      </c>
      <c r="Q389" s="9">
        <f t="shared" si="6"/>
        <v>436540.47256349667</v>
      </c>
      <c r="R389" s="5" t="str">
        <f>TEXT(Table1[[#This Row],[Closing Date]],"yyyy")</f>
        <v>2024</v>
      </c>
      <c r="S389" s="5" t="str">
        <f>TEXT(Table1[[#This Row],[Closing Date]],"mmmm")</f>
        <v>January</v>
      </c>
      <c r="T389" s="5" t="s">
        <v>240</v>
      </c>
      <c r="U389" s="5" t="s">
        <v>301</v>
      </c>
    </row>
    <row r="390" spans="2:21" x14ac:dyDescent="0.25">
      <c r="B390" t="s">
        <v>197</v>
      </c>
      <c r="C390" t="s">
        <v>302</v>
      </c>
      <c r="D390" t="s">
        <v>102</v>
      </c>
      <c r="E390" t="s">
        <v>7</v>
      </c>
      <c r="F390" s="5"/>
      <c r="G390" s="7">
        <v>45317</v>
      </c>
      <c r="H390" t="s">
        <v>111</v>
      </c>
      <c r="I390">
        <v>80</v>
      </c>
      <c r="J390" s="5">
        <v>7057.2</v>
      </c>
      <c r="K390" s="13">
        <v>100</v>
      </c>
      <c r="L390" s="5">
        <v>19795.29</v>
      </c>
      <c r="M390" s="5">
        <v>0.88214999999999999</v>
      </c>
      <c r="N390" s="5">
        <v>2.4744112500000002</v>
      </c>
      <c r="O390" s="5">
        <v>12738.09</v>
      </c>
      <c r="P390" s="3">
        <v>1.8049778949158308</v>
      </c>
      <c r="Q390" s="9">
        <f t="shared" si="6"/>
        <v>449278.5625634967</v>
      </c>
      <c r="R390" s="5" t="str">
        <f>TEXT(Table1[[#This Row],[Closing Date]],"yyyy")</f>
        <v>2024</v>
      </c>
      <c r="S390" s="5" t="str">
        <f>TEXT(Table1[[#This Row],[Closing Date]],"mmmm")</f>
        <v>January</v>
      </c>
      <c r="T390" s="5" t="s">
        <v>240</v>
      </c>
      <c r="U390" s="5" t="s">
        <v>301</v>
      </c>
    </row>
    <row r="391" spans="2:21" x14ac:dyDescent="0.25">
      <c r="B391" t="s">
        <v>201</v>
      </c>
      <c r="C391" t="s">
        <v>303</v>
      </c>
      <c r="D391" t="s">
        <v>16</v>
      </c>
      <c r="E391" t="s">
        <v>7</v>
      </c>
      <c r="F391" s="5"/>
      <c r="G391" s="7">
        <v>45320</v>
      </c>
      <c r="H391" t="s">
        <v>37</v>
      </c>
      <c r="I391">
        <v>240</v>
      </c>
      <c r="J391" s="5">
        <v>50054.65</v>
      </c>
      <c r="L391" s="5">
        <v>44734.8</v>
      </c>
      <c r="M391" s="5">
        <v>208.56104166666668</v>
      </c>
      <c r="N391" s="5">
        <v>186.39500000000001</v>
      </c>
      <c r="O391" s="5">
        <v>-5319.8499999999985</v>
      </c>
      <c r="P391" s="3">
        <v>-0.10628083504729327</v>
      </c>
      <c r="Q391" s="9">
        <f t="shared" si="6"/>
        <v>443958.71256349672</v>
      </c>
      <c r="R391" s="5" t="str">
        <f>TEXT(Table1[[#This Row],[Closing Date]],"yyyy")</f>
        <v>2024</v>
      </c>
      <c r="S391" s="5" t="str">
        <f>TEXT(Table1[[#This Row],[Closing Date]],"mmmm")</f>
        <v>January</v>
      </c>
      <c r="T391" s="5" t="s">
        <v>240</v>
      </c>
      <c r="U391" s="5" t="s">
        <v>301</v>
      </c>
    </row>
    <row r="392" spans="2:21" x14ac:dyDescent="0.25">
      <c r="B392" t="s">
        <v>201</v>
      </c>
      <c r="C392" t="s">
        <v>303</v>
      </c>
      <c r="D392" t="s">
        <v>16</v>
      </c>
      <c r="E392" t="s">
        <v>7</v>
      </c>
      <c r="F392" s="5"/>
      <c r="G392" s="7">
        <v>45320</v>
      </c>
      <c r="H392" t="s">
        <v>175</v>
      </c>
      <c r="I392">
        <v>1600</v>
      </c>
      <c r="J392" s="5">
        <v>316032</v>
      </c>
      <c r="L392" s="5">
        <v>328575.46999999997</v>
      </c>
      <c r="M392" s="5">
        <v>197.52</v>
      </c>
      <c r="N392" s="5">
        <v>205.35966874999997</v>
      </c>
      <c r="O392" s="5">
        <v>12543.469999999972</v>
      </c>
      <c r="P392" s="3">
        <v>3.9690506024706272E-2</v>
      </c>
      <c r="Q392" s="9">
        <f t="shared" si="6"/>
        <v>456502.1825634967</v>
      </c>
      <c r="R392" s="5" t="str">
        <f>TEXT(Table1[[#This Row],[Closing Date]],"yyyy")</f>
        <v>2024</v>
      </c>
      <c r="S392" s="5" t="str">
        <f>TEXT(Table1[[#This Row],[Closing Date]],"mmmm")</f>
        <v>January</v>
      </c>
      <c r="T392" s="5" t="s">
        <v>240</v>
      </c>
      <c r="U392" s="5" t="s">
        <v>301</v>
      </c>
    </row>
    <row r="393" spans="2:21" x14ac:dyDescent="0.25">
      <c r="B393" t="s">
        <v>201</v>
      </c>
      <c r="C393" t="s">
        <v>306</v>
      </c>
      <c r="D393" t="s">
        <v>12</v>
      </c>
      <c r="E393" t="s">
        <v>7</v>
      </c>
      <c r="F393" s="5"/>
      <c r="G393" s="7">
        <v>45320</v>
      </c>
      <c r="H393" t="s">
        <v>86</v>
      </c>
      <c r="I393">
        <v>200</v>
      </c>
      <c r="J393" s="5">
        <v>818464</v>
      </c>
      <c r="L393" s="5">
        <v>820086</v>
      </c>
      <c r="M393" s="5">
        <v>4.09232</v>
      </c>
      <c r="N393" s="5"/>
      <c r="O393" s="5">
        <v>1622</v>
      </c>
      <c r="P393" s="3">
        <v>1.9817609571099034E-3</v>
      </c>
      <c r="Q393" s="9">
        <f t="shared" si="6"/>
        <v>458124.1825634967</v>
      </c>
      <c r="R393" s="5" t="str">
        <f>TEXT(Table1[[#This Row],[Closing Date]],"yyyy")</f>
        <v>2024</v>
      </c>
      <c r="S393" s="5" t="str">
        <f>TEXT(Table1[[#This Row],[Closing Date]],"mmmm")</f>
        <v>January</v>
      </c>
      <c r="T393" s="5" t="s">
        <v>240</v>
      </c>
      <c r="U393" s="5" t="s">
        <v>301</v>
      </c>
    </row>
    <row r="394" spans="2:21" x14ac:dyDescent="0.25">
      <c r="B394" t="s">
        <v>201</v>
      </c>
      <c r="C394" t="s">
        <v>303</v>
      </c>
      <c r="D394" t="s">
        <v>12</v>
      </c>
      <c r="E394" t="s">
        <v>7</v>
      </c>
      <c r="F394" s="5"/>
      <c r="G394" s="7">
        <v>45322</v>
      </c>
      <c r="H394" t="s">
        <v>89</v>
      </c>
      <c r="I394">
        <v>7</v>
      </c>
      <c r="J394" s="5">
        <v>699070.4</v>
      </c>
      <c r="L394" s="5">
        <v>685055</v>
      </c>
      <c r="M394" s="5">
        <v>1997.3440000000001</v>
      </c>
      <c r="N394" s="5">
        <v>1957.3</v>
      </c>
      <c r="O394" s="5">
        <v>-14015.400000000023</v>
      </c>
      <c r="P394" s="3">
        <v>-2.0048624573433552E-2</v>
      </c>
      <c r="Q394" s="9">
        <f t="shared" si="6"/>
        <v>444108.78256349667</v>
      </c>
      <c r="R394" s="5" t="str">
        <f>TEXT(Table1[[#This Row],[Closing Date]],"yyyy")</f>
        <v>2024</v>
      </c>
      <c r="S394" s="5" t="str">
        <f>TEXT(Table1[[#This Row],[Closing Date]],"mmmm")</f>
        <v>January</v>
      </c>
      <c r="T394" s="5" t="s">
        <v>240</v>
      </c>
      <c r="U394" s="5" t="s">
        <v>301</v>
      </c>
    </row>
    <row r="395" spans="2:21" x14ac:dyDescent="0.25">
      <c r="B395" t="s">
        <v>201</v>
      </c>
      <c r="C395" t="s">
        <v>303</v>
      </c>
      <c r="D395" t="s">
        <v>4</v>
      </c>
      <c r="E395" t="s">
        <v>7</v>
      </c>
      <c r="F395" s="5"/>
      <c r="G395" s="7">
        <v>45322</v>
      </c>
      <c r="H395" t="s">
        <v>129</v>
      </c>
      <c r="I395">
        <v>2000000</v>
      </c>
      <c r="J395" s="5">
        <v>1775505.44</v>
      </c>
      <c r="L395" s="5">
        <v>1762410.19</v>
      </c>
      <c r="M395" s="5">
        <v>0.88775271999999994</v>
      </c>
      <c r="N395" s="5">
        <v>0.88120509499999999</v>
      </c>
      <c r="O395" s="5">
        <v>-13095.25</v>
      </c>
      <c r="P395" s="3">
        <v>-6.5476249999999996E-3</v>
      </c>
      <c r="Q395" s="9">
        <f t="shared" si="6"/>
        <v>431013.53256349667</v>
      </c>
      <c r="R395" s="5" t="str">
        <f>TEXT(Table1[[#This Row],[Closing Date]],"yyyy")</f>
        <v>2024</v>
      </c>
      <c r="S395" s="5" t="str">
        <f>TEXT(Table1[[#This Row],[Closing Date]],"mmmm")</f>
        <v>January</v>
      </c>
      <c r="T395" s="5" t="s">
        <v>240</v>
      </c>
      <c r="U395" s="5" t="s">
        <v>301</v>
      </c>
    </row>
    <row r="396" spans="2:21" x14ac:dyDescent="0.25">
      <c r="B396" t="s">
        <v>201</v>
      </c>
      <c r="C396" t="s">
        <v>303</v>
      </c>
      <c r="D396" t="s">
        <v>16</v>
      </c>
      <c r="E396" t="s">
        <v>7</v>
      </c>
      <c r="F396" s="5"/>
      <c r="G396" s="7">
        <v>45322</v>
      </c>
      <c r="H396" t="s">
        <v>179</v>
      </c>
      <c r="I396">
        <v>2750</v>
      </c>
      <c r="J396" s="5">
        <v>310653.75</v>
      </c>
      <c r="L396" s="5">
        <v>320565.87</v>
      </c>
      <c r="M396" s="5">
        <v>112.965</v>
      </c>
      <c r="N396" s="5">
        <v>183.18049714285715</v>
      </c>
      <c r="O396" s="5">
        <v>9912.1199999999953</v>
      </c>
      <c r="P396" s="3">
        <v>3.190729228280681E-2</v>
      </c>
      <c r="Q396" s="9">
        <f t="shared" si="6"/>
        <v>440925.65256349667</v>
      </c>
      <c r="R396" s="5" t="str">
        <f>TEXT(Table1[[#This Row],[Closing Date]],"yyyy")</f>
        <v>2024</v>
      </c>
      <c r="S396" s="5" t="str">
        <f>TEXT(Table1[[#This Row],[Closing Date]],"mmmm")</f>
        <v>January</v>
      </c>
      <c r="T396" s="5" t="s">
        <v>240</v>
      </c>
      <c r="U396" s="5" t="s">
        <v>301</v>
      </c>
    </row>
    <row r="397" spans="2:21" x14ac:dyDescent="0.25">
      <c r="B397" t="s">
        <v>201</v>
      </c>
      <c r="C397" t="s">
        <v>303</v>
      </c>
      <c r="D397" t="s">
        <v>16</v>
      </c>
      <c r="E397" t="s">
        <v>7</v>
      </c>
      <c r="F397" s="5"/>
      <c r="G397" s="7">
        <v>45323</v>
      </c>
      <c r="H397" t="s">
        <v>169</v>
      </c>
      <c r="I397">
        <v>3000</v>
      </c>
      <c r="J397" s="5">
        <v>104835</v>
      </c>
      <c r="L397" s="5">
        <v>94427.199999999997</v>
      </c>
      <c r="M397" s="5">
        <v>34.945</v>
      </c>
      <c r="N397" s="5">
        <v>31.475733333333331</v>
      </c>
      <c r="O397" s="5">
        <v>-10407.800000000003</v>
      </c>
      <c r="P397" s="3">
        <v>-9.9277912910764557E-2</v>
      </c>
      <c r="Q397" s="9">
        <f t="shared" si="6"/>
        <v>430517.85256349668</v>
      </c>
      <c r="R397" s="5" t="str">
        <f>TEXT(Table1[[#This Row],[Closing Date]],"yyyy")</f>
        <v>2024</v>
      </c>
      <c r="S397" s="5" t="str">
        <f>TEXT(Table1[[#This Row],[Closing Date]],"mmmm")</f>
        <v>February</v>
      </c>
      <c r="T397" s="5" t="s">
        <v>240</v>
      </c>
      <c r="U397" s="5" t="s">
        <v>301</v>
      </c>
    </row>
    <row r="398" spans="2:21" x14ac:dyDescent="0.25">
      <c r="B398" t="s">
        <v>201</v>
      </c>
      <c r="C398" t="s">
        <v>303</v>
      </c>
      <c r="D398" t="s">
        <v>16</v>
      </c>
      <c r="E398" t="s">
        <v>7</v>
      </c>
      <c r="F398" s="5"/>
      <c r="G398" s="7">
        <v>45323</v>
      </c>
      <c r="H398" t="s">
        <v>114</v>
      </c>
      <c r="I398">
        <v>2500</v>
      </c>
      <c r="J398" s="5">
        <v>107337.5</v>
      </c>
      <c r="L398" s="5">
        <v>98272.37</v>
      </c>
      <c r="M398" s="5">
        <v>42.935000000000002</v>
      </c>
      <c r="N398" s="5">
        <v>39.308948000000001</v>
      </c>
      <c r="O398" s="5">
        <v>-9065.1300000000047</v>
      </c>
      <c r="P398" s="3">
        <v>-8.4454454407825827E-2</v>
      </c>
      <c r="Q398" s="9">
        <f t="shared" si="6"/>
        <v>421452.72256349667</v>
      </c>
      <c r="R398" s="5" t="str">
        <f>TEXT(Table1[[#This Row],[Closing Date]],"yyyy")</f>
        <v>2024</v>
      </c>
      <c r="S398" s="5" t="str">
        <f>TEXT(Table1[[#This Row],[Closing Date]],"mmmm")</f>
        <v>February</v>
      </c>
      <c r="T398" s="5" t="s">
        <v>240</v>
      </c>
      <c r="U398" s="5" t="s">
        <v>301</v>
      </c>
    </row>
    <row r="399" spans="2:21" x14ac:dyDescent="0.25">
      <c r="B399" t="s">
        <v>201</v>
      </c>
      <c r="C399" t="s">
        <v>303</v>
      </c>
      <c r="D399" t="s">
        <v>16</v>
      </c>
      <c r="E399" t="s">
        <v>7</v>
      </c>
      <c r="F399" s="5"/>
      <c r="G399" s="7">
        <v>45323</v>
      </c>
      <c r="H399" t="s">
        <v>142</v>
      </c>
      <c r="I399">
        <v>2500</v>
      </c>
      <c r="J399" s="5">
        <v>111862.5</v>
      </c>
      <c r="L399" s="5">
        <v>105586.24000000001</v>
      </c>
      <c r="M399" s="5">
        <v>44.744999999999997</v>
      </c>
      <c r="N399" s="5">
        <v>42.234496</v>
      </c>
      <c r="O399" s="5">
        <v>-6276.2599999999948</v>
      </c>
      <c r="P399" s="3">
        <v>-5.6106916973963528E-2</v>
      </c>
      <c r="Q399" s="9">
        <f t="shared" si="6"/>
        <v>415176.46256349667</v>
      </c>
      <c r="R399" s="5" t="str">
        <f>TEXT(Table1[[#This Row],[Closing Date]],"yyyy")</f>
        <v>2024</v>
      </c>
      <c r="S399" s="5" t="str">
        <f>TEXT(Table1[[#This Row],[Closing Date]],"mmmm")</f>
        <v>February</v>
      </c>
      <c r="T399" s="5" t="s">
        <v>240</v>
      </c>
      <c r="U399" s="5" t="s">
        <v>301</v>
      </c>
    </row>
    <row r="400" spans="2:21" x14ac:dyDescent="0.25">
      <c r="B400" t="s">
        <v>201</v>
      </c>
      <c r="C400" t="s">
        <v>303</v>
      </c>
      <c r="D400" t="s">
        <v>16</v>
      </c>
      <c r="E400" t="s">
        <v>7</v>
      </c>
      <c r="F400" s="5"/>
      <c r="G400" s="7">
        <v>45323</v>
      </c>
      <c r="H400" t="s">
        <v>181</v>
      </c>
      <c r="I400">
        <v>750</v>
      </c>
      <c r="J400" s="5">
        <v>157143.75</v>
      </c>
      <c r="L400" s="5">
        <v>152515</v>
      </c>
      <c r="M400" s="5">
        <v>209.52500000000001</v>
      </c>
      <c r="N400" s="5">
        <v>203.35333333333332</v>
      </c>
      <c r="O400" s="5">
        <v>-4628.75</v>
      </c>
      <c r="P400" s="3">
        <v>-2.9455514457304221E-2</v>
      </c>
      <c r="Q400" s="9">
        <f t="shared" si="6"/>
        <v>410547.71256349667</v>
      </c>
      <c r="R400" s="5" t="str">
        <f>TEXT(Table1[[#This Row],[Closing Date]],"yyyy")</f>
        <v>2024</v>
      </c>
      <c r="S400" s="5" t="str">
        <f>TEXT(Table1[[#This Row],[Closing Date]],"mmmm")</f>
        <v>February</v>
      </c>
      <c r="T400" s="5" t="s">
        <v>240</v>
      </c>
      <c r="U400" s="5" t="s">
        <v>301</v>
      </c>
    </row>
    <row r="401" spans="2:21" x14ac:dyDescent="0.25">
      <c r="B401" t="s">
        <v>201</v>
      </c>
      <c r="C401" t="s">
        <v>303</v>
      </c>
      <c r="D401" t="s">
        <v>16</v>
      </c>
      <c r="E401" t="s">
        <v>7</v>
      </c>
      <c r="F401" s="5"/>
      <c r="G401" s="7">
        <v>45323</v>
      </c>
      <c r="H401" t="s">
        <v>150</v>
      </c>
      <c r="I401">
        <v>2500</v>
      </c>
      <c r="J401" s="5">
        <v>96902.5</v>
      </c>
      <c r="L401" s="5">
        <v>97098.81</v>
      </c>
      <c r="M401" s="5">
        <v>38.761000000000003</v>
      </c>
      <c r="N401" s="5">
        <v>38.839523999999997</v>
      </c>
      <c r="O401" s="5">
        <v>196.30999999999767</v>
      </c>
      <c r="P401" s="3">
        <v>2.0258507262454289E-3</v>
      </c>
      <c r="Q401" s="9">
        <f t="shared" si="6"/>
        <v>410744.02256349666</v>
      </c>
      <c r="R401" s="5" t="str">
        <f>TEXT(Table1[[#This Row],[Closing Date]],"yyyy")</f>
        <v>2024</v>
      </c>
      <c r="S401" s="5" t="str">
        <f>TEXT(Table1[[#This Row],[Closing Date]],"mmmm")</f>
        <v>February</v>
      </c>
      <c r="T401" s="5" t="s">
        <v>240</v>
      </c>
      <c r="U401" s="5" t="s">
        <v>301</v>
      </c>
    </row>
    <row r="402" spans="2:21" x14ac:dyDescent="0.25">
      <c r="B402" t="s">
        <v>201</v>
      </c>
      <c r="C402" t="s">
        <v>303</v>
      </c>
      <c r="D402" t="s">
        <v>16</v>
      </c>
      <c r="E402" t="s">
        <v>7</v>
      </c>
      <c r="F402" s="5"/>
      <c r="G402" s="7">
        <v>45323</v>
      </c>
      <c r="H402" t="s">
        <v>107</v>
      </c>
      <c r="I402">
        <v>3000</v>
      </c>
      <c r="J402" s="5">
        <v>372321</v>
      </c>
      <c r="L402" s="5">
        <v>382062.68</v>
      </c>
      <c r="M402" s="5">
        <v>124.107</v>
      </c>
      <c r="N402" s="5">
        <v>254.70845333333332</v>
      </c>
      <c r="O402" s="5">
        <v>9741.679999999993</v>
      </c>
      <c r="P402" s="3">
        <v>2.6164734194418237E-2</v>
      </c>
      <c r="Q402" s="9">
        <f t="shared" si="6"/>
        <v>420485.70256349666</v>
      </c>
      <c r="R402" s="5" t="str">
        <f>TEXT(Table1[[#This Row],[Closing Date]],"yyyy")</f>
        <v>2024</v>
      </c>
      <c r="S402" s="5" t="str">
        <f>TEXT(Table1[[#This Row],[Closing Date]],"mmmm")</f>
        <v>February</v>
      </c>
      <c r="T402" s="5" t="s">
        <v>240</v>
      </c>
      <c r="U402" s="5" t="s">
        <v>301</v>
      </c>
    </row>
    <row r="403" spans="2:21" x14ac:dyDescent="0.25">
      <c r="B403" t="s">
        <v>201</v>
      </c>
      <c r="C403" t="s">
        <v>306</v>
      </c>
      <c r="D403" t="s">
        <v>12</v>
      </c>
      <c r="E403" t="s">
        <v>7</v>
      </c>
      <c r="F403" s="5"/>
      <c r="G403" s="7">
        <v>45323</v>
      </c>
      <c r="H403" t="s">
        <v>86</v>
      </c>
      <c r="I403">
        <v>200</v>
      </c>
      <c r="J403" s="5">
        <v>815420</v>
      </c>
      <c r="L403" s="5">
        <v>778893</v>
      </c>
      <c r="M403" s="5">
        <v>4.0770999999999997</v>
      </c>
      <c r="N403" s="5"/>
      <c r="O403" s="5">
        <v>-36527</v>
      </c>
      <c r="P403" s="3">
        <v>-4.4795320203085527E-2</v>
      </c>
      <c r="Q403" s="9">
        <f t="shared" si="6"/>
        <v>383958.70256349666</v>
      </c>
      <c r="R403" s="5" t="str">
        <f>TEXT(Table1[[#This Row],[Closing Date]],"yyyy")</f>
        <v>2024</v>
      </c>
      <c r="S403" s="5" t="str">
        <f>TEXT(Table1[[#This Row],[Closing Date]],"mmmm")</f>
        <v>February</v>
      </c>
      <c r="T403" s="5" t="s">
        <v>240</v>
      </c>
      <c r="U403" s="5" t="s">
        <v>301</v>
      </c>
    </row>
    <row r="404" spans="2:21" x14ac:dyDescent="0.25">
      <c r="B404" t="s">
        <v>201</v>
      </c>
      <c r="C404" t="s">
        <v>306</v>
      </c>
      <c r="D404" t="s">
        <v>12</v>
      </c>
      <c r="E404" t="s">
        <v>7</v>
      </c>
      <c r="F404" s="5"/>
      <c r="G404" s="7">
        <v>45323</v>
      </c>
      <c r="H404" t="s">
        <v>13</v>
      </c>
      <c r="I404">
        <v>3</v>
      </c>
      <c r="J404" s="5">
        <v>227077.11</v>
      </c>
      <c r="L404" s="5">
        <v>221752.89</v>
      </c>
      <c r="M404" s="5">
        <v>75.692369999999997</v>
      </c>
      <c r="N404" s="5">
        <v>0</v>
      </c>
      <c r="O404" s="5">
        <v>-5324.2199999999721</v>
      </c>
      <c r="P404" s="3">
        <v>-2.344674899200528E-2</v>
      </c>
      <c r="Q404" s="9">
        <f t="shared" si="6"/>
        <v>378634.48256349668</v>
      </c>
      <c r="R404" s="5" t="str">
        <f>TEXT(Table1[[#This Row],[Closing Date]],"yyyy")</f>
        <v>2024</v>
      </c>
      <c r="S404" s="5" t="str">
        <f>TEXT(Table1[[#This Row],[Closing Date]],"mmmm")</f>
        <v>February</v>
      </c>
      <c r="T404" s="5" t="s">
        <v>240</v>
      </c>
      <c r="U404" s="5" t="s">
        <v>301</v>
      </c>
    </row>
    <row r="405" spans="2:21" x14ac:dyDescent="0.25">
      <c r="B405" t="s">
        <v>197</v>
      </c>
      <c r="C405" t="s">
        <v>302</v>
      </c>
      <c r="D405" t="s">
        <v>102</v>
      </c>
      <c r="E405" t="s">
        <v>7</v>
      </c>
      <c r="F405" s="5"/>
      <c r="G405" s="7">
        <v>45324</v>
      </c>
      <c r="H405" t="s">
        <v>112</v>
      </c>
      <c r="I405">
        <v>25</v>
      </c>
      <c r="J405" s="5">
        <v>7248.67</v>
      </c>
      <c r="K405" s="13">
        <v>100</v>
      </c>
      <c r="L405" s="5">
        <v>18053.370000000003</v>
      </c>
      <c r="M405" s="5">
        <v>2.8994680000000002</v>
      </c>
      <c r="N405" s="5">
        <v>7.2213480000000017</v>
      </c>
      <c r="O405" s="5">
        <v>10804.700000000003</v>
      </c>
      <c r="P405" s="3">
        <v>1.4905768920367466</v>
      </c>
      <c r="Q405" s="9">
        <f t="shared" si="6"/>
        <v>389439.1825634967</v>
      </c>
      <c r="R405" s="5" t="str">
        <f>TEXT(Table1[[#This Row],[Closing Date]],"yyyy")</f>
        <v>2024</v>
      </c>
      <c r="S405" s="5" t="str">
        <f>TEXT(Table1[[#This Row],[Closing Date]],"mmmm")</f>
        <v>February</v>
      </c>
      <c r="T405" s="5" t="s">
        <v>240</v>
      </c>
      <c r="U405" s="5" t="s">
        <v>301</v>
      </c>
    </row>
    <row r="406" spans="2:21" x14ac:dyDescent="0.25">
      <c r="B406" t="s">
        <v>201</v>
      </c>
      <c r="C406" t="s">
        <v>303</v>
      </c>
      <c r="D406" t="s">
        <v>16</v>
      </c>
      <c r="E406" t="s">
        <v>7</v>
      </c>
      <c r="F406" s="5"/>
      <c r="G406" s="7">
        <v>45324</v>
      </c>
      <c r="H406" t="s">
        <v>182</v>
      </c>
      <c r="I406">
        <v>10000</v>
      </c>
      <c r="J406" s="5">
        <v>275285</v>
      </c>
      <c r="L406" s="5">
        <v>276321.87</v>
      </c>
      <c r="M406" s="5">
        <v>27.528500000000001</v>
      </c>
      <c r="N406" s="5">
        <v>27.632186999999998</v>
      </c>
      <c r="O406" s="5">
        <v>987</v>
      </c>
      <c r="P406" s="3">
        <v>3.5853751566558294E-3</v>
      </c>
      <c r="Q406" s="9">
        <f t="shared" si="6"/>
        <v>390426.1825634967</v>
      </c>
      <c r="R406" s="5" t="str">
        <f>TEXT(Table1[[#This Row],[Closing Date]],"yyyy")</f>
        <v>2024</v>
      </c>
      <c r="S406" s="5" t="str">
        <f>TEXT(Table1[[#This Row],[Closing Date]],"mmmm")</f>
        <v>February</v>
      </c>
      <c r="T406" s="5" t="s">
        <v>240</v>
      </c>
      <c r="U406" s="5" t="s">
        <v>301</v>
      </c>
    </row>
    <row r="407" spans="2:21" x14ac:dyDescent="0.25">
      <c r="B407" t="s">
        <v>201</v>
      </c>
      <c r="C407" t="s">
        <v>303</v>
      </c>
      <c r="D407" t="s">
        <v>16</v>
      </c>
      <c r="E407" t="s">
        <v>7</v>
      </c>
      <c r="F407" s="5"/>
      <c r="G407" s="7">
        <v>45327</v>
      </c>
      <c r="H407" t="s">
        <v>115</v>
      </c>
      <c r="I407">
        <v>18000</v>
      </c>
      <c r="J407" s="5">
        <v>284136.45</v>
      </c>
      <c r="L407" s="5">
        <v>301286.45</v>
      </c>
      <c r="M407" s="5">
        <v>15.785358333333335</v>
      </c>
      <c r="N407" s="5">
        <v>16.73813611111111</v>
      </c>
      <c r="O407" s="5">
        <v>-17150</v>
      </c>
      <c r="P407" s="3">
        <v>-6.0358324319178334E-2</v>
      </c>
      <c r="Q407" s="9">
        <f t="shared" si="6"/>
        <v>373276.1825634967</v>
      </c>
      <c r="R407" s="5" t="str">
        <f>TEXT(Table1[[#This Row],[Closing Date]],"yyyy")</f>
        <v>2024</v>
      </c>
      <c r="S407" s="5" t="str">
        <f>TEXT(Table1[[#This Row],[Closing Date]],"mmmm")</f>
        <v>February</v>
      </c>
      <c r="T407" s="5" t="s">
        <v>240</v>
      </c>
      <c r="U407" s="5" t="s">
        <v>301</v>
      </c>
    </row>
    <row r="408" spans="2:21" x14ac:dyDescent="0.25">
      <c r="B408" t="s">
        <v>201</v>
      </c>
      <c r="C408" t="s">
        <v>303</v>
      </c>
      <c r="D408" t="s">
        <v>16</v>
      </c>
      <c r="E408" t="s">
        <v>7</v>
      </c>
      <c r="F408" s="5"/>
      <c r="G408" s="7">
        <v>45327</v>
      </c>
      <c r="H408" t="s">
        <v>208</v>
      </c>
      <c r="I408">
        <v>20000</v>
      </c>
      <c r="J408" s="5">
        <v>871910.45</v>
      </c>
      <c r="L408" s="5">
        <v>860994.45</v>
      </c>
      <c r="M408" s="5">
        <v>43.595522499999994</v>
      </c>
      <c r="N408" s="5">
        <v>43.049722499999994</v>
      </c>
      <c r="O408" s="5">
        <v>-10956</v>
      </c>
      <c r="P408" s="3">
        <v>-1.2565510598020703E-2</v>
      </c>
      <c r="Q408" s="9">
        <f t="shared" si="6"/>
        <v>362320.1825634967</v>
      </c>
      <c r="R408" s="5" t="str">
        <f>TEXT(Table1[[#This Row],[Closing Date]],"yyyy")</f>
        <v>2024</v>
      </c>
      <c r="S408" s="5" t="str">
        <f>TEXT(Table1[[#This Row],[Closing Date]],"mmmm")</f>
        <v>February</v>
      </c>
      <c r="T408" s="5" t="s">
        <v>240</v>
      </c>
      <c r="U408" s="5" t="s">
        <v>301</v>
      </c>
    </row>
    <row r="409" spans="2:21" x14ac:dyDescent="0.25">
      <c r="B409" t="s">
        <v>201</v>
      </c>
      <c r="C409" t="s">
        <v>303</v>
      </c>
      <c r="D409" t="s">
        <v>16</v>
      </c>
      <c r="E409" t="s">
        <v>7</v>
      </c>
      <c r="F409" s="5"/>
      <c r="G409" s="7">
        <v>45328</v>
      </c>
      <c r="H409" t="s">
        <v>209</v>
      </c>
      <c r="I409">
        <v>4000</v>
      </c>
      <c r="J409" s="5">
        <v>156520</v>
      </c>
      <c r="L409" s="5">
        <v>150380</v>
      </c>
      <c r="M409" s="5">
        <v>39.130000000000003</v>
      </c>
      <c r="N409" s="5">
        <v>37.594999999999999</v>
      </c>
      <c r="O409" s="5">
        <v>-6182</v>
      </c>
      <c r="P409" s="3">
        <v>-3.9496549961666239E-2</v>
      </c>
      <c r="Q409" s="9">
        <f t="shared" si="6"/>
        <v>356138.1825634967</v>
      </c>
      <c r="R409" s="5" t="str">
        <f>TEXT(Table1[[#This Row],[Closing Date]],"yyyy")</f>
        <v>2024</v>
      </c>
      <c r="S409" s="5" t="str">
        <f>TEXT(Table1[[#This Row],[Closing Date]],"mmmm")</f>
        <v>February</v>
      </c>
      <c r="T409" s="5" t="s">
        <v>240</v>
      </c>
      <c r="U409" s="5" t="s">
        <v>301</v>
      </c>
    </row>
    <row r="410" spans="2:21" x14ac:dyDescent="0.25">
      <c r="B410" t="s">
        <v>201</v>
      </c>
      <c r="C410" t="s">
        <v>303</v>
      </c>
      <c r="D410" t="s">
        <v>16</v>
      </c>
      <c r="E410" t="s">
        <v>7</v>
      </c>
      <c r="F410" s="5"/>
      <c r="G410" s="7">
        <v>45328</v>
      </c>
      <c r="H410" t="s">
        <v>180</v>
      </c>
      <c r="I410">
        <v>8000</v>
      </c>
      <c r="J410" s="5">
        <v>163175.60999999999</v>
      </c>
      <c r="L410" s="5">
        <v>157159.93</v>
      </c>
      <c r="M410" s="5">
        <v>20.396951249999997</v>
      </c>
      <c r="N410" s="5">
        <v>19.64499125</v>
      </c>
      <c r="O410" s="5">
        <v>6015.679999999993</v>
      </c>
      <c r="P410" s="3">
        <v>3.6866293927137722E-2</v>
      </c>
      <c r="Q410" s="9">
        <f t="shared" si="6"/>
        <v>362153.86256349669</v>
      </c>
      <c r="R410" s="5" t="str">
        <f>TEXT(Table1[[#This Row],[Closing Date]],"yyyy")</f>
        <v>2024</v>
      </c>
      <c r="S410" s="5" t="str">
        <f>TEXT(Table1[[#This Row],[Closing Date]],"mmmm")</f>
        <v>February</v>
      </c>
      <c r="T410" s="5" t="s">
        <v>240</v>
      </c>
      <c r="U410" s="5" t="s">
        <v>301</v>
      </c>
    </row>
    <row r="411" spans="2:21" x14ac:dyDescent="0.25">
      <c r="B411" t="s">
        <v>201</v>
      </c>
      <c r="C411" t="s">
        <v>303</v>
      </c>
      <c r="D411" t="s">
        <v>16</v>
      </c>
      <c r="E411" t="s">
        <v>7</v>
      </c>
      <c r="F411" s="5"/>
      <c r="G411" s="7">
        <v>45328</v>
      </c>
      <c r="H411" t="s">
        <v>142</v>
      </c>
      <c r="I411">
        <v>10000</v>
      </c>
      <c r="J411" s="5">
        <v>437250</v>
      </c>
      <c r="L411" s="5">
        <v>457851.38</v>
      </c>
      <c r="M411" s="5">
        <v>43.725000000000001</v>
      </c>
      <c r="N411" s="5">
        <v>45.785138000000003</v>
      </c>
      <c r="O411" s="5">
        <v>20601.380000000005</v>
      </c>
      <c r="P411" s="3">
        <v>4.7115791881074912E-2</v>
      </c>
      <c r="Q411" s="9">
        <f t="shared" si="6"/>
        <v>382755.24256349669</v>
      </c>
      <c r="R411" s="5" t="str">
        <f>TEXT(Table1[[#This Row],[Closing Date]],"yyyy")</f>
        <v>2024</v>
      </c>
      <c r="S411" s="5" t="str">
        <f>TEXT(Table1[[#This Row],[Closing Date]],"mmmm")</f>
        <v>February</v>
      </c>
      <c r="T411" s="5" t="s">
        <v>240</v>
      </c>
      <c r="U411" s="5" t="s">
        <v>301</v>
      </c>
    </row>
    <row r="412" spans="2:21" x14ac:dyDescent="0.25">
      <c r="B412" t="s">
        <v>201</v>
      </c>
      <c r="C412" t="s">
        <v>303</v>
      </c>
      <c r="D412" t="s">
        <v>16</v>
      </c>
      <c r="E412" t="s">
        <v>7</v>
      </c>
      <c r="F412" s="5"/>
      <c r="G412" s="7">
        <v>45329</v>
      </c>
      <c r="H412" t="s">
        <v>209</v>
      </c>
      <c r="I412">
        <v>4500</v>
      </c>
      <c r="J412" s="5">
        <v>177193.2</v>
      </c>
      <c r="L412" s="5">
        <v>168032.82</v>
      </c>
      <c r="M412" s="5">
        <v>39.376266666666666</v>
      </c>
      <c r="N412" s="5">
        <v>37.340626666666665</v>
      </c>
      <c r="O412" s="5">
        <v>-9207.4700000000048</v>
      </c>
      <c r="P412" s="3">
        <v>-5.196288570893242E-2</v>
      </c>
      <c r="Q412" s="9">
        <f t="shared" si="6"/>
        <v>373547.77256349666</v>
      </c>
      <c r="R412" s="5" t="str">
        <f>TEXT(Table1[[#This Row],[Closing Date]],"yyyy")</f>
        <v>2024</v>
      </c>
      <c r="S412" s="5" t="str">
        <f>TEXT(Table1[[#This Row],[Closing Date]],"mmmm")</f>
        <v>February</v>
      </c>
      <c r="T412" s="5" t="s">
        <v>240</v>
      </c>
      <c r="U412" s="5" t="s">
        <v>301</v>
      </c>
    </row>
    <row r="413" spans="2:21" x14ac:dyDescent="0.25">
      <c r="B413" t="s">
        <v>201</v>
      </c>
      <c r="C413" t="s">
        <v>303</v>
      </c>
      <c r="D413" t="s">
        <v>16</v>
      </c>
      <c r="E413" t="s">
        <v>7</v>
      </c>
      <c r="F413" s="5"/>
      <c r="G413" s="7">
        <v>45330</v>
      </c>
      <c r="H413" t="s">
        <v>114</v>
      </c>
      <c r="I413">
        <v>1000</v>
      </c>
      <c r="J413" s="5">
        <v>50862</v>
      </c>
      <c r="L413" s="5">
        <v>45035</v>
      </c>
      <c r="M413" s="5">
        <v>50.862000000000002</v>
      </c>
      <c r="N413" s="5">
        <v>45.034999999999997</v>
      </c>
      <c r="O413" s="5">
        <v>-5874.09</v>
      </c>
      <c r="P413" s="3">
        <v>-0.11549073964846054</v>
      </c>
      <c r="Q413" s="9">
        <f t="shared" si="6"/>
        <v>367673.68256349664</v>
      </c>
      <c r="R413" s="5" t="str">
        <f>TEXT(Table1[[#This Row],[Closing Date]],"yyyy")</f>
        <v>2024</v>
      </c>
      <c r="S413" s="5" t="str">
        <f>TEXT(Table1[[#This Row],[Closing Date]],"mmmm")</f>
        <v>February</v>
      </c>
      <c r="T413" s="5" t="s">
        <v>240</v>
      </c>
      <c r="U413" s="5" t="s">
        <v>301</v>
      </c>
    </row>
    <row r="414" spans="2:21" x14ac:dyDescent="0.25">
      <c r="B414" t="s">
        <v>201</v>
      </c>
      <c r="C414" t="s">
        <v>303</v>
      </c>
      <c r="D414" t="s">
        <v>16</v>
      </c>
      <c r="E414" t="s">
        <v>7</v>
      </c>
      <c r="F414" s="5"/>
      <c r="G414" s="7">
        <v>45331</v>
      </c>
      <c r="H414" t="s">
        <v>153</v>
      </c>
      <c r="I414">
        <v>12000</v>
      </c>
      <c r="J414" s="5">
        <v>384159.63</v>
      </c>
      <c r="L414" s="5">
        <v>437647.33999999997</v>
      </c>
      <c r="M414" s="5">
        <v>32.013302500000002</v>
      </c>
      <c r="N414" s="5">
        <v>36.470611666666663</v>
      </c>
      <c r="O414" s="5">
        <v>53487.709999999963</v>
      </c>
      <c r="P414" s="3">
        <v>0.13923303185188918</v>
      </c>
      <c r="Q414" s="9">
        <f t="shared" si="6"/>
        <v>421161.3925634966</v>
      </c>
      <c r="R414" s="5" t="str">
        <f>TEXT(Table1[[#This Row],[Closing Date]],"yyyy")</f>
        <v>2024</v>
      </c>
      <c r="S414" s="5" t="str">
        <f>TEXT(Table1[[#This Row],[Closing Date]],"mmmm")</f>
        <v>February</v>
      </c>
      <c r="T414" s="5" t="s">
        <v>240</v>
      </c>
      <c r="U414" s="5" t="s">
        <v>301</v>
      </c>
    </row>
    <row r="415" spans="2:21" x14ac:dyDescent="0.25">
      <c r="B415" t="s">
        <v>201</v>
      </c>
      <c r="C415" t="s">
        <v>303</v>
      </c>
      <c r="D415" t="s">
        <v>16</v>
      </c>
      <c r="E415" t="s">
        <v>5</v>
      </c>
      <c r="F415" s="5"/>
      <c r="G415" s="7">
        <v>45334</v>
      </c>
      <c r="H415" t="s">
        <v>72</v>
      </c>
      <c r="I415">
        <v>200</v>
      </c>
      <c r="J415" s="5">
        <v>141889.93</v>
      </c>
      <c r="L415" s="5">
        <v>156783.74</v>
      </c>
      <c r="M415" s="5">
        <v>709.44965000000002</v>
      </c>
      <c r="N415" s="5">
        <v>783.91869999999994</v>
      </c>
      <c r="O415" s="5">
        <v>-14893.809999999998</v>
      </c>
      <c r="P415" s="3">
        <v>-0.10496735039618385</v>
      </c>
      <c r="Q415" s="9">
        <f t="shared" si="6"/>
        <v>406267.5825634966</v>
      </c>
      <c r="R415" s="5" t="str">
        <f>TEXT(Table1[[#This Row],[Closing Date]],"yyyy")</f>
        <v>2024</v>
      </c>
      <c r="S415" s="5" t="str">
        <f>TEXT(Table1[[#This Row],[Closing Date]],"mmmm")</f>
        <v>February</v>
      </c>
      <c r="T415" s="5" t="s">
        <v>240</v>
      </c>
      <c r="U415" s="5" t="s">
        <v>301</v>
      </c>
    </row>
    <row r="416" spans="2:21" x14ac:dyDescent="0.25">
      <c r="B416" t="s">
        <v>197</v>
      </c>
      <c r="C416" t="s">
        <v>302</v>
      </c>
      <c r="D416" t="s">
        <v>99</v>
      </c>
      <c r="E416" t="s">
        <v>7</v>
      </c>
      <c r="F416" s="5"/>
      <c r="G416" s="7">
        <v>45334</v>
      </c>
      <c r="H416" t="s">
        <v>133</v>
      </c>
      <c r="I416">
        <v>40</v>
      </c>
      <c r="J416" s="5">
        <v>10055.879999999999</v>
      </c>
      <c r="K416" s="13">
        <v>100</v>
      </c>
      <c r="L416" s="5">
        <v>0</v>
      </c>
      <c r="M416" s="5">
        <v>2.51397</v>
      </c>
      <c r="N416" s="5"/>
      <c r="O416" s="5">
        <v>-10055.879999999999</v>
      </c>
      <c r="P416" s="3">
        <v>-1</v>
      </c>
      <c r="Q416" s="9">
        <f t="shared" si="6"/>
        <v>396211.7025634966</v>
      </c>
      <c r="R416" s="5" t="str">
        <f>TEXT(Table1[[#This Row],[Closing Date]],"yyyy")</f>
        <v>2024</v>
      </c>
      <c r="S416" s="5" t="str">
        <f>TEXT(Table1[[#This Row],[Closing Date]],"mmmm")</f>
        <v>February</v>
      </c>
      <c r="T416" s="5" t="s">
        <v>240</v>
      </c>
      <c r="U416" s="5" t="s">
        <v>301</v>
      </c>
    </row>
    <row r="417" spans="2:21" x14ac:dyDescent="0.25">
      <c r="B417" t="s">
        <v>201</v>
      </c>
      <c r="C417" t="s">
        <v>303</v>
      </c>
      <c r="D417" t="s">
        <v>16</v>
      </c>
      <c r="E417" t="s">
        <v>7</v>
      </c>
      <c r="F417" s="5"/>
      <c r="G417" s="7">
        <v>45335</v>
      </c>
      <c r="H417" t="s">
        <v>206</v>
      </c>
      <c r="I417">
        <v>5350</v>
      </c>
      <c r="J417" s="5">
        <v>919469.25</v>
      </c>
      <c r="L417" s="5">
        <v>890261.85000000009</v>
      </c>
      <c r="M417" s="5">
        <v>171.86341121495326</v>
      </c>
      <c r="N417" s="5">
        <v>166.40408411214955</v>
      </c>
      <c r="O417" s="5">
        <v>-29207.399999999907</v>
      </c>
      <c r="P417" s="3">
        <v>-3.1765499498759647E-2</v>
      </c>
      <c r="Q417" s="9">
        <f t="shared" si="6"/>
        <v>367004.30256349669</v>
      </c>
      <c r="R417" s="5" t="str">
        <f>TEXT(Table1[[#This Row],[Closing Date]],"yyyy")</f>
        <v>2024</v>
      </c>
      <c r="S417" s="5" t="str">
        <f>TEXT(Table1[[#This Row],[Closing Date]],"mmmm")</f>
        <v>February</v>
      </c>
      <c r="T417" s="5" t="s">
        <v>240</v>
      </c>
      <c r="U417" s="5" t="s">
        <v>301</v>
      </c>
    </row>
    <row r="418" spans="2:21" x14ac:dyDescent="0.25">
      <c r="B418" t="s">
        <v>201</v>
      </c>
      <c r="C418" t="s">
        <v>303</v>
      </c>
      <c r="D418" t="s">
        <v>16</v>
      </c>
      <c r="E418" t="s">
        <v>7</v>
      </c>
      <c r="F418" s="5"/>
      <c r="G418" s="7">
        <v>45335</v>
      </c>
      <c r="H418" t="s">
        <v>163</v>
      </c>
      <c r="I418">
        <v>7500</v>
      </c>
      <c r="J418" s="5">
        <v>182887.5</v>
      </c>
      <c r="L418" s="5">
        <v>174997.19</v>
      </c>
      <c r="M418" s="5">
        <v>24.385000000000002</v>
      </c>
      <c r="N418" s="5">
        <v>23.332958666666666</v>
      </c>
      <c r="O418" s="5">
        <v>-7890.3099999999977</v>
      </c>
      <c r="P418" s="3">
        <v>-4.3142970405303793E-2</v>
      </c>
      <c r="Q418" s="9">
        <f t="shared" si="6"/>
        <v>359113.99256349669</v>
      </c>
      <c r="R418" s="5" t="str">
        <f>TEXT(Table1[[#This Row],[Closing Date]],"yyyy")</f>
        <v>2024</v>
      </c>
      <c r="S418" s="5" t="str">
        <f>TEXT(Table1[[#This Row],[Closing Date]],"mmmm")</f>
        <v>February</v>
      </c>
      <c r="T418" s="5" t="s">
        <v>240</v>
      </c>
      <c r="U418" s="5" t="s">
        <v>301</v>
      </c>
    </row>
    <row r="419" spans="2:21" x14ac:dyDescent="0.25">
      <c r="B419" t="s">
        <v>201</v>
      </c>
      <c r="C419" t="s">
        <v>303</v>
      </c>
      <c r="D419" t="s">
        <v>16</v>
      </c>
      <c r="E419" t="s">
        <v>7</v>
      </c>
      <c r="F419" s="5"/>
      <c r="G419" s="7">
        <v>45335</v>
      </c>
      <c r="H419" t="s">
        <v>159</v>
      </c>
      <c r="I419">
        <v>1250</v>
      </c>
      <c r="J419" s="5">
        <v>707866.5</v>
      </c>
      <c r="L419" s="5">
        <v>690823.5</v>
      </c>
      <c r="M419" s="5">
        <v>566.29319999999996</v>
      </c>
      <c r="N419" s="5">
        <v>552.65880000000004</v>
      </c>
      <c r="O419" s="5">
        <v>-17043</v>
      </c>
      <c r="P419" s="3">
        <v>-2.4076573760730306E-2</v>
      </c>
      <c r="Q419" s="9">
        <f t="shared" si="6"/>
        <v>342070.99256349669</v>
      </c>
      <c r="R419" s="5" t="str">
        <f>TEXT(Table1[[#This Row],[Closing Date]],"yyyy")</f>
        <v>2024</v>
      </c>
      <c r="S419" s="5" t="str">
        <f>TEXT(Table1[[#This Row],[Closing Date]],"mmmm")</f>
        <v>February</v>
      </c>
      <c r="T419" s="5" t="s">
        <v>240</v>
      </c>
      <c r="U419" s="5" t="s">
        <v>301</v>
      </c>
    </row>
    <row r="420" spans="2:21" x14ac:dyDescent="0.25">
      <c r="B420" t="s">
        <v>201</v>
      </c>
      <c r="C420" t="s">
        <v>306</v>
      </c>
      <c r="D420" t="s">
        <v>4</v>
      </c>
      <c r="E420" t="s">
        <v>7</v>
      </c>
      <c r="F420" s="5"/>
      <c r="G420" s="7">
        <v>45335</v>
      </c>
      <c r="H420" t="s">
        <v>220</v>
      </c>
      <c r="I420">
        <v>250000</v>
      </c>
      <c r="J420" s="5">
        <v>103525847.09999999</v>
      </c>
      <c r="L420" s="5">
        <v>102020459.37</v>
      </c>
      <c r="M420" s="5">
        <v>414.10338839999997</v>
      </c>
      <c r="N420" s="5">
        <v>413</v>
      </c>
      <c r="O420" s="5">
        <v>-4185</v>
      </c>
      <c r="P420" s="3">
        <v>-0.01</v>
      </c>
      <c r="Q420" s="9">
        <f t="shared" si="6"/>
        <v>337885.99256349669</v>
      </c>
      <c r="R420" s="5" t="str">
        <f>TEXT(Table1[[#This Row],[Closing Date]],"yyyy")</f>
        <v>2024</v>
      </c>
      <c r="S420" s="5" t="str">
        <f>TEXT(Table1[[#This Row],[Closing Date]],"mmmm")</f>
        <v>February</v>
      </c>
      <c r="T420" s="5" t="s">
        <v>240</v>
      </c>
      <c r="U420" s="5" t="s">
        <v>301</v>
      </c>
    </row>
    <row r="421" spans="2:21" x14ac:dyDescent="0.25">
      <c r="B421" t="s">
        <v>201</v>
      </c>
      <c r="C421" t="s">
        <v>303</v>
      </c>
      <c r="D421" t="s">
        <v>16</v>
      </c>
      <c r="E421" t="s">
        <v>7</v>
      </c>
      <c r="F421" s="5"/>
      <c r="G421" s="7">
        <v>45337</v>
      </c>
      <c r="H421" t="s">
        <v>159</v>
      </c>
      <c r="I421">
        <v>1000</v>
      </c>
      <c r="J421" s="5">
        <v>569167</v>
      </c>
      <c r="L421" s="5">
        <v>583154.04</v>
      </c>
      <c r="M421" s="5">
        <v>569.16700000000003</v>
      </c>
      <c r="N421" s="5">
        <v>583.15404000000001</v>
      </c>
      <c r="O421" s="5">
        <v>13987.040000000037</v>
      </c>
      <c r="P421" s="3">
        <v>2.4574580044169878E-2</v>
      </c>
      <c r="Q421" s="9">
        <f t="shared" si="6"/>
        <v>351873.03256349673</v>
      </c>
      <c r="R421" s="5" t="str">
        <f>TEXT(Table1[[#This Row],[Closing Date]],"yyyy")</f>
        <v>2024</v>
      </c>
      <c r="S421" s="5" t="str">
        <f>TEXT(Table1[[#This Row],[Closing Date]],"mmmm")</f>
        <v>February</v>
      </c>
      <c r="T421" s="5" t="s">
        <v>240</v>
      </c>
      <c r="U421" s="5" t="s">
        <v>301</v>
      </c>
    </row>
    <row r="422" spans="2:21" x14ac:dyDescent="0.25">
      <c r="B422" t="s">
        <v>201</v>
      </c>
      <c r="C422" t="s">
        <v>303</v>
      </c>
      <c r="D422" t="s">
        <v>16</v>
      </c>
      <c r="E422" t="s">
        <v>7</v>
      </c>
      <c r="F422" s="5"/>
      <c r="G422" s="7">
        <v>45338</v>
      </c>
      <c r="H422" t="s">
        <v>206</v>
      </c>
      <c r="I422">
        <v>2000</v>
      </c>
      <c r="J422" s="5">
        <v>354270</v>
      </c>
      <c r="L422" s="5">
        <v>347660.31</v>
      </c>
      <c r="M422" s="5">
        <v>177.13499999999999</v>
      </c>
      <c r="N422" s="5">
        <v>173.83015499999999</v>
      </c>
      <c r="O422" s="5">
        <v>-6609.6900000000023</v>
      </c>
      <c r="P422" s="3">
        <v>-1.8657210602083165E-2</v>
      </c>
      <c r="Q422" s="9">
        <f t="shared" si="6"/>
        <v>345263.34256349673</v>
      </c>
      <c r="R422" s="5" t="str">
        <f>TEXT(Table1[[#This Row],[Closing Date]],"yyyy")</f>
        <v>2024</v>
      </c>
      <c r="S422" s="5" t="str">
        <f>TEXT(Table1[[#This Row],[Closing Date]],"mmmm")</f>
        <v>February</v>
      </c>
      <c r="T422" s="5" t="s">
        <v>240</v>
      </c>
      <c r="U422" s="5" t="s">
        <v>301</v>
      </c>
    </row>
    <row r="423" spans="2:21" x14ac:dyDescent="0.25">
      <c r="B423" t="s">
        <v>201</v>
      </c>
      <c r="C423" t="s">
        <v>303</v>
      </c>
      <c r="D423" t="s">
        <v>16</v>
      </c>
      <c r="E423" t="s">
        <v>7</v>
      </c>
      <c r="F423" s="5"/>
      <c r="G423" s="7">
        <v>45338</v>
      </c>
      <c r="H423" t="s">
        <v>163</v>
      </c>
      <c r="I423">
        <v>10000</v>
      </c>
      <c r="J423" s="5">
        <v>245955</v>
      </c>
      <c r="L423" s="5">
        <v>243950.99</v>
      </c>
      <c r="M423" s="5">
        <v>24.595500000000001</v>
      </c>
      <c r="N423" s="5">
        <v>24.395098999999998</v>
      </c>
      <c r="O423" s="5">
        <v>-2004.0100000000093</v>
      </c>
      <c r="P423" s="3">
        <v>-8.1478725783172105E-3</v>
      </c>
      <c r="Q423" s="9">
        <f t="shared" si="6"/>
        <v>343259.33256349672</v>
      </c>
      <c r="R423" s="5" t="str">
        <f>TEXT(Table1[[#This Row],[Closing Date]],"yyyy")</f>
        <v>2024</v>
      </c>
      <c r="S423" s="5" t="str">
        <f>TEXT(Table1[[#This Row],[Closing Date]],"mmmm")</f>
        <v>February</v>
      </c>
      <c r="T423" s="5" t="s">
        <v>240</v>
      </c>
      <c r="U423" s="5" t="s">
        <v>301</v>
      </c>
    </row>
    <row r="424" spans="2:21" x14ac:dyDescent="0.25">
      <c r="B424" t="s">
        <v>201</v>
      </c>
      <c r="C424" t="s">
        <v>303</v>
      </c>
      <c r="D424" t="s">
        <v>16</v>
      </c>
      <c r="E424" t="s">
        <v>7</v>
      </c>
      <c r="F424" s="5"/>
      <c r="G424" s="7">
        <v>45338</v>
      </c>
      <c r="H424" t="s">
        <v>198</v>
      </c>
      <c r="I424">
        <v>7500</v>
      </c>
      <c r="J424" s="5">
        <v>527580</v>
      </c>
      <c r="L424" s="5">
        <v>527237.04</v>
      </c>
      <c r="M424" s="5">
        <v>70.343999999999994</v>
      </c>
      <c r="N424" s="5">
        <v>70.298272000000011</v>
      </c>
      <c r="O424" s="5">
        <v>-342.95999999996275</v>
      </c>
      <c r="P424" s="3">
        <v>-6.5006254975541672E-4</v>
      </c>
      <c r="Q424" s="9">
        <f t="shared" si="6"/>
        <v>342916.37256349676</v>
      </c>
      <c r="R424" s="5" t="str">
        <f>TEXT(Table1[[#This Row],[Closing Date]],"yyyy")</f>
        <v>2024</v>
      </c>
      <c r="S424" s="5" t="str">
        <f>TEXT(Table1[[#This Row],[Closing Date]],"mmmm")</f>
        <v>February</v>
      </c>
      <c r="T424" s="5" t="s">
        <v>240</v>
      </c>
      <c r="U424" s="5" t="s">
        <v>301</v>
      </c>
    </row>
    <row r="425" spans="2:21" x14ac:dyDescent="0.25">
      <c r="B425" t="s">
        <v>197</v>
      </c>
      <c r="C425" t="s">
        <v>306</v>
      </c>
      <c r="D425" t="s">
        <v>102</v>
      </c>
      <c r="E425" t="s">
        <v>7</v>
      </c>
      <c r="F425" s="5"/>
      <c r="G425" s="7">
        <v>45338</v>
      </c>
      <c r="H425" t="s">
        <v>221</v>
      </c>
      <c r="I425">
        <v>19</v>
      </c>
      <c r="J425" s="5">
        <v>9988.2999999999993</v>
      </c>
      <c r="K425" s="13">
        <v>100</v>
      </c>
      <c r="L425" s="5">
        <v>20904.84</v>
      </c>
      <c r="M425" s="5">
        <v>5.2569999999999997</v>
      </c>
      <c r="N425" s="5">
        <v>11.002547368421054</v>
      </c>
      <c r="O425" s="5">
        <v>10916.54</v>
      </c>
      <c r="P425" s="3">
        <v>1.0929327312956161</v>
      </c>
      <c r="Q425" s="9">
        <f t="shared" si="6"/>
        <v>353832.91256349673</v>
      </c>
      <c r="R425" s="5" t="str">
        <f>TEXT(Table1[[#This Row],[Closing Date]],"yyyy")</f>
        <v>2024</v>
      </c>
      <c r="S425" s="5" t="str">
        <f>TEXT(Table1[[#This Row],[Closing Date]],"mmmm")</f>
        <v>February</v>
      </c>
      <c r="T425" s="5" t="s">
        <v>240</v>
      </c>
      <c r="U425" s="5" t="s">
        <v>301</v>
      </c>
    </row>
    <row r="426" spans="2:21" x14ac:dyDescent="0.25">
      <c r="B426" t="s">
        <v>197</v>
      </c>
      <c r="C426" t="s">
        <v>303</v>
      </c>
      <c r="D426" t="s">
        <v>102</v>
      </c>
      <c r="E426" t="s">
        <v>7</v>
      </c>
      <c r="F426" s="5"/>
      <c r="G426" s="7">
        <v>45341</v>
      </c>
      <c r="H426" t="s">
        <v>206</v>
      </c>
      <c r="I426">
        <v>33</v>
      </c>
      <c r="J426" s="5">
        <v>13123</v>
      </c>
      <c r="K426" s="13">
        <v>100</v>
      </c>
      <c r="L426" s="5">
        <v>22428.58</v>
      </c>
      <c r="M426" s="5">
        <v>3.976666666666667</v>
      </c>
      <c r="N426" s="5">
        <v>6.796539393939395</v>
      </c>
      <c r="O426" s="5">
        <v>9305.5800000000017</v>
      </c>
      <c r="P426" s="3">
        <v>0.70910462546673791</v>
      </c>
      <c r="Q426" s="9">
        <f t="shared" si="6"/>
        <v>363138.49256349675</v>
      </c>
      <c r="R426" s="5" t="str">
        <f>TEXT(Table1[[#This Row],[Closing Date]],"yyyy")</f>
        <v>2024</v>
      </c>
      <c r="S426" s="5" t="str">
        <f>TEXT(Table1[[#This Row],[Closing Date]],"mmmm")</f>
        <v>February</v>
      </c>
      <c r="T426" s="5" t="s">
        <v>240</v>
      </c>
      <c r="U426" s="5" t="s">
        <v>301</v>
      </c>
    </row>
    <row r="427" spans="2:21" x14ac:dyDescent="0.25">
      <c r="B427" t="s">
        <v>201</v>
      </c>
      <c r="C427" t="s">
        <v>303</v>
      </c>
      <c r="D427" t="s">
        <v>16</v>
      </c>
      <c r="E427" t="s">
        <v>7</v>
      </c>
      <c r="F427" s="5"/>
      <c r="G427" s="7">
        <v>45342</v>
      </c>
      <c r="H427" t="s">
        <v>217</v>
      </c>
      <c r="I427">
        <v>1500</v>
      </c>
      <c r="J427" s="5">
        <v>194167.5</v>
      </c>
      <c r="L427" s="5">
        <v>179094.32</v>
      </c>
      <c r="M427" s="5">
        <v>129.44499999999999</v>
      </c>
      <c r="N427" s="5">
        <v>119.39621333333334</v>
      </c>
      <c r="O427" s="5">
        <v>-15073.179999999993</v>
      </c>
      <c r="P427" s="3">
        <v>-7.7629778412968142E-2</v>
      </c>
      <c r="Q427" s="9">
        <f t="shared" si="6"/>
        <v>348065.31256349676</v>
      </c>
      <c r="R427" s="5" t="str">
        <f>TEXT(Table1[[#This Row],[Closing Date]],"yyyy")</f>
        <v>2024</v>
      </c>
      <c r="S427" s="5" t="str">
        <f>TEXT(Table1[[#This Row],[Closing Date]],"mmmm")</f>
        <v>February</v>
      </c>
      <c r="T427" s="5" t="s">
        <v>240</v>
      </c>
      <c r="U427" s="5" t="s">
        <v>301</v>
      </c>
    </row>
    <row r="428" spans="2:21" x14ac:dyDescent="0.25">
      <c r="B428" t="s">
        <v>201</v>
      </c>
      <c r="C428" t="s">
        <v>303</v>
      </c>
      <c r="D428" t="s">
        <v>16</v>
      </c>
      <c r="E428" t="s">
        <v>7</v>
      </c>
      <c r="F428" s="5"/>
      <c r="G428" s="7">
        <v>45342</v>
      </c>
      <c r="H428" t="s">
        <v>218</v>
      </c>
      <c r="I428">
        <v>10000</v>
      </c>
      <c r="J428" s="5">
        <v>177021.54</v>
      </c>
      <c r="L428" s="5">
        <v>163383.54</v>
      </c>
      <c r="M428" s="5">
        <v>17.702154</v>
      </c>
      <c r="N428" s="5">
        <v>16.338354000000002</v>
      </c>
      <c r="O428" s="5">
        <v>-13638</v>
      </c>
      <c r="P428" s="3">
        <v>-7.7041471902232914E-2</v>
      </c>
      <c r="Q428" s="9">
        <f t="shared" si="6"/>
        <v>334427.31256349676</v>
      </c>
      <c r="R428" s="5" t="str">
        <f>TEXT(Table1[[#This Row],[Closing Date]],"yyyy")</f>
        <v>2024</v>
      </c>
      <c r="S428" s="5" t="str">
        <f>TEXT(Table1[[#This Row],[Closing Date]],"mmmm")</f>
        <v>February</v>
      </c>
      <c r="T428" s="5" t="s">
        <v>240</v>
      </c>
      <c r="U428" s="5" t="s">
        <v>301</v>
      </c>
    </row>
    <row r="429" spans="2:21" x14ac:dyDescent="0.25">
      <c r="B429" t="s">
        <v>201</v>
      </c>
      <c r="C429" t="s">
        <v>303</v>
      </c>
      <c r="D429" t="s">
        <v>16</v>
      </c>
      <c r="E429" t="s">
        <v>7</v>
      </c>
      <c r="F429" s="5"/>
      <c r="G429" s="7">
        <v>45342</v>
      </c>
      <c r="H429" t="s">
        <v>219</v>
      </c>
      <c r="I429">
        <v>3100</v>
      </c>
      <c r="J429" s="5">
        <v>582677</v>
      </c>
      <c r="L429" s="5">
        <v>571082</v>
      </c>
      <c r="M429" s="5">
        <v>187.96032258064517</v>
      </c>
      <c r="N429" s="5">
        <v>184.22</v>
      </c>
      <c r="O429" s="5">
        <v>-11595</v>
      </c>
      <c r="P429" s="3">
        <v>-1.9899532674191703E-2</v>
      </c>
      <c r="Q429" s="9">
        <f t="shared" si="6"/>
        <v>322832.31256349676</v>
      </c>
      <c r="R429" s="5" t="str">
        <f>TEXT(Table1[[#This Row],[Closing Date]],"yyyy")</f>
        <v>2024</v>
      </c>
      <c r="S429" s="5" t="str">
        <f>TEXT(Table1[[#This Row],[Closing Date]],"mmmm")</f>
        <v>February</v>
      </c>
      <c r="T429" s="5" t="s">
        <v>240</v>
      </c>
      <c r="U429" s="5" t="s">
        <v>301</v>
      </c>
    </row>
    <row r="430" spans="2:21" x14ac:dyDescent="0.25">
      <c r="B430" t="s">
        <v>201</v>
      </c>
      <c r="C430" t="s">
        <v>303</v>
      </c>
      <c r="D430" t="s">
        <v>28</v>
      </c>
      <c r="E430" t="s">
        <v>7</v>
      </c>
      <c r="F430" s="11">
        <v>45203</v>
      </c>
      <c r="G430" s="7">
        <v>45345</v>
      </c>
      <c r="H430" t="s">
        <v>192</v>
      </c>
      <c r="I430">
        <v>8300</v>
      </c>
      <c r="J430" s="5">
        <v>128650</v>
      </c>
      <c r="L430" s="5">
        <v>188877.48</v>
      </c>
      <c r="M430" s="5">
        <v>15.5</v>
      </c>
      <c r="N430" s="5">
        <v>0.22756322891566266</v>
      </c>
      <c r="O430" s="5">
        <v>60227.48000000001</v>
      </c>
      <c r="P430" s="3">
        <v>0.46814986397201719</v>
      </c>
      <c r="Q430" s="9">
        <f t="shared" si="6"/>
        <v>383059.79256349674</v>
      </c>
      <c r="R430" s="5" t="str">
        <f>TEXT(Table1[[#This Row],[Closing Date]],"yyyy")</f>
        <v>2024</v>
      </c>
      <c r="S430" s="5" t="str">
        <f>TEXT(Table1[[#This Row],[Closing Date]],"mmmm")</f>
        <v>February</v>
      </c>
      <c r="T430" s="5" t="s">
        <v>240</v>
      </c>
      <c r="U430" s="5" t="s">
        <v>203</v>
      </c>
    </row>
    <row r="431" spans="2:21" x14ac:dyDescent="0.25">
      <c r="B431" t="s">
        <v>201</v>
      </c>
      <c r="C431" t="s">
        <v>306</v>
      </c>
      <c r="D431" t="s">
        <v>12</v>
      </c>
      <c r="E431" t="s">
        <v>7</v>
      </c>
      <c r="F431" s="5"/>
      <c r="G431" s="7">
        <v>45345</v>
      </c>
      <c r="H431" t="s">
        <v>85</v>
      </c>
      <c r="I431">
        <v>33</v>
      </c>
      <c r="J431" s="5">
        <v>142021.41</v>
      </c>
      <c r="L431" s="5">
        <v>169936.49</v>
      </c>
      <c r="M431" s="5">
        <v>43036.790909090909</v>
      </c>
      <c r="N431" s="5">
        <v>51495.906060606059</v>
      </c>
      <c r="O431" s="5">
        <v>27915.079999999987</v>
      </c>
      <c r="P431" s="3">
        <v>0.19655543484605587</v>
      </c>
      <c r="Q431" s="9">
        <f t="shared" si="6"/>
        <v>410974.8725634967</v>
      </c>
      <c r="R431" s="5" t="str">
        <f>TEXT(Table1[[#This Row],[Closing Date]],"yyyy")</f>
        <v>2024</v>
      </c>
      <c r="S431" s="5" t="str">
        <f>TEXT(Table1[[#This Row],[Closing Date]],"mmmm")</f>
        <v>February</v>
      </c>
      <c r="T431" s="5" t="s">
        <v>240</v>
      </c>
      <c r="U431" s="5" t="s">
        <v>301</v>
      </c>
    </row>
    <row r="432" spans="2:21" x14ac:dyDescent="0.25">
      <c r="B432" t="s">
        <v>201</v>
      </c>
      <c r="C432" t="s">
        <v>303</v>
      </c>
      <c r="D432" t="s">
        <v>16</v>
      </c>
      <c r="E432" t="s">
        <v>7</v>
      </c>
      <c r="F432" s="5"/>
      <c r="G432" s="7">
        <v>45348</v>
      </c>
      <c r="H432" t="s">
        <v>190</v>
      </c>
      <c r="I432">
        <v>6000</v>
      </c>
      <c r="J432" s="5">
        <v>91230</v>
      </c>
      <c r="L432" s="5">
        <v>88678.29</v>
      </c>
      <c r="M432" s="5">
        <v>15.205</v>
      </c>
      <c r="N432" s="5">
        <v>14.779714999999999</v>
      </c>
      <c r="O432" s="5">
        <v>-2551.7100000000064</v>
      </c>
      <c r="P432" s="3">
        <v>-2.7970075633015526E-2</v>
      </c>
      <c r="Q432" s="9">
        <f t="shared" si="6"/>
        <v>408423.16256349668</v>
      </c>
      <c r="R432" s="5" t="str">
        <f>TEXT(Table1[[#This Row],[Closing Date]],"yyyy")</f>
        <v>2024</v>
      </c>
      <c r="S432" s="5" t="str">
        <f>TEXT(Table1[[#This Row],[Closing Date]],"mmmm")</f>
        <v>February</v>
      </c>
      <c r="T432" s="5" t="s">
        <v>240</v>
      </c>
      <c r="U432" s="5" t="s">
        <v>301</v>
      </c>
    </row>
    <row r="433" spans="2:21" x14ac:dyDescent="0.25">
      <c r="B433" t="s">
        <v>201</v>
      </c>
      <c r="C433" t="s">
        <v>303</v>
      </c>
      <c r="D433" t="s">
        <v>16</v>
      </c>
      <c r="E433" t="s">
        <v>7</v>
      </c>
      <c r="F433" s="5"/>
      <c r="G433" s="7">
        <v>45349</v>
      </c>
      <c r="H433" t="s">
        <v>223</v>
      </c>
      <c r="I433">
        <v>5000</v>
      </c>
      <c r="J433" s="5">
        <v>119775</v>
      </c>
      <c r="L433" s="5">
        <v>121923.19</v>
      </c>
      <c r="M433" s="5">
        <v>23.954999999999998</v>
      </c>
      <c r="N433" s="5">
        <v>24.384637999999999</v>
      </c>
      <c r="O433" s="5">
        <v>2148.1900000000023</v>
      </c>
      <c r="P433" s="3">
        <v>1.7935211855562534E-2</v>
      </c>
      <c r="Q433" s="9">
        <f t="shared" si="6"/>
        <v>410571.35256349668</v>
      </c>
      <c r="R433" s="5" t="str">
        <f>TEXT(Table1[[#This Row],[Closing Date]],"yyyy")</f>
        <v>2024</v>
      </c>
      <c r="S433" s="5" t="str">
        <f>TEXT(Table1[[#This Row],[Closing Date]],"mmmm")</f>
        <v>February</v>
      </c>
      <c r="T433" s="5" t="s">
        <v>240</v>
      </c>
      <c r="U433" s="5" t="s">
        <v>301</v>
      </c>
    </row>
    <row r="434" spans="2:21" x14ac:dyDescent="0.25">
      <c r="B434" t="s">
        <v>201</v>
      </c>
      <c r="C434" t="s">
        <v>303</v>
      </c>
      <c r="D434" t="s">
        <v>16</v>
      </c>
      <c r="E434" t="s">
        <v>7</v>
      </c>
      <c r="F434" s="5"/>
      <c r="G434" s="7">
        <v>45349</v>
      </c>
      <c r="H434" t="s">
        <v>218</v>
      </c>
      <c r="I434">
        <v>2400</v>
      </c>
      <c r="J434" s="5">
        <v>49521.51</v>
      </c>
      <c r="L434" s="5">
        <v>52863</v>
      </c>
      <c r="M434" s="5">
        <v>20.633962499999999</v>
      </c>
      <c r="N434" s="5">
        <v>22.026250000000001</v>
      </c>
      <c r="O434" s="5">
        <v>3341.489999999998</v>
      </c>
      <c r="P434" s="3">
        <v>6.7475527301166655E-2</v>
      </c>
      <c r="Q434" s="9">
        <f t="shared" si="6"/>
        <v>413912.84256349667</v>
      </c>
      <c r="R434" s="5" t="str">
        <f>TEXT(Table1[[#This Row],[Closing Date]],"yyyy")</f>
        <v>2024</v>
      </c>
      <c r="S434" s="5" t="str">
        <f>TEXT(Table1[[#This Row],[Closing Date]],"mmmm")</f>
        <v>February</v>
      </c>
      <c r="T434" s="5" t="s">
        <v>241</v>
      </c>
      <c r="U434" s="5" t="s">
        <v>301</v>
      </c>
    </row>
    <row r="435" spans="2:21" x14ac:dyDescent="0.25">
      <c r="B435" t="s">
        <v>201</v>
      </c>
      <c r="C435" t="s">
        <v>303</v>
      </c>
      <c r="D435" t="s">
        <v>16</v>
      </c>
      <c r="E435" t="s">
        <v>7</v>
      </c>
      <c r="F435" s="5"/>
      <c r="G435" s="7">
        <v>45349</v>
      </c>
      <c r="H435" t="s">
        <v>224</v>
      </c>
      <c r="I435">
        <v>3200</v>
      </c>
      <c r="J435" s="5">
        <v>49814.5</v>
      </c>
      <c r="L435" s="5">
        <v>51167.06</v>
      </c>
      <c r="M435" s="5">
        <v>15.567031249999999</v>
      </c>
      <c r="N435" s="5">
        <v>15.989706249999999</v>
      </c>
      <c r="O435" s="5">
        <v>1352.5599999999977</v>
      </c>
      <c r="P435" s="3">
        <v>2.7151933673930234E-2</v>
      </c>
      <c r="Q435" s="9">
        <f t="shared" si="6"/>
        <v>415265.40256349667</v>
      </c>
      <c r="R435" s="5" t="str">
        <f>TEXT(Table1[[#This Row],[Closing Date]],"yyyy")</f>
        <v>2024</v>
      </c>
      <c r="S435" s="5" t="str">
        <f>TEXT(Table1[[#This Row],[Closing Date]],"mmmm")</f>
        <v>February</v>
      </c>
      <c r="T435" s="5" t="s">
        <v>241</v>
      </c>
      <c r="U435" s="5" t="s">
        <v>301</v>
      </c>
    </row>
    <row r="436" spans="2:21" x14ac:dyDescent="0.25">
      <c r="B436" t="s">
        <v>201</v>
      </c>
      <c r="C436" t="s">
        <v>303</v>
      </c>
      <c r="D436" t="s">
        <v>16</v>
      </c>
      <c r="E436" t="s">
        <v>7</v>
      </c>
      <c r="F436" s="5"/>
      <c r="G436" s="7">
        <v>45349</v>
      </c>
      <c r="H436" t="s">
        <v>218</v>
      </c>
      <c r="I436">
        <v>3600</v>
      </c>
      <c r="J436" s="5">
        <v>73331.44</v>
      </c>
      <c r="L436" s="5">
        <v>75276</v>
      </c>
      <c r="M436" s="5">
        <v>20.369844444444446</v>
      </c>
      <c r="N436" s="5">
        <v>20.91</v>
      </c>
      <c r="O436" s="5">
        <v>1944.5599999999977</v>
      </c>
      <c r="P436" s="3">
        <v>2.6517411904089128E-2</v>
      </c>
      <c r="Q436" s="9">
        <f t="shared" si="6"/>
        <v>417209.96256349667</v>
      </c>
      <c r="R436" s="5" t="str">
        <f>TEXT(Table1[[#This Row],[Closing Date]],"yyyy")</f>
        <v>2024</v>
      </c>
      <c r="S436" s="5" t="str">
        <f>TEXT(Table1[[#This Row],[Closing Date]],"mmmm")</f>
        <v>February</v>
      </c>
      <c r="T436" s="5" t="s">
        <v>240</v>
      </c>
      <c r="U436" s="5" t="s">
        <v>301</v>
      </c>
    </row>
    <row r="437" spans="2:21" x14ac:dyDescent="0.25">
      <c r="B437" t="s">
        <v>201</v>
      </c>
      <c r="C437" t="s">
        <v>303</v>
      </c>
      <c r="D437" t="s">
        <v>16</v>
      </c>
      <c r="E437" t="s">
        <v>7</v>
      </c>
      <c r="F437" s="5"/>
      <c r="G437" s="7">
        <v>45349</v>
      </c>
      <c r="H437" t="s">
        <v>107</v>
      </c>
      <c r="I437">
        <v>257</v>
      </c>
      <c r="J437" s="5">
        <v>49635.31</v>
      </c>
      <c r="L437" s="5">
        <v>52641.31</v>
      </c>
      <c r="M437" s="5">
        <v>193.1335019455253</v>
      </c>
      <c r="N437" s="5">
        <v>204.82999999999998</v>
      </c>
      <c r="O437" s="5">
        <v>3006</v>
      </c>
      <c r="P437" s="3">
        <v>6.056172511061178E-2</v>
      </c>
      <c r="Q437" s="9">
        <f t="shared" si="6"/>
        <v>420215.96256349667</v>
      </c>
      <c r="R437" s="5" t="str">
        <f>TEXT(Table1[[#This Row],[Closing Date]],"yyyy")</f>
        <v>2024</v>
      </c>
      <c r="S437" s="5" t="str">
        <f>TEXT(Table1[[#This Row],[Closing Date]],"mmmm")</f>
        <v>February</v>
      </c>
      <c r="T437" s="5" t="s">
        <v>241</v>
      </c>
      <c r="U437" s="5" t="s">
        <v>301</v>
      </c>
    </row>
    <row r="438" spans="2:21" x14ac:dyDescent="0.25">
      <c r="B438" t="s">
        <v>201</v>
      </c>
      <c r="C438" t="s">
        <v>302</v>
      </c>
      <c r="D438" t="s">
        <v>12</v>
      </c>
      <c r="E438" t="s">
        <v>5</v>
      </c>
      <c r="F438" s="5"/>
      <c r="G438" s="7">
        <v>45349</v>
      </c>
      <c r="H438" t="s">
        <v>82</v>
      </c>
      <c r="I438">
        <v>2</v>
      </c>
      <c r="J438" s="5">
        <v>502295.5</v>
      </c>
      <c r="L438" s="5">
        <v>508504.5</v>
      </c>
      <c r="M438" s="5">
        <v>5022.9549999999999</v>
      </c>
      <c r="N438" s="5">
        <v>5085.0450000000001</v>
      </c>
      <c r="O438" s="5">
        <v>-6209</v>
      </c>
      <c r="P438" s="3">
        <v>-1.2361249503529298E-2</v>
      </c>
      <c r="Q438" s="9">
        <f t="shared" si="6"/>
        <v>414006.96256349667</v>
      </c>
      <c r="R438" s="5" t="str">
        <f>TEXT(Table1[[#This Row],[Closing Date]],"yyyy")</f>
        <v>2024</v>
      </c>
      <c r="S438" s="5" t="str">
        <f>TEXT(Table1[[#This Row],[Closing Date]],"mmmm")</f>
        <v>February</v>
      </c>
      <c r="T438" s="5" t="s">
        <v>240</v>
      </c>
      <c r="U438" s="5" t="s">
        <v>301</v>
      </c>
    </row>
    <row r="439" spans="2:21" x14ac:dyDescent="0.25">
      <c r="B439" t="s">
        <v>201</v>
      </c>
      <c r="C439" t="s">
        <v>303</v>
      </c>
      <c r="D439" t="s">
        <v>16</v>
      </c>
      <c r="E439" t="s">
        <v>7</v>
      </c>
      <c r="F439" s="5"/>
      <c r="G439" s="7">
        <v>45350</v>
      </c>
      <c r="H439" t="s">
        <v>222</v>
      </c>
      <c r="I439">
        <v>2300</v>
      </c>
      <c r="J439" s="5">
        <v>47602.75</v>
      </c>
      <c r="L439" s="5">
        <v>36248</v>
      </c>
      <c r="M439" s="5">
        <v>20.696847826086955</v>
      </c>
      <c r="N439" s="5">
        <v>15.76</v>
      </c>
      <c r="O439" s="5">
        <v>-11354.75</v>
      </c>
      <c r="P439" s="3">
        <v>-0.23853138736732646</v>
      </c>
      <c r="Q439" s="9">
        <f t="shared" si="6"/>
        <v>402652.21256349667</v>
      </c>
      <c r="R439" s="5" t="str">
        <f>TEXT(Table1[[#This Row],[Closing Date]],"yyyy")</f>
        <v>2024</v>
      </c>
      <c r="S439" s="5" t="str">
        <f>TEXT(Table1[[#This Row],[Closing Date]],"mmmm")</f>
        <v>February</v>
      </c>
      <c r="T439" s="5" t="s">
        <v>241</v>
      </c>
      <c r="U439" s="5" t="s">
        <v>301</v>
      </c>
    </row>
    <row r="440" spans="2:21" x14ac:dyDescent="0.25">
      <c r="B440" t="s">
        <v>201</v>
      </c>
      <c r="C440" t="s">
        <v>306</v>
      </c>
      <c r="D440" t="s">
        <v>12</v>
      </c>
      <c r="E440" t="s">
        <v>7</v>
      </c>
      <c r="F440" s="5"/>
      <c r="G440" s="7">
        <v>45350</v>
      </c>
      <c r="H440" t="s">
        <v>86</v>
      </c>
      <c r="I440">
        <v>172</v>
      </c>
      <c r="J440" s="5">
        <v>720442.04</v>
      </c>
      <c r="L440" s="5">
        <v>739987.96</v>
      </c>
      <c r="M440" s="5">
        <v>12.54261</v>
      </c>
      <c r="N440" s="5">
        <v>4.3022555813953485</v>
      </c>
      <c r="O440" s="5">
        <v>19545.919999999925</v>
      </c>
      <c r="P440" s="3">
        <v>2.7130454519283639E-2</v>
      </c>
      <c r="Q440" s="9">
        <f t="shared" si="6"/>
        <v>422198.13256349659</v>
      </c>
      <c r="R440" s="5" t="str">
        <f>TEXT(Table1[[#This Row],[Closing Date]],"yyyy")</f>
        <v>2024</v>
      </c>
      <c r="S440" s="5" t="str">
        <f>TEXT(Table1[[#This Row],[Closing Date]],"mmmm")</f>
        <v>February</v>
      </c>
      <c r="T440" s="5" t="s">
        <v>240</v>
      </c>
      <c r="U440" s="5" t="s">
        <v>301</v>
      </c>
    </row>
    <row r="441" spans="2:21" x14ac:dyDescent="0.25">
      <c r="B441" t="s">
        <v>201</v>
      </c>
      <c r="C441" t="s">
        <v>303</v>
      </c>
      <c r="D441" t="s">
        <v>16</v>
      </c>
      <c r="E441" t="s">
        <v>7</v>
      </c>
      <c r="F441" s="5"/>
      <c r="G441" s="7">
        <v>45350</v>
      </c>
      <c r="H441" t="s">
        <v>142</v>
      </c>
      <c r="I441">
        <v>860</v>
      </c>
      <c r="J441" s="5">
        <v>66900.800000000003</v>
      </c>
      <c r="L441" s="5">
        <v>64830.35</v>
      </c>
      <c r="M441" s="5">
        <v>77.791627906976743</v>
      </c>
      <c r="N441" s="5">
        <v>75.384127906976744</v>
      </c>
      <c r="O441" s="5">
        <v>-2070.4500000000044</v>
      </c>
      <c r="P441" s="3">
        <v>-3.0948060411833705E-2</v>
      </c>
      <c r="Q441" s="9">
        <f t="shared" si="6"/>
        <v>420127.68256349658</v>
      </c>
      <c r="R441" s="5" t="str">
        <f>TEXT(Table1[[#This Row],[Closing Date]],"yyyy")</f>
        <v>2024</v>
      </c>
      <c r="S441" s="5" t="str">
        <f>TEXT(Table1[[#This Row],[Closing Date]],"mmmm")</f>
        <v>February</v>
      </c>
      <c r="T441" s="5" t="s">
        <v>240</v>
      </c>
      <c r="U441" s="5" t="s">
        <v>301</v>
      </c>
    </row>
    <row r="442" spans="2:21" x14ac:dyDescent="0.25">
      <c r="B442" t="s">
        <v>201</v>
      </c>
      <c r="C442" t="s">
        <v>306</v>
      </c>
      <c r="D442" t="s">
        <v>16</v>
      </c>
      <c r="E442" t="s">
        <v>7</v>
      </c>
      <c r="F442" s="5"/>
      <c r="G442" s="7">
        <v>45351</v>
      </c>
      <c r="H442" t="s">
        <v>227</v>
      </c>
      <c r="I442">
        <v>8000</v>
      </c>
      <c r="J442" s="5">
        <v>133600</v>
      </c>
      <c r="L442" s="5">
        <v>123681.91</v>
      </c>
      <c r="M442" s="5">
        <v>16.7</v>
      </c>
      <c r="N442" s="5">
        <v>15.46023875</v>
      </c>
      <c r="O442" s="5">
        <v>-9918.0899999999965</v>
      </c>
      <c r="P442" s="3">
        <v>-7.4237200598802372E-2</v>
      </c>
      <c r="Q442" s="9">
        <f t="shared" si="6"/>
        <v>410209.59256349655</v>
      </c>
      <c r="R442" s="5" t="str">
        <f>TEXT(Table1[[#This Row],[Closing Date]],"yyyy")</f>
        <v>2024</v>
      </c>
      <c r="S442" s="5" t="str">
        <f>TEXT(Table1[[#This Row],[Closing Date]],"mmmm")</f>
        <v>February</v>
      </c>
      <c r="T442" s="5" t="s">
        <v>240</v>
      </c>
      <c r="U442" s="5" t="s">
        <v>301</v>
      </c>
    </row>
    <row r="443" spans="2:21" x14ac:dyDescent="0.25">
      <c r="B443" t="s">
        <v>197</v>
      </c>
      <c r="C443" t="s">
        <v>303</v>
      </c>
      <c r="D443" t="s">
        <v>102</v>
      </c>
      <c r="E443" t="s">
        <v>7</v>
      </c>
      <c r="F443" s="5"/>
      <c r="G443" s="7">
        <v>45351</v>
      </c>
      <c r="H443" t="s">
        <v>37</v>
      </c>
      <c r="I443">
        <v>5</v>
      </c>
      <c r="J443" s="5">
        <v>2073.59</v>
      </c>
      <c r="K443" s="13">
        <v>100</v>
      </c>
      <c r="L443" s="5">
        <v>1463.59</v>
      </c>
      <c r="M443" s="5">
        <v>4.1471800000000005</v>
      </c>
      <c r="N443" s="5">
        <v>2.9271799999999994</v>
      </c>
      <c r="O443" s="5">
        <v>-610.00000000000023</v>
      </c>
      <c r="P443" s="3">
        <v>-0.29417580138793131</v>
      </c>
      <c r="Q443" s="9">
        <f t="shared" si="6"/>
        <v>409599.59256349655</v>
      </c>
      <c r="R443" s="5" t="str">
        <f>TEXT(Table1[[#This Row],[Closing Date]],"yyyy")</f>
        <v>2024</v>
      </c>
      <c r="S443" s="5" t="str">
        <f>TEXT(Table1[[#This Row],[Closing Date]],"mmmm")</f>
        <v>February</v>
      </c>
      <c r="T443" s="5" t="s">
        <v>240</v>
      </c>
      <c r="U443" s="5" t="s">
        <v>301</v>
      </c>
    </row>
    <row r="444" spans="2:21" x14ac:dyDescent="0.25">
      <c r="B444" t="s">
        <v>201</v>
      </c>
      <c r="C444" t="s">
        <v>303</v>
      </c>
      <c r="D444" t="s">
        <v>16</v>
      </c>
      <c r="E444" t="s">
        <v>7</v>
      </c>
      <c r="F444" s="5"/>
      <c r="G444" s="7">
        <v>45351</v>
      </c>
      <c r="H444" t="s">
        <v>179</v>
      </c>
      <c r="I444">
        <v>3200</v>
      </c>
      <c r="J444" s="5">
        <v>420129.54</v>
      </c>
      <c r="L444" s="5">
        <v>454132.02</v>
      </c>
      <c r="M444" s="5">
        <v>131.29048125</v>
      </c>
      <c r="N444" s="5">
        <v>141.91625625</v>
      </c>
      <c r="O444" s="5">
        <v>34002.48000000004</v>
      </c>
      <c r="P444" s="3">
        <v>8.0933323564917725E-2</v>
      </c>
      <c r="Q444" s="9">
        <f t="shared" si="6"/>
        <v>443602.07256349659</v>
      </c>
      <c r="R444" s="5" t="str">
        <f>TEXT(Table1[[#This Row],[Closing Date]],"yyyy")</f>
        <v>2024</v>
      </c>
      <c r="S444" s="5" t="str">
        <f>TEXT(Table1[[#This Row],[Closing Date]],"mmmm")</f>
        <v>February</v>
      </c>
      <c r="T444" s="5"/>
      <c r="U444" s="5" t="s">
        <v>301</v>
      </c>
    </row>
    <row r="445" spans="2:21" x14ac:dyDescent="0.25">
      <c r="B445" t="s">
        <v>201</v>
      </c>
      <c r="C445" t="s">
        <v>305</v>
      </c>
      <c r="D445" t="s">
        <v>4</v>
      </c>
      <c r="E445" t="s">
        <v>5</v>
      </c>
      <c r="F445" s="5"/>
      <c r="G445" s="7">
        <v>45351</v>
      </c>
      <c r="H445" t="s">
        <v>249</v>
      </c>
      <c r="I445">
        <v>1500000</v>
      </c>
      <c r="J445" s="5">
        <v>1666633.87</v>
      </c>
      <c r="L445" s="5">
        <v>1674672.57</v>
      </c>
      <c r="M445" s="5">
        <v>1.1110892466666666</v>
      </c>
      <c r="N445" s="5"/>
      <c r="O445" s="5">
        <v>-9055</v>
      </c>
      <c r="P445" s="3">
        <v>0</v>
      </c>
      <c r="Q445" s="9">
        <f t="shared" si="6"/>
        <v>434547.07256349659</v>
      </c>
      <c r="R445" s="5" t="str">
        <f>TEXT(Table1[[#This Row],[Closing Date]],"yyyy")</f>
        <v>2024</v>
      </c>
      <c r="S445" s="5" t="str">
        <f>TEXT(Table1[[#This Row],[Closing Date]],"mmmm")</f>
        <v>February</v>
      </c>
      <c r="T445" s="5" t="s">
        <v>240</v>
      </c>
      <c r="U445" s="5" t="s">
        <v>301</v>
      </c>
    </row>
    <row r="446" spans="2:21" x14ac:dyDescent="0.25">
      <c r="B446" t="s">
        <v>197</v>
      </c>
      <c r="C446" t="s">
        <v>302</v>
      </c>
      <c r="D446" t="s">
        <v>99</v>
      </c>
      <c r="E446" t="s">
        <v>7</v>
      </c>
      <c r="F446" s="5"/>
      <c r="G446" s="7">
        <v>45352</v>
      </c>
      <c r="H446" t="s">
        <v>100</v>
      </c>
      <c r="I446">
        <v>90</v>
      </c>
      <c r="J446" s="5">
        <v>10411.82</v>
      </c>
      <c r="K446" s="13">
        <v>100</v>
      </c>
      <c r="L446" s="5">
        <v>4437</v>
      </c>
      <c r="M446" s="5">
        <v>1.1568688888888889</v>
      </c>
      <c r="N446" s="5">
        <v>0.49299999999999999</v>
      </c>
      <c r="O446" s="5">
        <v>-5974.82</v>
      </c>
      <c r="P446" s="3">
        <v>-0.57384972079809293</v>
      </c>
      <c r="Q446" s="9">
        <f t="shared" si="6"/>
        <v>428572.25256349659</v>
      </c>
      <c r="R446" s="5" t="str">
        <f>TEXT(Table1[[#This Row],[Closing Date]],"yyyy")</f>
        <v>2024</v>
      </c>
      <c r="S446" s="5" t="str">
        <f>TEXT(Table1[[#This Row],[Closing Date]],"mmmm")</f>
        <v>March</v>
      </c>
      <c r="T446" s="5" t="s">
        <v>240</v>
      </c>
      <c r="U446" s="5" t="s">
        <v>301</v>
      </c>
    </row>
    <row r="447" spans="2:21" x14ac:dyDescent="0.25">
      <c r="B447" t="s">
        <v>201</v>
      </c>
      <c r="C447" t="s">
        <v>303</v>
      </c>
      <c r="D447" t="s">
        <v>16</v>
      </c>
      <c r="E447" t="s">
        <v>7</v>
      </c>
      <c r="F447" s="5"/>
      <c r="G447" s="7">
        <v>45352</v>
      </c>
      <c r="H447" t="s">
        <v>247</v>
      </c>
      <c r="I447">
        <v>2600</v>
      </c>
      <c r="J447" s="5">
        <v>49744.34</v>
      </c>
      <c r="L447" s="5">
        <v>49750.89</v>
      </c>
      <c r="M447" s="5">
        <v>19.13243846153846</v>
      </c>
      <c r="N447" s="5">
        <v>19.134957692307694</v>
      </c>
      <c r="O447" s="5">
        <v>-7</v>
      </c>
      <c r="P447" s="3">
        <v>-1.4071952708589561E-4</v>
      </c>
      <c r="Q447" s="9">
        <f t="shared" si="6"/>
        <v>428565.25256349659</v>
      </c>
      <c r="R447" s="5" t="str">
        <f>TEXT(Table1[[#This Row],[Closing Date]],"yyyy")</f>
        <v>2024</v>
      </c>
      <c r="S447" s="5" t="str">
        <f>TEXT(Table1[[#This Row],[Closing Date]],"mmmm")</f>
        <v>March</v>
      </c>
      <c r="T447" s="5" t="s">
        <v>241</v>
      </c>
      <c r="U447" s="5" t="s">
        <v>301</v>
      </c>
    </row>
    <row r="448" spans="2:21" x14ac:dyDescent="0.25">
      <c r="B448" t="s">
        <v>201</v>
      </c>
      <c r="C448" t="s">
        <v>303</v>
      </c>
      <c r="D448" t="s">
        <v>16</v>
      </c>
      <c r="E448" t="s">
        <v>7</v>
      </c>
      <c r="F448" s="11">
        <v>45337</v>
      </c>
      <c r="G448" s="7">
        <v>45352</v>
      </c>
      <c r="H448" t="s">
        <v>291</v>
      </c>
      <c r="I448">
        <v>5000</v>
      </c>
      <c r="J448" s="5">
        <v>250450</v>
      </c>
      <c r="K448" s="13">
        <v>1</v>
      </c>
      <c r="L448" s="5">
        <v>251497.99</v>
      </c>
      <c r="M448" s="5">
        <f>Table1[[#This Row],[Open Value]]/Table1[[#This Row],[Shares]]/Table1[[#This Row],[Multiplier]]</f>
        <v>50.09</v>
      </c>
      <c r="N448" s="5">
        <f>Table1[[#This Row],[Close Value]]/Table1[[#This Row],[Shares]]/Table1[[#This Row],[Multiplier]]</f>
        <v>50.299597999999996</v>
      </c>
      <c r="O448" s="5">
        <f>Table1[[#This Row],[Close Value]]-Table1[[#This Row],[Open Value]]</f>
        <v>1047.9899999999907</v>
      </c>
      <c r="P448" s="3">
        <f>Table1[[#This Row],[PnL]]/Table1[[#This Row],[Open Value]]</f>
        <v>4.1844280295467787E-3</v>
      </c>
      <c r="Q448" s="9">
        <f t="shared" si="6"/>
        <v>429613.24256349658</v>
      </c>
      <c r="R448" s="5" t="str">
        <f>TEXT(Table1[[#This Row],[Closing Date]],"yyyy")</f>
        <v>2024</v>
      </c>
      <c r="S448" s="5" t="str">
        <f>TEXT(Table1[[#This Row],[Closing Date]],"mmmm")</f>
        <v>March</v>
      </c>
      <c r="T448" s="5" t="s">
        <v>240</v>
      </c>
      <c r="U448" s="5" t="s">
        <v>203</v>
      </c>
    </row>
    <row r="449" spans="2:21" x14ac:dyDescent="0.25">
      <c r="B449" t="s">
        <v>197</v>
      </c>
      <c r="C449" t="s">
        <v>303</v>
      </c>
      <c r="D449" t="s">
        <v>102</v>
      </c>
      <c r="E449" t="s">
        <v>7</v>
      </c>
      <c r="F449" s="11">
        <v>45309</v>
      </c>
      <c r="G449" s="7">
        <v>45352</v>
      </c>
      <c r="H449" t="s">
        <v>294</v>
      </c>
      <c r="I449">
        <v>30</v>
      </c>
      <c r="J449" s="5">
        <v>27919.5</v>
      </c>
      <c r="K449" s="13">
        <v>100</v>
      </c>
      <c r="L449" s="5">
        <v>23980.31</v>
      </c>
      <c r="M449" s="5">
        <f>Table1[[#This Row],[Open Value]]/Table1[[#This Row],[Shares]]/Table1[[#This Row],[Multiplier]]</f>
        <v>9.3064999999999998</v>
      </c>
      <c r="N449" s="5">
        <f>Table1[[#This Row],[Close Value]]/Table1[[#This Row],[Shares]]/Table1[[#This Row],[Multiplier]]</f>
        <v>7.9934366666666676</v>
      </c>
      <c r="O449" s="5">
        <f>Table1[[#This Row],[Close Value]]-Table1[[#This Row],[Open Value]]</f>
        <v>-3939.1899999999987</v>
      </c>
      <c r="P449" s="3">
        <f>Table1[[#This Row],[PnL]]/Table1[[#This Row],[Open Value]]</f>
        <v>-0.14109099374988801</v>
      </c>
      <c r="Q449" s="14">
        <f t="shared" si="6"/>
        <v>425674.05256349657</v>
      </c>
      <c r="R449" s="5" t="str">
        <f>TEXT(Table1[[#This Row],[Closing Date]],"yyyy")</f>
        <v>2024</v>
      </c>
      <c r="S449" s="5" t="str">
        <f>TEXT(Table1[[#This Row],[Closing Date]],"mmmm")</f>
        <v>March</v>
      </c>
      <c r="T449" s="5" t="s">
        <v>240</v>
      </c>
      <c r="U449" s="5" t="s">
        <v>203</v>
      </c>
    </row>
    <row r="450" spans="2:21" x14ac:dyDescent="0.25">
      <c r="B450" t="s">
        <v>197</v>
      </c>
      <c r="C450" t="s">
        <v>305</v>
      </c>
      <c r="D450" t="s">
        <v>197</v>
      </c>
      <c r="E450" t="s">
        <v>7</v>
      </c>
      <c r="F450" s="11">
        <v>45295</v>
      </c>
      <c r="G450" s="7">
        <v>45352</v>
      </c>
      <c r="H450" t="s">
        <v>300</v>
      </c>
      <c r="I450">
        <v>55</v>
      </c>
      <c r="J450" s="5">
        <v>24785.75</v>
      </c>
      <c r="K450" s="13">
        <v>100</v>
      </c>
      <c r="L450" s="5">
        <v>23614.06</v>
      </c>
      <c r="M450" s="5">
        <f>Table1[[#This Row],[Open Value]]/Table1[[#This Row],[Shares]]/Table1[[#This Row],[Multiplier]]</f>
        <v>4.5065</v>
      </c>
      <c r="N450" s="5">
        <f>Table1[[#This Row],[Close Value]]/Table1[[#This Row],[Shares]]/Table1[[#This Row],[Multiplier]]</f>
        <v>4.2934654545454549</v>
      </c>
      <c r="O450" s="5">
        <f>Table1[[#This Row],[Close Value]]-Table1[[#This Row],[Open Value]]</f>
        <v>-1171.6899999999987</v>
      </c>
      <c r="P450" s="3">
        <f>Table1[[#This Row],[PnL]]/Table1[[#This Row],[Open Value]]</f>
        <v>-4.7272727272727223E-2</v>
      </c>
      <c r="Q450" s="14">
        <f t="shared" si="6"/>
        <v>424502.36256349657</v>
      </c>
      <c r="R450" s="5" t="str">
        <f>TEXT(Table1[[#This Row],[Closing Date]],"yyyy")</f>
        <v>2024</v>
      </c>
      <c r="S450" s="5" t="str">
        <f>TEXT(Table1[[#This Row],[Closing Date]],"mmmm")</f>
        <v>March</v>
      </c>
      <c r="T450" s="5" t="s">
        <v>240</v>
      </c>
      <c r="U450" s="5" t="s">
        <v>203</v>
      </c>
    </row>
    <row r="451" spans="2:21" x14ac:dyDescent="0.25">
      <c r="B451" t="s">
        <v>201</v>
      </c>
      <c r="C451" t="s">
        <v>303</v>
      </c>
      <c r="D451" t="s">
        <v>16</v>
      </c>
      <c r="E451" t="s">
        <v>7</v>
      </c>
      <c r="F451" s="5"/>
      <c r="G451" s="7">
        <v>45355</v>
      </c>
      <c r="H451" t="s">
        <v>157</v>
      </c>
      <c r="I451">
        <v>1750</v>
      </c>
      <c r="J451" s="5">
        <v>110871.25</v>
      </c>
      <c r="L451" s="5">
        <v>114247.55</v>
      </c>
      <c r="M451" s="5">
        <v>63.354999999999997</v>
      </c>
      <c r="N451" s="5">
        <v>65.284314285714288</v>
      </c>
      <c r="O451" s="5">
        <v>3376.3000000000029</v>
      </c>
      <c r="P451" s="3">
        <v>3.0452439203129782E-2</v>
      </c>
      <c r="Q451" s="9">
        <f t="shared" ref="Q451:Q514" si="7">O451+Q450</f>
        <v>427878.66256349656</v>
      </c>
      <c r="R451" s="5" t="str">
        <f>TEXT(Table1[[#This Row],[Closing Date]],"yyyy")</f>
        <v>2024</v>
      </c>
      <c r="S451" s="5" t="str">
        <f>TEXT(Table1[[#This Row],[Closing Date]],"mmmm")</f>
        <v>March</v>
      </c>
      <c r="T451" s="5" t="s">
        <v>240</v>
      </c>
      <c r="U451" s="5" t="s">
        <v>301</v>
      </c>
    </row>
    <row r="452" spans="2:21" x14ac:dyDescent="0.25">
      <c r="B452" t="s">
        <v>201</v>
      </c>
      <c r="C452" t="s">
        <v>303</v>
      </c>
      <c r="D452" t="s">
        <v>16</v>
      </c>
      <c r="E452" t="s">
        <v>7</v>
      </c>
      <c r="F452" s="5"/>
      <c r="G452" s="7">
        <v>45355</v>
      </c>
      <c r="H452" t="s">
        <v>218</v>
      </c>
      <c r="I452">
        <v>1800</v>
      </c>
      <c r="J452" s="5">
        <v>31742.5</v>
      </c>
      <c r="L452" s="5">
        <v>29242.309999999998</v>
      </c>
      <c r="M452" s="5">
        <v>17.634722222222223</v>
      </c>
      <c r="N452" s="5">
        <v>16.245727777777777</v>
      </c>
      <c r="O452" s="5">
        <v>-2500.1900000000023</v>
      </c>
      <c r="P452" s="3">
        <v>-7.8764747578168148E-2</v>
      </c>
      <c r="Q452" s="9">
        <f t="shared" si="7"/>
        <v>425378.47256349656</v>
      </c>
      <c r="R452" s="5" t="str">
        <f>TEXT(Table1[[#This Row],[Closing Date]],"yyyy")</f>
        <v>2024</v>
      </c>
      <c r="S452" s="5" t="str">
        <f>TEXT(Table1[[#This Row],[Closing Date]],"mmmm")</f>
        <v>March</v>
      </c>
      <c r="T452" s="5" t="s">
        <v>240</v>
      </c>
      <c r="U452" s="5" t="s">
        <v>301</v>
      </c>
    </row>
    <row r="453" spans="2:21" x14ac:dyDescent="0.25">
      <c r="B453" t="s">
        <v>201</v>
      </c>
      <c r="C453" t="s">
        <v>303</v>
      </c>
      <c r="D453" t="s">
        <v>16</v>
      </c>
      <c r="E453" t="s">
        <v>7</v>
      </c>
      <c r="F453" s="5"/>
      <c r="G453" s="7">
        <v>45356</v>
      </c>
      <c r="H453" t="s">
        <v>229</v>
      </c>
      <c r="I453">
        <v>3000</v>
      </c>
      <c r="J453" s="5">
        <v>156756</v>
      </c>
      <c r="L453" s="5">
        <v>146568.43</v>
      </c>
      <c r="M453" s="5">
        <v>52.252000000000002</v>
      </c>
      <c r="N453" s="5">
        <v>48.856143333333328</v>
      </c>
      <c r="O453" s="5">
        <v>-10187.570000000007</v>
      </c>
      <c r="P453" s="3">
        <v>-6.4989984434407663E-2</v>
      </c>
      <c r="Q453" s="9">
        <f t="shared" si="7"/>
        <v>415190.90256349655</v>
      </c>
      <c r="R453" s="5" t="str">
        <f>TEXT(Table1[[#This Row],[Closing Date]],"yyyy")</f>
        <v>2024</v>
      </c>
      <c r="S453" s="5" t="str">
        <f>TEXT(Table1[[#This Row],[Closing Date]],"mmmm")</f>
        <v>March</v>
      </c>
      <c r="T453" s="5" t="s">
        <v>240</v>
      </c>
      <c r="U453" s="5" t="s">
        <v>301</v>
      </c>
    </row>
    <row r="454" spans="2:21" x14ac:dyDescent="0.25">
      <c r="B454" t="s">
        <v>201</v>
      </c>
      <c r="C454" t="s">
        <v>303</v>
      </c>
      <c r="D454" t="s">
        <v>16</v>
      </c>
      <c r="E454" t="s">
        <v>7</v>
      </c>
      <c r="F454" s="5"/>
      <c r="G454" s="7">
        <v>45356</v>
      </c>
      <c r="H454" t="s">
        <v>158</v>
      </c>
      <c r="I454">
        <v>3225</v>
      </c>
      <c r="J454" s="5">
        <v>101856.38</v>
      </c>
      <c r="L454" s="5">
        <v>92301.5</v>
      </c>
      <c r="M454" s="5">
        <v>31.583373643410855</v>
      </c>
      <c r="N454" s="5">
        <v>28.620620155038761</v>
      </c>
      <c r="O454" s="5">
        <v>-9554.8800000000047</v>
      </c>
      <c r="P454" s="3">
        <v>-9.3807378585416101E-2</v>
      </c>
      <c r="Q454" s="9">
        <f t="shared" si="7"/>
        <v>405636.02256349655</v>
      </c>
      <c r="R454" s="5" t="str">
        <f>TEXT(Table1[[#This Row],[Closing Date]],"yyyy")</f>
        <v>2024</v>
      </c>
      <c r="S454" s="5" t="str">
        <f>TEXT(Table1[[#This Row],[Closing Date]],"mmmm")</f>
        <v>March</v>
      </c>
      <c r="T454" s="5" t="s">
        <v>240</v>
      </c>
      <c r="U454" s="5" t="s">
        <v>301</v>
      </c>
    </row>
    <row r="455" spans="2:21" x14ac:dyDescent="0.25">
      <c r="B455" t="s">
        <v>201</v>
      </c>
      <c r="C455" t="s">
        <v>303</v>
      </c>
      <c r="D455" t="s">
        <v>16</v>
      </c>
      <c r="E455" t="s">
        <v>7</v>
      </c>
      <c r="F455" s="5"/>
      <c r="G455" s="7">
        <v>45356</v>
      </c>
      <c r="H455" t="s">
        <v>214</v>
      </c>
      <c r="I455">
        <v>850</v>
      </c>
      <c r="J455" s="5">
        <v>48840.63</v>
      </c>
      <c r="L455" s="5">
        <v>50638.2</v>
      </c>
      <c r="M455" s="5">
        <v>57.45956470588235</v>
      </c>
      <c r="N455" s="5">
        <v>59.574352941176464</v>
      </c>
      <c r="O455" s="5">
        <v>1797.5699999999997</v>
      </c>
      <c r="P455" s="3">
        <v>3.6804807800390776E-2</v>
      </c>
      <c r="Q455" s="9">
        <f t="shared" si="7"/>
        <v>407433.59256349655</v>
      </c>
      <c r="R455" s="5" t="str">
        <f>TEXT(Table1[[#This Row],[Closing Date]],"yyyy")</f>
        <v>2024</v>
      </c>
      <c r="S455" s="5" t="str">
        <f>TEXT(Table1[[#This Row],[Closing Date]],"mmmm")</f>
        <v>March</v>
      </c>
      <c r="T455" s="5" t="s">
        <v>241</v>
      </c>
      <c r="U455" s="5" t="s">
        <v>301</v>
      </c>
    </row>
    <row r="456" spans="2:21" x14ac:dyDescent="0.25">
      <c r="B456" t="s">
        <v>201</v>
      </c>
      <c r="C456" t="s">
        <v>303</v>
      </c>
      <c r="D456" t="s">
        <v>16</v>
      </c>
      <c r="E456" t="s">
        <v>7</v>
      </c>
      <c r="F456" s="11">
        <v>45351</v>
      </c>
      <c r="G456" s="7">
        <v>45356</v>
      </c>
      <c r="H456" t="s">
        <v>297</v>
      </c>
      <c r="I456">
        <v>1225</v>
      </c>
      <c r="J456" s="5">
        <v>221725</v>
      </c>
      <c r="K456" s="13">
        <v>1</v>
      </c>
      <c r="L456" s="5">
        <v>207035.62</v>
      </c>
      <c r="M456" s="5">
        <f>Table1[[#This Row],[Open Value]]/Table1[[#This Row],[Shares]]/Table1[[#This Row],[Multiplier]]</f>
        <v>181</v>
      </c>
      <c r="N456" s="5">
        <f>Table1[[#This Row],[Close Value]]/Table1[[#This Row],[Shares]]/Table1[[#This Row],[Multiplier]]</f>
        <v>169.00866938775511</v>
      </c>
      <c r="O456" s="5">
        <f>Table1[[#This Row],[Close Value]]-Table1[[#This Row],[Open Value]]</f>
        <v>-14689.380000000005</v>
      </c>
      <c r="P456" s="3">
        <f>Table1[[#This Row],[PnL]]/Table1[[#This Row],[Open Value]]</f>
        <v>-6.6250445371518793E-2</v>
      </c>
      <c r="Q456" s="14">
        <f t="shared" si="7"/>
        <v>392744.21256349655</v>
      </c>
      <c r="R456" s="5" t="str">
        <f>TEXT(Table1[[#This Row],[Closing Date]],"yyyy")</f>
        <v>2024</v>
      </c>
      <c r="S456" s="5" t="str">
        <f>TEXT(Table1[[#This Row],[Closing Date]],"mmmm")</f>
        <v>March</v>
      </c>
      <c r="T456" s="5" t="s">
        <v>240</v>
      </c>
      <c r="U456" s="5" t="s">
        <v>203</v>
      </c>
    </row>
    <row r="457" spans="2:21" x14ac:dyDescent="0.25">
      <c r="B457" t="s">
        <v>201</v>
      </c>
      <c r="C457" t="s">
        <v>303</v>
      </c>
      <c r="D457" t="s">
        <v>16</v>
      </c>
      <c r="E457" t="s">
        <v>7</v>
      </c>
      <c r="F457" s="5"/>
      <c r="G457" s="7">
        <v>45357</v>
      </c>
      <c r="H457" t="s">
        <v>155</v>
      </c>
      <c r="I457">
        <v>800</v>
      </c>
      <c r="J457" s="5">
        <v>267648</v>
      </c>
      <c r="L457" s="5">
        <v>262595.27</v>
      </c>
      <c r="M457" s="5">
        <v>334.56</v>
      </c>
      <c r="N457" s="5">
        <v>328.24408750000003</v>
      </c>
      <c r="O457" s="5">
        <v>-5063</v>
      </c>
      <c r="P457" s="3">
        <v>-1.8916636776661885E-2</v>
      </c>
      <c r="Q457" s="9">
        <f t="shared" si="7"/>
        <v>387681.21256349655</v>
      </c>
      <c r="R457" s="5" t="str">
        <f>TEXT(Table1[[#This Row],[Closing Date]],"yyyy")</f>
        <v>2024</v>
      </c>
      <c r="S457" s="5" t="str">
        <f>TEXT(Table1[[#This Row],[Closing Date]],"mmmm")</f>
        <v>March</v>
      </c>
      <c r="T457" s="5" t="s">
        <v>240</v>
      </c>
      <c r="U457" s="5" t="s">
        <v>301</v>
      </c>
    </row>
    <row r="458" spans="2:21" x14ac:dyDescent="0.25">
      <c r="B458" t="s">
        <v>201</v>
      </c>
      <c r="C458" t="s">
        <v>303</v>
      </c>
      <c r="D458" t="s">
        <v>16</v>
      </c>
      <c r="E458" t="s">
        <v>7</v>
      </c>
      <c r="F458" s="5"/>
      <c r="G458" s="7">
        <v>45357</v>
      </c>
      <c r="H458" t="s">
        <v>234</v>
      </c>
      <c r="I458">
        <v>1150</v>
      </c>
      <c r="J458" s="5">
        <v>106547</v>
      </c>
      <c r="L458" s="5">
        <v>105719.5</v>
      </c>
      <c r="M458" s="5">
        <v>92.649565217391299</v>
      </c>
      <c r="N458" s="5">
        <v>91.93</v>
      </c>
      <c r="O458" s="5">
        <v>-5063</v>
      </c>
      <c r="P458" s="3">
        <v>-4.7518935305545906E-2</v>
      </c>
      <c r="Q458" s="9">
        <f t="shared" si="7"/>
        <v>382618.21256349655</v>
      </c>
      <c r="R458" s="5" t="str">
        <f>TEXT(Table1[[#This Row],[Closing Date]],"yyyy")</f>
        <v>2024</v>
      </c>
      <c r="S458" s="5" t="str">
        <f>TEXT(Table1[[#This Row],[Closing Date]],"mmmm")</f>
        <v>March</v>
      </c>
      <c r="T458" s="5" t="s">
        <v>240</v>
      </c>
      <c r="U458" s="5" t="s">
        <v>301</v>
      </c>
    </row>
    <row r="459" spans="2:21" x14ac:dyDescent="0.25">
      <c r="B459" t="s">
        <v>201</v>
      </c>
      <c r="C459" t="s">
        <v>303</v>
      </c>
      <c r="D459" t="s">
        <v>4</v>
      </c>
      <c r="E459" t="s">
        <v>5</v>
      </c>
      <c r="F459" s="5"/>
      <c r="G459" s="7">
        <v>45357</v>
      </c>
      <c r="H459" t="s">
        <v>71</v>
      </c>
      <c r="I459">
        <v>585000</v>
      </c>
      <c r="J459" s="5">
        <v>88145475.900000006</v>
      </c>
      <c r="L459" s="5">
        <v>86983252.290000007</v>
      </c>
      <c r="M459" s="5">
        <v>150.67602717948719</v>
      </c>
      <c r="N459" s="5"/>
      <c r="O459" s="5">
        <v>-7713.3943053565108</v>
      </c>
      <c r="P459" s="3">
        <v>0</v>
      </c>
      <c r="Q459" s="9">
        <f t="shared" si="7"/>
        <v>374904.81825814006</v>
      </c>
      <c r="R459" s="5" t="str">
        <f>TEXT(Table1[[#This Row],[Closing Date]],"yyyy")</f>
        <v>2024</v>
      </c>
      <c r="S459" s="5" t="str">
        <f>TEXT(Table1[[#This Row],[Closing Date]],"mmmm")</f>
        <v>March</v>
      </c>
      <c r="T459" s="5" t="s">
        <v>240</v>
      </c>
      <c r="U459" s="5" t="s">
        <v>301</v>
      </c>
    </row>
    <row r="460" spans="2:21" x14ac:dyDescent="0.25">
      <c r="B460" t="s">
        <v>201</v>
      </c>
      <c r="C460" t="s">
        <v>303</v>
      </c>
      <c r="D460" t="s">
        <v>16</v>
      </c>
      <c r="E460" t="s">
        <v>5</v>
      </c>
      <c r="F460" s="5"/>
      <c r="G460" s="7">
        <v>45358</v>
      </c>
      <c r="H460" t="s">
        <v>230</v>
      </c>
      <c r="I460">
        <v>4800</v>
      </c>
      <c r="J460" s="5">
        <v>282415.69</v>
      </c>
      <c r="L460" s="5">
        <v>293209.86</v>
      </c>
      <c r="M460" s="5">
        <v>58.836602083333332</v>
      </c>
      <c r="N460" s="5">
        <v>61.085387499999996</v>
      </c>
      <c r="O460" s="5">
        <v>-10794.169999999984</v>
      </c>
      <c r="P460" s="3">
        <v>-3.8220858055018063E-2</v>
      </c>
      <c r="Q460" s="9">
        <f t="shared" si="7"/>
        <v>364110.64825814008</v>
      </c>
      <c r="R460" s="5" t="str">
        <f>TEXT(Table1[[#This Row],[Closing Date]],"yyyy")</f>
        <v>2024</v>
      </c>
      <c r="S460" s="5" t="str">
        <f>TEXT(Table1[[#This Row],[Closing Date]],"mmmm")</f>
        <v>March</v>
      </c>
      <c r="T460" s="5" t="s">
        <v>240</v>
      </c>
      <c r="U460" s="5" t="s">
        <v>301</v>
      </c>
    </row>
    <row r="461" spans="2:21" x14ac:dyDescent="0.25">
      <c r="B461" t="s">
        <v>201</v>
      </c>
      <c r="C461" t="s">
        <v>303</v>
      </c>
      <c r="D461" t="s">
        <v>16</v>
      </c>
      <c r="E461" t="s">
        <v>7</v>
      </c>
      <c r="F461" s="5"/>
      <c r="G461" s="7">
        <v>45358</v>
      </c>
      <c r="H461" t="s">
        <v>231</v>
      </c>
      <c r="I461">
        <v>10000</v>
      </c>
      <c r="J461" s="5">
        <v>189537.69</v>
      </c>
      <c r="L461" s="5">
        <v>179992</v>
      </c>
      <c r="M461" s="5">
        <v>18.953769000000001</v>
      </c>
      <c r="N461" s="5">
        <v>17.999199999999998</v>
      </c>
      <c r="O461" s="5">
        <v>-9545.6900000000023</v>
      </c>
      <c r="P461" s="3">
        <v>-5.0363017508549365E-2</v>
      </c>
      <c r="Q461" s="9">
        <f t="shared" si="7"/>
        <v>354564.95825814008</v>
      </c>
      <c r="R461" s="5" t="str">
        <f>TEXT(Table1[[#This Row],[Closing Date]],"yyyy")</f>
        <v>2024</v>
      </c>
      <c r="S461" s="5" t="str">
        <f>TEXT(Table1[[#This Row],[Closing Date]],"mmmm")</f>
        <v>March</v>
      </c>
      <c r="T461" s="5" t="s">
        <v>240</v>
      </c>
      <c r="U461" s="5" t="s">
        <v>301</v>
      </c>
    </row>
    <row r="462" spans="2:21" x14ac:dyDescent="0.25">
      <c r="B462" t="s">
        <v>201</v>
      </c>
      <c r="C462" t="s">
        <v>302</v>
      </c>
      <c r="D462" t="s">
        <v>12</v>
      </c>
      <c r="E462" t="s">
        <v>5</v>
      </c>
      <c r="F462" s="5"/>
      <c r="G462" s="7">
        <v>45358</v>
      </c>
      <c r="H462" t="s">
        <v>82</v>
      </c>
      <c r="I462">
        <v>3</v>
      </c>
      <c r="J462" s="5">
        <v>767829.75</v>
      </c>
      <c r="L462" s="5">
        <v>773931.75</v>
      </c>
      <c r="M462" s="5">
        <v>5118.8649999999998</v>
      </c>
      <c r="N462" s="5">
        <v>5159.5450000000001</v>
      </c>
      <c r="O462" s="5">
        <v>-6102</v>
      </c>
      <c r="P462" s="3">
        <v>-7.9470742049262879E-3</v>
      </c>
      <c r="Q462" s="9">
        <f t="shared" si="7"/>
        <v>348462.95825814008</v>
      </c>
      <c r="R462" s="5" t="str">
        <f>TEXT(Table1[[#This Row],[Closing Date]],"yyyy")</f>
        <v>2024</v>
      </c>
      <c r="S462" s="5" t="str">
        <f>TEXT(Table1[[#This Row],[Closing Date]],"mmmm")</f>
        <v>March</v>
      </c>
      <c r="T462" s="5" t="s">
        <v>240</v>
      </c>
      <c r="U462" s="5" t="s">
        <v>301</v>
      </c>
    </row>
    <row r="463" spans="2:21" x14ac:dyDescent="0.25">
      <c r="B463" t="s">
        <v>201</v>
      </c>
      <c r="C463" t="s">
        <v>303</v>
      </c>
      <c r="D463" t="s">
        <v>16</v>
      </c>
      <c r="E463" t="s">
        <v>7</v>
      </c>
      <c r="F463" s="5"/>
      <c r="G463" s="7">
        <v>45359</v>
      </c>
      <c r="H463" t="s">
        <v>228</v>
      </c>
      <c r="I463">
        <v>1000</v>
      </c>
      <c r="J463" s="5">
        <v>53351.519999999997</v>
      </c>
      <c r="L463" s="5">
        <v>55620.04</v>
      </c>
      <c r="M463" s="5">
        <v>53.351519999999994</v>
      </c>
      <c r="N463" s="5">
        <v>55.620040000000003</v>
      </c>
      <c r="O463" s="5">
        <v>2268.5200000000041</v>
      </c>
      <c r="P463" s="3">
        <v>4.2520250594547337E-2</v>
      </c>
      <c r="Q463" s="9">
        <f t="shared" si="7"/>
        <v>350731.47825814009</v>
      </c>
      <c r="R463" s="5" t="str">
        <f>TEXT(Table1[[#This Row],[Closing Date]],"yyyy")</f>
        <v>2024</v>
      </c>
      <c r="S463" s="5" t="str">
        <f>TEXT(Table1[[#This Row],[Closing Date]],"mmmm")</f>
        <v>March</v>
      </c>
      <c r="T463" s="5" t="s">
        <v>240</v>
      </c>
      <c r="U463" s="5" t="s">
        <v>301</v>
      </c>
    </row>
    <row r="464" spans="2:21" x14ac:dyDescent="0.25">
      <c r="B464" t="s">
        <v>201</v>
      </c>
      <c r="C464" t="s">
        <v>303</v>
      </c>
      <c r="D464" t="s">
        <v>16</v>
      </c>
      <c r="E464" t="s">
        <v>7</v>
      </c>
      <c r="F464" s="5"/>
      <c r="G464" s="7">
        <v>45359</v>
      </c>
      <c r="H464" t="s">
        <v>169</v>
      </c>
      <c r="I464">
        <v>4000</v>
      </c>
      <c r="J464" s="5">
        <v>100963.9292</v>
      </c>
      <c r="L464" s="5">
        <v>111374.33</v>
      </c>
      <c r="M464" s="5">
        <v>25.240982299999999</v>
      </c>
      <c r="N464" s="5">
        <v>27.8435825</v>
      </c>
      <c r="O464" s="5">
        <v>-10410.400800000003</v>
      </c>
      <c r="P464" s="3">
        <v>-0.10311009964140741</v>
      </c>
      <c r="Q464" s="9">
        <f t="shared" si="7"/>
        <v>340321.07745814009</v>
      </c>
      <c r="R464" s="5" t="str">
        <f>TEXT(Table1[[#This Row],[Closing Date]],"yyyy")</f>
        <v>2024</v>
      </c>
      <c r="S464" s="5" t="str">
        <f>TEXT(Table1[[#This Row],[Closing Date]],"mmmm")</f>
        <v>March</v>
      </c>
      <c r="T464" s="5" t="s">
        <v>240</v>
      </c>
      <c r="U464" s="5" t="s">
        <v>301</v>
      </c>
    </row>
    <row r="465" spans="2:21" x14ac:dyDescent="0.25">
      <c r="B465" t="s">
        <v>201</v>
      </c>
      <c r="C465" t="s">
        <v>303</v>
      </c>
      <c r="D465" t="s">
        <v>16</v>
      </c>
      <c r="E465" t="s">
        <v>7</v>
      </c>
      <c r="F465" s="5"/>
      <c r="G465" s="7">
        <v>45359</v>
      </c>
      <c r="H465" t="s">
        <v>142</v>
      </c>
      <c r="I465">
        <v>3000</v>
      </c>
      <c r="J465" s="5">
        <v>240579</v>
      </c>
      <c r="L465" s="5">
        <v>259212.43</v>
      </c>
      <c r="M465" s="5">
        <v>80.192999999999998</v>
      </c>
      <c r="N465" s="5">
        <v>86.404143333333337</v>
      </c>
      <c r="O465" s="5">
        <v>18633.429999999993</v>
      </c>
      <c r="P465" s="3">
        <v>7.7452437660809934E-2</v>
      </c>
      <c r="Q465" s="9">
        <f t="shared" si="7"/>
        <v>358954.50745814008</v>
      </c>
      <c r="R465" s="5" t="str">
        <f>TEXT(Table1[[#This Row],[Closing Date]],"yyyy")</f>
        <v>2024</v>
      </c>
      <c r="S465" s="5" t="str">
        <f>TEXT(Table1[[#This Row],[Closing Date]],"mmmm")</f>
        <v>March</v>
      </c>
      <c r="T465" s="5" t="s">
        <v>240</v>
      </c>
      <c r="U465" s="5" t="s">
        <v>301</v>
      </c>
    </row>
    <row r="466" spans="2:21" x14ac:dyDescent="0.25">
      <c r="B466" t="s">
        <v>201</v>
      </c>
      <c r="C466" t="s">
        <v>303</v>
      </c>
      <c r="D466" t="s">
        <v>16</v>
      </c>
      <c r="E466" t="s">
        <v>7</v>
      </c>
      <c r="F466" s="5"/>
      <c r="G466" s="7">
        <v>45359</v>
      </c>
      <c r="H466" t="s">
        <v>232</v>
      </c>
      <c r="I466">
        <v>12500</v>
      </c>
      <c r="J466" s="5">
        <v>144241.82</v>
      </c>
      <c r="L466" s="5">
        <v>142802.82</v>
      </c>
      <c r="M466" s="5">
        <v>11.539345600000001</v>
      </c>
      <c r="N466" s="5">
        <v>35.700704999999999</v>
      </c>
      <c r="O466" s="5">
        <v>-1439</v>
      </c>
      <c r="P466" s="3">
        <v>-9.9763022956865077E-3</v>
      </c>
      <c r="Q466" s="9">
        <f t="shared" si="7"/>
        <v>357515.50745814008</v>
      </c>
      <c r="R466" s="5" t="str">
        <f>TEXT(Table1[[#This Row],[Closing Date]],"yyyy")</f>
        <v>2024</v>
      </c>
      <c r="S466" s="5" t="str">
        <f>TEXT(Table1[[#This Row],[Closing Date]],"mmmm")</f>
        <v>March</v>
      </c>
      <c r="T466" s="5" t="s">
        <v>240</v>
      </c>
      <c r="U466" s="5" t="s">
        <v>301</v>
      </c>
    </row>
    <row r="467" spans="2:21" x14ac:dyDescent="0.25">
      <c r="B467" t="s">
        <v>201</v>
      </c>
      <c r="C467" t="s">
        <v>303</v>
      </c>
      <c r="D467" t="s">
        <v>16</v>
      </c>
      <c r="E467" t="s">
        <v>7</v>
      </c>
      <c r="F467" s="5"/>
      <c r="G467" s="7">
        <v>45359</v>
      </c>
      <c r="H467" t="s">
        <v>218</v>
      </c>
      <c r="I467">
        <v>2250</v>
      </c>
      <c r="J467" s="5">
        <v>37890</v>
      </c>
      <c r="L467" s="5">
        <v>43005</v>
      </c>
      <c r="M467" s="5">
        <v>16.84</v>
      </c>
      <c r="N467" s="5">
        <v>19.113333333333333</v>
      </c>
      <c r="O467" s="5">
        <v>5115</v>
      </c>
      <c r="P467" s="3">
        <v>0.13499604117181313</v>
      </c>
      <c r="Q467" s="9">
        <f t="shared" si="7"/>
        <v>362630.50745814008</v>
      </c>
      <c r="R467" s="5" t="str">
        <f>TEXT(Table1[[#This Row],[Closing Date]],"yyyy")</f>
        <v>2024</v>
      </c>
      <c r="S467" s="5" t="str">
        <f>TEXT(Table1[[#This Row],[Closing Date]],"mmmm")</f>
        <v>March</v>
      </c>
      <c r="T467" s="5" t="s">
        <v>240</v>
      </c>
      <c r="U467" s="5" t="s">
        <v>301</v>
      </c>
    </row>
    <row r="468" spans="2:21" x14ac:dyDescent="0.25">
      <c r="B468" t="s">
        <v>201</v>
      </c>
      <c r="C468" t="s">
        <v>303</v>
      </c>
      <c r="D468" t="s">
        <v>16</v>
      </c>
      <c r="E468" t="s">
        <v>7</v>
      </c>
      <c r="F468" s="5"/>
      <c r="G468" s="7">
        <v>45359</v>
      </c>
      <c r="H468" t="s">
        <v>151</v>
      </c>
      <c r="I468">
        <v>2500</v>
      </c>
      <c r="J468" s="5">
        <v>199750</v>
      </c>
      <c r="L468" s="5">
        <v>197650</v>
      </c>
      <c r="M468" s="5">
        <v>79.900000000000006</v>
      </c>
      <c r="N468" s="5">
        <v>79.06</v>
      </c>
      <c r="O468" s="5">
        <v>-2127</v>
      </c>
      <c r="P468" s="3">
        <v>-1.0648310387984982E-2</v>
      </c>
      <c r="Q468" s="9">
        <f t="shared" si="7"/>
        <v>360503.50745814008</v>
      </c>
      <c r="R468" s="5" t="str">
        <f>TEXT(Table1[[#This Row],[Closing Date]],"yyyy")</f>
        <v>2024</v>
      </c>
      <c r="S468" s="5" t="str">
        <f>TEXT(Table1[[#This Row],[Closing Date]],"mmmm")</f>
        <v>March</v>
      </c>
      <c r="T468" s="5" t="s">
        <v>240</v>
      </c>
      <c r="U468" s="5" t="s">
        <v>301</v>
      </c>
    </row>
    <row r="469" spans="2:21" x14ac:dyDescent="0.25">
      <c r="B469" t="s">
        <v>201</v>
      </c>
      <c r="C469" t="s">
        <v>306</v>
      </c>
      <c r="D469" t="s">
        <v>16</v>
      </c>
      <c r="E469" t="s">
        <v>7</v>
      </c>
      <c r="F469" s="5"/>
      <c r="G469" s="7">
        <v>45359</v>
      </c>
      <c r="H469" t="s">
        <v>233</v>
      </c>
      <c r="I469">
        <v>1100</v>
      </c>
      <c r="J469" s="5">
        <v>112703.85</v>
      </c>
      <c r="L469" s="5">
        <v>107895</v>
      </c>
      <c r="M469" s="5">
        <v>102.45804545454546</v>
      </c>
      <c r="N469" s="5">
        <v>98.086363636363643</v>
      </c>
      <c r="O469" s="5">
        <v>-4808.8500000000058</v>
      </c>
      <c r="P469" s="3">
        <v>-4.2668018883117172E-2</v>
      </c>
      <c r="Q469" s="9">
        <f t="shared" si="7"/>
        <v>355694.65745814005</v>
      </c>
      <c r="R469" s="5" t="str">
        <f>TEXT(Table1[[#This Row],[Closing Date]],"yyyy")</f>
        <v>2024</v>
      </c>
      <c r="S469" s="5" t="str">
        <f>TEXT(Table1[[#This Row],[Closing Date]],"mmmm")</f>
        <v>March</v>
      </c>
      <c r="T469" s="5" t="s">
        <v>240</v>
      </c>
      <c r="U469" s="5" t="s">
        <v>301</v>
      </c>
    </row>
    <row r="470" spans="2:21" x14ac:dyDescent="0.25">
      <c r="B470" t="s">
        <v>201</v>
      </c>
      <c r="C470" t="s">
        <v>303</v>
      </c>
      <c r="D470" t="s">
        <v>12</v>
      </c>
      <c r="E470" t="s">
        <v>7</v>
      </c>
      <c r="F470" s="5"/>
      <c r="G470" s="7">
        <v>45359</v>
      </c>
      <c r="H470" t="s">
        <v>89</v>
      </c>
      <c r="I470">
        <v>10</v>
      </c>
      <c r="J470" s="5">
        <v>1032977</v>
      </c>
      <c r="L470" s="5">
        <v>1038023</v>
      </c>
      <c r="M470" s="5">
        <v>2059.0439999999999</v>
      </c>
      <c r="N470" s="5">
        <v>2076.0459999999998</v>
      </c>
      <c r="O470" s="5">
        <v>5046</v>
      </c>
      <c r="P470" s="3">
        <v>4.8849103126207072E-3</v>
      </c>
      <c r="Q470" s="9">
        <f t="shared" si="7"/>
        <v>360740.65745814005</v>
      </c>
      <c r="R470" s="5" t="str">
        <f>TEXT(Table1[[#This Row],[Closing Date]],"yyyy")</f>
        <v>2024</v>
      </c>
      <c r="S470" s="5" t="str">
        <f>TEXT(Table1[[#This Row],[Closing Date]],"mmmm")</f>
        <v>March</v>
      </c>
      <c r="T470" s="5" t="s">
        <v>240</v>
      </c>
      <c r="U470" s="5" t="s">
        <v>301</v>
      </c>
    </row>
    <row r="471" spans="2:21" x14ac:dyDescent="0.25">
      <c r="B471" t="s">
        <v>201</v>
      </c>
      <c r="C471" t="s">
        <v>303</v>
      </c>
      <c r="D471" t="s">
        <v>12</v>
      </c>
      <c r="E471" t="s">
        <v>7</v>
      </c>
      <c r="F471" s="5"/>
      <c r="G471" s="7">
        <v>45359</v>
      </c>
      <c r="H471" t="s">
        <v>44</v>
      </c>
      <c r="I471">
        <v>2</v>
      </c>
      <c r="J471" s="5">
        <v>396856.04</v>
      </c>
      <c r="L471" s="5">
        <v>388493</v>
      </c>
      <c r="M471" s="5">
        <v>39685.603999999999</v>
      </c>
      <c r="N471" s="5">
        <v>38849.300000000003</v>
      </c>
      <c r="O471" s="5">
        <v>-8363.039999999979</v>
      </c>
      <c r="P471" s="3">
        <v>-2.107323350804987E-2</v>
      </c>
      <c r="Q471" s="9">
        <f t="shared" si="7"/>
        <v>352377.61745814007</v>
      </c>
      <c r="R471" s="5" t="str">
        <f>TEXT(Table1[[#This Row],[Closing Date]],"yyyy")</f>
        <v>2024</v>
      </c>
      <c r="S471" s="5" t="str">
        <f>TEXT(Table1[[#This Row],[Closing Date]],"mmmm")</f>
        <v>March</v>
      </c>
      <c r="T471" s="5" t="s">
        <v>240</v>
      </c>
      <c r="U471" s="5" t="s">
        <v>301</v>
      </c>
    </row>
    <row r="472" spans="2:21" x14ac:dyDescent="0.25">
      <c r="B472" t="s">
        <v>201</v>
      </c>
      <c r="C472" t="s">
        <v>303</v>
      </c>
      <c r="D472" t="s">
        <v>16</v>
      </c>
      <c r="E472" t="s">
        <v>5</v>
      </c>
      <c r="F472" s="5"/>
      <c r="G472" s="7">
        <v>45363</v>
      </c>
      <c r="H472" t="s">
        <v>236</v>
      </c>
      <c r="I472">
        <v>685</v>
      </c>
      <c r="J472" s="5">
        <v>40274.32</v>
      </c>
      <c r="L472" s="5">
        <v>39589.58</v>
      </c>
      <c r="M472" s="5">
        <v>58.794627737226278</v>
      </c>
      <c r="N472" s="5">
        <v>57.795007299270075</v>
      </c>
      <c r="O472" s="5">
        <v>684.73999999999796</v>
      </c>
      <c r="P472" s="3">
        <v>1.7001900963194361E-2</v>
      </c>
      <c r="Q472" s="9">
        <f t="shared" si="7"/>
        <v>353062.35745814006</v>
      </c>
      <c r="R472" s="5" t="str">
        <f>TEXT(Table1[[#This Row],[Closing Date]],"yyyy")</f>
        <v>2024</v>
      </c>
      <c r="S472" s="5" t="str">
        <f>TEXT(Table1[[#This Row],[Closing Date]],"mmmm")</f>
        <v>March</v>
      </c>
      <c r="T472" s="5" t="s">
        <v>240</v>
      </c>
      <c r="U472" s="5" t="s">
        <v>301</v>
      </c>
    </row>
    <row r="473" spans="2:21" x14ac:dyDescent="0.25">
      <c r="B473" t="s">
        <v>201</v>
      </c>
      <c r="C473" t="s">
        <v>305</v>
      </c>
      <c r="D473" t="s">
        <v>16</v>
      </c>
      <c r="E473" t="s">
        <v>7</v>
      </c>
      <c r="F473" s="11">
        <v>45293</v>
      </c>
      <c r="G473" s="7">
        <v>45363</v>
      </c>
      <c r="H473" t="s">
        <v>251</v>
      </c>
      <c r="I473">
        <v>600</v>
      </c>
      <c r="J473" s="5">
        <v>351432</v>
      </c>
      <c r="K473" s="13">
        <v>1</v>
      </c>
      <c r="L473" s="5">
        <f>161157+100309+58400+156+91059.47</f>
        <v>411081.47</v>
      </c>
      <c r="M473" s="5">
        <f>Table1[[#This Row],[Open Value]]/Table1[[#This Row],[Shares]]/Table1[[#This Row],[Multiplier]]</f>
        <v>585.72</v>
      </c>
      <c r="N473" s="5">
        <f>Table1[[#This Row],[Close Value]]/Table1[[#This Row],[Shares]]/Table1[[#This Row],[Multiplier]]</f>
        <v>685.13578333333328</v>
      </c>
      <c r="O473" s="5">
        <f>Table1[[#This Row],[Close Value]]-Table1[[#This Row],[Open Value]]</f>
        <v>59649.469999999972</v>
      </c>
      <c r="P473" s="3">
        <f>Table1[[#This Row],[PnL]]/Table1[[#This Row],[Open Value]]</f>
        <v>0.16973260829975634</v>
      </c>
      <c r="Q473" s="14">
        <f t="shared" si="7"/>
        <v>412711.82745814003</v>
      </c>
      <c r="R473" s="5" t="str">
        <f>TEXT(Table1[[#This Row],[Closing Date]],"yyyy")</f>
        <v>2024</v>
      </c>
      <c r="S473" s="5" t="str">
        <f>TEXT(Table1[[#This Row],[Closing Date]],"mmmm")</f>
        <v>March</v>
      </c>
      <c r="T473" s="5" t="s">
        <v>240</v>
      </c>
      <c r="U473" s="5" t="s">
        <v>203</v>
      </c>
    </row>
    <row r="474" spans="2:21" x14ac:dyDescent="0.25">
      <c r="B474" t="s">
        <v>201</v>
      </c>
      <c r="C474" t="s">
        <v>303</v>
      </c>
      <c r="D474" t="s">
        <v>16</v>
      </c>
      <c r="E474" t="s">
        <v>7</v>
      </c>
      <c r="F474" s="5"/>
      <c r="G474" s="7">
        <v>45364</v>
      </c>
      <c r="H474" t="s">
        <v>237</v>
      </c>
      <c r="I474">
        <v>1150</v>
      </c>
      <c r="J474" s="5">
        <v>50067.6</v>
      </c>
      <c r="L474" s="5">
        <v>49883.26</v>
      </c>
      <c r="M474" s="5">
        <v>43.53704347826087</v>
      </c>
      <c r="N474" s="5">
        <v>43.376747826086955</v>
      </c>
      <c r="O474" s="5">
        <v>-184.33999999999651</v>
      </c>
      <c r="P474" s="3">
        <v>-3.6818221764174141E-3</v>
      </c>
      <c r="Q474" s="9">
        <f t="shared" si="7"/>
        <v>412527.48745814001</v>
      </c>
      <c r="R474" s="5" t="str">
        <f>TEXT(Table1[[#This Row],[Closing Date]],"yyyy")</f>
        <v>2024</v>
      </c>
      <c r="S474" s="5" t="str">
        <f>TEXT(Table1[[#This Row],[Closing Date]],"mmmm")</f>
        <v>March</v>
      </c>
      <c r="T474" s="5" t="s">
        <v>241</v>
      </c>
      <c r="U474" s="5" t="s">
        <v>301</v>
      </c>
    </row>
    <row r="475" spans="2:21" x14ac:dyDescent="0.25">
      <c r="B475" t="s">
        <v>201</v>
      </c>
      <c r="C475" t="s">
        <v>303</v>
      </c>
      <c r="D475" t="s">
        <v>16</v>
      </c>
      <c r="E475" t="s">
        <v>7</v>
      </c>
      <c r="F475" s="5"/>
      <c r="G475" s="7">
        <v>45364</v>
      </c>
      <c r="H475" t="s">
        <v>238</v>
      </c>
      <c r="I475">
        <v>440</v>
      </c>
      <c r="J475" s="5">
        <v>49469.84</v>
      </c>
      <c r="L475" s="5">
        <v>47874.34</v>
      </c>
      <c r="M475" s="5">
        <v>112.43145454545454</v>
      </c>
      <c r="N475" s="5">
        <v>108.80531818181818</v>
      </c>
      <c r="O475" s="5">
        <v>-1595.5</v>
      </c>
      <c r="P475" s="3">
        <v>-3.2251974132117674E-2</v>
      </c>
      <c r="Q475" s="9">
        <f t="shared" si="7"/>
        <v>410931.98745814001</v>
      </c>
      <c r="R475" s="5" t="str">
        <f>TEXT(Table1[[#This Row],[Closing Date]],"yyyy")</f>
        <v>2024</v>
      </c>
      <c r="S475" s="5" t="str">
        <f>TEXT(Table1[[#This Row],[Closing Date]],"mmmm")</f>
        <v>March</v>
      </c>
      <c r="T475" s="5" t="s">
        <v>241</v>
      </c>
      <c r="U475" s="5" t="s">
        <v>301</v>
      </c>
    </row>
    <row r="476" spans="2:21" x14ac:dyDescent="0.25">
      <c r="B476" t="s">
        <v>201</v>
      </c>
      <c r="C476" t="s">
        <v>303</v>
      </c>
      <c r="D476" t="s">
        <v>16</v>
      </c>
      <c r="E476" t="s">
        <v>7</v>
      </c>
      <c r="F476" s="5"/>
      <c r="G476" s="7">
        <v>45364</v>
      </c>
      <c r="H476" t="s">
        <v>213</v>
      </c>
      <c r="I476">
        <v>1400</v>
      </c>
      <c r="J476" s="5">
        <v>49444.94</v>
      </c>
      <c r="L476" s="5">
        <v>47802.39</v>
      </c>
      <c r="M476" s="5">
        <v>35.317814285714284</v>
      </c>
      <c r="N476" s="5">
        <v>34.144564285714289</v>
      </c>
      <c r="O476" s="5">
        <v>-1642.5500000000029</v>
      </c>
      <c r="P476" s="3">
        <v>-3.3219779415244573E-2</v>
      </c>
      <c r="Q476" s="9">
        <f t="shared" si="7"/>
        <v>409289.43745814002</v>
      </c>
      <c r="R476" s="5" t="str">
        <f>TEXT(Table1[[#This Row],[Closing Date]],"yyyy")</f>
        <v>2024</v>
      </c>
      <c r="S476" s="5" t="str">
        <f>TEXT(Table1[[#This Row],[Closing Date]],"mmmm")</f>
        <v>March</v>
      </c>
      <c r="T476" s="5" t="s">
        <v>241</v>
      </c>
      <c r="U476" s="5" t="s">
        <v>301</v>
      </c>
    </row>
    <row r="477" spans="2:21" x14ac:dyDescent="0.25">
      <c r="B477" t="s">
        <v>201</v>
      </c>
      <c r="C477" t="s">
        <v>306</v>
      </c>
      <c r="D477" t="s">
        <v>12</v>
      </c>
      <c r="E477" t="s">
        <v>5</v>
      </c>
      <c r="F477" s="5"/>
      <c r="G477" s="7">
        <v>45365</v>
      </c>
      <c r="H477" t="s">
        <v>13</v>
      </c>
      <c r="I477">
        <v>6</v>
      </c>
      <c r="J477" s="5">
        <v>485760</v>
      </c>
      <c r="L477" s="5">
        <v>483180</v>
      </c>
      <c r="M477" s="5">
        <v>80.959999999999994</v>
      </c>
      <c r="N477" s="5">
        <v>1610.6000000000001</v>
      </c>
      <c r="O477" s="5">
        <v>2580</v>
      </c>
      <c r="P477" s="3">
        <v>5.311264822134387E-3</v>
      </c>
      <c r="Q477" s="9">
        <f t="shared" si="7"/>
        <v>411869.43745814002</v>
      </c>
      <c r="R477" s="5" t="str">
        <f>TEXT(Table1[[#This Row],[Closing Date]],"yyyy")</f>
        <v>2024</v>
      </c>
      <c r="S477" s="5" t="str">
        <f>TEXT(Table1[[#This Row],[Closing Date]],"mmmm")</f>
        <v>March</v>
      </c>
      <c r="T477" s="5" t="s">
        <v>240</v>
      </c>
      <c r="U477" s="5" t="s">
        <v>301</v>
      </c>
    </row>
    <row r="478" spans="2:21" x14ac:dyDescent="0.25">
      <c r="B478" t="s">
        <v>201</v>
      </c>
      <c r="C478" t="s">
        <v>303</v>
      </c>
      <c r="D478" t="s">
        <v>16</v>
      </c>
      <c r="E478" t="s">
        <v>7</v>
      </c>
      <c r="F478" s="5"/>
      <c r="G478" s="7">
        <v>45365</v>
      </c>
      <c r="H478" t="s">
        <v>206</v>
      </c>
      <c r="I478">
        <v>1200</v>
      </c>
      <c r="J478" s="5">
        <v>234997.8</v>
      </c>
      <c r="L478" s="5">
        <v>227983</v>
      </c>
      <c r="M478" s="5">
        <v>195.83149999999998</v>
      </c>
      <c r="N478" s="5">
        <v>189.98583333333335</v>
      </c>
      <c r="O478" s="5">
        <v>-7014.7999999999884</v>
      </c>
      <c r="P478" s="3">
        <v>-2.9850492217373903E-2</v>
      </c>
      <c r="Q478" s="9">
        <f t="shared" si="7"/>
        <v>404854.63745814003</v>
      </c>
      <c r="R478" s="5" t="str">
        <f>TEXT(Table1[[#This Row],[Closing Date]],"yyyy")</f>
        <v>2024</v>
      </c>
      <c r="S478" s="5" t="str">
        <f>TEXT(Table1[[#This Row],[Closing Date]],"mmmm")</f>
        <v>March</v>
      </c>
      <c r="T478" s="5" t="s">
        <v>240</v>
      </c>
      <c r="U478" s="5" t="s">
        <v>301</v>
      </c>
    </row>
    <row r="479" spans="2:21" x14ac:dyDescent="0.25">
      <c r="B479" t="s">
        <v>201</v>
      </c>
      <c r="C479" t="s">
        <v>303</v>
      </c>
      <c r="D479" t="s">
        <v>16</v>
      </c>
      <c r="E479" t="s">
        <v>7</v>
      </c>
      <c r="F479" s="5"/>
      <c r="G479" s="7">
        <v>45365</v>
      </c>
      <c r="H479" t="s">
        <v>245</v>
      </c>
      <c r="I479">
        <v>11000</v>
      </c>
      <c r="J479" s="5">
        <v>82165</v>
      </c>
      <c r="L479" s="5">
        <v>73365</v>
      </c>
      <c r="M479" s="5">
        <v>7.4695454545454547</v>
      </c>
      <c r="N479" s="5">
        <v>6.6695454545454549</v>
      </c>
      <c r="O479" s="5">
        <v>-8800</v>
      </c>
      <c r="P479" s="3">
        <v>-0.10710156392624597</v>
      </c>
      <c r="Q479" s="9">
        <f t="shared" si="7"/>
        <v>396054.63745814003</v>
      </c>
      <c r="R479" s="5" t="str">
        <f>TEXT(Table1[[#This Row],[Closing Date]],"yyyy")</f>
        <v>2024</v>
      </c>
      <c r="S479" s="5" t="str">
        <f>TEXT(Table1[[#This Row],[Closing Date]],"mmmm")</f>
        <v>March</v>
      </c>
      <c r="T479" s="5" t="s">
        <v>240</v>
      </c>
      <c r="U479" s="5" t="s">
        <v>301</v>
      </c>
    </row>
    <row r="480" spans="2:21" x14ac:dyDescent="0.25">
      <c r="B480" t="s">
        <v>197</v>
      </c>
      <c r="C480" t="s">
        <v>302</v>
      </c>
      <c r="D480" t="s">
        <v>99</v>
      </c>
      <c r="E480" t="s">
        <v>7</v>
      </c>
      <c r="F480" s="5"/>
      <c r="G480" s="7">
        <v>45366</v>
      </c>
      <c r="H480" t="s">
        <v>235</v>
      </c>
      <c r="I480">
        <v>50</v>
      </c>
      <c r="J480" s="5">
        <v>10272.34</v>
      </c>
      <c r="K480" s="13">
        <v>100</v>
      </c>
      <c r="L480" s="5">
        <v>8352.4500000000007</v>
      </c>
      <c r="M480" s="5">
        <v>2.054468</v>
      </c>
      <c r="N480" s="5">
        <v>1.67049</v>
      </c>
      <c r="O480" s="5">
        <v>-1919.8899999999994</v>
      </c>
      <c r="P480" s="3">
        <v>-0.18689899282928715</v>
      </c>
      <c r="Q480" s="9">
        <f t="shared" si="7"/>
        <v>394134.74745814002</v>
      </c>
      <c r="R480" s="5" t="str">
        <f>TEXT(Table1[[#This Row],[Closing Date]],"yyyy")</f>
        <v>2024</v>
      </c>
      <c r="S480" s="5" t="str">
        <f>TEXT(Table1[[#This Row],[Closing Date]],"mmmm")</f>
        <v>March</v>
      </c>
      <c r="T480" s="5" t="s">
        <v>240</v>
      </c>
      <c r="U480" s="5" t="s">
        <v>301</v>
      </c>
    </row>
    <row r="481" spans="2:21" x14ac:dyDescent="0.25">
      <c r="B481" t="s">
        <v>201</v>
      </c>
      <c r="C481" t="s">
        <v>305</v>
      </c>
      <c r="D481" t="s">
        <v>16</v>
      </c>
      <c r="E481" t="s">
        <v>7</v>
      </c>
      <c r="F481" s="5"/>
      <c r="G481" s="7">
        <v>45366</v>
      </c>
      <c r="H481" t="s">
        <v>242</v>
      </c>
      <c r="I481">
        <v>4100</v>
      </c>
      <c r="J481" s="5">
        <v>201658.5</v>
      </c>
      <c r="L481" s="5">
        <v>198548.1</v>
      </c>
      <c r="M481" s="5">
        <v>49.185000000000002</v>
      </c>
      <c r="N481" s="5">
        <v>48.426365853658538</v>
      </c>
      <c r="O481" s="5">
        <v>-3110.3999999999942</v>
      </c>
      <c r="P481" s="3">
        <v>-1.5424095686519508E-2</v>
      </c>
      <c r="Q481" s="9">
        <f t="shared" si="7"/>
        <v>391024.34745813999</v>
      </c>
      <c r="R481" s="5" t="str">
        <f>TEXT(Table1[[#This Row],[Closing Date]],"yyyy")</f>
        <v>2024</v>
      </c>
      <c r="S481" s="5" t="str">
        <f>TEXT(Table1[[#This Row],[Closing Date]],"mmmm")</f>
        <v>March</v>
      </c>
      <c r="T481" s="5" t="s">
        <v>240</v>
      </c>
      <c r="U481" s="5" t="s">
        <v>301</v>
      </c>
    </row>
    <row r="482" spans="2:21" x14ac:dyDescent="0.25">
      <c r="B482" t="s">
        <v>201</v>
      </c>
      <c r="C482" t="s">
        <v>306</v>
      </c>
      <c r="D482" t="s">
        <v>16</v>
      </c>
      <c r="E482" t="s">
        <v>7</v>
      </c>
      <c r="F482" s="5"/>
      <c r="G482" s="7">
        <v>45366</v>
      </c>
      <c r="H482" t="s">
        <v>243</v>
      </c>
      <c r="I482">
        <v>2650</v>
      </c>
      <c r="J482" s="5">
        <v>114631.31</v>
      </c>
      <c r="L482" s="5">
        <v>111845.88</v>
      </c>
      <c r="M482" s="5">
        <v>43.257098113207547</v>
      </c>
      <c r="N482" s="5">
        <v>42.205992452830188</v>
      </c>
      <c r="O482" s="5">
        <v>-2785.429999999993</v>
      </c>
      <c r="P482" s="3">
        <v>-2.4299033135013401E-2</v>
      </c>
      <c r="Q482" s="9">
        <f t="shared" si="7"/>
        <v>388238.91745814</v>
      </c>
      <c r="R482" s="5" t="str">
        <f>TEXT(Table1[[#This Row],[Closing Date]],"yyyy")</f>
        <v>2024</v>
      </c>
      <c r="S482" s="5" t="str">
        <f>TEXT(Table1[[#This Row],[Closing Date]],"mmmm")</f>
        <v>March</v>
      </c>
      <c r="T482" s="5" t="s">
        <v>240</v>
      </c>
      <c r="U482" s="5" t="s">
        <v>301</v>
      </c>
    </row>
    <row r="483" spans="2:21" x14ac:dyDescent="0.25">
      <c r="B483" t="s">
        <v>201</v>
      </c>
      <c r="C483" t="s">
        <v>305</v>
      </c>
      <c r="D483" t="s">
        <v>16</v>
      </c>
      <c r="E483" t="s">
        <v>7</v>
      </c>
      <c r="F483" s="5"/>
      <c r="G483" s="7">
        <v>45366</v>
      </c>
      <c r="H483" t="s">
        <v>41</v>
      </c>
      <c r="I483">
        <v>550</v>
      </c>
      <c r="J483" s="5">
        <v>227109.88</v>
      </c>
      <c r="L483" s="5">
        <v>229378.53</v>
      </c>
      <c r="M483" s="5">
        <v>412.92705454545455</v>
      </c>
      <c r="N483" s="5">
        <v>417.05187272727272</v>
      </c>
      <c r="O483" s="5">
        <v>2268.6499999999942</v>
      </c>
      <c r="P483" s="3">
        <v>9.9892175540755614E-3</v>
      </c>
      <c r="Q483" s="9">
        <f t="shared" si="7"/>
        <v>390507.56745813997</v>
      </c>
      <c r="R483" s="5" t="str">
        <f>TEXT(Table1[[#This Row],[Closing Date]],"yyyy")</f>
        <v>2024</v>
      </c>
      <c r="S483" s="5" t="str">
        <f>TEXT(Table1[[#This Row],[Closing Date]],"mmmm")</f>
        <v>March</v>
      </c>
      <c r="T483" s="5" t="s">
        <v>240</v>
      </c>
      <c r="U483" s="5" t="s">
        <v>301</v>
      </c>
    </row>
    <row r="484" spans="2:21" x14ac:dyDescent="0.25">
      <c r="B484" t="s">
        <v>201</v>
      </c>
      <c r="C484" t="s">
        <v>305</v>
      </c>
      <c r="D484" t="s">
        <v>16</v>
      </c>
      <c r="E484" t="s">
        <v>7</v>
      </c>
      <c r="F484" s="5"/>
      <c r="G484" s="7">
        <v>45366</v>
      </c>
      <c r="H484" t="s">
        <v>244</v>
      </c>
      <c r="I484">
        <v>3300</v>
      </c>
      <c r="J484" s="5">
        <v>192737.7</v>
      </c>
      <c r="L484" s="5">
        <v>188158.85</v>
      </c>
      <c r="M484" s="5">
        <v>58.405363636363639</v>
      </c>
      <c r="N484" s="5">
        <v>57.017833333333336</v>
      </c>
      <c r="O484" s="5">
        <v>-4578.8500000000058</v>
      </c>
      <c r="P484" s="3">
        <v>-2.3756898624399926E-2</v>
      </c>
      <c r="Q484" s="9">
        <f t="shared" si="7"/>
        <v>385928.71745813999</v>
      </c>
      <c r="R484" s="5" t="str">
        <f>TEXT(Table1[[#This Row],[Closing Date]],"yyyy")</f>
        <v>2024</v>
      </c>
      <c r="S484" s="5" t="str">
        <f>TEXT(Table1[[#This Row],[Closing Date]],"mmmm")</f>
        <v>March</v>
      </c>
      <c r="T484" s="5" t="s">
        <v>240</v>
      </c>
      <c r="U484" s="5" t="s">
        <v>301</v>
      </c>
    </row>
    <row r="485" spans="2:21" x14ac:dyDescent="0.25">
      <c r="B485" t="s">
        <v>197</v>
      </c>
      <c r="C485" t="s">
        <v>305</v>
      </c>
      <c r="D485" t="s">
        <v>99</v>
      </c>
      <c r="E485" t="s">
        <v>7</v>
      </c>
      <c r="F485" s="5"/>
      <c r="G485" s="7">
        <v>45366</v>
      </c>
      <c r="H485" t="s">
        <v>133</v>
      </c>
      <c r="I485">
        <v>15</v>
      </c>
      <c r="J485" s="5">
        <v>12310.3</v>
      </c>
      <c r="K485" s="13">
        <v>100</v>
      </c>
      <c r="L485" s="5">
        <v>0</v>
      </c>
      <c r="M485" s="5">
        <v>8.2068666666666665</v>
      </c>
      <c r="N485" s="5"/>
      <c r="O485" s="5">
        <v>-12310.3</v>
      </c>
      <c r="P485" s="3">
        <v>-1</v>
      </c>
      <c r="Q485" s="9">
        <f t="shared" si="7"/>
        <v>373618.41745814</v>
      </c>
      <c r="R485" s="5" t="str">
        <f>TEXT(Table1[[#This Row],[Closing Date]],"yyyy")</f>
        <v>2024</v>
      </c>
      <c r="S485" s="5" t="str">
        <f>TEXT(Table1[[#This Row],[Closing Date]],"mmmm")</f>
        <v>March</v>
      </c>
      <c r="T485" s="5" t="s">
        <v>240</v>
      </c>
      <c r="U485" s="5" t="s">
        <v>301</v>
      </c>
    </row>
    <row r="486" spans="2:21" x14ac:dyDescent="0.25">
      <c r="B486" t="s">
        <v>197</v>
      </c>
      <c r="C486" t="s">
        <v>306</v>
      </c>
      <c r="D486" t="s">
        <v>102</v>
      </c>
      <c r="E486" t="s">
        <v>7</v>
      </c>
      <c r="F486" s="5"/>
      <c r="G486" s="7">
        <v>45366</v>
      </c>
      <c r="H486" t="s">
        <v>250</v>
      </c>
      <c r="I486">
        <v>10</v>
      </c>
      <c r="J486" s="5">
        <v>7706.87</v>
      </c>
      <c r="K486" s="13">
        <v>100</v>
      </c>
      <c r="L486" s="5">
        <v>0</v>
      </c>
      <c r="M486" s="5">
        <v>7.7068700000000003</v>
      </c>
      <c r="N486" s="5">
        <v>0</v>
      </c>
      <c r="O486" s="5">
        <v>-7706.87</v>
      </c>
      <c r="P486" s="3">
        <v>-1</v>
      </c>
      <c r="Q486" s="9">
        <f t="shared" si="7"/>
        <v>365911.54745814</v>
      </c>
      <c r="R486" s="5" t="str">
        <f>TEXT(Table1[[#This Row],[Closing Date]],"yyyy")</f>
        <v>2024</v>
      </c>
      <c r="S486" s="5" t="str">
        <f>TEXT(Table1[[#This Row],[Closing Date]],"mmmm")</f>
        <v>March</v>
      </c>
      <c r="T486" s="5" t="s">
        <v>240</v>
      </c>
      <c r="U486" s="5" t="s">
        <v>301</v>
      </c>
    </row>
    <row r="487" spans="2:21" x14ac:dyDescent="0.25">
      <c r="B487" t="s">
        <v>197</v>
      </c>
      <c r="C487" t="s">
        <v>305</v>
      </c>
      <c r="D487" t="s">
        <v>99</v>
      </c>
      <c r="E487" t="s">
        <v>7</v>
      </c>
      <c r="F487" s="5"/>
      <c r="G487" s="7">
        <v>45366</v>
      </c>
      <c r="H487" t="s">
        <v>53</v>
      </c>
      <c r="I487">
        <v>50</v>
      </c>
      <c r="J487" s="5">
        <v>6482.34</v>
      </c>
      <c r="K487" s="13">
        <v>100</v>
      </c>
      <c r="L487" s="5">
        <v>0</v>
      </c>
      <c r="M487" s="5">
        <v>1.2964680000000002</v>
      </c>
      <c r="N487" s="5">
        <v>0</v>
      </c>
      <c r="O487" s="5">
        <v>-6482.34</v>
      </c>
      <c r="P487" s="3">
        <v>-1</v>
      </c>
      <c r="Q487" s="9">
        <f t="shared" si="7"/>
        <v>359429.20745813998</v>
      </c>
      <c r="R487" s="5" t="str">
        <f>TEXT(Table1[[#This Row],[Closing Date]],"yyyy")</f>
        <v>2024</v>
      </c>
      <c r="S487" s="5" t="str">
        <f>TEXT(Table1[[#This Row],[Closing Date]],"mmmm")</f>
        <v>March</v>
      </c>
      <c r="T487" s="5" t="s">
        <v>240</v>
      </c>
      <c r="U487" s="5" t="s">
        <v>301</v>
      </c>
    </row>
    <row r="488" spans="2:21" x14ac:dyDescent="0.25">
      <c r="B488" t="s">
        <v>201</v>
      </c>
      <c r="C488" t="s">
        <v>305</v>
      </c>
      <c r="D488" t="s">
        <v>16</v>
      </c>
      <c r="E488" t="s">
        <v>7</v>
      </c>
      <c r="F488" s="11">
        <v>45359</v>
      </c>
      <c r="G488" s="7">
        <v>45366</v>
      </c>
      <c r="H488" t="s">
        <v>252</v>
      </c>
      <c r="I488">
        <v>605</v>
      </c>
      <c r="J488" s="5">
        <v>101125.75</v>
      </c>
      <c r="K488" s="13">
        <v>1</v>
      </c>
      <c r="L488" s="5">
        <v>91158.05</v>
      </c>
      <c r="M488" s="5">
        <f>Table1[[#This Row],[Open Value]]/Table1[[#This Row],[Shares]]/Table1[[#This Row],[Multiplier]]</f>
        <v>167.15</v>
      </c>
      <c r="N488" s="5">
        <f>Table1[[#This Row],[Close Value]]/Table1[[#This Row],[Shares]]/Table1[[#This Row],[Multiplier]]</f>
        <v>150.67446280991737</v>
      </c>
      <c r="O488" s="5">
        <f>Table1[[#This Row],[Close Value]]-Table1[[#This Row],[Open Value]]</f>
        <v>-9967.6999999999971</v>
      </c>
      <c r="P488" s="3">
        <f>Table1[[#This Row],[PnL]]/Table1[[#This Row],[Open Value]]</f>
        <v>-9.856737774503524E-2</v>
      </c>
      <c r="Q488" s="9">
        <f t="shared" si="7"/>
        <v>349461.50745813997</v>
      </c>
      <c r="R488" s="5" t="str">
        <f>TEXT(Table1[[#This Row],[Closing Date]],"yyyy")</f>
        <v>2024</v>
      </c>
      <c r="S488" s="5" t="str">
        <f>TEXT(Table1[[#This Row],[Closing Date]],"mmmm")</f>
        <v>March</v>
      </c>
      <c r="T488" s="5" t="s">
        <v>240</v>
      </c>
      <c r="U488" s="5" t="s">
        <v>203</v>
      </c>
    </row>
    <row r="489" spans="2:21" x14ac:dyDescent="0.25">
      <c r="B489" t="s">
        <v>201</v>
      </c>
      <c r="C489" t="s">
        <v>303</v>
      </c>
      <c r="D489" t="s">
        <v>28</v>
      </c>
      <c r="E489" t="s">
        <v>7</v>
      </c>
      <c r="F489" s="5"/>
      <c r="G489" s="7">
        <v>45369</v>
      </c>
      <c r="H489" t="s">
        <v>246</v>
      </c>
      <c r="I489">
        <v>12000</v>
      </c>
      <c r="J489" s="5">
        <v>91524.3</v>
      </c>
      <c r="L489" s="5">
        <v>92757.27</v>
      </c>
      <c r="M489" s="5">
        <v>7.6270250000000006</v>
      </c>
      <c r="N489" s="5">
        <v>7.7297725000000002</v>
      </c>
      <c r="O489" s="5">
        <v>1232.9700000000012</v>
      </c>
      <c r="P489" s="3">
        <v>1.3471504289024895E-2</v>
      </c>
      <c r="Q489" s="9">
        <f t="shared" si="7"/>
        <v>350694.47745814</v>
      </c>
      <c r="R489" s="5" t="str">
        <f>TEXT(Table1[[#This Row],[Closing Date]],"yyyy")</f>
        <v>2024</v>
      </c>
      <c r="S489" s="5" t="str">
        <f>TEXT(Table1[[#This Row],[Closing Date]],"mmmm")</f>
        <v>March</v>
      </c>
      <c r="T489" s="5" t="s">
        <v>240</v>
      </c>
      <c r="U489" s="5" t="s">
        <v>301</v>
      </c>
    </row>
    <row r="490" spans="2:21" x14ac:dyDescent="0.25">
      <c r="B490" t="s">
        <v>201</v>
      </c>
      <c r="C490" t="s">
        <v>306</v>
      </c>
      <c r="D490" t="s">
        <v>16</v>
      </c>
      <c r="E490" t="s">
        <v>7</v>
      </c>
      <c r="F490" s="5"/>
      <c r="G490" s="7">
        <v>45370</v>
      </c>
      <c r="H490" t="s">
        <v>248</v>
      </c>
      <c r="I490">
        <v>300</v>
      </c>
      <c r="J490" s="5">
        <v>49200</v>
      </c>
      <c r="L490" s="5">
        <v>43996.1</v>
      </c>
      <c r="M490" s="5">
        <v>164</v>
      </c>
      <c r="N490" s="5">
        <v>146.65366666666665</v>
      </c>
      <c r="O490" s="5">
        <v>-5203.9000000000015</v>
      </c>
      <c r="P490" s="3">
        <v>-0.10577032520325207</v>
      </c>
      <c r="Q490" s="9">
        <f t="shared" si="7"/>
        <v>345490.57745813997</v>
      </c>
      <c r="R490" s="5" t="str">
        <f>TEXT(Table1[[#This Row],[Closing Date]],"yyyy")</f>
        <v>2024</v>
      </c>
      <c r="S490" s="5" t="str">
        <f>TEXT(Table1[[#This Row],[Closing Date]],"mmmm")</f>
        <v>March</v>
      </c>
      <c r="T490" s="5" t="s">
        <v>240</v>
      </c>
      <c r="U490" s="5" t="s">
        <v>301</v>
      </c>
    </row>
    <row r="491" spans="2:21" x14ac:dyDescent="0.25">
      <c r="B491" t="s">
        <v>201</v>
      </c>
      <c r="C491" t="s">
        <v>303</v>
      </c>
      <c r="D491" t="s">
        <v>16</v>
      </c>
      <c r="E491" t="s">
        <v>7</v>
      </c>
      <c r="F491" s="5"/>
      <c r="G491" s="7">
        <v>45370</v>
      </c>
      <c r="H491" t="s">
        <v>163</v>
      </c>
      <c r="I491">
        <v>4400</v>
      </c>
      <c r="J491" s="5">
        <v>108680</v>
      </c>
      <c r="L491" s="5">
        <v>101220.46</v>
      </c>
      <c r="M491" s="5">
        <v>24.7</v>
      </c>
      <c r="N491" s="5">
        <v>23.004650000000002</v>
      </c>
      <c r="O491" s="5">
        <v>-7459.5399999999936</v>
      </c>
      <c r="P491" s="3">
        <v>-6.8637651821862294E-2</v>
      </c>
      <c r="Q491" s="9">
        <f t="shared" si="7"/>
        <v>338031.03745814</v>
      </c>
      <c r="R491" s="5" t="str">
        <f>TEXT(Table1[[#This Row],[Closing Date]],"yyyy")</f>
        <v>2024</v>
      </c>
      <c r="S491" s="5" t="str">
        <f>TEXT(Table1[[#This Row],[Closing Date]],"mmmm")</f>
        <v>March</v>
      </c>
      <c r="T491" s="5" t="s">
        <v>240</v>
      </c>
      <c r="U491" s="5" t="s">
        <v>301</v>
      </c>
    </row>
    <row r="492" spans="2:21" x14ac:dyDescent="0.25">
      <c r="B492" t="s">
        <v>201</v>
      </c>
      <c r="C492" t="s">
        <v>303</v>
      </c>
      <c r="D492" t="s">
        <v>16</v>
      </c>
      <c r="E492" t="s">
        <v>7</v>
      </c>
      <c r="F492" s="5"/>
      <c r="G492" s="7">
        <v>45370</v>
      </c>
      <c r="H492" t="s">
        <v>218</v>
      </c>
      <c r="I492">
        <v>4500</v>
      </c>
      <c r="J492" s="5">
        <v>79681</v>
      </c>
      <c r="L492" s="5">
        <v>71778.11</v>
      </c>
      <c r="M492" s="5">
        <v>17.706888888888887</v>
      </c>
      <c r="N492" s="5">
        <v>15.95069111111111</v>
      </c>
      <c r="O492" s="5">
        <v>-7902.8899999999994</v>
      </c>
      <c r="P492" s="3">
        <v>-9.9181611676560283E-2</v>
      </c>
      <c r="Q492" s="9">
        <f t="shared" si="7"/>
        <v>330128.14745813998</v>
      </c>
      <c r="R492" s="5" t="str">
        <f>TEXT(Table1[[#This Row],[Closing Date]],"yyyy")</f>
        <v>2024</v>
      </c>
      <c r="S492" s="5" t="str">
        <f>TEXT(Table1[[#This Row],[Closing Date]],"mmmm")</f>
        <v>March</v>
      </c>
      <c r="T492" s="5" t="s">
        <v>240</v>
      </c>
      <c r="U492" s="5" t="s">
        <v>301</v>
      </c>
    </row>
    <row r="493" spans="2:21" x14ac:dyDescent="0.25">
      <c r="B493" t="s">
        <v>201</v>
      </c>
      <c r="C493" t="s">
        <v>303</v>
      </c>
      <c r="D493" t="s">
        <v>16</v>
      </c>
      <c r="E493" t="s">
        <v>7</v>
      </c>
      <c r="F493" s="5"/>
      <c r="G493" s="7">
        <v>45370</v>
      </c>
      <c r="H493" t="s">
        <v>142</v>
      </c>
      <c r="I493">
        <v>1500</v>
      </c>
      <c r="J493" s="5">
        <v>122752</v>
      </c>
      <c r="L493" s="5">
        <v>117060.94</v>
      </c>
      <c r="M493" s="5">
        <v>81.834666666666664</v>
      </c>
      <c r="N493" s="5">
        <v>78.040626666666668</v>
      </c>
      <c r="O493" s="5">
        <v>-5691.0599999999977</v>
      </c>
      <c r="P493" s="3">
        <v>-4.6362258863399355E-2</v>
      </c>
      <c r="Q493" s="9">
        <f t="shared" si="7"/>
        <v>324437.08745813998</v>
      </c>
      <c r="R493" s="5" t="str">
        <f>TEXT(Table1[[#This Row],[Closing Date]],"yyyy")</f>
        <v>2024</v>
      </c>
      <c r="S493" s="5" t="str">
        <f>TEXT(Table1[[#This Row],[Closing Date]],"mmmm")</f>
        <v>March</v>
      </c>
      <c r="T493" s="5" t="s">
        <v>240</v>
      </c>
      <c r="U493" s="5" t="s">
        <v>301</v>
      </c>
    </row>
    <row r="494" spans="2:21" x14ac:dyDescent="0.25">
      <c r="B494" t="s">
        <v>201</v>
      </c>
      <c r="C494" t="s">
        <v>303</v>
      </c>
      <c r="D494" t="s">
        <v>16</v>
      </c>
      <c r="E494" t="s">
        <v>7</v>
      </c>
      <c r="F494" s="5"/>
      <c r="G494" s="7">
        <v>45370</v>
      </c>
      <c r="H494" t="s">
        <v>157</v>
      </c>
      <c r="I494">
        <v>2000</v>
      </c>
      <c r="J494" s="5">
        <v>129910</v>
      </c>
      <c r="L494" s="5">
        <v>123590.43</v>
      </c>
      <c r="M494" s="5">
        <v>64.954999999999998</v>
      </c>
      <c r="N494" s="5">
        <v>61.795214999999999</v>
      </c>
      <c r="O494" s="5">
        <v>-6319.570000000007</v>
      </c>
      <c r="P494" s="3">
        <v>-4.864575475329079E-2</v>
      </c>
      <c r="Q494" s="9">
        <f t="shared" si="7"/>
        <v>318117.51745813998</v>
      </c>
      <c r="R494" s="5" t="str">
        <f>TEXT(Table1[[#This Row],[Closing Date]],"yyyy")</f>
        <v>2024</v>
      </c>
      <c r="S494" s="5" t="str">
        <f>TEXT(Table1[[#This Row],[Closing Date]],"mmmm")</f>
        <v>March</v>
      </c>
      <c r="T494" s="5" t="s">
        <v>240</v>
      </c>
      <c r="U494" s="5" t="s">
        <v>301</v>
      </c>
    </row>
    <row r="495" spans="2:21" x14ac:dyDescent="0.25">
      <c r="B495" t="s">
        <v>201</v>
      </c>
      <c r="C495" t="s">
        <v>303</v>
      </c>
      <c r="D495" t="s">
        <v>16</v>
      </c>
      <c r="E495" t="s">
        <v>7</v>
      </c>
      <c r="F495" s="5"/>
      <c r="G495" s="7">
        <v>45370</v>
      </c>
      <c r="H495" t="s">
        <v>153</v>
      </c>
      <c r="I495">
        <v>3600</v>
      </c>
      <c r="J495" s="5">
        <v>159602.29999999999</v>
      </c>
      <c r="L495" s="5">
        <v>141892.141</v>
      </c>
      <c r="M495" s="5">
        <v>44.333972222222222</v>
      </c>
      <c r="N495" s="5">
        <v>39.414483611111109</v>
      </c>
      <c r="O495" s="5">
        <v>-17710.158999999985</v>
      </c>
      <c r="P495" s="3">
        <v>-0.11096430941158107</v>
      </c>
      <c r="Q495" s="9">
        <f t="shared" si="7"/>
        <v>300407.35845813999</v>
      </c>
      <c r="R495" s="5" t="str">
        <f>TEXT(Table1[[#This Row],[Closing Date]],"yyyy")</f>
        <v>2024</v>
      </c>
      <c r="S495" s="5" t="str">
        <f>TEXT(Table1[[#This Row],[Closing Date]],"mmmm")</f>
        <v>March</v>
      </c>
      <c r="T495" s="5" t="s">
        <v>240</v>
      </c>
      <c r="U495" s="5" t="s">
        <v>301</v>
      </c>
    </row>
    <row r="496" spans="2:21" x14ac:dyDescent="0.25">
      <c r="B496" t="s">
        <v>201</v>
      </c>
      <c r="C496" t="s">
        <v>303</v>
      </c>
      <c r="D496" t="s">
        <v>16</v>
      </c>
      <c r="E496" t="s">
        <v>7</v>
      </c>
      <c r="F496" s="5"/>
      <c r="G496" s="7">
        <v>45371</v>
      </c>
      <c r="H496" t="s">
        <v>212</v>
      </c>
      <c r="I496">
        <v>11400</v>
      </c>
      <c r="J496" s="5">
        <v>99047.46</v>
      </c>
      <c r="L496" s="5">
        <v>85705</v>
      </c>
      <c r="M496" s="5">
        <v>8.6883736842105268</v>
      </c>
      <c r="N496" s="5">
        <v>7.5179824561403512</v>
      </c>
      <c r="O496" s="5">
        <v>-13342.460000000006</v>
      </c>
      <c r="P496" s="3">
        <v>-0.13470774515570622</v>
      </c>
      <c r="Q496" s="9">
        <f t="shared" si="7"/>
        <v>287064.89845813997</v>
      </c>
      <c r="R496" s="5" t="str">
        <f>TEXT(Table1[[#This Row],[Closing Date]],"yyyy")</f>
        <v>2024</v>
      </c>
      <c r="S496" s="5" t="str">
        <f>TEXT(Table1[[#This Row],[Closing Date]],"mmmm")</f>
        <v>March</v>
      </c>
      <c r="T496" s="5" t="s">
        <v>240</v>
      </c>
      <c r="U496" s="5" t="s">
        <v>301</v>
      </c>
    </row>
    <row r="497" spans="2:21" x14ac:dyDescent="0.25">
      <c r="B497" t="s">
        <v>197</v>
      </c>
      <c r="C497" t="s">
        <v>302</v>
      </c>
      <c r="D497" t="s">
        <v>99</v>
      </c>
      <c r="E497" t="s">
        <v>7</v>
      </c>
      <c r="F497" s="5"/>
      <c r="G497" s="7">
        <v>45371</v>
      </c>
      <c r="H497" t="s">
        <v>10</v>
      </c>
      <c r="I497">
        <v>60</v>
      </c>
      <c r="J497" s="5">
        <v>8460</v>
      </c>
      <c r="K497" s="13">
        <v>100</v>
      </c>
      <c r="L497" s="5">
        <v>7140</v>
      </c>
      <c r="M497" s="5">
        <v>1.41</v>
      </c>
      <c r="N497" s="5">
        <v>1.19</v>
      </c>
      <c r="O497" s="5">
        <v>-1320</v>
      </c>
      <c r="P497" s="3">
        <v>-0.15602836879432624</v>
      </c>
      <c r="Q497" s="9">
        <f t="shared" si="7"/>
        <v>285744.89845813997</v>
      </c>
      <c r="R497" s="5" t="str">
        <f>TEXT(Table1[[#This Row],[Closing Date]],"yyyy")</f>
        <v>2024</v>
      </c>
      <c r="S497" s="5" t="str">
        <f>TEXT(Table1[[#This Row],[Closing Date]],"mmmm")</f>
        <v>March</v>
      </c>
      <c r="T497" s="5" t="s">
        <v>240</v>
      </c>
      <c r="U497" s="5" t="s">
        <v>301</v>
      </c>
    </row>
    <row r="498" spans="2:21" x14ac:dyDescent="0.25">
      <c r="B498" t="s">
        <v>201</v>
      </c>
      <c r="C498" t="s">
        <v>303</v>
      </c>
      <c r="D498" t="s">
        <v>4</v>
      </c>
      <c r="E498" t="s">
        <v>7</v>
      </c>
      <c r="F498" s="5"/>
      <c r="G498" s="7">
        <v>45371</v>
      </c>
      <c r="H498" t="s">
        <v>71</v>
      </c>
      <c r="I498">
        <v>2000000</v>
      </c>
      <c r="J498" s="5">
        <v>52747473.460000001</v>
      </c>
      <c r="L498" s="5">
        <v>0</v>
      </c>
      <c r="M498" s="5">
        <v>26.373736730000001</v>
      </c>
      <c r="N498" s="5"/>
      <c r="O498" s="5">
        <v>37014</v>
      </c>
      <c r="P498" s="3">
        <v>2.5000000000000001E-2</v>
      </c>
      <c r="Q498" s="9">
        <f t="shared" si="7"/>
        <v>322758.89845813997</v>
      </c>
      <c r="R498" s="5" t="str">
        <f>TEXT(Table1[[#This Row],[Closing Date]],"yyyy")</f>
        <v>2024</v>
      </c>
      <c r="S498" s="5" t="str">
        <f>TEXT(Table1[[#This Row],[Closing Date]],"mmmm")</f>
        <v>March</v>
      </c>
      <c r="T498" s="5" t="s">
        <v>240</v>
      </c>
      <c r="U498" s="5" t="s">
        <v>301</v>
      </c>
    </row>
    <row r="499" spans="2:21" x14ac:dyDescent="0.25">
      <c r="B499" t="s">
        <v>201</v>
      </c>
      <c r="C499" t="s">
        <v>306</v>
      </c>
      <c r="D499" t="s">
        <v>4</v>
      </c>
      <c r="E499" t="s">
        <v>7</v>
      </c>
      <c r="F499" s="5"/>
      <c r="G499" s="7">
        <v>45371</v>
      </c>
      <c r="H499" t="s">
        <v>79</v>
      </c>
      <c r="I499">
        <v>450000</v>
      </c>
      <c r="J499" s="5">
        <v>75714016.680000007</v>
      </c>
      <c r="L499" s="5">
        <v>25513590.16</v>
      </c>
      <c r="M499" s="5">
        <v>168.25337040000002</v>
      </c>
      <c r="N499" s="5">
        <v>170.09060106666666</v>
      </c>
      <c r="O499" s="5">
        <v>4289</v>
      </c>
      <c r="P499" s="3">
        <v>2.8593333333333335E-2</v>
      </c>
      <c r="Q499" s="9">
        <f t="shared" si="7"/>
        <v>327047.89845813997</v>
      </c>
      <c r="R499" s="5" t="str">
        <f>TEXT(Table1[[#This Row],[Closing Date]],"yyyy")</f>
        <v>2024</v>
      </c>
      <c r="S499" s="5" t="str">
        <f>TEXT(Table1[[#This Row],[Closing Date]],"mmmm")</f>
        <v>March</v>
      </c>
      <c r="T499" s="5" t="s">
        <v>240</v>
      </c>
      <c r="U499" s="5" t="s">
        <v>301</v>
      </c>
    </row>
    <row r="500" spans="2:21" x14ac:dyDescent="0.25">
      <c r="B500" t="s">
        <v>201</v>
      </c>
      <c r="C500" t="s">
        <v>303</v>
      </c>
      <c r="D500" t="s">
        <v>12</v>
      </c>
      <c r="E500" t="s">
        <v>5</v>
      </c>
      <c r="F500" s="5"/>
      <c r="G500" s="7">
        <v>45371</v>
      </c>
      <c r="H500" t="s">
        <v>267</v>
      </c>
      <c r="I500">
        <v>10</v>
      </c>
      <c r="J500" s="5">
        <v>2403603.7999999998</v>
      </c>
      <c r="L500" s="5">
        <v>2391875.2199999997</v>
      </c>
      <c r="M500" s="5">
        <v>96.144151999999991</v>
      </c>
      <c r="N500" s="5">
        <v>95.675008799999986</v>
      </c>
      <c r="O500" s="5">
        <v>11728.580000000075</v>
      </c>
      <c r="P500" s="3">
        <v>4.8795812354765272E-3</v>
      </c>
      <c r="Q500" s="9">
        <f t="shared" si="7"/>
        <v>338776.47845814005</v>
      </c>
      <c r="R500" s="5" t="str">
        <f>TEXT(Table1[[#This Row],[Closing Date]],"yyyy")</f>
        <v>2024</v>
      </c>
      <c r="S500" s="5" t="str">
        <f>TEXT(Table1[[#This Row],[Closing Date]],"mmmm")</f>
        <v>March</v>
      </c>
      <c r="T500" s="5" t="s">
        <v>240</v>
      </c>
      <c r="U500" s="5" t="s">
        <v>301</v>
      </c>
    </row>
    <row r="501" spans="2:21" x14ac:dyDescent="0.25">
      <c r="B501" t="s">
        <v>197</v>
      </c>
      <c r="C501" t="s">
        <v>302</v>
      </c>
      <c r="D501" t="s">
        <v>102</v>
      </c>
      <c r="E501" t="s">
        <v>7</v>
      </c>
      <c r="F501" s="5"/>
      <c r="G501" s="7">
        <v>45372</v>
      </c>
      <c r="H501" t="s">
        <v>251</v>
      </c>
      <c r="I501">
        <v>10</v>
      </c>
      <c r="J501" s="5">
        <v>7850</v>
      </c>
      <c r="K501" s="13">
        <v>100</v>
      </c>
      <c r="L501" s="5">
        <v>6295</v>
      </c>
      <c r="M501" s="5">
        <v>7.85</v>
      </c>
      <c r="N501" s="5">
        <v>12.59</v>
      </c>
      <c r="O501" s="5">
        <v>-1555</v>
      </c>
      <c r="P501" s="3">
        <v>0.6038216560509555</v>
      </c>
      <c r="Q501" s="9">
        <f t="shared" si="7"/>
        <v>337221.47845814005</v>
      </c>
      <c r="R501" s="5" t="str">
        <f>TEXT(Table1[[#This Row],[Closing Date]],"yyyy")</f>
        <v>2024</v>
      </c>
      <c r="S501" s="5" t="str">
        <f>TEXT(Table1[[#This Row],[Closing Date]],"mmmm")</f>
        <v>March</v>
      </c>
      <c r="T501" s="5" t="s">
        <v>240</v>
      </c>
      <c r="U501" s="5" t="s">
        <v>301</v>
      </c>
    </row>
    <row r="502" spans="2:21" x14ac:dyDescent="0.25">
      <c r="B502" t="s">
        <v>197</v>
      </c>
      <c r="C502" t="s">
        <v>302</v>
      </c>
      <c r="D502" t="s">
        <v>102</v>
      </c>
      <c r="E502" t="s">
        <v>7</v>
      </c>
      <c r="F502" s="5"/>
      <c r="G502" s="7">
        <v>45372</v>
      </c>
      <c r="H502" t="s">
        <v>264</v>
      </c>
      <c r="I502">
        <v>100</v>
      </c>
      <c r="J502" s="5">
        <v>9981.49</v>
      </c>
      <c r="K502" s="13">
        <v>100</v>
      </c>
      <c r="L502" s="5">
        <v>5954.99</v>
      </c>
      <c r="M502" s="5">
        <v>0.99814899999999995</v>
      </c>
      <c r="N502" s="5">
        <v>0.595499</v>
      </c>
      <c r="O502" s="5">
        <v>-4026.5</v>
      </c>
      <c r="P502" s="3">
        <v>-0.40339668726813327</v>
      </c>
      <c r="Q502" s="9">
        <f t="shared" si="7"/>
        <v>333194.97845814005</v>
      </c>
      <c r="R502" s="5" t="str">
        <f>TEXT(Table1[[#This Row],[Closing Date]],"yyyy")</f>
        <v>2024</v>
      </c>
      <c r="S502" s="5" t="str">
        <f>TEXT(Table1[[#This Row],[Closing Date]],"mmmm")</f>
        <v>March</v>
      </c>
      <c r="T502" s="5" t="s">
        <v>240</v>
      </c>
      <c r="U502" s="5" t="s">
        <v>301</v>
      </c>
    </row>
    <row r="503" spans="2:21" x14ac:dyDescent="0.25">
      <c r="B503" t="s">
        <v>197</v>
      </c>
      <c r="C503" t="s">
        <v>302</v>
      </c>
      <c r="D503" t="s">
        <v>102</v>
      </c>
      <c r="E503" t="s">
        <v>7</v>
      </c>
      <c r="F503" s="5"/>
      <c r="G503" s="7">
        <v>45372</v>
      </c>
      <c r="H503" t="s">
        <v>251</v>
      </c>
      <c r="I503">
        <v>10</v>
      </c>
      <c r="J503" s="5">
        <v>7850</v>
      </c>
      <c r="K503" s="13">
        <v>100</v>
      </c>
      <c r="L503" s="5">
        <v>6295</v>
      </c>
      <c r="M503" s="5">
        <v>7.85</v>
      </c>
      <c r="N503" s="5">
        <v>12.59</v>
      </c>
      <c r="O503" s="5">
        <v>-1555</v>
      </c>
      <c r="P503" s="3">
        <v>0.6038216560509555</v>
      </c>
      <c r="Q503" s="9">
        <f t="shared" si="7"/>
        <v>331639.97845814005</v>
      </c>
      <c r="R503" s="5" t="str">
        <f>TEXT(Table1[[#This Row],[Closing Date]],"yyyy")</f>
        <v>2024</v>
      </c>
      <c r="S503" s="5" t="str">
        <f>TEXT(Table1[[#This Row],[Closing Date]],"mmmm")</f>
        <v>March</v>
      </c>
      <c r="T503" s="5" t="s">
        <v>240</v>
      </c>
      <c r="U503" s="5" t="s">
        <v>301</v>
      </c>
    </row>
    <row r="504" spans="2:21" x14ac:dyDescent="0.25">
      <c r="B504" t="s">
        <v>201</v>
      </c>
      <c r="C504" t="s">
        <v>302</v>
      </c>
      <c r="D504" t="s">
        <v>12</v>
      </c>
      <c r="E504" t="s">
        <v>7</v>
      </c>
      <c r="F504" s="5"/>
      <c r="G504" s="7">
        <v>45372</v>
      </c>
      <c r="H504" t="s">
        <v>92</v>
      </c>
      <c r="I504">
        <v>3</v>
      </c>
      <c r="J504" s="5">
        <v>654304.93999999994</v>
      </c>
      <c r="L504" s="5">
        <v>651435.06000000006</v>
      </c>
      <c r="M504" s="5">
        <v>2177.7247000000002</v>
      </c>
      <c r="N504" s="5">
        <v>13028.701200000001</v>
      </c>
      <c r="O504" s="5">
        <v>-2869.8799999998882</v>
      </c>
      <c r="P504" s="3">
        <v>-4.3861505921075402E-3</v>
      </c>
      <c r="Q504" s="9">
        <f t="shared" si="7"/>
        <v>328770.09845814016</v>
      </c>
      <c r="R504" s="5" t="str">
        <f>TEXT(Table1[[#This Row],[Closing Date]],"yyyy")</f>
        <v>2024</v>
      </c>
      <c r="S504" s="5" t="str">
        <f>TEXT(Table1[[#This Row],[Closing Date]],"mmmm")</f>
        <v>March</v>
      </c>
      <c r="T504" s="5" t="s">
        <v>240</v>
      </c>
      <c r="U504" s="5" t="s">
        <v>301</v>
      </c>
    </row>
    <row r="505" spans="2:21" x14ac:dyDescent="0.25">
      <c r="B505" t="s">
        <v>197</v>
      </c>
      <c r="C505" t="s">
        <v>303</v>
      </c>
      <c r="D505" t="s">
        <v>102</v>
      </c>
      <c r="E505" t="s">
        <v>7</v>
      </c>
      <c r="F505" s="5"/>
      <c r="G505" s="7">
        <v>45373</v>
      </c>
      <c r="H505" t="s">
        <v>153</v>
      </c>
      <c r="I505">
        <v>20</v>
      </c>
      <c r="J505" s="5">
        <v>4948.9399999999996</v>
      </c>
      <c r="K505" s="13">
        <v>100</v>
      </c>
      <c r="L505" s="5">
        <v>3562.98</v>
      </c>
      <c r="M505" s="5">
        <v>2.4744699999999997</v>
      </c>
      <c r="N505" s="5">
        <v>1.78149</v>
      </c>
      <c r="O505" s="5">
        <v>-1385.9599999999996</v>
      </c>
      <c r="P505" s="3">
        <v>-0.28005188989965518</v>
      </c>
      <c r="Q505" s="9">
        <f t="shared" si="7"/>
        <v>327384.13845814014</v>
      </c>
      <c r="R505" s="5" t="str">
        <f>TEXT(Table1[[#This Row],[Closing Date]],"yyyy")</f>
        <v>2024</v>
      </c>
      <c r="S505" s="5" t="str">
        <f>TEXT(Table1[[#This Row],[Closing Date]],"mmmm")</f>
        <v>March</v>
      </c>
      <c r="T505" s="5" t="s">
        <v>240</v>
      </c>
      <c r="U505" s="5" t="s">
        <v>301</v>
      </c>
    </row>
    <row r="506" spans="2:21" x14ac:dyDescent="0.25">
      <c r="B506" t="s">
        <v>197</v>
      </c>
      <c r="C506" t="s">
        <v>303</v>
      </c>
      <c r="D506" t="s">
        <v>102</v>
      </c>
      <c r="E506" t="s">
        <v>7</v>
      </c>
      <c r="F506" s="5"/>
      <c r="G506" s="7">
        <v>45373</v>
      </c>
      <c r="H506" t="s">
        <v>153</v>
      </c>
      <c r="I506">
        <v>18</v>
      </c>
      <c r="J506" s="5">
        <v>2978.04</v>
      </c>
      <c r="K506" s="13">
        <v>100</v>
      </c>
      <c r="L506" s="5">
        <v>11537.32</v>
      </c>
      <c r="M506" s="5">
        <v>1.6544666666666665</v>
      </c>
      <c r="N506" s="5">
        <v>6.4096222222222217</v>
      </c>
      <c r="O506" s="5">
        <v>8559.2799999999988</v>
      </c>
      <c r="P506" s="3">
        <v>2.8741319794227076</v>
      </c>
      <c r="Q506" s="9">
        <f t="shared" si="7"/>
        <v>335943.41845814011</v>
      </c>
      <c r="R506" s="5" t="str">
        <f>TEXT(Table1[[#This Row],[Closing Date]],"yyyy")</f>
        <v>2024</v>
      </c>
      <c r="S506" s="5" t="str">
        <f>TEXT(Table1[[#This Row],[Closing Date]],"mmmm")</f>
        <v>March</v>
      </c>
      <c r="T506" s="5" t="s">
        <v>240</v>
      </c>
      <c r="U506" s="5" t="s">
        <v>301</v>
      </c>
    </row>
    <row r="507" spans="2:21" x14ac:dyDescent="0.25">
      <c r="B507" t="s">
        <v>201</v>
      </c>
      <c r="C507" t="s">
        <v>305</v>
      </c>
      <c r="D507" t="s">
        <v>28</v>
      </c>
      <c r="E507" t="s">
        <v>7</v>
      </c>
      <c r="F507" s="5"/>
      <c r="G507" s="7">
        <v>45375</v>
      </c>
      <c r="H507" t="s">
        <v>130</v>
      </c>
      <c r="I507">
        <v>10000</v>
      </c>
      <c r="J507" s="5">
        <v>73446.490000000005</v>
      </c>
      <c r="L507" s="5">
        <v>62825.04</v>
      </c>
      <c r="M507" s="5">
        <v>7.3446490000000004</v>
      </c>
      <c r="N507" s="5">
        <v>6.2825040000000003</v>
      </c>
      <c r="O507" s="5">
        <v>-10621.450000000004</v>
      </c>
      <c r="P507" s="3">
        <v>-0.14461480732435278</v>
      </c>
      <c r="Q507" s="9">
        <f t="shared" si="7"/>
        <v>325321.96845814009</v>
      </c>
      <c r="R507" s="5" t="str">
        <f>TEXT(Table1[[#This Row],[Closing Date]],"yyyy")</f>
        <v>2024</v>
      </c>
      <c r="S507" s="5" t="str">
        <f>TEXT(Table1[[#This Row],[Closing Date]],"mmmm")</f>
        <v>March</v>
      </c>
      <c r="T507" s="5" t="s">
        <v>240</v>
      </c>
      <c r="U507" s="5" t="s">
        <v>301</v>
      </c>
    </row>
    <row r="508" spans="2:21" x14ac:dyDescent="0.25">
      <c r="B508" t="s">
        <v>201</v>
      </c>
      <c r="C508" t="s">
        <v>302</v>
      </c>
      <c r="D508" t="s">
        <v>16</v>
      </c>
      <c r="E508" t="s">
        <v>7</v>
      </c>
      <c r="F508" s="5"/>
      <c r="G508" s="7">
        <v>45376</v>
      </c>
      <c r="H508" t="s">
        <v>139</v>
      </c>
      <c r="I508">
        <v>1000</v>
      </c>
      <c r="J508" s="5">
        <v>114025</v>
      </c>
      <c r="L508" s="5">
        <v>113040.49</v>
      </c>
      <c r="M508" s="5">
        <v>114.02500000000001</v>
      </c>
      <c r="N508" s="5">
        <v>113.04049000000001</v>
      </c>
      <c r="O508" s="5">
        <v>-984.50999999999476</v>
      </c>
      <c r="P508" s="3">
        <v>-8.6341591756193357E-3</v>
      </c>
      <c r="Q508" s="9">
        <f t="shared" si="7"/>
        <v>324337.45845814008</v>
      </c>
      <c r="R508" s="5" t="str">
        <f>TEXT(Table1[[#This Row],[Closing Date]],"yyyy")</f>
        <v>2024</v>
      </c>
      <c r="S508" s="5" t="str">
        <f>TEXT(Table1[[#This Row],[Closing Date]],"mmmm")</f>
        <v>March</v>
      </c>
      <c r="T508" s="5" t="s">
        <v>240</v>
      </c>
      <c r="U508" s="5" t="s">
        <v>301</v>
      </c>
    </row>
    <row r="509" spans="2:21" x14ac:dyDescent="0.25">
      <c r="B509" t="s">
        <v>197</v>
      </c>
      <c r="C509" t="s">
        <v>303</v>
      </c>
      <c r="D509" t="s">
        <v>102</v>
      </c>
      <c r="E509" t="s">
        <v>7</v>
      </c>
      <c r="F509" s="5"/>
      <c r="G509" s="7">
        <v>45376</v>
      </c>
      <c r="H509" t="s">
        <v>217</v>
      </c>
      <c r="I509">
        <v>5</v>
      </c>
      <c r="J509" s="5">
        <v>4928.43</v>
      </c>
      <c r="K509" s="13">
        <v>100</v>
      </c>
      <c r="L509" s="5">
        <v>0</v>
      </c>
      <c r="M509" s="5">
        <v>9.8568600000000011</v>
      </c>
      <c r="N509" s="5">
        <v>0</v>
      </c>
      <c r="O509" s="5">
        <v>-4928.43</v>
      </c>
      <c r="P509" s="3">
        <v>-1</v>
      </c>
      <c r="Q509" s="9">
        <f t="shared" si="7"/>
        <v>319409.02845814009</v>
      </c>
      <c r="R509" s="5" t="str">
        <f>TEXT(Table1[[#This Row],[Closing Date]],"yyyy")</f>
        <v>2024</v>
      </c>
      <c r="S509" s="5" t="str">
        <f>TEXT(Table1[[#This Row],[Closing Date]],"mmmm")</f>
        <v>March</v>
      </c>
      <c r="T509" s="5" t="s">
        <v>240</v>
      </c>
      <c r="U509" s="5" t="s">
        <v>301</v>
      </c>
    </row>
    <row r="510" spans="2:21" x14ac:dyDescent="0.25">
      <c r="B510" t="s">
        <v>197</v>
      </c>
      <c r="C510" t="s">
        <v>305</v>
      </c>
      <c r="D510" t="s">
        <v>99</v>
      </c>
      <c r="E510" t="s">
        <v>7</v>
      </c>
      <c r="F510" s="11">
        <v>45328</v>
      </c>
      <c r="G510" s="7">
        <v>45376</v>
      </c>
      <c r="H510" t="s">
        <v>299</v>
      </c>
      <c r="I510">
        <v>310</v>
      </c>
      <c r="J510" s="5">
        <v>29980</v>
      </c>
      <c r="K510" s="13">
        <v>100</v>
      </c>
      <c r="L510" s="5">
        <v>0</v>
      </c>
      <c r="M510" s="5">
        <f>Table1[[#This Row],[Open Value]]/Table1[[#This Row],[Shares]]/Table1[[#This Row],[Multiplier]]</f>
        <v>0.96709677419354834</v>
      </c>
      <c r="N510" s="5">
        <f>Table1[[#This Row],[Close Value]]/Table1[[#This Row],[Shares]]/Table1[[#This Row],[Multiplier]]</f>
        <v>0</v>
      </c>
      <c r="O510" s="5">
        <f>Table1[[#This Row],[Close Value]]-Table1[[#This Row],[Open Value]]</f>
        <v>-29980</v>
      </c>
      <c r="P510" s="3">
        <f>Table1[[#This Row],[PnL]]/Table1[[#This Row],[Open Value]]</f>
        <v>-1</v>
      </c>
      <c r="Q510" s="9">
        <f t="shared" si="7"/>
        <v>289429.02845814009</v>
      </c>
      <c r="R510" s="5" t="str">
        <f>TEXT(Table1[[#This Row],[Closing Date]],"yyyy")</f>
        <v>2024</v>
      </c>
      <c r="S510" s="5" t="str">
        <f>TEXT(Table1[[#This Row],[Closing Date]],"mmmm")</f>
        <v>March</v>
      </c>
      <c r="T510" s="5" t="s">
        <v>240</v>
      </c>
      <c r="U510" s="5" t="s">
        <v>203</v>
      </c>
    </row>
    <row r="511" spans="2:21" x14ac:dyDescent="0.25">
      <c r="B511" t="s">
        <v>197</v>
      </c>
      <c r="C511" t="s">
        <v>306</v>
      </c>
      <c r="D511" t="s">
        <v>99</v>
      </c>
      <c r="E511" t="s">
        <v>7</v>
      </c>
      <c r="F511" s="11">
        <v>45328</v>
      </c>
      <c r="G511" s="7">
        <v>45376</v>
      </c>
      <c r="H511" t="s">
        <v>299</v>
      </c>
      <c r="I511">
        <v>310</v>
      </c>
      <c r="J511" s="5">
        <v>19990</v>
      </c>
      <c r="K511" s="13">
        <v>100</v>
      </c>
      <c r="L511" s="5">
        <v>0</v>
      </c>
      <c r="M511" s="5">
        <f>Table1[[#This Row],[Open Value]]/Table1[[#This Row],[Shares]]/Table1[[#This Row],[Multiplier]]</f>
        <v>0.64483870967741941</v>
      </c>
      <c r="N511" s="5">
        <f>Table1[[#This Row],[Close Value]]/Table1[[#This Row],[Shares]]/Table1[[#This Row],[Multiplier]]</f>
        <v>0</v>
      </c>
      <c r="O511" s="5">
        <f>Table1[[#This Row],[Close Value]]-Table1[[#This Row],[Open Value]]</f>
        <v>-19990</v>
      </c>
      <c r="P511" s="3">
        <f>Table1[[#This Row],[PnL]]/Table1[[#This Row],[Open Value]]</f>
        <v>-1</v>
      </c>
      <c r="Q511" s="9">
        <f t="shared" si="7"/>
        <v>269439.02845814009</v>
      </c>
      <c r="R511" s="5" t="str">
        <f>TEXT(Table1[[#This Row],[Closing Date]],"yyyy")</f>
        <v>2024</v>
      </c>
      <c r="S511" s="5" t="str">
        <f>TEXT(Table1[[#This Row],[Closing Date]],"mmmm")</f>
        <v>March</v>
      </c>
      <c r="T511" s="5" t="s">
        <v>240</v>
      </c>
      <c r="U511" s="5" t="s">
        <v>203</v>
      </c>
    </row>
    <row r="512" spans="2:21" x14ac:dyDescent="0.25">
      <c r="B512" t="s">
        <v>201</v>
      </c>
      <c r="C512" t="s">
        <v>303</v>
      </c>
      <c r="D512" t="s">
        <v>16</v>
      </c>
      <c r="E512" t="s">
        <v>7</v>
      </c>
      <c r="F512" s="5"/>
      <c r="G512" s="7">
        <v>45377</v>
      </c>
      <c r="H512" t="s">
        <v>11</v>
      </c>
      <c r="I512">
        <v>230</v>
      </c>
      <c r="J512" s="5">
        <v>205463.6</v>
      </c>
      <c r="L512" s="5">
        <v>208303.55</v>
      </c>
      <c r="M512" s="5">
        <v>893.32</v>
      </c>
      <c r="N512" s="5">
        <v>905.66760869565212</v>
      </c>
      <c r="O512" s="5">
        <v>2839.9499999999825</v>
      </c>
      <c r="P512" s="3">
        <v>1.3822156333287173E-2</v>
      </c>
      <c r="Q512" s="9">
        <f t="shared" si="7"/>
        <v>272278.97845814005</v>
      </c>
      <c r="R512" s="5" t="str">
        <f>TEXT(Table1[[#This Row],[Closing Date]],"yyyy")</f>
        <v>2024</v>
      </c>
      <c r="S512" s="5" t="str">
        <f>TEXT(Table1[[#This Row],[Closing Date]],"mmmm")</f>
        <v>March</v>
      </c>
      <c r="T512" s="5" t="s">
        <v>240</v>
      </c>
      <c r="U512" s="5" t="s">
        <v>301</v>
      </c>
    </row>
    <row r="513" spans="2:21" x14ac:dyDescent="0.25">
      <c r="B513" t="s">
        <v>201</v>
      </c>
      <c r="C513" t="s">
        <v>303</v>
      </c>
      <c r="D513" t="s">
        <v>16</v>
      </c>
      <c r="E513" t="s">
        <v>7</v>
      </c>
      <c r="F513" s="5"/>
      <c r="G513" s="7">
        <v>45378</v>
      </c>
      <c r="H513" t="s">
        <v>153</v>
      </c>
      <c r="I513">
        <v>3300</v>
      </c>
      <c r="J513" s="5">
        <v>155139.6</v>
      </c>
      <c r="L513" s="5">
        <v>146539.98000000001</v>
      </c>
      <c r="M513" s="5">
        <v>47.012</v>
      </c>
      <c r="N513" s="5">
        <v>44.406054545454552</v>
      </c>
      <c r="O513" s="5">
        <v>-8599.6199999999953</v>
      </c>
      <c r="P513" s="3">
        <v>-5.5431495246861501E-2</v>
      </c>
      <c r="Q513" s="9">
        <f t="shared" si="7"/>
        <v>263679.35845814005</v>
      </c>
      <c r="R513" s="5" t="str">
        <f>TEXT(Table1[[#This Row],[Closing Date]],"yyyy")</f>
        <v>2024</v>
      </c>
      <c r="S513" s="5" t="str">
        <f>TEXT(Table1[[#This Row],[Closing Date]],"mmmm")</f>
        <v>March</v>
      </c>
      <c r="T513" s="5" t="s">
        <v>240</v>
      </c>
      <c r="U513" s="5" t="s">
        <v>301</v>
      </c>
    </row>
    <row r="514" spans="2:21" x14ac:dyDescent="0.25">
      <c r="B514" t="s">
        <v>201</v>
      </c>
      <c r="C514" t="s">
        <v>305</v>
      </c>
      <c r="D514" t="s">
        <v>16</v>
      </c>
      <c r="E514" t="s">
        <v>7</v>
      </c>
      <c r="F514" s="5"/>
      <c r="G514" s="7">
        <v>45379</v>
      </c>
      <c r="H514" t="s">
        <v>146</v>
      </c>
      <c r="I514">
        <v>2500</v>
      </c>
      <c r="J514" s="5">
        <v>161975</v>
      </c>
      <c r="L514" s="5">
        <v>177295.45</v>
      </c>
      <c r="M514" s="5">
        <v>64.790000000000006</v>
      </c>
      <c r="N514" s="5">
        <v>70.918180000000007</v>
      </c>
      <c r="O514" s="5">
        <v>15320.450000000012</v>
      </c>
      <c r="P514" s="3">
        <v>9.4585275505479308E-2</v>
      </c>
      <c r="Q514" s="9">
        <f t="shared" si="7"/>
        <v>278999.80845814006</v>
      </c>
      <c r="R514" s="5" t="str">
        <f>TEXT(Table1[[#This Row],[Closing Date]],"yyyy")</f>
        <v>2024</v>
      </c>
      <c r="S514" s="5" t="str">
        <f>TEXT(Table1[[#This Row],[Closing Date]],"mmmm")</f>
        <v>March</v>
      </c>
      <c r="T514" s="5" t="s">
        <v>240</v>
      </c>
      <c r="U514" s="5" t="s">
        <v>301</v>
      </c>
    </row>
    <row r="515" spans="2:21" x14ac:dyDescent="0.25">
      <c r="B515" t="s">
        <v>201</v>
      </c>
      <c r="C515" t="s">
        <v>303</v>
      </c>
      <c r="D515" t="s">
        <v>16</v>
      </c>
      <c r="E515" t="s">
        <v>7</v>
      </c>
      <c r="F515" s="5"/>
      <c r="G515" s="7">
        <v>45379</v>
      </c>
      <c r="H515" t="s">
        <v>206</v>
      </c>
      <c r="I515">
        <v>900</v>
      </c>
      <c r="J515" s="5">
        <v>160677.56</v>
      </c>
      <c r="L515" s="5">
        <v>162144</v>
      </c>
      <c r="M515" s="5">
        <v>178.53062222222221</v>
      </c>
      <c r="N515" s="5">
        <v>180.16</v>
      </c>
      <c r="O515" s="5">
        <v>1466.4400000000023</v>
      </c>
      <c r="P515" s="3">
        <v>9.1266011258821847E-3</v>
      </c>
      <c r="Q515" s="9">
        <f t="shared" ref="Q515:Q578" si="8">O515+Q514</f>
        <v>280466.24845814006</v>
      </c>
      <c r="R515" s="5" t="str">
        <f>TEXT(Table1[[#This Row],[Closing Date]],"yyyy")</f>
        <v>2024</v>
      </c>
      <c r="S515" s="5" t="str">
        <f>TEXT(Table1[[#This Row],[Closing Date]],"mmmm")</f>
        <v>March</v>
      </c>
      <c r="T515" s="5" t="s">
        <v>240</v>
      </c>
      <c r="U515" s="5" t="s">
        <v>301</v>
      </c>
    </row>
    <row r="516" spans="2:21" x14ac:dyDescent="0.25">
      <c r="B516" t="s">
        <v>201</v>
      </c>
      <c r="C516" t="s">
        <v>303</v>
      </c>
      <c r="D516" t="s">
        <v>16</v>
      </c>
      <c r="E516" t="s">
        <v>7</v>
      </c>
      <c r="F516" s="5"/>
      <c r="G516" s="7">
        <v>45379</v>
      </c>
      <c r="H516" t="s">
        <v>157</v>
      </c>
      <c r="I516">
        <v>1400</v>
      </c>
      <c r="J516" s="5">
        <v>90129.5</v>
      </c>
      <c r="L516" s="5">
        <v>86282.62</v>
      </c>
      <c r="M516" s="5">
        <v>64.378214285714279</v>
      </c>
      <c r="N516" s="5">
        <v>61.630442857142853</v>
      </c>
      <c r="O516" s="5">
        <v>-3846.8800000000047</v>
      </c>
      <c r="P516" s="3">
        <v>-4.2681696891694779E-2</v>
      </c>
      <c r="Q516" s="9">
        <f t="shared" si="8"/>
        <v>276619.36845814006</v>
      </c>
      <c r="R516" s="5" t="str">
        <f>TEXT(Table1[[#This Row],[Closing Date]],"yyyy")</f>
        <v>2024</v>
      </c>
      <c r="S516" s="5" t="str">
        <f>TEXT(Table1[[#This Row],[Closing Date]],"mmmm")</f>
        <v>March</v>
      </c>
      <c r="T516" s="5" t="s">
        <v>240</v>
      </c>
      <c r="U516" s="5" t="s">
        <v>301</v>
      </c>
    </row>
    <row r="517" spans="2:21" x14ac:dyDescent="0.25">
      <c r="B517" t="s">
        <v>201</v>
      </c>
      <c r="C517" t="s">
        <v>306</v>
      </c>
      <c r="D517" t="s">
        <v>16</v>
      </c>
      <c r="E517" t="s">
        <v>7</v>
      </c>
      <c r="F517" s="5"/>
      <c r="G517" s="7">
        <v>45383</v>
      </c>
      <c r="H517" t="s">
        <v>251</v>
      </c>
      <c r="I517">
        <v>500</v>
      </c>
      <c r="J517" s="5">
        <v>386250</v>
      </c>
      <c r="L517" s="5">
        <v>378425</v>
      </c>
      <c r="M517" s="5">
        <v>772.5</v>
      </c>
      <c r="N517" s="5">
        <v>756.85</v>
      </c>
      <c r="O517" s="5">
        <v>-7825</v>
      </c>
      <c r="P517" s="3">
        <v>-2.0258899676375404E-2</v>
      </c>
      <c r="Q517" s="9">
        <f t="shared" si="8"/>
        <v>268794.36845814006</v>
      </c>
      <c r="R517" s="5" t="str">
        <f>TEXT(Table1[[#This Row],[Closing Date]],"yyyy")</f>
        <v>2024</v>
      </c>
      <c r="S517" s="5" t="str">
        <f>TEXT(Table1[[#This Row],[Closing Date]],"mmmm")</f>
        <v>April</v>
      </c>
      <c r="T517" s="5" t="s">
        <v>240</v>
      </c>
      <c r="U517" s="5" t="s">
        <v>301</v>
      </c>
    </row>
    <row r="518" spans="2:21" x14ac:dyDescent="0.25">
      <c r="B518" t="s">
        <v>201</v>
      </c>
      <c r="C518" t="s">
        <v>306</v>
      </c>
      <c r="D518" t="s">
        <v>12</v>
      </c>
      <c r="E518" t="s">
        <v>5</v>
      </c>
      <c r="F518" s="5"/>
      <c r="G518" s="7">
        <v>45383</v>
      </c>
      <c r="H518" t="s">
        <v>81</v>
      </c>
      <c r="I518">
        <v>1</v>
      </c>
      <c r="J518" s="5">
        <v>94827.03</v>
      </c>
      <c r="L518" s="5">
        <v>100832.97</v>
      </c>
      <c r="M518" s="5">
        <v>9482.7029999999995</v>
      </c>
      <c r="N518" s="5">
        <v>100.83297</v>
      </c>
      <c r="O518" s="5">
        <v>-6005.9400000000023</v>
      </c>
      <c r="P518" s="3">
        <v>-6.3335738765624136E-2</v>
      </c>
      <c r="Q518" s="9">
        <f t="shared" si="8"/>
        <v>262788.42845814006</v>
      </c>
      <c r="R518" s="5" t="str">
        <f>TEXT(Table1[[#This Row],[Closing Date]],"yyyy")</f>
        <v>2024</v>
      </c>
      <c r="S518" s="5" t="str">
        <f>TEXT(Table1[[#This Row],[Closing Date]],"mmmm")</f>
        <v>April</v>
      </c>
      <c r="T518" s="5" t="s">
        <v>240</v>
      </c>
      <c r="U518" s="5" t="s">
        <v>301</v>
      </c>
    </row>
    <row r="519" spans="2:21" x14ac:dyDescent="0.25">
      <c r="B519" t="s">
        <v>201</v>
      </c>
      <c r="C519" t="s">
        <v>305</v>
      </c>
      <c r="D519" t="s">
        <v>16</v>
      </c>
      <c r="E519" t="s">
        <v>7</v>
      </c>
      <c r="F519" s="11">
        <v>45355</v>
      </c>
      <c r="G519" s="7">
        <v>45383</v>
      </c>
      <c r="H519" t="s">
        <v>160</v>
      </c>
      <c r="I519">
        <v>1500</v>
      </c>
      <c r="J519" s="5">
        <f>81884.44+42950</f>
        <v>124834.44</v>
      </c>
      <c r="K519" s="13">
        <v>1</v>
      </c>
      <c r="L519" s="5">
        <v>122871.07</v>
      </c>
      <c r="M519" s="5">
        <f>Table1[[#This Row],[Open Value]]/Table1[[#This Row],[Shares]]/Table1[[#This Row],[Multiplier]]</f>
        <v>83.22296</v>
      </c>
      <c r="N519" s="5">
        <f>Table1[[#This Row],[Close Value]]/Table1[[#This Row],[Shares]]/Table1[[#This Row],[Multiplier]]</f>
        <v>81.914046666666678</v>
      </c>
      <c r="O519" s="5">
        <f>Table1[[#This Row],[Close Value]]-Table1[[#This Row],[Open Value]]</f>
        <v>-1963.3699999999953</v>
      </c>
      <c r="P519" s="3">
        <f>Table1[[#This Row],[PnL]]/Table1[[#This Row],[Open Value]]</f>
        <v>-1.5727791144815449E-2</v>
      </c>
      <c r="Q519" s="9">
        <f t="shared" si="8"/>
        <v>260825.05845814006</v>
      </c>
      <c r="R519" s="5" t="str">
        <f>TEXT(Table1[[#This Row],[Closing Date]],"yyyy")</f>
        <v>2024</v>
      </c>
      <c r="S519" s="5" t="str">
        <f>TEXT(Table1[[#This Row],[Closing Date]],"mmmm")</f>
        <v>April</v>
      </c>
      <c r="T519" s="5" t="s">
        <v>240</v>
      </c>
      <c r="U519" s="5" t="s">
        <v>203</v>
      </c>
    </row>
    <row r="520" spans="2:21" x14ac:dyDescent="0.25">
      <c r="B520" t="s">
        <v>201</v>
      </c>
      <c r="C520" t="s">
        <v>302</v>
      </c>
      <c r="D520" t="s">
        <v>16</v>
      </c>
      <c r="E520" t="s">
        <v>7</v>
      </c>
      <c r="F520" s="5"/>
      <c r="G520" s="7">
        <v>45384</v>
      </c>
      <c r="H520" t="s">
        <v>166</v>
      </c>
      <c r="I520">
        <v>3000</v>
      </c>
      <c r="J520" s="5">
        <v>110298</v>
      </c>
      <c r="L520" s="5">
        <v>104306.42</v>
      </c>
      <c r="M520" s="5">
        <v>36.765999999999998</v>
      </c>
      <c r="N520" s="5">
        <v>34.768806666666663</v>
      </c>
      <c r="O520" s="5">
        <v>-5991.5800000000017</v>
      </c>
      <c r="P520" s="3">
        <v>-5.4321746541188431E-2</v>
      </c>
      <c r="Q520" s="9">
        <f t="shared" si="8"/>
        <v>254833.47845814005</v>
      </c>
      <c r="R520" s="5" t="str">
        <f>TEXT(Table1[[#This Row],[Closing Date]],"yyyy")</f>
        <v>2024</v>
      </c>
      <c r="S520" s="5" t="str">
        <f>TEXT(Table1[[#This Row],[Closing Date]],"mmmm")</f>
        <v>April</v>
      </c>
      <c r="T520" s="5" t="s">
        <v>240</v>
      </c>
      <c r="U520" s="5" t="s">
        <v>301</v>
      </c>
    </row>
    <row r="521" spans="2:21" x14ac:dyDescent="0.25">
      <c r="B521" t="s">
        <v>201</v>
      </c>
      <c r="C521" t="s">
        <v>302</v>
      </c>
      <c r="D521" t="s">
        <v>16</v>
      </c>
      <c r="E521" t="s">
        <v>7</v>
      </c>
      <c r="F521" s="5"/>
      <c r="G521" s="7">
        <v>45384</v>
      </c>
      <c r="H521" t="s">
        <v>252</v>
      </c>
      <c r="I521">
        <v>1000</v>
      </c>
      <c r="J521" s="5">
        <v>150505</v>
      </c>
      <c r="L521" s="5">
        <v>146229.01999999999</v>
      </c>
      <c r="M521" s="5">
        <v>150.505</v>
      </c>
      <c r="N521" s="5">
        <v>146.22901999999999</v>
      </c>
      <c r="O521" s="5">
        <v>-4275.9800000000105</v>
      </c>
      <c r="P521" s="3">
        <v>-2.8410883359356903E-2</v>
      </c>
      <c r="Q521" s="9">
        <f t="shared" si="8"/>
        <v>250557.49845814003</v>
      </c>
      <c r="R521" s="5" t="str">
        <f>TEXT(Table1[[#This Row],[Closing Date]],"yyyy")</f>
        <v>2024</v>
      </c>
      <c r="S521" s="5" t="str">
        <f>TEXT(Table1[[#This Row],[Closing Date]],"mmmm")</f>
        <v>April</v>
      </c>
      <c r="T521" s="5" t="s">
        <v>240</v>
      </c>
      <c r="U521" s="5" t="s">
        <v>301</v>
      </c>
    </row>
    <row r="522" spans="2:21" x14ac:dyDescent="0.25">
      <c r="B522" t="s">
        <v>201</v>
      </c>
      <c r="C522" t="s">
        <v>306</v>
      </c>
      <c r="D522" t="s">
        <v>16</v>
      </c>
      <c r="E522" t="s">
        <v>7</v>
      </c>
      <c r="F522" s="5"/>
      <c r="G522" s="7">
        <v>45384</v>
      </c>
      <c r="H522" t="s">
        <v>255</v>
      </c>
      <c r="I522">
        <v>380</v>
      </c>
      <c r="J522" s="5">
        <v>121628.5</v>
      </c>
      <c r="L522" s="5">
        <v>117219.5</v>
      </c>
      <c r="M522" s="5">
        <v>320.07499999999999</v>
      </c>
      <c r="N522" s="5">
        <v>308.47236842105264</v>
      </c>
      <c r="O522" s="5">
        <v>-4409</v>
      </c>
      <c r="P522" s="3">
        <v>-3.6249727654291554E-2</v>
      </c>
      <c r="Q522" s="9">
        <f t="shared" si="8"/>
        <v>246148.49845814003</v>
      </c>
      <c r="R522" s="5" t="str">
        <f>TEXT(Table1[[#This Row],[Closing Date]],"yyyy")</f>
        <v>2024</v>
      </c>
      <c r="S522" s="5" t="str">
        <f>TEXT(Table1[[#This Row],[Closing Date]],"mmmm")</f>
        <v>April</v>
      </c>
      <c r="T522" s="5" t="s">
        <v>240</v>
      </c>
      <c r="U522" s="5" t="s">
        <v>301</v>
      </c>
    </row>
    <row r="523" spans="2:21" x14ac:dyDescent="0.25">
      <c r="B523" t="s">
        <v>201</v>
      </c>
      <c r="C523" t="s">
        <v>302</v>
      </c>
      <c r="D523" t="s">
        <v>16</v>
      </c>
      <c r="E523" t="s">
        <v>7</v>
      </c>
      <c r="F523" s="5"/>
      <c r="G523" s="7">
        <v>45384</v>
      </c>
      <c r="H523" t="s">
        <v>257</v>
      </c>
      <c r="I523">
        <v>700</v>
      </c>
      <c r="J523" s="5">
        <v>133636.15</v>
      </c>
      <c r="L523" s="5">
        <v>129639.15</v>
      </c>
      <c r="M523" s="5">
        <v>190.9087857142857</v>
      </c>
      <c r="N523" s="5">
        <v>185.19878571428572</v>
      </c>
      <c r="O523" s="5">
        <v>-3997</v>
      </c>
      <c r="P523" s="3">
        <v>-2.9909571624145113E-2</v>
      </c>
      <c r="Q523" s="9">
        <f t="shared" si="8"/>
        <v>242151.49845814003</v>
      </c>
      <c r="R523" s="5" t="str">
        <f>TEXT(Table1[[#This Row],[Closing Date]],"yyyy")</f>
        <v>2024</v>
      </c>
      <c r="S523" s="5" t="str">
        <f>TEXT(Table1[[#This Row],[Closing Date]],"mmmm")</f>
        <v>April</v>
      </c>
      <c r="T523" s="5" t="s">
        <v>240</v>
      </c>
      <c r="U523" s="5" t="s">
        <v>301</v>
      </c>
    </row>
    <row r="524" spans="2:21" x14ac:dyDescent="0.25">
      <c r="B524" t="s">
        <v>201</v>
      </c>
      <c r="C524" t="s">
        <v>306</v>
      </c>
      <c r="D524" t="s">
        <v>12</v>
      </c>
      <c r="E524" t="s">
        <v>7</v>
      </c>
      <c r="F524" s="5"/>
      <c r="G524" s="7">
        <v>45384</v>
      </c>
      <c r="H524" t="s">
        <v>86</v>
      </c>
      <c r="I524">
        <v>170</v>
      </c>
      <c r="J524" s="5">
        <v>737139</v>
      </c>
      <c r="L524" s="5">
        <v>789597.3</v>
      </c>
      <c r="M524" s="5">
        <v>4.3343999999999996</v>
      </c>
      <c r="N524" s="5">
        <v>4.6446899999999998</v>
      </c>
      <c r="O524" s="5">
        <v>52458.300000000047</v>
      </c>
      <c r="P524" s="3">
        <v>7.1164732838718409E-2</v>
      </c>
      <c r="Q524" s="9">
        <f t="shared" si="8"/>
        <v>294609.79845814011</v>
      </c>
      <c r="R524" s="5" t="str">
        <f>TEXT(Table1[[#This Row],[Closing Date]],"yyyy")</f>
        <v>2024</v>
      </c>
      <c r="S524" s="5" t="str">
        <f>TEXT(Table1[[#This Row],[Closing Date]],"mmmm")</f>
        <v>April</v>
      </c>
      <c r="T524" s="5" t="s">
        <v>240</v>
      </c>
      <c r="U524" s="5" t="s">
        <v>301</v>
      </c>
    </row>
    <row r="525" spans="2:21" x14ac:dyDescent="0.25">
      <c r="B525" t="s">
        <v>201</v>
      </c>
      <c r="C525" t="s">
        <v>306</v>
      </c>
      <c r="D525" t="s">
        <v>16</v>
      </c>
      <c r="E525" t="s">
        <v>7</v>
      </c>
      <c r="F525" s="5"/>
      <c r="G525" s="7">
        <v>45386</v>
      </c>
      <c r="H525" t="s">
        <v>139</v>
      </c>
      <c r="I525">
        <v>3100</v>
      </c>
      <c r="J525" s="5">
        <v>356050.5</v>
      </c>
      <c r="L525" s="5">
        <v>398756.8</v>
      </c>
      <c r="M525" s="5">
        <v>114.855</v>
      </c>
      <c r="N525" s="5">
        <v>128.6312258064516</v>
      </c>
      <c r="O525" s="5">
        <v>42706.299999999988</v>
      </c>
      <c r="P525" s="3">
        <v>0.11994450225459588</v>
      </c>
      <c r="Q525" s="9">
        <f t="shared" si="8"/>
        <v>337316.0984581401</v>
      </c>
      <c r="R525" s="5" t="str">
        <f>TEXT(Table1[[#This Row],[Closing Date]],"yyyy")</f>
        <v>2024</v>
      </c>
      <c r="S525" s="5" t="str">
        <f>TEXT(Table1[[#This Row],[Closing Date]],"mmmm")</f>
        <v>April</v>
      </c>
      <c r="T525" s="5" t="s">
        <v>240</v>
      </c>
      <c r="U525" s="5" t="s">
        <v>301</v>
      </c>
    </row>
    <row r="526" spans="2:21" x14ac:dyDescent="0.25">
      <c r="B526" t="s">
        <v>201</v>
      </c>
      <c r="C526" t="s">
        <v>303</v>
      </c>
      <c r="D526" t="s">
        <v>16</v>
      </c>
      <c r="E526" t="s">
        <v>7</v>
      </c>
      <c r="F526" s="5"/>
      <c r="G526" s="7">
        <v>45386</v>
      </c>
      <c r="H526" t="s">
        <v>182</v>
      </c>
      <c r="I526">
        <v>10000</v>
      </c>
      <c r="J526" s="5">
        <v>226978.44</v>
      </c>
      <c r="L526" s="5">
        <v>231025.12</v>
      </c>
      <c r="M526" s="5">
        <v>22.697844</v>
      </c>
      <c r="N526" s="5">
        <v>23.102512000000001</v>
      </c>
      <c r="O526" s="5">
        <v>-4046.679999999993</v>
      </c>
      <c r="P526" s="3">
        <v>-1.7828477453629487E-2</v>
      </c>
      <c r="Q526" s="9">
        <f t="shared" si="8"/>
        <v>333269.41845814011</v>
      </c>
      <c r="R526" s="5" t="str">
        <f>TEXT(Table1[[#This Row],[Closing Date]],"yyyy")</f>
        <v>2024</v>
      </c>
      <c r="S526" s="5" t="str">
        <f>TEXT(Table1[[#This Row],[Closing Date]],"mmmm")</f>
        <v>April</v>
      </c>
      <c r="T526" s="5" t="s">
        <v>240</v>
      </c>
      <c r="U526" s="5" t="s">
        <v>301</v>
      </c>
    </row>
    <row r="527" spans="2:21" x14ac:dyDescent="0.25">
      <c r="B527" t="s">
        <v>201</v>
      </c>
      <c r="C527" t="s">
        <v>306</v>
      </c>
      <c r="D527" t="s">
        <v>16</v>
      </c>
      <c r="E527" t="s">
        <v>7</v>
      </c>
      <c r="F527" s="5"/>
      <c r="G527" s="7">
        <v>45386</v>
      </c>
      <c r="H527" t="s">
        <v>258</v>
      </c>
      <c r="I527">
        <v>13000</v>
      </c>
      <c r="J527" s="5">
        <v>198935.57</v>
      </c>
      <c r="L527" s="5">
        <v>189197.68</v>
      </c>
      <c r="M527" s="5">
        <v>15.302736153846155</v>
      </c>
      <c r="N527" s="5">
        <v>14.553667692307691</v>
      </c>
      <c r="O527" s="5">
        <v>-9737.890000000014</v>
      </c>
      <c r="P527" s="3">
        <v>-4.8949969077928167E-2</v>
      </c>
      <c r="Q527" s="9">
        <f t="shared" si="8"/>
        <v>323531.52845814009</v>
      </c>
      <c r="R527" s="5" t="str">
        <f>TEXT(Table1[[#This Row],[Closing Date]],"yyyy")</f>
        <v>2024</v>
      </c>
      <c r="S527" s="5" t="str">
        <f>TEXT(Table1[[#This Row],[Closing Date]],"mmmm")</f>
        <v>April</v>
      </c>
      <c r="T527" s="5" t="s">
        <v>240</v>
      </c>
      <c r="U527" s="5" t="s">
        <v>301</v>
      </c>
    </row>
    <row r="528" spans="2:21" x14ac:dyDescent="0.25">
      <c r="B528" t="s">
        <v>197</v>
      </c>
      <c r="C528" t="s">
        <v>302</v>
      </c>
      <c r="D528" t="s">
        <v>99</v>
      </c>
      <c r="E528" t="s">
        <v>7</v>
      </c>
      <c r="F528" s="5"/>
      <c r="G528" s="7">
        <v>45386</v>
      </c>
      <c r="H528" t="s">
        <v>265</v>
      </c>
      <c r="I528">
        <v>200</v>
      </c>
      <c r="J528" s="5">
        <v>9020</v>
      </c>
      <c r="K528" s="13">
        <v>100</v>
      </c>
      <c r="L528" s="5">
        <v>3600</v>
      </c>
      <c r="M528" s="5">
        <v>0.45100000000000001</v>
      </c>
      <c r="N528" s="5">
        <v>0.18</v>
      </c>
      <c r="O528" s="5">
        <v>-5420</v>
      </c>
      <c r="P528" s="3">
        <v>-0.60088691796008875</v>
      </c>
      <c r="Q528" s="9">
        <f t="shared" si="8"/>
        <v>318111.52845814009</v>
      </c>
      <c r="R528" s="5" t="str">
        <f>TEXT(Table1[[#This Row],[Closing Date]],"yyyy")</f>
        <v>2024</v>
      </c>
      <c r="S528" s="5" t="str">
        <f>TEXT(Table1[[#This Row],[Closing Date]],"mmmm")</f>
        <v>April</v>
      </c>
      <c r="T528" s="5" t="s">
        <v>240</v>
      </c>
      <c r="U528" s="5" t="s">
        <v>301</v>
      </c>
    </row>
    <row r="529" spans="2:21" x14ac:dyDescent="0.25">
      <c r="B529" t="s">
        <v>201</v>
      </c>
      <c r="C529" t="s">
        <v>305</v>
      </c>
      <c r="D529" t="s">
        <v>16</v>
      </c>
      <c r="E529" t="s">
        <v>7</v>
      </c>
      <c r="F529" s="11">
        <v>45362</v>
      </c>
      <c r="G529" s="7">
        <v>45386</v>
      </c>
      <c r="H529" t="s">
        <v>166</v>
      </c>
      <c r="I529">
        <v>1350</v>
      </c>
      <c r="J529" s="5">
        <v>53392.5</v>
      </c>
      <c r="K529" s="13">
        <v>1</v>
      </c>
      <c r="L529" s="5">
        <v>45751.13</v>
      </c>
      <c r="M529" s="5">
        <f>Table1[[#This Row],[Open Value]]/Table1[[#This Row],[Shares]]/Table1[[#This Row],[Multiplier]]</f>
        <v>39.549999999999997</v>
      </c>
      <c r="N529" s="5">
        <f>Table1[[#This Row],[Close Value]]/Table1[[#This Row],[Shares]]/Table1[[#This Row],[Multiplier]]</f>
        <v>33.889725925925923</v>
      </c>
      <c r="O529" s="5">
        <f>Table1[[#This Row],[Close Value]]-Table1[[#This Row],[Open Value]]</f>
        <v>-7641.3700000000026</v>
      </c>
      <c r="P529" s="3">
        <f>Table1[[#This Row],[PnL]]/Table1[[#This Row],[Open Value]]</f>
        <v>-0.14311691717001457</v>
      </c>
      <c r="Q529" s="9">
        <f t="shared" si="8"/>
        <v>310470.1584581401</v>
      </c>
      <c r="R529" s="5" t="str">
        <f>TEXT(Table1[[#This Row],[Closing Date]],"yyyy")</f>
        <v>2024</v>
      </c>
      <c r="S529" s="5" t="str">
        <f>TEXT(Table1[[#This Row],[Closing Date]],"mmmm")</f>
        <v>April</v>
      </c>
      <c r="T529" s="5" t="s">
        <v>240</v>
      </c>
      <c r="U529" s="5" t="s">
        <v>203</v>
      </c>
    </row>
    <row r="530" spans="2:21" x14ac:dyDescent="0.25">
      <c r="B530" t="s">
        <v>201</v>
      </c>
      <c r="C530" t="s">
        <v>306</v>
      </c>
      <c r="D530" t="s">
        <v>12</v>
      </c>
      <c r="E530" t="s">
        <v>7</v>
      </c>
      <c r="F530" s="5"/>
      <c r="G530" s="7">
        <v>45387</v>
      </c>
      <c r="H530" t="s">
        <v>268</v>
      </c>
      <c r="I530">
        <v>3</v>
      </c>
      <c r="J530" s="5">
        <v>300007.40999999997</v>
      </c>
      <c r="L530" s="5">
        <v>331120.06</v>
      </c>
      <c r="M530" s="5">
        <v>4.0000988</v>
      </c>
      <c r="N530" s="5">
        <v>13.244802399999999</v>
      </c>
      <c r="O530" s="5">
        <v>37295.650000000023</v>
      </c>
      <c r="P530" s="3">
        <v>0.12431576273399389</v>
      </c>
      <c r="Q530" s="9">
        <f t="shared" si="8"/>
        <v>347765.80845814012</v>
      </c>
      <c r="R530" s="5" t="str">
        <f>TEXT(Table1[[#This Row],[Closing Date]],"yyyy")</f>
        <v>2024</v>
      </c>
      <c r="S530" s="5" t="str">
        <f>TEXT(Table1[[#This Row],[Closing Date]],"mmmm")</f>
        <v>April</v>
      </c>
      <c r="T530" s="5" t="s">
        <v>240</v>
      </c>
      <c r="U530" s="5" t="s">
        <v>301</v>
      </c>
    </row>
    <row r="531" spans="2:21" x14ac:dyDescent="0.25">
      <c r="B531" t="s">
        <v>197</v>
      </c>
      <c r="C531" t="s">
        <v>305</v>
      </c>
      <c r="D531" t="s">
        <v>102</v>
      </c>
      <c r="E531" t="s">
        <v>7</v>
      </c>
      <c r="F531" s="11">
        <v>45356</v>
      </c>
      <c r="G531" s="7">
        <v>45387</v>
      </c>
      <c r="H531" t="s">
        <v>104</v>
      </c>
      <c r="I531">
        <v>5</v>
      </c>
      <c r="J531" s="5">
        <f>18481.95+15881.3</f>
        <v>34363.25</v>
      </c>
      <c r="K531" s="13">
        <v>100</v>
      </c>
      <c r="L531" s="5">
        <v>31246.5</v>
      </c>
      <c r="M531" s="5">
        <f>Table1[[#This Row],[Open Value]]/Table1[[#This Row],[Shares]]/Table1[[#This Row],[Multiplier]]</f>
        <v>68.726500000000001</v>
      </c>
      <c r="N531" s="5">
        <f>Table1[[#This Row],[Close Value]]/Table1[[#This Row],[Shares]]/Table1[[#This Row],[Multiplier]]</f>
        <v>62.493000000000002</v>
      </c>
      <c r="O531" s="5">
        <f>Table1[[#This Row],[Close Value]]-Table1[[#This Row],[Open Value]]</f>
        <v>-3116.75</v>
      </c>
      <c r="P531" s="3">
        <f>Table1[[#This Row],[PnL]]/Table1[[#This Row],[Open Value]]</f>
        <v>-9.0700093850261537E-2</v>
      </c>
      <c r="Q531" s="9">
        <f t="shared" si="8"/>
        <v>344649.05845814012</v>
      </c>
      <c r="R531" s="5" t="str">
        <f>TEXT(Table1[[#This Row],[Closing Date]],"yyyy")</f>
        <v>2024</v>
      </c>
      <c r="S531" s="5" t="str">
        <f>TEXT(Table1[[#This Row],[Closing Date]],"mmmm")</f>
        <v>April</v>
      </c>
      <c r="T531" s="5" t="s">
        <v>240</v>
      </c>
      <c r="U531" s="5" t="s">
        <v>203</v>
      </c>
    </row>
    <row r="532" spans="2:21" x14ac:dyDescent="0.25">
      <c r="B532" t="s">
        <v>197</v>
      </c>
      <c r="C532" t="s">
        <v>302</v>
      </c>
      <c r="D532" t="s">
        <v>102</v>
      </c>
      <c r="E532" t="s">
        <v>7</v>
      </c>
      <c r="F532" s="5"/>
      <c r="G532" s="7">
        <v>45390</v>
      </c>
      <c r="H532" t="s">
        <v>10</v>
      </c>
      <c r="I532">
        <v>15</v>
      </c>
      <c r="J532" s="5">
        <v>4680</v>
      </c>
      <c r="K532" s="13">
        <v>100</v>
      </c>
      <c r="L532" s="5">
        <v>0</v>
      </c>
      <c r="M532" s="5">
        <v>3.12</v>
      </c>
      <c r="N532" s="5">
        <v>0</v>
      </c>
      <c r="O532" s="5">
        <v>-4680</v>
      </c>
      <c r="P532" s="3">
        <v>-1</v>
      </c>
      <c r="Q532" s="9">
        <f t="shared" si="8"/>
        <v>339969.05845814012</v>
      </c>
      <c r="R532" s="5" t="str">
        <f>TEXT(Table1[[#This Row],[Closing Date]],"yyyy")</f>
        <v>2024</v>
      </c>
      <c r="S532" s="5" t="str">
        <f>TEXT(Table1[[#This Row],[Closing Date]],"mmmm")</f>
        <v>April</v>
      </c>
      <c r="T532" s="5" t="s">
        <v>240</v>
      </c>
      <c r="U532" s="5" t="s">
        <v>301</v>
      </c>
    </row>
    <row r="533" spans="2:21" x14ac:dyDescent="0.25">
      <c r="B533" t="s">
        <v>201</v>
      </c>
      <c r="C533" t="s">
        <v>303</v>
      </c>
      <c r="D533" t="s">
        <v>16</v>
      </c>
      <c r="E533" t="s">
        <v>7</v>
      </c>
      <c r="F533" s="5"/>
      <c r="G533" s="7">
        <v>45391</v>
      </c>
      <c r="H533" t="s">
        <v>256</v>
      </c>
      <c r="I533">
        <v>1800</v>
      </c>
      <c r="J533" s="5">
        <v>218187</v>
      </c>
      <c r="L533" s="5">
        <v>225029.4</v>
      </c>
      <c r="M533" s="5">
        <v>121.215</v>
      </c>
      <c r="N533" s="5">
        <v>125.01633333333334</v>
      </c>
      <c r="O533" s="5">
        <v>6842.3999999999942</v>
      </c>
      <c r="P533" s="3">
        <v>3.1360255193939118E-2</v>
      </c>
      <c r="Q533" s="9">
        <f t="shared" si="8"/>
        <v>346811.45845814014</v>
      </c>
      <c r="R533" s="5" t="str">
        <f>TEXT(Table1[[#This Row],[Closing Date]],"yyyy")</f>
        <v>2024</v>
      </c>
      <c r="S533" s="5" t="str">
        <f>TEXT(Table1[[#This Row],[Closing Date]],"mmmm")</f>
        <v>April</v>
      </c>
      <c r="T533" s="5" t="s">
        <v>240</v>
      </c>
      <c r="U533" s="5" t="s">
        <v>301</v>
      </c>
    </row>
    <row r="534" spans="2:21" x14ac:dyDescent="0.25">
      <c r="B534" t="s">
        <v>201</v>
      </c>
      <c r="C534" t="s">
        <v>306</v>
      </c>
      <c r="D534" t="s">
        <v>16</v>
      </c>
      <c r="E534" t="s">
        <v>7</v>
      </c>
      <c r="F534" s="5"/>
      <c r="G534" s="7">
        <v>45392</v>
      </c>
      <c r="H534" t="s">
        <v>72</v>
      </c>
      <c r="I534">
        <v>170</v>
      </c>
      <c r="J534" s="5">
        <v>152256.9</v>
      </c>
      <c r="L534" s="5">
        <v>147114.12</v>
      </c>
      <c r="M534" s="5">
        <v>895.62882352941176</v>
      </c>
      <c r="N534" s="5">
        <v>865.37717647058821</v>
      </c>
      <c r="O534" s="5">
        <v>-5142.7799999999988</v>
      </c>
      <c r="P534" s="3">
        <v>-3.3776991387582431E-2</v>
      </c>
      <c r="Q534" s="9">
        <f t="shared" si="8"/>
        <v>341668.67845814012</v>
      </c>
      <c r="R534" s="5" t="str">
        <f>TEXT(Table1[[#This Row],[Closing Date]],"yyyy")</f>
        <v>2024</v>
      </c>
      <c r="S534" s="5" t="str">
        <f>TEXT(Table1[[#This Row],[Closing Date]],"mmmm")</f>
        <v>April</v>
      </c>
      <c r="T534" s="5" t="s">
        <v>240</v>
      </c>
      <c r="U534" s="5" t="s">
        <v>301</v>
      </c>
    </row>
    <row r="535" spans="2:21" x14ac:dyDescent="0.25">
      <c r="B535" t="s">
        <v>201</v>
      </c>
      <c r="C535" t="s">
        <v>305</v>
      </c>
      <c r="D535" t="s">
        <v>4</v>
      </c>
      <c r="E535" t="s">
        <v>5</v>
      </c>
      <c r="F535" s="5"/>
      <c r="G535" s="7">
        <v>45392</v>
      </c>
      <c r="H535" t="s">
        <v>249</v>
      </c>
      <c r="I535">
        <v>1000000</v>
      </c>
      <c r="J535" s="5">
        <v>1143163</v>
      </c>
      <c r="L535" s="5">
        <v>1149287</v>
      </c>
      <c r="M535" s="5">
        <v>1.1431629999999999</v>
      </c>
      <c r="N535" s="5"/>
      <c r="O535" s="5">
        <v>-6124</v>
      </c>
      <c r="P535" s="3">
        <v>0</v>
      </c>
      <c r="Q535" s="9">
        <f t="shared" si="8"/>
        <v>335544.67845814012</v>
      </c>
      <c r="R535" s="5" t="str">
        <f>TEXT(Table1[[#This Row],[Closing Date]],"yyyy")</f>
        <v>2024</v>
      </c>
      <c r="S535" s="5" t="str">
        <f>TEXT(Table1[[#This Row],[Closing Date]],"mmmm")</f>
        <v>April</v>
      </c>
      <c r="T535" s="5" t="s">
        <v>240</v>
      </c>
      <c r="U535" s="5" t="s">
        <v>301</v>
      </c>
    </row>
    <row r="536" spans="2:21" x14ac:dyDescent="0.25">
      <c r="B536" t="s">
        <v>201</v>
      </c>
      <c r="C536" t="s">
        <v>302</v>
      </c>
      <c r="D536" t="s">
        <v>12</v>
      </c>
      <c r="E536" t="s">
        <v>7</v>
      </c>
      <c r="F536" s="5"/>
      <c r="G536" s="7">
        <v>45392</v>
      </c>
      <c r="H536" t="s">
        <v>82</v>
      </c>
      <c r="I536">
        <v>2</v>
      </c>
      <c r="J536" s="5">
        <v>522729.5</v>
      </c>
      <c r="L536" s="5">
        <v>515219.5</v>
      </c>
      <c r="M536" s="5">
        <v>5227.2950000000001</v>
      </c>
      <c r="N536" s="5">
        <v>5152.1949999999997</v>
      </c>
      <c r="O536" s="5">
        <v>-7510</v>
      </c>
      <c r="P536" s="3">
        <v>-1.4366895306272174E-2</v>
      </c>
      <c r="Q536" s="9">
        <f t="shared" si="8"/>
        <v>328034.67845814012</v>
      </c>
      <c r="R536" s="5" t="str">
        <f>TEXT(Table1[[#This Row],[Closing Date]],"yyyy")</f>
        <v>2024</v>
      </c>
      <c r="S536" s="5" t="str">
        <f>TEXT(Table1[[#This Row],[Closing Date]],"mmmm")</f>
        <v>April</v>
      </c>
      <c r="T536" s="5" t="s">
        <v>240</v>
      </c>
      <c r="U536" s="5" t="s">
        <v>301</v>
      </c>
    </row>
    <row r="537" spans="2:21" x14ac:dyDescent="0.25">
      <c r="B537" t="s">
        <v>201</v>
      </c>
      <c r="C537" t="s">
        <v>303</v>
      </c>
      <c r="D537" t="s">
        <v>16</v>
      </c>
      <c r="E537" t="s">
        <v>7</v>
      </c>
      <c r="F537" s="5"/>
      <c r="G537" s="7">
        <v>45393</v>
      </c>
      <c r="H537" t="s">
        <v>253</v>
      </c>
      <c r="I537">
        <v>4200</v>
      </c>
      <c r="J537" s="5">
        <v>48720</v>
      </c>
      <c r="L537" s="5">
        <v>49427.39</v>
      </c>
      <c r="M537" s="5">
        <v>11.6</v>
      </c>
      <c r="N537" s="5">
        <v>11.768426190476191</v>
      </c>
      <c r="O537" s="5">
        <v>707.38999999999942</v>
      </c>
      <c r="P537" s="3">
        <v>1.4519499178981926E-2</v>
      </c>
      <c r="Q537" s="9">
        <f t="shared" si="8"/>
        <v>328742.06845814013</v>
      </c>
      <c r="R537" s="5" t="str">
        <f>TEXT(Table1[[#This Row],[Closing Date]],"yyyy")</f>
        <v>2024</v>
      </c>
      <c r="S537" s="5" t="str">
        <f>TEXT(Table1[[#This Row],[Closing Date]],"mmmm")</f>
        <v>April</v>
      </c>
      <c r="T537" s="5" t="s">
        <v>241</v>
      </c>
      <c r="U537" s="5" t="s">
        <v>301</v>
      </c>
    </row>
    <row r="538" spans="2:21" x14ac:dyDescent="0.25">
      <c r="B538" t="s">
        <v>201</v>
      </c>
      <c r="C538" t="s">
        <v>303</v>
      </c>
      <c r="D538" t="s">
        <v>16</v>
      </c>
      <c r="E538" t="s">
        <v>7</v>
      </c>
      <c r="F538" s="5"/>
      <c r="G538" s="7">
        <v>45393</v>
      </c>
      <c r="H538" t="s">
        <v>254</v>
      </c>
      <c r="I538">
        <v>965</v>
      </c>
      <c r="J538" s="5">
        <v>49802.95</v>
      </c>
      <c r="L538" s="5">
        <v>51554.55</v>
      </c>
      <c r="M538" s="5">
        <v>51.609274611398959</v>
      </c>
      <c r="N538" s="5">
        <v>53.424404145077723</v>
      </c>
      <c r="O538" s="5">
        <v>1751.6000000000058</v>
      </c>
      <c r="P538" s="3">
        <v>3.5170607363620147E-2</v>
      </c>
      <c r="Q538" s="9">
        <f t="shared" si="8"/>
        <v>330493.66845814011</v>
      </c>
      <c r="R538" s="5" t="str">
        <f>TEXT(Table1[[#This Row],[Closing Date]],"yyyy")</f>
        <v>2024</v>
      </c>
      <c r="S538" s="5" t="str">
        <f>TEXT(Table1[[#This Row],[Closing Date]],"mmmm")</f>
        <v>April</v>
      </c>
      <c r="T538" s="5" t="s">
        <v>241</v>
      </c>
      <c r="U538" s="5" t="s">
        <v>301</v>
      </c>
    </row>
    <row r="539" spans="2:21" x14ac:dyDescent="0.25">
      <c r="B539" t="s">
        <v>201</v>
      </c>
      <c r="C539" t="s">
        <v>303</v>
      </c>
      <c r="D539" t="s">
        <v>16</v>
      </c>
      <c r="E539" t="s">
        <v>7</v>
      </c>
      <c r="F539" s="5"/>
      <c r="G539" s="7">
        <v>45393</v>
      </c>
      <c r="H539" t="s">
        <v>218</v>
      </c>
      <c r="I539">
        <v>4800</v>
      </c>
      <c r="J539" s="5">
        <v>80250</v>
      </c>
      <c r="L539" s="5">
        <v>73894.61</v>
      </c>
      <c r="M539" s="5">
        <v>16.71875</v>
      </c>
      <c r="N539" s="5">
        <v>15.394710416666667</v>
      </c>
      <c r="O539" s="5">
        <v>-6355.3899999999994</v>
      </c>
      <c r="P539" s="3">
        <v>-7.9194890965732082E-2</v>
      </c>
      <c r="Q539" s="9">
        <f t="shared" si="8"/>
        <v>324138.27845814009</v>
      </c>
      <c r="R539" s="5" t="str">
        <f>TEXT(Table1[[#This Row],[Closing Date]],"yyyy")</f>
        <v>2024</v>
      </c>
      <c r="S539" s="5" t="str">
        <f>TEXT(Table1[[#This Row],[Closing Date]],"mmmm")</f>
        <v>April</v>
      </c>
      <c r="T539" s="5" t="s">
        <v>240</v>
      </c>
      <c r="U539" s="5" t="s">
        <v>301</v>
      </c>
    </row>
    <row r="540" spans="2:21" x14ac:dyDescent="0.25">
      <c r="B540" t="s">
        <v>201</v>
      </c>
      <c r="C540" t="s">
        <v>306</v>
      </c>
      <c r="D540" t="s">
        <v>12</v>
      </c>
      <c r="E540" t="s">
        <v>5</v>
      </c>
      <c r="F540" s="5"/>
      <c r="G540" s="7">
        <v>45393</v>
      </c>
      <c r="H540" t="s">
        <v>81</v>
      </c>
      <c r="I540">
        <v>1</v>
      </c>
      <c r="J540" s="5">
        <v>99997.03</v>
      </c>
      <c r="L540" s="5">
        <v>106522.97</v>
      </c>
      <c r="M540" s="5">
        <v>9999.7029999999995</v>
      </c>
      <c r="N540" s="5">
        <v>106.52297</v>
      </c>
      <c r="O540" s="5">
        <v>-6525.9400000000023</v>
      </c>
      <c r="P540" s="3">
        <v>-6.5261338261746404E-2</v>
      </c>
      <c r="Q540" s="9">
        <f t="shared" si="8"/>
        <v>317612.33845814009</v>
      </c>
      <c r="R540" s="5" t="str">
        <f>TEXT(Table1[[#This Row],[Closing Date]],"yyyy")</f>
        <v>2024</v>
      </c>
      <c r="S540" s="5" t="str">
        <f>TEXT(Table1[[#This Row],[Closing Date]],"mmmm")</f>
        <v>April</v>
      </c>
      <c r="T540" s="5" t="s">
        <v>240</v>
      </c>
      <c r="U540" s="5" t="s">
        <v>301</v>
      </c>
    </row>
    <row r="541" spans="2:21" x14ac:dyDescent="0.25">
      <c r="B541" t="s">
        <v>201</v>
      </c>
      <c r="C541" t="s">
        <v>303</v>
      </c>
      <c r="D541" t="s">
        <v>16</v>
      </c>
      <c r="E541" t="s">
        <v>7</v>
      </c>
      <c r="F541" s="5"/>
      <c r="G541" s="7">
        <v>45394</v>
      </c>
      <c r="H541" t="s">
        <v>153</v>
      </c>
      <c r="I541">
        <v>2500</v>
      </c>
      <c r="J541" s="5">
        <v>113015</v>
      </c>
      <c r="L541" s="5">
        <v>104216.9</v>
      </c>
      <c r="M541" s="5">
        <v>45.206000000000003</v>
      </c>
      <c r="N541" s="5">
        <v>41.68676</v>
      </c>
      <c r="O541" s="5">
        <v>-8798.1000000000058</v>
      </c>
      <c r="P541" s="3">
        <v>-7.7848958102906748E-2</v>
      </c>
      <c r="Q541" s="9">
        <f t="shared" si="8"/>
        <v>308814.23845814005</v>
      </c>
      <c r="R541" s="5" t="str">
        <f>TEXT(Table1[[#This Row],[Closing Date]],"yyyy")</f>
        <v>2024</v>
      </c>
      <c r="S541" s="5" t="str">
        <f>TEXT(Table1[[#This Row],[Closing Date]],"mmmm")</f>
        <v>April</v>
      </c>
      <c r="T541" s="5" t="s">
        <v>240</v>
      </c>
      <c r="U541" s="5" t="s">
        <v>301</v>
      </c>
    </row>
    <row r="542" spans="2:21" x14ac:dyDescent="0.25">
      <c r="B542" t="s">
        <v>197</v>
      </c>
      <c r="C542" t="s">
        <v>302</v>
      </c>
      <c r="D542" t="s">
        <v>102</v>
      </c>
      <c r="E542" t="s">
        <v>7</v>
      </c>
      <c r="F542" s="11">
        <v>45359</v>
      </c>
      <c r="G542" s="7">
        <v>45394</v>
      </c>
      <c r="H542" t="s">
        <v>52</v>
      </c>
      <c r="I542">
        <v>150</v>
      </c>
      <c r="J542" s="5">
        <f>12691+806.5</f>
        <v>13497.5</v>
      </c>
      <c r="K542" s="13">
        <v>100</v>
      </c>
      <c r="L542" s="5">
        <v>38302.19</v>
      </c>
      <c r="M542" s="5">
        <f>Table1[[#This Row],[Open Value]]/Table1[[#This Row],[Shares]]/Table1[[#This Row],[Multiplier]]</f>
        <v>0.89983333333333337</v>
      </c>
      <c r="N542" s="5">
        <f>Table1[[#This Row],[Close Value]]/Table1[[#This Row],[Shares]]/Table1[[#This Row],[Multiplier]]</f>
        <v>2.5534793333333337</v>
      </c>
      <c r="O542" s="5">
        <f>Table1[[#This Row],[Close Value]]-Table1[[#This Row],[Open Value]]</f>
        <v>24804.690000000002</v>
      </c>
      <c r="P542" s="3">
        <f>Table1[[#This Row],[PnL]]/Table1[[#This Row],[Open Value]]</f>
        <v>1.8377247638451566</v>
      </c>
      <c r="Q542" s="9">
        <f t="shared" si="8"/>
        <v>333618.92845814006</v>
      </c>
      <c r="R542" s="5" t="str">
        <f>TEXT(Table1[[#This Row],[Closing Date]],"yyyy")</f>
        <v>2024</v>
      </c>
      <c r="S542" s="5" t="str">
        <f>TEXT(Table1[[#This Row],[Closing Date]],"mmmm")</f>
        <v>April</v>
      </c>
      <c r="T542" s="5" t="s">
        <v>240</v>
      </c>
      <c r="U542" s="5" t="s">
        <v>203</v>
      </c>
    </row>
    <row r="543" spans="2:21" x14ac:dyDescent="0.25">
      <c r="B543" t="s">
        <v>201</v>
      </c>
      <c r="C543" t="s">
        <v>303</v>
      </c>
      <c r="D543" t="s">
        <v>16</v>
      </c>
      <c r="E543" t="s">
        <v>7</v>
      </c>
      <c r="F543" s="5"/>
      <c r="G543" s="7">
        <v>45397</v>
      </c>
      <c r="H543" t="s">
        <v>41</v>
      </c>
      <c r="I543">
        <v>2000</v>
      </c>
      <c r="J543" s="5">
        <v>852967.5</v>
      </c>
      <c r="L543" s="5">
        <v>827943.04</v>
      </c>
      <c r="M543" s="5">
        <v>426.48374999999999</v>
      </c>
      <c r="N543" s="5">
        <v>413.97152</v>
      </c>
      <c r="O543" s="5">
        <v>-25024.459999999963</v>
      </c>
      <c r="P543" s="3">
        <v>-2.9338116633986597E-2</v>
      </c>
      <c r="Q543" s="9">
        <f t="shared" si="8"/>
        <v>308594.46845814009</v>
      </c>
      <c r="R543" s="5" t="str">
        <f>TEXT(Table1[[#This Row],[Closing Date]],"yyyy")</f>
        <v>2024</v>
      </c>
      <c r="S543" s="5" t="str">
        <f>TEXT(Table1[[#This Row],[Closing Date]],"mmmm")</f>
        <v>April</v>
      </c>
      <c r="T543" s="5" t="s">
        <v>240</v>
      </c>
      <c r="U543" s="5" t="s">
        <v>301</v>
      </c>
    </row>
    <row r="544" spans="2:21" x14ac:dyDescent="0.25">
      <c r="B544" t="s">
        <v>201</v>
      </c>
      <c r="C544" t="s">
        <v>306</v>
      </c>
      <c r="D544" t="s">
        <v>16</v>
      </c>
      <c r="E544" t="s">
        <v>7</v>
      </c>
      <c r="F544" s="5"/>
      <c r="G544" s="7">
        <v>45397</v>
      </c>
      <c r="H544" t="s">
        <v>259</v>
      </c>
      <c r="I544">
        <v>10000</v>
      </c>
      <c r="J544" s="5">
        <v>248500</v>
      </c>
      <c r="L544" s="5">
        <v>245143.64</v>
      </c>
      <c r="M544" s="5">
        <v>24.85</v>
      </c>
      <c r="N544" s="5">
        <v>24.514364</v>
      </c>
      <c r="O544" s="5">
        <v>-3356.359999999986</v>
      </c>
      <c r="P544" s="3">
        <v>-1.3506478873239381E-2</v>
      </c>
      <c r="Q544" s="9">
        <f t="shared" si="8"/>
        <v>305238.10845814011</v>
      </c>
      <c r="R544" s="5" t="str">
        <f>TEXT(Table1[[#This Row],[Closing Date]],"yyyy")</f>
        <v>2024</v>
      </c>
      <c r="S544" s="5" t="str">
        <f>TEXT(Table1[[#This Row],[Closing Date]],"mmmm")</f>
        <v>April</v>
      </c>
      <c r="T544" s="5" t="s">
        <v>240</v>
      </c>
      <c r="U544" s="5" t="s">
        <v>301</v>
      </c>
    </row>
    <row r="545" spans="2:21" x14ac:dyDescent="0.25">
      <c r="B545" t="s">
        <v>201</v>
      </c>
      <c r="C545" t="s">
        <v>306</v>
      </c>
      <c r="D545" t="s">
        <v>16</v>
      </c>
      <c r="E545" t="s">
        <v>7</v>
      </c>
      <c r="F545" s="5"/>
      <c r="G545" s="7">
        <v>45397</v>
      </c>
      <c r="H545" t="s">
        <v>260</v>
      </c>
      <c r="I545">
        <v>700</v>
      </c>
      <c r="J545" s="5">
        <v>54180</v>
      </c>
      <c r="L545" s="5">
        <v>50203</v>
      </c>
      <c r="M545" s="5">
        <v>77.400000000000006</v>
      </c>
      <c r="N545" s="5">
        <v>71.718571428571423</v>
      </c>
      <c r="O545" s="5">
        <v>-3977</v>
      </c>
      <c r="P545" s="3">
        <v>-7.3403469915097816E-2</v>
      </c>
      <c r="Q545" s="9">
        <f t="shared" si="8"/>
        <v>301261.10845814011</v>
      </c>
      <c r="R545" s="5" t="str">
        <f>TEXT(Table1[[#This Row],[Closing Date]],"yyyy")</f>
        <v>2024</v>
      </c>
      <c r="S545" s="5" t="str">
        <f>TEXT(Table1[[#This Row],[Closing Date]],"mmmm")</f>
        <v>April</v>
      </c>
      <c r="T545" s="5" t="s">
        <v>240</v>
      </c>
      <c r="U545" s="5" t="s">
        <v>301</v>
      </c>
    </row>
    <row r="546" spans="2:21" x14ac:dyDescent="0.25">
      <c r="B546" t="s">
        <v>201</v>
      </c>
      <c r="C546" t="s">
        <v>306</v>
      </c>
      <c r="D546" t="s">
        <v>16</v>
      </c>
      <c r="E546" t="s">
        <v>7</v>
      </c>
      <c r="F546" s="5"/>
      <c r="G546" s="7">
        <v>45397</v>
      </c>
      <c r="H546" t="s">
        <v>261</v>
      </c>
      <c r="I546">
        <v>2500</v>
      </c>
      <c r="J546" s="5">
        <v>41650</v>
      </c>
      <c r="L546" s="5">
        <v>36927.269999999997</v>
      </c>
      <c r="M546" s="5">
        <v>16.66</v>
      </c>
      <c r="N546" s="5">
        <v>14.770907999999999</v>
      </c>
      <c r="O546" s="5">
        <v>-4722.7300000000032</v>
      </c>
      <c r="P546" s="3">
        <v>-0.11339087635054029</v>
      </c>
      <c r="Q546" s="9">
        <f t="shared" si="8"/>
        <v>296538.37845814013</v>
      </c>
      <c r="R546" s="5" t="str">
        <f>TEXT(Table1[[#This Row],[Closing Date]],"yyyy")</f>
        <v>2024</v>
      </c>
      <c r="S546" s="5" t="str">
        <f>TEXT(Table1[[#This Row],[Closing Date]],"mmmm")</f>
        <v>April</v>
      </c>
      <c r="T546" s="5" t="s">
        <v>240</v>
      </c>
      <c r="U546" s="5" t="s">
        <v>301</v>
      </c>
    </row>
    <row r="547" spans="2:21" x14ac:dyDescent="0.25">
      <c r="B547" t="s">
        <v>201</v>
      </c>
      <c r="C547" t="s">
        <v>303</v>
      </c>
      <c r="D547" t="s">
        <v>16</v>
      </c>
      <c r="E547" t="s">
        <v>7</v>
      </c>
      <c r="F547" s="5"/>
      <c r="G547" s="7">
        <v>45398</v>
      </c>
      <c r="H547" t="s">
        <v>262</v>
      </c>
      <c r="I547">
        <v>15000</v>
      </c>
      <c r="J547" s="5">
        <v>165968.85999999999</v>
      </c>
      <c r="L547" s="5">
        <v>171273.94</v>
      </c>
      <c r="M547" s="5">
        <v>11.064590666666666</v>
      </c>
      <c r="N547" s="5">
        <v>11.418262666666667</v>
      </c>
      <c r="O547" s="5">
        <v>5305.0800000000163</v>
      </c>
      <c r="P547" s="3">
        <v>3.1964309449375124E-2</v>
      </c>
      <c r="Q547" s="9">
        <f t="shared" si="8"/>
        <v>301843.45845814014</v>
      </c>
      <c r="R547" s="5" t="str">
        <f>TEXT(Table1[[#This Row],[Closing Date]],"yyyy")</f>
        <v>2024</v>
      </c>
      <c r="S547" s="5" t="str">
        <f>TEXT(Table1[[#This Row],[Closing Date]],"mmmm")</f>
        <v>April</v>
      </c>
      <c r="T547" s="5" t="s">
        <v>240</v>
      </c>
      <c r="U547" s="5" t="s">
        <v>301</v>
      </c>
    </row>
    <row r="548" spans="2:21" x14ac:dyDescent="0.25">
      <c r="B548" t="s">
        <v>201</v>
      </c>
      <c r="C548" t="s">
        <v>302</v>
      </c>
      <c r="D548" t="s">
        <v>12</v>
      </c>
      <c r="E548" t="s">
        <v>7</v>
      </c>
      <c r="F548" s="5"/>
      <c r="G548" s="7">
        <v>45398</v>
      </c>
      <c r="H548" t="s">
        <v>82</v>
      </c>
      <c r="I548">
        <v>4</v>
      </c>
      <c r="J548" s="5">
        <v>1021000</v>
      </c>
      <c r="L548" s="5">
        <v>1016882</v>
      </c>
      <c r="M548" s="5">
        <v>5105</v>
      </c>
      <c r="N548" s="5">
        <v>254.22049999999999</v>
      </c>
      <c r="O548" s="5">
        <v>-4118</v>
      </c>
      <c r="P548" s="3">
        <v>-4.033300685602351E-3</v>
      </c>
      <c r="Q548" s="9">
        <f t="shared" si="8"/>
        <v>297725.45845814014</v>
      </c>
      <c r="R548" s="5" t="str">
        <f>TEXT(Table1[[#This Row],[Closing Date]],"yyyy")</f>
        <v>2024</v>
      </c>
      <c r="S548" s="5" t="str">
        <f>TEXT(Table1[[#This Row],[Closing Date]],"mmmm")</f>
        <v>April</v>
      </c>
      <c r="T548" s="5" t="s">
        <v>240</v>
      </c>
      <c r="U548" s="5" t="s">
        <v>301</v>
      </c>
    </row>
    <row r="549" spans="2:21" x14ac:dyDescent="0.25">
      <c r="B549" t="s">
        <v>201</v>
      </c>
      <c r="C549" t="s">
        <v>303</v>
      </c>
      <c r="D549" t="s">
        <v>16</v>
      </c>
      <c r="E549" t="s">
        <v>7</v>
      </c>
      <c r="F549" s="5"/>
      <c r="G549" s="7">
        <v>45400</v>
      </c>
      <c r="H549" t="s">
        <v>11</v>
      </c>
      <c r="I549">
        <v>150</v>
      </c>
      <c r="J549" s="5">
        <v>128626.5</v>
      </c>
      <c r="L549" s="5">
        <v>122797.47</v>
      </c>
      <c r="M549" s="5">
        <v>857.51</v>
      </c>
      <c r="N549" s="5">
        <v>818.64980000000003</v>
      </c>
      <c r="O549" s="5">
        <v>-5829.0299999999988</v>
      </c>
      <c r="P549" s="3">
        <v>-4.5317489008874522E-2</v>
      </c>
      <c r="Q549" s="9">
        <f t="shared" si="8"/>
        <v>291896.42845814012</v>
      </c>
      <c r="R549" s="5" t="str">
        <f>TEXT(Table1[[#This Row],[Closing Date]],"yyyy")</f>
        <v>2024</v>
      </c>
      <c r="S549" s="5" t="str">
        <f>TEXT(Table1[[#This Row],[Closing Date]],"mmmm")</f>
        <v>April</v>
      </c>
      <c r="T549" s="5" t="s">
        <v>240</v>
      </c>
      <c r="U549" s="5" t="s">
        <v>301</v>
      </c>
    </row>
    <row r="550" spans="2:21" x14ac:dyDescent="0.25">
      <c r="B550" t="s">
        <v>201</v>
      </c>
      <c r="C550" t="s">
        <v>306</v>
      </c>
      <c r="D550" t="s">
        <v>12</v>
      </c>
      <c r="E550" t="s">
        <v>7</v>
      </c>
      <c r="F550" s="5"/>
      <c r="G550" s="7">
        <v>45400</v>
      </c>
      <c r="H550" t="s">
        <v>85</v>
      </c>
      <c r="I550">
        <v>10</v>
      </c>
      <c r="J550" s="5">
        <v>64052</v>
      </c>
      <c r="L550" s="5">
        <v>59905.3</v>
      </c>
      <c r="M550" s="5">
        <v>64052</v>
      </c>
      <c r="N550" s="5">
        <v>5.9905300000000006</v>
      </c>
      <c r="O550" s="5">
        <v>-4146.6999999999971</v>
      </c>
      <c r="P550" s="3">
        <v>-6.4739586585898914E-2</v>
      </c>
      <c r="Q550" s="9">
        <f t="shared" si="8"/>
        <v>287749.7284581401</v>
      </c>
      <c r="R550" s="5" t="str">
        <f>TEXT(Table1[[#This Row],[Closing Date]],"yyyy")</f>
        <v>2024</v>
      </c>
      <c r="S550" s="5" t="str">
        <f>TEXT(Table1[[#This Row],[Closing Date]],"mmmm")</f>
        <v>April</v>
      </c>
      <c r="T550" s="5" t="s">
        <v>240</v>
      </c>
      <c r="U550" s="5" t="s">
        <v>301</v>
      </c>
    </row>
    <row r="551" spans="2:21" x14ac:dyDescent="0.25">
      <c r="B551" t="s">
        <v>201</v>
      </c>
      <c r="C551" t="s">
        <v>303</v>
      </c>
      <c r="D551" t="s">
        <v>12</v>
      </c>
      <c r="E551" t="s">
        <v>7</v>
      </c>
      <c r="F551" s="5"/>
      <c r="G551" s="7">
        <v>45401</v>
      </c>
      <c r="H551" t="s">
        <v>44</v>
      </c>
      <c r="I551">
        <v>2</v>
      </c>
      <c r="J551" s="5">
        <v>394006.04</v>
      </c>
      <c r="L551" s="5">
        <v>376525</v>
      </c>
      <c r="M551" s="5">
        <v>39400.603999999999</v>
      </c>
      <c r="N551" s="5">
        <v>3765.25</v>
      </c>
      <c r="O551" s="5">
        <v>-17481.039999999979</v>
      </c>
      <c r="P551" s="3">
        <v>-4.4367441676782367E-2</v>
      </c>
      <c r="Q551" s="9">
        <f t="shared" si="8"/>
        <v>270268.68845814012</v>
      </c>
      <c r="R551" s="5" t="str">
        <f>TEXT(Table1[[#This Row],[Closing Date]],"yyyy")</f>
        <v>2024</v>
      </c>
      <c r="S551" s="5" t="str">
        <f>TEXT(Table1[[#This Row],[Closing Date]],"mmmm")</f>
        <v>April</v>
      </c>
      <c r="T551" s="5" t="s">
        <v>240</v>
      </c>
      <c r="U551" s="5" t="s">
        <v>301</v>
      </c>
    </row>
    <row r="552" spans="2:21" x14ac:dyDescent="0.25">
      <c r="B552" t="s">
        <v>201</v>
      </c>
      <c r="C552" t="s">
        <v>302</v>
      </c>
      <c r="D552" t="s">
        <v>12</v>
      </c>
      <c r="E552" t="s">
        <v>7</v>
      </c>
      <c r="F552" s="5"/>
      <c r="G552" s="7">
        <v>45404</v>
      </c>
      <c r="H552" t="s">
        <v>89</v>
      </c>
      <c r="I552">
        <v>4</v>
      </c>
      <c r="J552" s="5">
        <v>415923.8</v>
      </c>
      <c r="L552" s="5">
        <v>415890.8</v>
      </c>
      <c r="M552" s="5">
        <v>2079.6190000000001</v>
      </c>
      <c r="N552" s="5">
        <v>2079.4539999999997</v>
      </c>
      <c r="O552" s="5">
        <v>-33</v>
      </c>
      <c r="P552" s="3">
        <v>-7.9341456295600301E-5</v>
      </c>
      <c r="Q552" s="9">
        <f t="shared" si="8"/>
        <v>270235.68845814012</v>
      </c>
      <c r="R552" s="5" t="str">
        <f>TEXT(Table1[[#This Row],[Closing Date]],"yyyy")</f>
        <v>2024</v>
      </c>
      <c r="S552" s="5" t="str">
        <f>TEXT(Table1[[#This Row],[Closing Date]],"mmmm")</f>
        <v>April</v>
      </c>
      <c r="T552" s="5" t="s">
        <v>240</v>
      </c>
      <c r="U552" s="5" t="s">
        <v>301</v>
      </c>
    </row>
    <row r="553" spans="2:21" x14ac:dyDescent="0.25">
      <c r="B553" t="s">
        <v>201</v>
      </c>
      <c r="C553" t="s">
        <v>302</v>
      </c>
      <c r="D553" t="s">
        <v>16</v>
      </c>
      <c r="E553" t="s">
        <v>7</v>
      </c>
      <c r="F553" s="5"/>
      <c r="G553" s="7">
        <v>45405</v>
      </c>
      <c r="H553" t="s">
        <v>182</v>
      </c>
      <c r="I553">
        <v>10000</v>
      </c>
      <c r="J553" s="5">
        <v>206728.24</v>
      </c>
      <c r="L553" s="5">
        <v>218874.94</v>
      </c>
      <c r="M553" s="5">
        <v>20.672823999999999</v>
      </c>
      <c r="N553" s="5">
        <v>21.887494</v>
      </c>
      <c r="O553" s="5">
        <v>12146.700000000012</v>
      </c>
      <c r="P553" s="3">
        <v>5.8756849088445834E-2</v>
      </c>
      <c r="Q553" s="9">
        <f t="shared" si="8"/>
        <v>282382.38845814014</v>
      </c>
      <c r="R553" s="5" t="str">
        <f>TEXT(Table1[[#This Row],[Closing Date]],"yyyy")</f>
        <v>2024</v>
      </c>
      <c r="S553" s="5" t="str">
        <f>TEXT(Table1[[#This Row],[Closing Date]],"mmmm")</f>
        <v>April</v>
      </c>
      <c r="T553" s="5" t="s">
        <v>240</v>
      </c>
      <c r="U553" s="5" t="s">
        <v>301</v>
      </c>
    </row>
    <row r="554" spans="2:21" x14ac:dyDescent="0.25">
      <c r="B554" t="s">
        <v>201</v>
      </c>
      <c r="C554" t="s">
        <v>303</v>
      </c>
      <c r="D554" t="s">
        <v>16</v>
      </c>
      <c r="E554" t="s">
        <v>7</v>
      </c>
      <c r="F554" s="5"/>
      <c r="G554" s="7">
        <v>45407</v>
      </c>
      <c r="H554" t="s">
        <v>263</v>
      </c>
      <c r="I554">
        <v>5000</v>
      </c>
      <c r="J554" s="5">
        <v>64872.5</v>
      </c>
      <c r="L554" s="5">
        <v>61623.68</v>
      </c>
      <c r="M554" s="5">
        <v>12.974500000000001</v>
      </c>
      <c r="N554" s="5">
        <v>12.324736</v>
      </c>
      <c r="O554" s="5">
        <v>-3248.8199999999997</v>
      </c>
      <c r="P554" s="3">
        <v>-5.0080080157231491E-2</v>
      </c>
      <c r="Q554" s="9">
        <f t="shared" si="8"/>
        <v>279133.56845814013</v>
      </c>
      <c r="R554" s="5" t="str">
        <f>TEXT(Table1[[#This Row],[Closing Date]],"yyyy")</f>
        <v>2024</v>
      </c>
      <c r="S554" s="5" t="str">
        <f>TEXT(Table1[[#This Row],[Closing Date]],"mmmm")</f>
        <v>April</v>
      </c>
      <c r="T554" s="5" t="s">
        <v>240</v>
      </c>
      <c r="U554" s="5" t="s">
        <v>301</v>
      </c>
    </row>
    <row r="555" spans="2:21" x14ac:dyDescent="0.25">
      <c r="B555" t="s">
        <v>201</v>
      </c>
      <c r="C555" t="s">
        <v>303</v>
      </c>
      <c r="D555" t="s">
        <v>16</v>
      </c>
      <c r="E555" t="s">
        <v>7</v>
      </c>
      <c r="F555" s="5"/>
      <c r="G555" s="7">
        <v>45407</v>
      </c>
      <c r="H555" t="s">
        <v>259</v>
      </c>
      <c r="I555">
        <v>3200</v>
      </c>
      <c r="J555" s="5">
        <v>79821.53</v>
      </c>
      <c r="L555" s="5">
        <v>91182.74</v>
      </c>
      <c r="M555" s="5">
        <v>24.944228124999999</v>
      </c>
      <c r="N555" s="5">
        <v>28.49460625</v>
      </c>
      <c r="O555" s="5">
        <v>11361.210000000006</v>
      </c>
      <c r="P555" s="3">
        <v>0.14233265135358852</v>
      </c>
      <c r="Q555" s="9">
        <f t="shared" si="8"/>
        <v>290494.77845814015</v>
      </c>
      <c r="R555" s="5" t="str">
        <f>TEXT(Table1[[#This Row],[Closing Date]],"yyyy")</f>
        <v>2024</v>
      </c>
      <c r="S555" s="5" t="str">
        <f>TEXT(Table1[[#This Row],[Closing Date]],"mmmm")</f>
        <v>April</v>
      </c>
      <c r="T555" s="5" t="s">
        <v>240</v>
      </c>
      <c r="U555" s="5" t="s">
        <v>301</v>
      </c>
    </row>
    <row r="556" spans="2:21" x14ac:dyDescent="0.25">
      <c r="B556" t="s">
        <v>201</v>
      </c>
      <c r="C556" t="s">
        <v>303</v>
      </c>
      <c r="D556" t="s">
        <v>16</v>
      </c>
      <c r="E556" t="s">
        <v>7</v>
      </c>
      <c r="F556" s="5"/>
      <c r="G556" s="7">
        <v>45408</v>
      </c>
      <c r="H556" t="s">
        <v>260</v>
      </c>
      <c r="I556">
        <v>1400</v>
      </c>
      <c r="J556" s="5">
        <v>115675</v>
      </c>
      <c r="L556" s="5">
        <v>111118.24</v>
      </c>
      <c r="M556" s="5">
        <v>82.625</v>
      </c>
      <c r="N556" s="5">
        <v>79.370171428571439</v>
      </c>
      <c r="O556" s="5">
        <v>-4726</v>
      </c>
      <c r="P556" s="3">
        <v>-4.0855846120596499E-2</v>
      </c>
      <c r="Q556" s="9">
        <f t="shared" si="8"/>
        <v>285768.77845814015</v>
      </c>
      <c r="R556" s="5" t="str">
        <f>TEXT(Table1[[#This Row],[Closing Date]],"yyyy")</f>
        <v>2024</v>
      </c>
      <c r="S556" s="5" t="str">
        <f>TEXT(Table1[[#This Row],[Closing Date]],"mmmm")</f>
        <v>April</v>
      </c>
      <c r="T556" s="5" t="s">
        <v>240</v>
      </c>
      <c r="U556" s="5" t="s">
        <v>301</v>
      </c>
    </row>
    <row r="557" spans="2:21" x14ac:dyDescent="0.25">
      <c r="B557" t="s">
        <v>201</v>
      </c>
      <c r="C557" t="s">
        <v>303</v>
      </c>
      <c r="D557" t="s">
        <v>16</v>
      </c>
      <c r="E557" t="s">
        <v>7</v>
      </c>
      <c r="F557" s="5"/>
      <c r="G557" s="7">
        <v>45408</v>
      </c>
      <c r="H557" t="s">
        <v>256</v>
      </c>
      <c r="I557">
        <v>1000</v>
      </c>
      <c r="J557" s="5">
        <v>110109.87</v>
      </c>
      <c r="L557" s="5">
        <v>109954.87</v>
      </c>
      <c r="M557" s="5">
        <v>110.10987</v>
      </c>
      <c r="N557" s="5">
        <v>109.95487</v>
      </c>
      <c r="O557" s="5">
        <v>-155</v>
      </c>
      <c r="P557" s="3">
        <v>-4.2920766321856527E-2</v>
      </c>
      <c r="Q557" s="9">
        <f t="shared" si="8"/>
        <v>285613.77845814015</v>
      </c>
      <c r="R557" s="5" t="str">
        <f>TEXT(Table1[[#This Row],[Closing Date]],"yyyy")</f>
        <v>2024</v>
      </c>
      <c r="S557" s="5" t="str">
        <f>TEXT(Table1[[#This Row],[Closing Date]],"mmmm")</f>
        <v>April</v>
      </c>
      <c r="T557" s="5" t="s">
        <v>240</v>
      </c>
      <c r="U557" s="5" t="s">
        <v>301</v>
      </c>
    </row>
    <row r="558" spans="2:21" x14ac:dyDescent="0.25">
      <c r="B558" t="s">
        <v>201</v>
      </c>
      <c r="C558" t="s">
        <v>306</v>
      </c>
      <c r="D558" t="s">
        <v>12</v>
      </c>
      <c r="E558" t="s">
        <v>7</v>
      </c>
      <c r="F558" s="5"/>
      <c r="G558" s="7">
        <v>45408</v>
      </c>
      <c r="H558" t="s">
        <v>86</v>
      </c>
      <c r="I558">
        <v>60</v>
      </c>
      <c r="J558" s="5">
        <v>281760</v>
      </c>
      <c r="L558" s="5">
        <v>273265.8</v>
      </c>
      <c r="M558" s="5">
        <v>4.6959999999999997</v>
      </c>
      <c r="N558" s="5">
        <v>4.55443</v>
      </c>
      <c r="O558" s="5">
        <v>-8494.2000000000116</v>
      </c>
      <c r="P558" s="3">
        <v>-3.0146933560477044E-2</v>
      </c>
      <c r="Q558" s="9">
        <f t="shared" si="8"/>
        <v>277119.57845814014</v>
      </c>
      <c r="R558" s="5" t="str">
        <f>TEXT(Table1[[#This Row],[Closing Date]],"yyyy")</f>
        <v>2024</v>
      </c>
      <c r="S558" s="5" t="str">
        <f>TEXT(Table1[[#This Row],[Closing Date]],"mmmm")</f>
        <v>April</v>
      </c>
      <c r="T558" s="5" t="s">
        <v>240</v>
      </c>
      <c r="U558" s="5" t="s">
        <v>301</v>
      </c>
    </row>
    <row r="559" spans="2:21" x14ac:dyDescent="0.25">
      <c r="B559" t="s">
        <v>197</v>
      </c>
      <c r="C559" t="s">
        <v>302</v>
      </c>
      <c r="D559" t="s">
        <v>102</v>
      </c>
      <c r="E559" t="s">
        <v>7</v>
      </c>
      <c r="F559" s="7">
        <v>45404</v>
      </c>
      <c r="G559" s="7">
        <v>45411</v>
      </c>
      <c r="H559" t="s">
        <v>15</v>
      </c>
      <c r="I559">
        <v>30</v>
      </c>
      <c r="J559" s="5">
        <v>6410.98</v>
      </c>
      <c r="K559" s="13">
        <v>100</v>
      </c>
      <c r="L559" s="5">
        <v>15997.11</v>
      </c>
      <c r="M559" s="5">
        <v>2.1369933333333333</v>
      </c>
      <c r="N559" s="5">
        <v>5.3323700000000001</v>
      </c>
      <c r="O559" s="5">
        <v>9586.130000000001</v>
      </c>
      <c r="P559" s="3">
        <v>1.4952674942052542</v>
      </c>
      <c r="Q559" s="9">
        <f t="shared" si="8"/>
        <v>286705.70845814014</v>
      </c>
      <c r="R559" s="5" t="str">
        <f>TEXT(Table1[[#This Row],[Closing Date]],"yyyy")</f>
        <v>2024</v>
      </c>
      <c r="S559" s="5" t="str">
        <f>TEXT(Table1[[#This Row],[Closing Date]],"mmmm")</f>
        <v>April</v>
      </c>
      <c r="T559" s="5" t="s">
        <v>240</v>
      </c>
      <c r="U559" s="5" t="s">
        <v>301</v>
      </c>
    </row>
    <row r="560" spans="2:21" x14ac:dyDescent="0.25">
      <c r="B560" t="s">
        <v>201</v>
      </c>
      <c r="C560" t="s">
        <v>303</v>
      </c>
      <c r="D560" t="s">
        <v>16</v>
      </c>
      <c r="E560" t="s">
        <v>7</v>
      </c>
      <c r="F560" s="5"/>
      <c r="G560" s="7">
        <v>45413</v>
      </c>
      <c r="H560" t="s">
        <v>160</v>
      </c>
      <c r="I560">
        <v>2300</v>
      </c>
      <c r="J560" s="5">
        <v>171361.5</v>
      </c>
      <c r="L560" s="5">
        <v>171206.5</v>
      </c>
      <c r="M560" s="5">
        <v>74.504999999999995</v>
      </c>
      <c r="N560" s="5">
        <v>74.437608695652173</v>
      </c>
      <c r="O560" s="5">
        <v>-5306.1000000000058</v>
      </c>
      <c r="P560" s="3">
        <v>-2.7579123665467449E-2</v>
      </c>
      <c r="Q560" s="9">
        <f t="shared" si="8"/>
        <v>281399.60845814017</v>
      </c>
      <c r="R560" s="5" t="str">
        <f>TEXT(Table1[[#This Row],[Closing Date]],"yyyy")</f>
        <v>2024</v>
      </c>
      <c r="S560" s="5" t="str">
        <f>TEXT(Table1[[#This Row],[Closing Date]],"mmmm")</f>
        <v>May</v>
      </c>
      <c r="T560" s="5" t="s">
        <v>240</v>
      </c>
      <c r="U560" s="5" t="s">
        <v>301</v>
      </c>
    </row>
    <row r="561" spans="2:21" x14ac:dyDescent="0.25">
      <c r="B561" t="s">
        <v>197</v>
      </c>
      <c r="C561" t="s">
        <v>303</v>
      </c>
      <c r="D561" t="s">
        <v>102</v>
      </c>
      <c r="E561" t="s">
        <v>7</v>
      </c>
      <c r="F561" s="5"/>
      <c r="G561" s="7">
        <v>45413</v>
      </c>
      <c r="H561" t="s">
        <v>155</v>
      </c>
      <c r="I561">
        <v>9</v>
      </c>
      <c r="J561" s="5">
        <v>4756.5</v>
      </c>
      <c r="K561" s="13">
        <v>100</v>
      </c>
      <c r="L561" s="5">
        <v>6867.5</v>
      </c>
      <c r="M561" s="5">
        <v>5.2850000000000001</v>
      </c>
      <c r="N561" s="5">
        <v>7.6305555555555555</v>
      </c>
      <c r="O561" s="5">
        <v>2111</v>
      </c>
      <c r="P561" s="3">
        <v>0.44381372858194046</v>
      </c>
      <c r="Q561" s="9">
        <f t="shared" si="8"/>
        <v>283510.60845814017</v>
      </c>
      <c r="R561" s="5" t="str">
        <f>TEXT(Table1[[#This Row],[Closing Date]],"yyyy")</f>
        <v>2024</v>
      </c>
      <c r="S561" s="5" t="str">
        <f>TEXT(Table1[[#This Row],[Closing Date]],"mmmm")</f>
        <v>May</v>
      </c>
      <c r="T561" s="5" t="s">
        <v>240</v>
      </c>
      <c r="U561" s="5" t="s">
        <v>301</v>
      </c>
    </row>
    <row r="562" spans="2:21" x14ac:dyDescent="0.25">
      <c r="B562" t="s">
        <v>201</v>
      </c>
      <c r="C562" t="s">
        <v>303</v>
      </c>
      <c r="D562" t="s">
        <v>12</v>
      </c>
      <c r="E562" t="s">
        <v>7</v>
      </c>
      <c r="F562" s="5"/>
      <c r="G562" s="7">
        <v>45414</v>
      </c>
      <c r="H562" t="s">
        <v>269</v>
      </c>
      <c r="I562">
        <v>10</v>
      </c>
      <c r="J562" s="5">
        <v>352986.2</v>
      </c>
      <c r="L562" s="5">
        <v>367993.8</v>
      </c>
      <c r="M562" s="5">
        <v>17649.310000000001</v>
      </c>
      <c r="N562" s="5">
        <v>36.799379999999999</v>
      </c>
      <c r="O562" s="5">
        <v>15007.599999999977</v>
      </c>
      <c r="P562" s="3">
        <v>4.2516109694939845E-2</v>
      </c>
      <c r="Q562" s="9">
        <f t="shared" si="8"/>
        <v>298518.20845814014</v>
      </c>
      <c r="R562" s="5" t="str">
        <f>TEXT(Table1[[#This Row],[Closing Date]],"yyyy")</f>
        <v>2024</v>
      </c>
      <c r="S562" s="5" t="str">
        <f>TEXT(Table1[[#This Row],[Closing Date]],"mmmm")</f>
        <v>May</v>
      </c>
      <c r="T562" s="5" t="s">
        <v>240</v>
      </c>
      <c r="U562" s="5" t="s">
        <v>301</v>
      </c>
    </row>
    <row r="563" spans="2:21" x14ac:dyDescent="0.25">
      <c r="B563" t="s">
        <v>197</v>
      </c>
      <c r="C563" t="s">
        <v>303</v>
      </c>
      <c r="D563" t="s">
        <v>102</v>
      </c>
      <c r="E563" t="s">
        <v>7</v>
      </c>
      <c r="F563" s="5"/>
      <c r="G563" s="7">
        <v>45415</v>
      </c>
      <c r="H563" t="s">
        <v>139</v>
      </c>
      <c r="I563">
        <v>10</v>
      </c>
      <c r="J563" s="5">
        <v>1997.0000000000002</v>
      </c>
      <c r="K563" s="13">
        <v>100</v>
      </c>
      <c r="L563" s="5">
        <v>0</v>
      </c>
      <c r="M563" s="5">
        <v>1.9970000000000001</v>
      </c>
      <c r="N563" s="5">
        <v>0</v>
      </c>
      <c r="O563" s="5">
        <v>-1997.0000000000002</v>
      </c>
      <c r="P563" s="3">
        <v>-1</v>
      </c>
      <c r="Q563" s="9">
        <f t="shared" si="8"/>
        <v>296521.20845814014</v>
      </c>
      <c r="R563" s="5" t="str">
        <f>TEXT(Table1[[#This Row],[Closing Date]],"yyyy")</f>
        <v>2024</v>
      </c>
      <c r="S563" s="5" t="str">
        <f>TEXT(Table1[[#This Row],[Closing Date]],"mmmm")</f>
        <v>May</v>
      </c>
      <c r="T563" s="5" t="s">
        <v>240</v>
      </c>
      <c r="U563" s="5" t="s">
        <v>301</v>
      </c>
    </row>
    <row r="564" spans="2:21" x14ac:dyDescent="0.25">
      <c r="B564" t="s">
        <v>201</v>
      </c>
      <c r="C564" t="s">
        <v>303</v>
      </c>
      <c r="D564" t="s">
        <v>16</v>
      </c>
      <c r="E564" t="s">
        <v>7</v>
      </c>
      <c r="F564" s="5"/>
      <c r="G564" s="7">
        <v>45419</v>
      </c>
      <c r="H564" t="s">
        <v>138</v>
      </c>
      <c r="I564">
        <v>530</v>
      </c>
      <c r="J564" s="5">
        <v>109606.65</v>
      </c>
      <c r="L564" s="5">
        <v>104637.90000000001</v>
      </c>
      <c r="M564" s="5">
        <v>206.80499999999998</v>
      </c>
      <c r="N564" s="5">
        <v>197.43</v>
      </c>
      <c r="O564" s="5">
        <v>-4968.7499999999854</v>
      </c>
      <c r="P564" s="3">
        <v>-4.5332559657648382E-2</v>
      </c>
      <c r="Q564" s="9">
        <f t="shared" si="8"/>
        <v>291552.45845814014</v>
      </c>
      <c r="R564" s="5" t="str">
        <f>TEXT(Table1[[#This Row],[Closing Date]],"yyyy")</f>
        <v>2024</v>
      </c>
      <c r="S564" s="5" t="str">
        <f>TEXT(Table1[[#This Row],[Closing Date]],"mmmm")</f>
        <v>May</v>
      </c>
      <c r="T564" s="5" t="s">
        <v>240</v>
      </c>
      <c r="U564" s="5" t="s">
        <v>301</v>
      </c>
    </row>
    <row r="565" spans="2:21" x14ac:dyDescent="0.25">
      <c r="B565" t="s">
        <v>197</v>
      </c>
      <c r="C565" t="s">
        <v>305</v>
      </c>
      <c r="D565" t="s">
        <v>102</v>
      </c>
      <c r="E565" t="s">
        <v>7</v>
      </c>
      <c r="F565" s="11">
        <v>45314</v>
      </c>
      <c r="G565" s="7">
        <v>45419</v>
      </c>
      <c r="H565" t="s">
        <v>292</v>
      </c>
      <c r="I565">
        <v>10</v>
      </c>
      <c r="J565" s="5">
        <v>25006.5</v>
      </c>
      <c r="K565" s="13">
        <v>100</v>
      </c>
      <c r="L565" s="5">
        <f>15997.27+16398.57+13230.59+11498.61</f>
        <v>57125.04</v>
      </c>
      <c r="M565" s="5">
        <f>Table1[[#This Row],[Open Value]]/Table1[[#This Row],[Shares]]/Table1[[#This Row],[Multiplier]]</f>
        <v>25.006500000000003</v>
      </c>
      <c r="N565" s="5">
        <f>Table1[[#This Row],[Close Value]]/Table1[[#This Row],[Shares]]/Table1[[#This Row],[Multiplier]]</f>
        <v>57.125039999999998</v>
      </c>
      <c r="O565" s="5">
        <f>Table1[[#This Row],[Close Value]]-Table1[[#This Row],[Open Value]]</f>
        <v>32118.54</v>
      </c>
      <c r="P565" s="3">
        <f>Table1[[#This Row],[PnL]]/Table1[[#This Row],[Open Value]]</f>
        <v>1.2844076540099574</v>
      </c>
      <c r="Q565" s="9">
        <f t="shared" si="8"/>
        <v>323670.99845814012</v>
      </c>
      <c r="R565" s="5" t="str">
        <f>TEXT(Table1[[#This Row],[Closing Date]],"yyyy")</f>
        <v>2024</v>
      </c>
      <c r="S565" s="5" t="str">
        <f>TEXT(Table1[[#This Row],[Closing Date]],"mmmm")</f>
        <v>May</v>
      </c>
      <c r="T565" s="5" t="s">
        <v>240</v>
      </c>
      <c r="U565" s="5" t="s">
        <v>203</v>
      </c>
    </row>
    <row r="566" spans="2:21" x14ac:dyDescent="0.25">
      <c r="B566" t="s">
        <v>197</v>
      </c>
      <c r="C566" t="s">
        <v>302</v>
      </c>
      <c r="D566" t="s">
        <v>98</v>
      </c>
      <c r="E566" t="s">
        <v>7</v>
      </c>
      <c r="F566" s="11">
        <v>45412</v>
      </c>
      <c r="G566" s="7">
        <v>45422</v>
      </c>
      <c r="H566" t="s">
        <v>266</v>
      </c>
      <c r="I566">
        <v>100</v>
      </c>
      <c r="J566" s="5">
        <v>8110.0000000000009</v>
      </c>
      <c r="K566" s="13">
        <v>100</v>
      </c>
      <c r="L566" s="5">
        <v>800</v>
      </c>
      <c r="M566" s="5">
        <v>0.81100000000000005</v>
      </c>
      <c r="N566" s="5">
        <v>0.08</v>
      </c>
      <c r="O566" s="5">
        <v>-7310.0000000000009</v>
      </c>
      <c r="P566" s="3">
        <v>-0.90135635018495686</v>
      </c>
      <c r="Q566" s="9">
        <f t="shared" si="8"/>
        <v>316360.99845814012</v>
      </c>
      <c r="R566" s="5" t="str">
        <f>TEXT(Table1[[#This Row],[Closing Date]],"yyyy")</f>
        <v>2024</v>
      </c>
      <c r="S566" s="5" t="str">
        <f>TEXT(Table1[[#This Row],[Closing Date]],"mmmm")</f>
        <v>May</v>
      </c>
      <c r="T566" s="5" t="s">
        <v>240</v>
      </c>
      <c r="U566" s="5" t="s">
        <v>301</v>
      </c>
    </row>
    <row r="567" spans="2:21" x14ac:dyDescent="0.25">
      <c r="B567" t="s">
        <v>201</v>
      </c>
      <c r="C567" t="s">
        <v>303</v>
      </c>
      <c r="D567" t="s">
        <v>16</v>
      </c>
      <c r="E567" t="s">
        <v>7</v>
      </c>
      <c r="F567" s="5"/>
      <c r="G567" s="7">
        <v>45422</v>
      </c>
      <c r="H567" t="s">
        <v>266</v>
      </c>
      <c r="I567">
        <v>10000</v>
      </c>
      <c r="J567" s="5">
        <v>430000</v>
      </c>
      <c r="L567" s="5">
        <v>453604.79</v>
      </c>
      <c r="M567" s="5">
        <v>43</v>
      </c>
      <c r="N567" s="5">
        <v>45.360478999999998</v>
      </c>
      <c r="O567" s="5">
        <v>-14030</v>
      </c>
      <c r="P567" s="3">
        <v>-5.4894860465116227E-2</v>
      </c>
      <c r="Q567" s="9">
        <f t="shared" si="8"/>
        <v>302330.99845814012</v>
      </c>
      <c r="R567" s="5" t="str">
        <f>TEXT(Table1[[#This Row],[Closing Date]],"yyyy")</f>
        <v>2024</v>
      </c>
      <c r="S567" s="5" t="str">
        <f>TEXT(Table1[[#This Row],[Closing Date]],"mmmm")</f>
        <v>May</v>
      </c>
      <c r="T567" s="5" t="s">
        <v>240</v>
      </c>
      <c r="U567" s="5" t="s">
        <v>301</v>
      </c>
    </row>
    <row r="568" spans="2:21" x14ac:dyDescent="0.25">
      <c r="B568" t="s">
        <v>201</v>
      </c>
      <c r="C568" t="s">
        <v>303</v>
      </c>
      <c r="D568" t="s">
        <v>16</v>
      </c>
      <c r="E568" t="s">
        <v>7</v>
      </c>
      <c r="F568" s="5"/>
      <c r="G568" s="7">
        <v>45423</v>
      </c>
      <c r="H568" t="s">
        <v>272</v>
      </c>
      <c r="I568">
        <v>2700</v>
      </c>
      <c r="J568" s="5">
        <v>72913.5</v>
      </c>
      <c r="L568" s="5">
        <v>61986.05</v>
      </c>
      <c r="M568" s="5">
        <v>27.004999999999999</v>
      </c>
      <c r="N568" s="5">
        <v>22.957796296296298</v>
      </c>
      <c r="O568" s="5">
        <v>-10927.449999999997</v>
      </c>
      <c r="P568" s="3">
        <v>-0.14986868001124617</v>
      </c>
      <c r="Q568" s="9">
        <f t="shared" si="8"/>
        <v>291403.54845814011</v>
      </c>
      <c r="R568" s="5" t="str">
        <f>TEXT(Table1[[#This Row],[Closing Date]],"yyyy")</f>
        <v>2024</v>
      </c>
      <c r="S568" s="5" t="str">
        <f>TEXT(Table1[[#This Row],[Closing Date]],"mmmm")</f>
        <v>May</v>
      </c>
      <c r="T568" s="5" t="s">
        <v>240</v>
      </c>
      <c r="U568" s="5" t="s">
        <v>301</v>
      </c>
    </row>
    <row r="569" spans="2:21" x14ac:dyDescent="0.25">
      <c r="B569" t="s">
        <v>201</v>
      </c>
      <c r="C569" t="s">
        <v>303</v>
      </c>
      <c r="D569" t="s">
        <v>12</v>
      </c>
      <c r="E569" t="s">
        <v>7</v>
      </c>
      <c r="F569" s="5"/>
      <c r="G569" s="7">
        <v>45425</v>
      </c>
      <c r="H569" t="s">
        <v>88</v>
      </c>
      <c r="I569">
        <v>15</v>
      </c>
      <c r="J569" s="5">
        <v>335624</v>
      </c>
      <c r="L569" s="5">
        <v>315499</v>
      </c>
      <c r="M569" s="5">
        <v>19.977619047619047</v>
      </c>
      <c r="N569" s="5">
        <v>21.03326666666667</v>
      </c>
      <c r="O569" s="5">
        <v>-20123</v>
      </c>
      <c r="P569" s="3">
        <v>-5.99569756632422E-2</v>
      </c>
      <c r="Q569" s="9">
        <f t="shared" si="8"/>
        <v>271280.54845814011</v>
      </c>
      <c r="R569" s="5" t="str">
        <f>TEXT(Table1[[#This Row],[Closing Date]],"yyyy")</f>
        <v>2024</v>
      </c>
      <c r="S569" s="5" t="str">
        <f>TEXT(Table1[[#This Row],[Closing Date]],"mmmm")</f>
        <v>May</v>
      </c>
      <c r="T569" s="5" t="s">
        <v>240</v>
      </c>
      <c r="U569" s="5" t="s">
        <v>301</v>
      </c>
    </row>
    <row r="570" spans="2:21" x14ac:dyDescent="0.25">
      <c r="B570" t="s">
        <v>197</v>
      </c>
      <c r="C570" t="s">
        <v>306</v>
      </c>
      <c r="D570" t="s">
        <v>197</v>
      </c>
      <c r="E570" t="s">
        <v>7</v>
      </c>
      <c r="F570" s="11">
        <v>45330</v>
      </c>
      <c r="G570" s="7">
        <v>45426</v>
      </c>
      <c r="H570" t="s">
        <v>298</v>
      </c>
      <c r="I570">
        <v>210</v>
      </c>
      <c r="J570" s="5">
        <v>28878</v>
      </c>
      <c r="K570" s="13">
        <v>100</v>
      </c>
      <c r="L570" s="5">
        <f>16773.87+19483.59+30312.01</f>
        <v>66569.47</v>
      </c>
      <c r="M570" s="5">
        <f>Table1[[#This Row],[Open Value]]/Table1[[#This Row],[Shares]]/Table1[[#This Row],[Multiplier]]</f>
        <v>1.375142857142857</v>
      </c>
      <c r="N570" s="5">
        <f>Table1[[#This Row],[Close Value]]/Table1[[#This Row],[Shares]]/Table1[[#This Row],[Multiplier]]</f>
        <v>3.1699747619047622</v>
      </c>
      <c r="O570" s="5">
        <f>Table1[[#This Row],[Close Value]]-Table1[[#This Row],[Open Value]]</f>
        <v>37691.47</v>
      </c>
      <c r="P570" s="3">
        <f>Table1[[#This Row],[PnL]]/Table1[[#This Row],[Open Value]]</f>
        <v>1.3051966895214351</v>
      </c>
      <c r="Q570" s="9">
        <f t="shared" si="8"/>
        <v>308972.01845814008</v>
      </c>
      <c r="R570" s="5" t="str">
        <f>TEXT(Table1[[#This Row],[Closing Date]],"yyyy")</f>
        <v>2024</v>
      </c>
      <c r="S570" s="5" t="str">
        <f>TEXT(Table1[[#This Row],[Closing Date]],"mmmm")</f>
        <v>May</v>
      </c>
      <c r="T570" s="5" t="s">
        <v>240</v>
      </c>
      <c r="U570" s="5" t="s">
        <v>203</v>
      </c>
    </row>
    <row r="571" spans="2:21" x14ac:dyDescent="0.25">
      <c r="B571" t="s">
        <v>201</v>
      </c>
      <c r="C571" t="s">
        <v>305</v>
      </c>
      <c r="D571" t="s">
        <v>16</v>
      </c>
      <c r="E571" t="s">
        <v>7</v>
      </c>
      <c r="F571" s="5"/>
      <c r="G571" s="7">
        <v>45428</v>
      </c>
      <c r="H571" t="s">
        <v>52</v>
      </c>
      <c r="I571">
        <v>5000</v>
      </c>
      <c r="J571" s="5">
        <v>134805.20000000001</v>
      </c>
      <c r="L571" s="5">
        <v>134895.20000000001</v>
      </c>
      <c r="M571" s="5">
        <v>26.961040000000001</v>
      </c>
      <c r="N571" s="5">
        <v>26.979040000000001</v>
      </c>
      <c r="O571" s="5">
        <v>90</v>
      </c>
      <c r="P571" s="3">
        <v>6.6763003207591398E-4</v>
      </c>
      <c r="Q571" s="9">
        <f t="shared" si="8"/>
        <v>309062.01845814008</v>
      </c>
      <c r="R571" s="5" t="str">
        <f>TEXT(Table1[[#This Row],[Closing Date]],"yyyy")</f>
        <v>2024</v>
      </c>
      <c r="S571" s="5" t="str">
        <f>TEXT(Table1[[#This Row],[Closing Date]],"mmmm")</f>
        <v>May</v>
      </c>
      <c r="T571" s="5" t="s">
        <v>240</v>
      </c>
      <c r="U571" s="5" t="s">
        <v>301</v>
      </c>
    </row>
    <row r="572" spans="2:21" x14ac:dyDescent="0.25">
      <c r="B572" t="s">
        <v>201</v>
      </c>
      <c r="C572" t="s">
        <v>305</v>
      </c>
      <c r="D572" t="s">
        <v>16</v>
      </c>
      <c r="E572" t="s">
        <v>7</v>
      </c>
      <c r="F572" s="5"/>
      <c r="G572" s="7">
        <v>45428</v>
      </c>
      <c r="H572" t="s">
        <v>273</v>
      </c>
      <c r="I572">
        <v>2800</v>
      </c>
      <c r="J572" s="5">
        <v>32298</v>
      </c>
      <c r="L572" s="5">
        <v>27200.78</v>
      </c>
      <c r="M572" s="5">
        <v>11.535</v>
      </c>
      <c r="N572" s="5">
        <v>9.7145642857142853</v>
      </c>
      <c r="O572" s="5">
        <v>-5097.2200000000012</v>
      </c>
      <c r="P572" s="3">
        <v>-0.15781844077032636</v>
      </c>
      <c r="Q572" s="9">
        <f t="shared" si="8"/>
        <v>303964.79845814011</v>
      </c>
      <c r="R572" s="5" t="str">
        <f>TEXT(Table1[[#This Row],[Closing Date]],"yyyy")</f>
        <v>2024</v>
      </c>
      <c r="S572" s="5" t="str">
        <f>TEXT(Table1[[#This Row],[Closing Date]],"mmmm")</f>
        <v>May</v>
      </c>
      <c r="T572" s="5" t="s">
        <v>240</v>
      </c>
      <c r="U572" s="5" t="s">
        <v>301</v>
      </c>
    </row>
    <row r="573" spans="2:21" x14ac:dyDescent="0.25">
      <c r="B573" t="s">
        <v>201</v>
      </c>
      <c r="C573" t="s">
        <v>303</v>
      </c>
      <c r="D573" t="s">
        <v>16</v>
      </c>
      <c r="E573" t="s">
        <v>7</v>
      </c>
      <c r="F573" s="5"/>
      <c r="G573" s="7">
        <v>45429</v>
      </c>
      <c r="H573" t="s">
        <v>155</v>
      </c>
      <c r="I573">
        <v>610</v>
      </c>
      <c r="J573" s="5">
        <v>185504.05</v>
      </c>
      <c r="L573" s="5">
        <v>197936.24</v>
      </c>
      <c r="M573" s="5">
        <v>304.10499999999996</v>
      </c>
      <c r="N573" s="5">
        <v>942.55352380952377</v>
      </c>
      <c r="O573" s="5">
        <v>12432.190000000002</v>
      </c>
      <c r="P573" s="3">
        <v>6.7018428977696193E-2</v>
      </c>
      <c r="Q573" s="9">
        <f t="shared" si="8"/>
        <v>316396.98845814011</v>
      </c>
      <c r="R573" s="5" t="str">
        <f>TEXT(Table1[[#This Row],[Closing Date]],"yyyy")</f>
        <v>2024</v>
      </c>
      <c r="S573" s="5" t="str">
        <f>TEXT(Table1[[#This Row],[Closing Date]],"mmmm")</f>
        <v>May</v>
      </c>
      <c r="T573" s="5" t="s">
        <v>240</v>
      </c>
      <c r="U573" s="5" t="s">
        <v>301</v>
      </c>
    </row>
    <row r="574" spans="2:21" x14ac:dyDescent="0.25">
      <c r="B574" t="s">
        <v>201</v>
      </c>
      <c r="C574" t="s">
        <v>305</v>
      </c>
      <c r="D574" t="s">
        <v>16</v>
      </c>
      <c r="E574" t="s">
        <v>7</v>
      </c>
      <c r="F574" s="5"/>
      <c r="G574" s="7">
        <v>45429</v>
      </c>
      <c r="H574" t="s">
        <v>37</v>
      </c>
      <c r="I574">
        <v>820</v>
      </c>
      <c r="J574" s="5">
        <v>145729.4</v>
      </c>
      <c r="L574" s="5">
        <v>140579.98000000001</v>
      </c>
      <c r="M574" s="5">
        <v>177.71878048780488</v>
      </c>
      <c r="N574" s="5">
        <v>171.43900000000002</v>
      </c>
      <c r="O574" s="5">
        <v>-5149.4199999999837</v>
      </c>
      <c r="P574" s="3">
        <v>-3.5335491671550034E-2</v>
      </c>
      <c r="Q574" s="9">
        <f t="shared" si="8"/>
        <v>311247.56845814013</v>
      </c>
      <c r="R574" s="5" t="str">
        <f>TEXT(Table1[[#This Row],[Closing Date]],"yyyy")</f>
        <v>2024</v>
      </c>
      <c r="S574" s="5" t="str">
        <f>TEXT(Table1[[#This Row],[Closing Date]],"mmmm")</f>
        <v>May</v>
      </c>
      <c r="T574" s="5" t="s">
        <v>240</v>
      </c>
      <c r="U574" s="5" t="s">
        <v>301</v>
      </c>
    </row>
    <row r="575" spans="2:21" x14ac:dyDescent="0.25">
      <c r="B575" t="s">
        <v>201</v>
      </c>
      <c r="C575" t="s">
        <v>305</v>
      </c>
      <c r="D575" t="s">
        <v>16</v>
      </c>
      <c r="E575" t="s">
        <v>7</v>
      </c>
      <c r="F575" s="5"/>
      <c r="G575" s="7">
        <v>45430</v>
      </c>
      <c r="H575" t="s">
        <v>142</v>
      </c>
      <c r="I575">
        <v>800</v>
      </c>
      <c r="J575" s="5">
        <v>98573.94</v>
      </c>
      <c r="L575" s="5">
        <v>93249.78</v>
      </c>
      <c r="M575" s="5">
        <v>123.21742500000001</v>
      </c>
      <c r="N575" s="5">
        <v>116.562225</v>
      </c>
      <c r="O575" s="5">
        <v>-5324.1600000000035</v>
      </c>
      <c r="P575" s="3">
        <v>-5.4011841263522625E-2</v>
      </c>
      <c r="Q575" s="9">
        <f t="shared" si="8"/>
        <v>305923.4084581401</v>
      </c>
      <c r="R575" s="5" t="str">
        <f>TEXT(Table1[[#This Row],[Closing Date]],"yyyy")</f>
        <v>2024</v>
      </c>
      <c r="S575" s="5" t="str">
        <f>TEXT(Table1[[#This Row],[Closing Date]],"mmmm")</f>
        <v>May</v>
      </c>
      <c r="T575" s="5" t="s">
        <v>240</v>
      </c>
      <c r="U575" s="5" t="s">
        <v>301</v>
      </c>
    </row>
    <row r="576" spans="2:21" x14ac:dyDescent="0.25">
      <c r="B576" t="s">
        <v>201</v>
      </c>
      <c r="C576" t="s">
        <v>305</v>
      </c>
      <c r="D576" t="s">
        <v>16</v>
      </c>
      <c r="E576" t="s">
        <v>7</v>
      </c>
      <c r="F576" s="5"/>
      <c r="G576" s="7">
        <v>45432</v>
      </c>
      <c r="H576" t="s">
        <v>96</v>
      </c>
      <c r="I576">
        <v>1300</v>
      </c>
      <c r="J576" s="5">
        <v>240506.5</v>
      </c>
      <c r="L576" s="5">
        <v>233279.78</v>
      </c>
      <c r="M576" s="5">
        <v>185.005</v>
      </c>
      <c r="N576" s="5">
        <v>179.44598461538462</v>
      </c>
      <c r="O576" s="5">
        <v>-7226.7200000000012</v>
      </c>
      <c r="P576" s="3">
        <v>-3.0047919702793899E-2</v>
      </c>
      <c r="Q576" s="9">
        <f t="shared" si="8"/>
        <v>298696.68845814012</v>
      </c>
      <c r="R576" s="5" t="str">
        <f>TEXT(Table1[[#This Row],[Closing Date]],"yyyy")</f>
        <v>2024</v>
      </c>
      <c r="S576" s="5" t="str">
        <f>TEXT(Table1[[#This Row],[Closing Date]],"mmmm")</f>
        <v>May</v>
      </c>
      <c r="T576" s="5" t="s">
        <v>240</v>
      </c>
      <c r="U576" s="5" t="s">
        <v>301</v>
      </c>
    </row>
    <row r="577" spans="2:21" x14ac:dyDescent="0.25">
      <c r="B577" t="s">
        <v>201</v>
      </c>
      <c r="C577" t="s">
        <v>303</v>
      </c>
      <c r="D577" t="s">
        <v>16</v>
      </c>
      <c r="E577" t="s">
        <v>7</v>
      </c>
      <c r="F577" s="5"/>
      <c r="G577" s="7">
        <v>45432</v>
      </c>
      <c r="H577" t="s">
        <v>146</v>
      </c>
      <c r="I577">
        <v>2500</v>
      </c>
      <c r="J577" s="5">
        <v>209862.5</v>
      </c>
      <c r="L577" s="5">
        <v>199162.76</v>
      </c>
      <c r="M577" s="5">
        <v>83.944999999999993</v>
      </c>
      <c r="N577" s="5">
        <v>79.665103999999999</v>
      </c>
      <c r="O577" s="5">
        <v>-10699.739999999991</v>
      </c>
      <c r="P577" s="3">
        <v>-5.0984525582226416E-2</v>
      </c>
      <c r="Q577" s="9">
        <f t="shared" si="8"/>
        <v>287996.94845814013</v>
      </c>
      <c r="R577" s="5" t="str">
        <f>TEXT(Table1[[#This Row],[Closing Date]],"yyyy")</f>
        <v>2024</v>
      </c>
      <c r="S577" s="5" t="str">
        <f>TEXT(Table1[[#This Row],[Closing Date]],"mmmm")</f>
        <v>May</v>
      </c>
      <c r="T577" s="5" t="s">
        <v>240</v>
      </c>
      <c r="U577" s="5" t="s">
        <v>301</v>
      </c>
    </row>
    <row r="578" spans="2:21" x14ac:dyDescent="0.25">
      <c r="B578" t="s">
        <v>201</v>
      </c>
      <c r="C578" t="s">
        <v>303</v>
      </c>
      <c r="D578" t="s">
        <v>16</v>
      </c>
      <c r="E578" t="s">
        <v>7</v>
      </c>
      <c r="F578" s="5"/>
      <c r="G578" s="7">
        <v>45432</v>
      </c>
      <c r="H578" t="s">
        <v>23</v>
      </c>
      <c r="I578">
        <v>3500</v>
      </c>
      <c r="J578" s="5">
        <v>77717.5</v>
      </c>
      <c r="L578" s="5">
        <v>72920.5</v>
      </c>
      <c r="M578" s="5">
        <v>22.204999999999998</v>
      </c>
      <c r="N578" s="5">
        <v>20.834428571428571</v>
      </c>
      <c r="O578" s="5">
        <v>-4797</v>
      </c>
      <c r="P578" s="3">
        <v>-6.1723550036992952E-2</v>
      </c>
      <c r="Q578" s="9">
        <f t="shared" si="8"/>
        <v>283199.94845814013</v>
      </c>
      <c r="R578" s="5" t="str">
        <f>TEXT(Table1[[#This Row],[Closing Date]],"yyyy")</f>
        <v>2024</v>
      </c>
      <c r="S578" s="5" t="str">
        <f>TEXT(Table1[[#This Row],[Closing Date]],"mmmm")</f>
        <v>May</v>
      </c>
      <c r="T578" s="5" t="s">
        <v>240</v>
      </c>
      <c r="U578" s="5" t="s">
        <v>301</v>
      </c>
    </row>
    <row r="579" spans="2:21" x14ac:dyDescent="0.25">
      <c r="B579" t="s">
        <v>201</v>
      </c>
      <c r="C579" t="s">
        <v>303</v>
      </c>
      <c r="D579" t="s">
        <v>16</v>
      </c>
      <c r="E579" t="s">
        <v>7</v>
      </c>
      <c r="F579" s="5"/>
      <c r="G579" s="7">
        <v>45432</v>
      </c>
      <c r="H579" t="s">
        <v>72</v>
      </c>
      <c r="I579">
        <v>100</v>
      </c>
      <c r="J579" s="5">
        <v>89990.200000000012</v>
      </c>
      <c r="L579" s="5">
        <v>83797.650000000009</v>
      </c>
      <c r="M579" s="5">
        <v>899.90200000000016</v>
      </c>
      <c r="N579" s="5">
        <v>837.9765000000001</v>
      </c>
      <c r="O579" s="5">
        <v>-6192.5500000000029</v>
      </c>
      <c r="P579" s="3">
        <v>-6.8813604148007246E-2</v>
      </c>
      <c r="Q579" s="9">
        <f t="shared" ref="Q579:Q642" si="9">O579+Q578</f>
        <v>277007.39845814015</v>
      </c>
      <c r="R579" s="5" t="str">
        <f>TEXT(Table1[[#This Row],[Closing Date]],"yyyy")</f>
        <v>2024</v>
      </c>
      <c r="S579" s="5" t="str">
        <f>TEXT(Table1[[#This Row],[Closing Date]],"mmmm")</f>
        <v>May</v>
      </c>
      <c r="T579" s="5" t="s">
        <v>240</v>
      </c>
      <c r="U579" s="5" t="s">
        <v>301</v>
      </c>
    </row>
    <row r="580" spans="2:21" x14ac:dyDescent="0.25">
      <c r="B580" t="s">
        <v>201</v>
      </c>
      <c r="C580" t="s">
        <v>303</v>
      </c>
      <c r="D580" t="s">
        <v>12</v>
      </c>
      <c r="E580" t="s">
        <v>7</v>
      </c>
      <c r="F580" s="5"/>
      <c r="G580" s="7">
        <v>45433</v>
      </c>
      <c r="H580" t="s">
        <v>270</v>
      </c>
      <c r="I580">
        <v>5</v>
      </c>
      <c r="J580" s="5">
        <v>157514.85</v>
      </c>
      <c r="L580" s="5">
        <v>174985.15</v>
      </c>
      <c r="M580" s="5">
        <v>630.05939999999998</v>
      </c>
      <c r="N580" s="5">
        <v>34.997030000000002</v>
      </c>
      <c r="O580" s="5">
        <v>17470.299999999988</v>
      </c>
      <c r="P580" s="3">
        <v>0.11091208225764103</v>
      </c>
      <c r="Q580" s="9">
        <f t="shared" si="9"/>
        <v>294477.69845814013</v>
      </c>
      <c r="R580" s="5" t="str">
        <f>TEXT(Table1[[#This Row],[Closing Date]],"yyyy")</f>
        <v>2024</v>
      </c>
      <c r="S580" s="5" t="str">
        <f>TEXT(Table1[[#This Row],[Closing Date]],"mmmm")</f>
        <v>May</v>
      </c>
      <c r="T580" s="5" t="s">
        <v>240</v>
      </c>
      <c r="U580" s="5" t="s">
        <v>301</v>
      </c>
    </row>
    <row r="581" spans="2:21" x14ac:dyDescent="0.25">
      <c r="B581" t="s">
        <v>201</v>
      </c>
      <c r="C581" t="s">
        <v>303</v>
      </c>
      <c r="D581" t="s">
        <v>16</v>
      </c>
      <c r="E581" t="s">
        <v>7</v>
      </c>
      <c r="F581" s="5"/>
      <c r="G581" s="7">
        <v>45433</v>
      </c>
      <c r="H581" t="s">
        <v>274</v>
      </c>
      <c r="I581">
        <v>5000</v>
      </c>
      <c r="J581" s="5">
        <v>204145</v>
      </c>
      <c r="L581" s="5">
        <v>196498.3</v>
      </c>
      <c r="M581" s="5">
        <v>40.829000000000001</v>
      </c>
      <c r="N581" s="5">
        <v>39.299659999999996</v>
      </c>
      <c r="O581" s="5">
        <v>-7646.7000000000116</v>
      </c>
      <c r="P581" s="3">
        <v>-3.7457199539543032E-2</v>
      </c>
      <c r="Q581" s="9">
        <f t="shared" si="9"/>
        <v>286830.99845814012</v>
      </c>
      <c r="R581" s="5" t="str">
        <f>TEXT(Table1[[#This Row],[Closing Date]],"yyyy")</f>
        <v>2024</v>
      </c>
      <c r="S581" s="5" t="str">
        <f>TEXT(Table1[[#This Row],[Closing Date]],"mmmm")</f>
        <v>May</v>
      </c>
      <c r="T581" s="5" t="s">
        <v>240</v>
      </c>
      <c r="U581" s="5" t="s">
        <v>301</v>
      </c>
    </row>
    <row r="582" spans="2:21" x14ac:dyDescent="0.25">
      <c r="B582" t="s">
        <v>201</v>
      </c>
      <c r="C582" t="s">
        <v>305</v>
      </c>
      <c r="D582" t="s">
        <v>16</v>
      </c>
      <c r="E582" t="s">
        <v>7</v>
      </c>
      <c r="F582" s="11">
        <v>45427</v>
      </c>
      <c r="G582" s="7">
        <v>45434</v>
      </c>
      <c r="H582" t="s">
        <v>300</v>
      </c>
      <c r="I582">
        <v>1200</v>
      </c>
      <c r="J582" s="5">
        <v>141911.88</v>
      </c>
      <c r="K582" s="13">
        <v>1</v>
      </c>
      <c r="L582" s="5">
        <v>137973.35999999999</v>
      </c>
      <c r="M582" s="5">
        <f>Table1[[#This Row],[Open Value]]/Table1[[#This Row],[Shares]]/Table1[[#This Row],[Multiplier]]</f>
        <v>118.2599</v>
      </c>
      <c r="N582" s="5">
        <f>Table1[[#This Row],[Close Value]]/Table1[[#This Row],[Shares]]/Table1[[#This Row],[Multiplier]]</f>
        <v>114.97779999999999</v>
      </c>
      <c r="O582" s="5">
        <f>Table1[[#This Row],[Close Value]]-Table1[[#This Row],[Open Value]]</f>
        <v>-3938.5200000000186</v>
      </c>
      <c r="P582" s="3">
        <f>Table1[[#This Row],[PnL]]/Table1[[#This Row],[Open Value]]</f>
        <v>-2.7753279006662575E-2</v>
      </c>
      <c r="Q582" s="9">
        <f t="shared" si="9"/>
        <v>282892.4784581401</v>
      </c>
      <c r="R582" s="5" t="str">
        <f>TEXT(Table1[[#This Row],[Closing Date]],"yyyy")</f>
        <v>2024</v>
      </c>
      <c r="S582" s="5" t="str">
        <f>TEXT(Table1[[#This Row],[Closing Date]],"mmmm")</f>
        <v>May</v>
      </c>
      <c r="T582" s="5" t="s">
        <v>240</v>
      </c>
      <c r="U582" s="5" t="s">
        <v>203</v>
      </c>
    </row>
    <row r="583" spans="2:21" x14ac:dyDescent="0.25">
      <c r="B583" t="s">
        <v>197</v>
      </c>
      <c r="C583" t="s">
        <v>306</v>
      </c>
      <c r="D583" t="s">
        <v>102</v>
      </c>
      <c r="E583" t="s">
        <v>7</v>
      </c>
      <c r="F583" s="5"/>
      <c r="G583" s="7">
        <v>45435</v>
      </c>
      <c r="H583" t="s">
        <v>136</v>
      </c>
      <c r="I583">
        <v>5</v>
      </c>
      <c r="J583" s="5">
        <v>8698.48</v>
      </c>
      <c r="K583" s="13">
        <v>100</v>
      </c>
      <c r="L583" s="5">
        <v>6487</v>
      </c>
      <c r="M583" s="5">
        <v>17.39696</v>
      </c>
      <c r="N583" s="5">
        <v>12.974</v>
      </c>
      <c r="O583" s="5">
        <v>-2211.4799999999996</v>
      </c>
      <c r="P583" s="3">
        <v>-0.25423752195785931</v>
      </c>
      <c r="Q583" s="9">
        <f t="shared" si="9"/>
        <v>280680.99845814012</v>
      </c>
      <c r="R583" s="5" t="str">
        <f>TEXT(Table1[[#This Row],[Closing Date]],"yyyy")</f>
        <v>2024</v>
      </c>
      <c r="S583" s="5" t="str">
        <f>TEXT(Table1[[#This Row],[Closing Date]],"mmmm")</f>
        <v>May</v>
      </c>
      <c r="T583" s="5" t="s">
        <v>240</v>
      </c>
      <c r="U583" s="5" t="s">
        <v>301</v>
      </c>
    </row>
    <row r="584" spans="2:21" x14ac:dyDescent="0.25">
      <c r="B584" t="s">
        <v>197</v>
      </c>
      <c r="C584" t="s">
        <v>302</v>
      </c>
      <c r="D584" t="s">
        <v>102</v>
      </c>
      <c r="E584" t="s">
        <v>7</v>
      </c>
      <c r="F584" s="11">
        <v>45371</v>
      </c>
      <c r="G584" s="7">
        <v>45435</v>
      </c>
      <c r="H584" t="s">
        <v>209</v>
      </c>
      <c r="I584">
        <v>100</v>
      </c>
      <c r="J584" s="5">
        <v>9992.23</v>
      </c>
      <c r="K584" s="13">
        <v>100</v>
      </c>
      <c r="L584" s="5">
        <v>0</v>
      </c>
      <c r="M584" s="5">
        <f>Table1[[#This Row],[Open Value]]/Table1[[#This Row],[Shares]]/Table1[[#This Row],[Multiplier]]</f>
        <v>0.99922299999999997</v>
      </c>
      <c r="N584" s="5">
        <f>Table1[[#This Row],[Close Value]]/Table1[[#This Row],[Shares]]/Table1[[#This Row],[Multiplier]]</f>
        <v>0</v>
      </c>
      <c r="O584" s="5">
        <f>79.57-1870.97</f>
        <v>-1791.4</v>
      </c>
      <c r="P584" s="3">
        <f>Table1[[#This Row],[PnL]]/Table1[[#This Row],[Open Value]]</f>
        <v>-0.17927930001611253</v>
      </c>
      <c r="Q584" s="9">
        <f t="shared" si="9"/>
        <v>278889.5984581401</v>
      </c>
      <c r="R584" s="5" t="str">
        <f>TEXT(Table1[[#This Row],[Closing Date]],"yyyy")</f>
        <v>2024</v>
      </c>
      <c r="S584" s="5" t="str">
        <f>TEXT(Table1[[#This Row],[Closing Date]],"mmmm")</f>
        <v>May</v>
      </c>
      <c r="T584" s="5"/>
      <c r="U584" s="5"/>
    </row>
    <row r="585" spans="2:21" x14ac:dyDescent="0.25">
      <c r="B585" t="s">
        <v>197</v>
      </c>
      <c r="C585" t="s">
        <v>302</v>
      </c>
      <c r="D585" t="s">
        <v>102</v>
      </c>
      <c r="E585" t="s">
        <v>7</v>
      </c>
      <c r="F585" s="11">
        <v>45432</v>
      </c>
      <c r="G585" s="7">
        <v>45436</v>
      </c>
      <c r="H585" t="s">
        <v>37</v>
      </c>
      <c r="I585">
        <v>10</v>
      </c>
      <c r="J585" s="5">
        <v>2607</v>
      </c>
      <c r="K585" s="13">
        <v>100</v>
      </c>
      <c r="L585" s="5">
        <v>5535.96</v>
      </c>
      <c r="M585" s="5">
        <v>2.6069999999999998</v>
      </c>
      <c r="N585" s="5">
        <v>7.9085142857142854</v>
      </c>
      <c r="O585" s="5">
        <v>2928.96</v>
      </c>
      <c r="P585" s="3">
        <v>2.0335689626828866</v>
      </c>
      <c r="Q585" s="9">
        <f t="shared" si="9"/>
        <v>281818.55845814012</v>
      </c>
      <c r="R585" s="5" t="str">
        <f>TEXT(Table1[[#This Row],[Closing Date]],"yyyy")</f>
        <v>2024</v>
      </c>
      <c r="S585" s="5" t="str">
        <f>TEXT(Table1[[#This Row],[Closing Date]],"mmmm")</f>
        <v>May</v>
      </c>
      <c r="T585" s="5" t="s">
        <v>240</v>
      </c>
      <c r="U585" s="5" t="s">
        <v>301</v>
      </c>
    </row>
    <row r="586" spans="2:21" x14ac:dyDescent="0.25">
      <c r="B586" t="s">
        <v>201</v>
      </c>
      <c r="C586" t="s">
        <v>303</v>
      </c>
      <c r="D586" t="s">
        <v>12</v>
      </c>
      <c r="E586" t="s">
        <v>7</v>
      </c>
      <c r="F586" s="5"/>
      <c r="G586" s="7">
        <v>45440</v>
      </c>
      <c r="H586" t="s">
        <v>85</v>
      </c>
      <c r="I586">
        <v>13</v>
      </c>
      <c r="J586" s="5">
        <v>84173.51</v>
      </c>
      <c r="L586" s="5">
        <v>88161</v>
      </c>
      <c r="M586" s="5">
        <v>64748.853846153841</v>
      </c>
      <c r="N586" s="5">
        <v>6.7816153846153844</v>
      </c>
      <c r="O586" s="5">
        <v>3987.4900000000052</v>
      </c>
      <c r="P586" s="3">
        <v>4.7372267118241898E-2</v>
      </c>
      <c r="Q586" s="9">
        <f t="shared" si="9"/>
        <v>285806.04845814011</v>
      </c>
      <c r="R586" s="5" t="str">
        <f>TEXT(Table1[[#This Row],[Closing Date]],"yyyy")</f>
        <v>2024</v>
      </c>
      <c r="S586" s="5" t="str">
        <f>TEXT(Table1[[#This Row],[Closing Date]],"mmmm")</f>
        <v>May</v>
      </c>
      <c r="T586" s="5" t="s">
        <v>240</v>
      </c>
      <c r="U586" s="5" t="s">
        <v>301</v>
      </c>
    </row>
    <row r="587" spans="2:21" x14ac:dyDescent="0.25">
      <c r="B587" t="s">
        <v>201</v>
      </c>
      <c r="C587" t="s">
        <v>303</v>
      </c>
      <c r="D587" t="s">
        <v>12</v>
      </c>
      <c r="E587" t="s">
        <v>7</v>
      </c>
      <c r="F587" s="5"/>
      <c r="G587" s="7">
        <v>45440</v>
      </c>
      <c r="H587" t="s">
        <v>271</v>
      </c>
      <c r="I587">
        <v>350</v>
      </c>
      <c r="J587" s="5">
        <v>100234</v>
      </c>
      <c r="L587" s="5">
        <v>111571.65</v>
      </c>
      <c r="M587" s="5">
        <v>0.25569897959183674</v>
      </c>
      <c r="N587" s="5">
        <v>0.31877614285714284</v>
      </c>
      <c r="O587" s="5">
        <v>11337.649999999994</v>
      </c>
      <c r="P587" s="3">
        <v>0.11311181834507247</v>
      </c>
      <c r="Q587" s="9">
        <f t="shared" si="9"/>
        <v>297143.69845814013</v>
      </c>
      <c r="R587" s="5" t="str">
        <f>TEXT(Table1[[#This Row],[Closing Date]],"yyyy")</f>
        <v>2024</v>
      </c>
      <c r="S587" s="5" t="str">
        <f>TEXT(Table1[[#This Row],[Closing Date]],"mmmm")</f>
        <v>May</v>
      </c>
      <c r="T587" s="5" t="s">
        <v>240</v>
      </c>
      <c r="U587" s="5" t="s">
        <v>301</v>
      </c>
    </row>
    <row r="588" spans="2:21" x14ac:dyDescent="0.25">
      <c r="B588" t="s">
        <v>201</v>
      </c>
      <c r="C588" t="s">
        <v>303</v>
      </c>
      <c r="D588" t="s">
        <v>16</v>
      </c>
      <c r="E588" t="s">
        <v>7</v>
      </c>
      <c r="F588" s="5"/>
      <c r="G588" s="7">
        <v>45440</v>
      </c>
      <c r="H588" t="s">
        <v>218</v>
      </c>
      <c r="I588">
        <v>3800</v>
      </c>
      <c r="J588" s="5">
        <v>70699</v>
      </c>
      <c r="L588" s="5">
        <v>63360.93</v>
      </c>
      <c r="M588" s="5">
        <v>18.605</v>
      </c>
      <c r="N588" s="5">
        <v>16.67392894736842</v>
      </c>
      <c r="O588" s="5">
        <v>-7338.07</v>
      </c>
      <c r="P588" s="3">
        <v>-0.10379312295789191</v>
      </c>
      <c r="Q588" s="9">
        <f t="shared" si="9"/>
        <v>289805.62845814013</v>
      </c>
      <c r="R588" s="5" t="str">
        <f>TEXT(Table1[[#This Row],[Closing Date]],"yyyy")</f>
        <v>2024</v>
      </c>
      <c r="S588" s="5" t="str">
        <f>TEXT(Table1[[#This Row],[Closing Date]],"mmmm")</f>
        <v>May</v>
      </c>
      <c r="T588" s="5" t="s">
        <v>240</v>
      </c>
      <c r="U588" s="5" t="s">
        <v>301</v>
      </c>
    </row>
    <row r="589" spans="2:21" x14ac:dyDescent="0.25">
      <c r="B589" t="s">
        <v>201</v>
      </c>
      <c r="C589" t="s">
        <v>303</v>
      </c>
      <c r="D589" t="s">
        <v>16</v>
      </c>
      <c r="E589" t="s">
        <v>7</v>
      </c>
      <c r="F589" s="5"/>
      <c r="G589" s="7">
        <v>45440</v>
      </c>
      <c r="H589" t="s">
        <v>23</v>
      </c>
      <c r="I589">
        <v>2700</v>
      </c>
      <c r="J589" s="5">
        <v>61030.689999999995</v>
      </c>
      <c r="L589" s="5">
        <v>55792.92</v>
      </c>
      <c r="M589" s="5">
        <v>22.603959259259259</v>
      </c>
      <c r="N589" s="5">
        <v>20.664044444444443</v>
      </c>
      <c r="O589" s="5">
        <v>-5237.7699999999968</v>
      </c>
      <c r="P589" s="3">
        <v>-8.5821903701236171E-2</v>
      </c>
      <c r="Q589" s="9">
        <f t="shared" si="9"/>
        <v>284567.85845814011</v>
      </c>
      <c r="R589" s="5" t="str">
        <f>TEXT(Table1[[#This Row],[Closing Date]],"yyyy")</f>
        <v>2024</v>
      </c>
      <c r="S589" s="5" t="str">
        <f>TEXT(Table1[[#This Row],[Closing Date]],"mmmm")</f>
        <v>May</v>
      </c>
      <c r="T589" s="5" t="s">
        <v>240</v>
      </c>
      <c r="U589" s="5" t="s">
        <v>301</v>
      </c>
    </row>
    <row r="590" spans="2:21" x14ac:dyDescent="0.25">
      <c r="B590" t="s">
        <v>201</v>
      </c>
      <c r="C590" t="s">
        <v>303</v>
      </c>
      <c r="D590" t="s">
        <v>12</v>
      </c>
      <c r="E590" t="s">
        <v>7</v>
      </c>
      <c r="F590" s="5"/>
      <c r="G590" s="7">
        <v>45440</v>
      </c>
      <c r="H590" t="s">
        <v>271</v>
      </c>
      <c r="I590">
        <v>300</v>
      </c>
      <c r="J590" s="5">
        <v>116851</v>
      </c>
      <c r="L590" s="5">
        <v>106275.2</v>
      </c>
      <c r="M590" s="5">
        <v>3895.0333333333333</v>
      </c>
      <c r="N590" s="5">
        <v>0.35425066666666666</v>
      </c>
      <c r="O590" s="5">
        <v>-10575.800000000003</v>
      </c>
      <c r="P590" s="3">
        <v>-9.050671367810291E-2</v>
      </c>
      <c r="Q590" s="9">
        <f t="shared" si="9"/>
        <v>273992.05845814012</v>
      </c>
      <c r="R590" s="5" t="str">
        <f>TEXT(Table1[[#This Row],[Closing Date]],"yyyy")</f>
        <v>2024</v>
      </c>
      <c r="S590" s="5" t="str">
        <f>TEXT(Table1[[#This Row],[Closing Date]],"mmmm")</f>
        <v>May</v>
      </c>
      <c r="T590" s="5" t="s">
        <v>240</v>
      </c>
      <c r="U590" s="5" t="s">
        <v>301</v>
      </c>
    </row>
    <row r="591" spans="2:21" x14ac:dyDescent="0.25">
      <c r="B591" t="s">
        <v>201</v>
      </c>
      <c r="C591" t="s">
        <v>303</v>
      </c>
      <c r="D591" t="s">
        <v>12</v>
      </c>
      <c r="E591" t="s">
        <v>7</v>
      </c>
      <c r="F591" s="5"/>
      <c r="G591" s="7">
        <v>45442</v>
      </c>
      <c r="H591" t="s">
        <v>13</v>
      </c>
      <c r="I591">
        <v>7</v>
      </c>
      <c r="J591" s="5">
        <v>539086.59</v>
      </c>
      <c r="L591" s="5">
        <v>529533.40999999992</v>
      </c>
      <c r="M591" s="5">
        <v>77.01236999999999</v>
      </c>
      <c r="N591" s="5">
        <v>75.647629999999978</v>
      </c>
      <c r="O591" s="5">
        <v>-9553.1800000000512</v>
      </c>
      <c r="P591" s="3">
        <v>-1.7721049228844762E-2</v>
      </c>
      <c r="Q591" s="9">
        <f t="shared" si="9"/>
        <v>264438.87845814007</v>
      </c>
      <c r="R591" s="5" t="str">
        <f>TEXT(Table1[[#This Row],[Closing Date]],"yyyy")</f>
        <v>2024</v>
      </c>
      <c r="S591" s="5" t="str">
        <f>TEXT(Table1[[#This Row],[Closing Date]],"mmmm")</f>
        <v>May</v>
      </c>
      <c r="T591" s="5" t="s">
        <v>240</v>
      </c>
      <c r="U591" s="5" t="s">
        <v>301</v>
      </c>
    </row>
    <row r="592" spans="2:21" x14ac:dyDescent="0.25">
      <c r="B592" t="s">
        <v>201</v>
      </c>
      <c r="C592" t="s">
        <v>303</v>
      </c>
      <c r="D592" t="s">
        <v>16</v>
      </c>
      <c r="E592" t="s">
        <v>7</v>
      </c>
      <c r="F592" s="5"/>
      <c r="G592" s="7">
        <v>45442</v>
      </c>
      <c r="H592" t="s">
        <v>146</v>
      </c>
      <c r="I592">
        <v>1500</v>
      </c>
      <c r="J592" s="5">
        <v>125954</v>
      </c>
      <c r="L592" s="5">
        <v>116454.26</v>
      </c>
      <c r="M592" s="5">
        <v>83.969333333333338</v>
      </c>
      <c r="N592" s="5">
        <v>77.636173333333332</v>
      </c>
      <c r="O592" s="5">
        <v>-9499.7400000000052</v>
      </c>
      <c r="P592" s="3">
        <v>-7.5422297029074145E-2</v>
      </c>
      <c r="Q592" s="9">
        <f t="shared" si="9"/>
        <v>254939.13845814008</v>
      </c>
      <c r="R592" s="5" t="str">
        <f>TEXT(Table1[[#This Row],[Closing Date]],"yyyy")</f>
        <v>2024</v>
      </c>
      <c r="S592" s="5" t="str">
        <f>TEXT(Table1[[#This Row],[Closing Date]],"mmmm")</f>
        <v>May</v>
      </c>
      <c r="T592" s="5" t="s">
        <v>240</v>
      </c>
      <c r="U592" s="5" t="s">
        <v>301</v>
      </c>
    </row>
    <row r="593" spans="2:21" x14ac:dyDescent="0.25">
      <c r="B593" t="s">
        <v>201</v>
      </c>
      <c r="C593" t="s">
        <v>305</v>
      </c>
      <c r="D593" t="s">
        <v>16</v>
      </c>
      <c r="E593" t="s">
        <v>7</v>
      </c>
      <c r="F593" s="11">
        <v>45432</v>
      </c>
      <c r="G593" s="7">
        <v>45443</v>
      </c>
      <c r="H593" t="s">
        <v>96</v>
      </c>
      <c r="I593">
        <v>650</v>
      </c>
      <c r="J593" s="5">
        <v>121296.37</v>
      </c>
      <c r="K593" s="13">
        <v>1</v>
      </c>
      <c r="L593" s="5">
        <v>116285.32</v>
      </c>
      <c r="M593" s="5">
        <f>Table1[[#This Row],[Open Value]]/Table1[[#This Row],[Shares]]/Table1[[#This Row],[Multiplier]]</f>
        <v>186.60980000000001</v>
      </c>
      <c r="N593" s="5">
        <f>Table1[[#This Row],[Close Value]]/Table1[[#This Row],[Shares]]/Table1[[#This Row],[Multiplier]]</f>
        <v>178.90049230769233</v>
      </c>
      <c r="O593" s="5">
        <f>Table1[[#This Row],[Close Value]]-Table1[[#This Row],[Open Value]]</f>
        <v>-5011.0499999999884</v>
      </c>
      <c r="P593" s="3">
        <f>Table1[[#This Row],[PnL]]/Table1[[#This Row],[Open Value]]</f>
        <v>-4.1312448179611549E-2</v>
      </c>
      <c r="Q593" s="9">
        <f t="shared" si="9"/>
        <v>249928.08845814009</v>
      </c>
      <c r="R593" s="5" t="str">
        <f>TEXT(Table1[[#This Row],[Closing Date]],"yyyy")</f>
        <v>2024</v>
      </c>
      <c r="S593" s="5" t="str">
        <f>TEXT(Table1[[#This Row],[Closing Date]],"mmmm")</f>
        <v>May</v>
      </c>
      <c r="T593" s="5" t="s">
        <v>240</v>
      </c>
      <c r="U593" s="5" t="s">
        <v>203</v>
      </c>
    </row>
    <row r="594" spans="2:21" x14ac:dyDescent="0.25">
      <c r="B594" t="s">
        <v>201</v>
      </c>
      <c r="C594" t="s">
        <v>303</v>
      </c>
      <c r="D594" t="s">
        <v>12</v>
      </c>
      <c r="E594" t="s">
        <v>7</v>
      </c>
      <c r="F594" s="5"/>
      <c r="G594" s="7">
        <v>45446</v>
      </c>
      <c r="H594" t="s">
        <v>87</v>
      </c>
      <c r="I594">
        <v>5</v>
      </c>
      <c r="J594" s="5">
        <v>304000</v>
      </c>
      <c r="L594" s="5">
        <v>299295.3</v>
      </c>
      <c r="M594" s="5">
        <v>1216</v>
      </c>
      <c r="N594" s="5">
        <v>59.859059999999999</v>
      </c>
      <c r="O594" s="5">
        <v>-4704.7000000000116</v>
      </c>
      <c r="P594" s="3">
        <v>-1.5475986842105301E-2</v>
      </c>
      <c r="Q594" s="9">
        <f t="shared" si="9"/>
        <v>245223.38845814008</v>
      </c>
      <c r="R594" s="5" t="str">
        <f>TEXT(Table1[[#This Row],[Closing Date]],"yyyy")</f>
        <v>2024</v>
      </c>
      <c r="S594" s="5" t="str">
        <f>TEXT(Table1[[#This Row],[Closing Date]],"mmmm")</f>
        <v>June</v>
      </c>
      <c r="T594" s="5" t="s">
        <v>240</v>
      </c>
      <c r="U594" s="5" t="s">
        <v>301</v>
      </c>
    </row>
    <row r="595" spans="2:21" x14ac:dyDescent="0.25">
      <c r="B595" t="s">
        <v>201</v>
      </c>
      <c r="C595" t="s">
        <v>303</v>
      </c>
      <c r="D595" t="s">
        <v>12</v>
      </c>
      <c r="E595" t="s">
        <v>7</v>
      </c>
      <c r="F595" s="5"/>
      <c r="G595" s="7">
        <v>45448</v>
      </c>
      <c r="H595" t="s">
        <v>270</v>
      </c>
      <c r="I595">
        <v>4</v>
      </c>
      <c r="J595" s="5">
        <v>139150</v>
      </c>
      <c r="L595" s="5">
        <v>130050</v>
      </c>
      <c r="M595" s="5">
        <v>695.75</v>
      </c>
      <c r="N595" s="5">
        <v>32.512500000000003</v>
      </c>
      <c r="O595" s="5">
        <v>-9100</v>
      </c>
      <c r="P595" s="3">
        <v>-6.5397053539346023E-2</v>
      </c>
      <c r="Q595" s="9">
        <f t="shared" si="9"/>
        <v>236123.38845814008</v>
      </c>
      <c r="R595" s="5" t="str">
        <f>TEXT(Table1[[#This Row],[Closing Date]],"yyyy")</f>
        <v>2024</v>
      </c>
      <c r="S595" s="5" t="str">
        <f>TEXT(Table1[[#This Row],[Closing Date]],"mmmm")</f>
        <v>June</v>
      </c>
      <c r="T595" s="5" t="s">
        <v>240</v>
      </c>
      <c r="U595" s="5" t="s">
        <v>301</v>
      </c>
    </row>
    <row r="596" spans="2:21" x14ac:dyDescent="0.25">
      <c r="B596" t="s">
        <v>197</v>
      </c>
      <c r="C596" t="s">
        <v>302</v>
      </c>
      <c r="D596" t="s">
        <v>102</v>
      </c>
      <c r="E596" t="s">
        <v>7</v>
      </c>
      <c r="F596" s="11">
        <v>45440</v>
      </c>
      <c r="G596" s="7">
        <v>45450</v>
      </c>
      <c r="H596" t="s">
        <v>105</v>
      </c>
      <c r="I596">
        <v>10</v>
      </c>
      <c r="J596" s="5">
        <v>3296.97</v>
      </c>
      <c r="K596" s="13">
        <v>100</v>
      </c>
      <c r="L596" s="5">
        <v>0</v>
      </c>
      <c r="M596" s="5">
        <v>3.29697</v>
      </c>
      <c r="N596" s="5">
        <v>0</v>
      </c>
      <c r="O596" s="5">
        <v>-3296.97</v>
      </c>
      <c r="P596" s="3">
        <v>-1</v>
      </c>
      <c r="Q596" s="9">
        <f t="shared" si="9"/>
        <v>232826.41845814008</v>
      </c>
      <c r="R596" s="5" t="str">
        <f>TEXT(Table1[[#This Row],[Closing Date]],"yyyy")</f>
        <v>2024</v>
      </c>
      <c r="S596" s="5" t="str">
        <f>TEXT(Table1[[#This Row],[Closing Date]],"mmmm")</f>
        <v>June</v>
      </c>
      <c r="T596" s="5" t="s">
        <v>240</v>
      </c>
      <c r="U596" s="5" t="s">
        <v>301</v>
      </c>
    </row>
    <row r="597" spans="2:21" x14ac:dyDescent="0.25">
      <c r="B597" t="s">
        <v>201</v>
      </c>
      <c r="C597" t="s">
        <v>303</v>
      </c>
      <c r="D597" t="s">
        <v>16</v>
      </c>
      <c r="E597" t="s">
        <v>7</v>
      </c>
      <c r="F597" s="5"/>
      <c r="G597" s="7">
        <v>45450</v>
      </c>
      <c r="H597" t="s">
        <v>139</v>
      </c>
      <c r="I597">
        <v>1000</v>
      </c>
      <c r="J597" s="5">
        <v>138552.85</v>
      </c>
      <c r="L597" s="5">
        <v>128582.36</v>
      </c>
      <c r="M597" s="5">
        <v>138.55285000000001</v>
      </c>
      <c r="N597" s="5">
        <v>128.58235999999999</v>
      </c>
      <c r="O597" s="5">
        <v>-9970.4900000000052</v>
      </c>
      <c r="P597" s="3">
        <v>-7.1961637743287163E-2</v>
      </c>
      <c r="Q597" s="9">
        <f t="shared" si="9"/>
        <v>222855.92845814006</v>
      </c>
      <c r="R597" s="5" t="str">
        <f>TEXT(Table1[[#This Row],[Closing Date]],"yyyy")</f>
        <v>2024</v>
      </c>
      <c r="S597" s="5" t="str">
        <f>TEXT(Table1[[#This Row],[Closing Date]],"mmmm")</f>
        <v>June</v>
      </c>
      <c r="T597" s="5" t="s">
        <v>240</v>
      </c>
      <c r="U597" s="5" t="s">
        <v>301</v>
      </c>
    </row>
    <row r="598" spans="2:21" x14ac:dyDescent="0.25">
      <c r="B598" t="s">
        <v>197</v>
      </c>
      <c r="C598" t="s">
        <v>302</v>
      </c>
      <c r="D598" t="s">
        <v>97</v>
      </c>
      <c r="E598" t="s">
        <v>7</v>
      </c>
      <c r="F598" s="11">
        <v>45433</v>
      </c>
      <c r="G598" s="7">
        <v>45450</v>
      </c>
      <c r="H598" t="s">
        <v>162</v>
      </c>
      <c r="I598">
        <v>4</v>
      </c>
      <c r="J598" s="5">
        <v>3202.79</v>
      </c>
      <c r="K598" s="13">
        <v>100</v>
      </c>
      <c r="L598" s="5">
        <v>9321</v>
      </c>
      <c r="M598" s="5">
        <v>8.0069750000000006</v>
      </c>
      <c r="N598" s="5">
        <v>23.302499999999998</v>
      </c>
      <c r="O598" s="5">
        <v>6118.21</v>
      </c>
      <c r="P598" s="3">
        <v>1.9102751038937922</v>
      </c>
      <c r="Q598" s="9">
        <f t="shared" si="9"/>
        <v>228974.13845814005</v>
      </c>
      <c r="R598" s="5" t="str">
        <f>TEXT(Table1[[#This Row],[Closing Date]],"yyyy")</f>
        <v>2024</v>
      </c>
      <c r="S598" s="5" t="str">
        <f>TEXT(Table1[[#This Row],[Closing Date]],"mmmm")</f>
        <v>June</v>
      </c>
      <c r="T598" s="5" t="s">
        <v>240</v>
      </c>
      <c r="U598" s="5" t="s">
        <v>301</v>
      </c>
    </row>
    <row r="599" spans="2:21" x14ac:dyDescent="0.25">
      <c r="B599" t="s">
        <v>201</v>
      </c>
      <c r="C599" t="s">
        <v>306</v>
      </c>
      <c r="D599" t="s">
        <v>16</v>
      </c>
      <c r="E599" t="s">
        <v>7</v>
      </c>
      <c r="F599" s="11">
        <v>45385</v>
      </c>
      <c r="G599" s="7">
        <v>45450</v>
      </c>
      <c r="H599" t="s">
        <v>192</v>
      </c>
      <c r="I599">
        <v>9000</v>
      </c>
      <c r="J599" s="5">
        <v>195120</v>
      </c>
      <c r="K599" s="13">
        <v>1</v>
      </c>
      <c r="L599" s="5">
        <v>169908.09</v>
      </c>
      <c r="M599" s="5">
        <f>Table1[[#This Row],[Open Value]]/Table1[[#This Row],[Shares]]/Table1[[#This Row],[Multiplier]]</f>
        <v>21.68</v>
      </c>
      <c r="N599" s="5">
        <f>Table1[[#This Row],[Close Value]]/Table1[[#This Row],[Shares]]/Table1[[#This Row],[Multiplier]]</f>
        <v>18.878676666666667</v>
      </c>
      <c r="O599" s="5">
        <f>Table1[[#This Row],[Close Value]]-Table1[[#This Row],[Open Value]]</f>
        <v>-25211.910000000003</v>
      </c>
      <c r="P599" s="3">
        <f>Table1[[#This Row],[PnL]]/Table1[[#This Row],[Open Value]]</f>
        <v>-0.12921233087330875</v>
      </c>
      <c r="Q599" s="9">
        <f t="shared" si="9"/>
        <v>203762.22845814005</v>
      </c>
      <c r="R599" s="5" t="str">
        <f>TEXT(Table1[[#This Row],[Closing Date]],"yyyy")</f>
        <v>2024</v>
      </c>
      <c r="S599" s="5" t="str">
        <f>TEXT(Table1[[#This Row],[Closing Date]],"mmmm")</f>
        <v>June</v>
      </c>
      <c r="T599" s="5" t="s">
        <v>240</v>
      </c>
      <c r="U599" s="5" t="s">
        <v>203</v>
      </c>
    </row>
    <row r="600" spans="2:21" x14ac:dyDescent="0.25">
      <c r="B600" t="s">
        <v>201</v>
      </c>
      <c r="C600" t="s">
        <v>303</v>
      </c>
      <c r="D600" t="s">
        <v>16</v>
      </c>
      <c r="E600" t="s">
        <v>7</v>
      </c>
      <c r="F600" s="5"/>
      <c r="G600" s="7">
        <v>45453</v>
      </c>
      <c r="H600" t="s">
        <v>275</v>
      </c>
      <c r="I600">
        <v>1100</v>
      </c>
      <c r="J600" s="5">
        <v>25724</v>
      </c>
      <c r="L600" s="5">
        <v>36888.239999999998</v>
      </c>
      <c r="M600" s="5">
        <v>23.385454545454547</v>
      </c>
      <c r="N600" s="5">
        <v>46.110299999999995</v>
      </c>
      <c r="O600" s="5">
        <v>11164.239999999998</v>
      </c>
      <c r="P600" s="3">
        <v>0.43400093298087383</v>
      </c>
      <c r="Q600" s="9">
        <f t="shared" si="9"/>
        <v>214926.46845814004</v>
      </c>
      <c r="R600" s="5" t="str">
        <f>TEXT(Table1[[#This Row],[Closing Date]],"yyyy")</f>
        <v>2024</v>
      </c>
      <c r="S600" s="5" t="str">
        <f>TEXT(Table1[[#This Row],[Closing Date]],"mmmm")</f>
        <v>June</v>
      </c>
      <c r="T600" s="5" t="s">
        <v>240</v>
      </c>
      <c r="U600" s="5" t="s">
        <v>301</v>
      </c>
    </row>
    <row r="601" spans="2:21" x14ac:dyDescent="0.25">
      <c r="B601" t="s">
        <v>201</v>
      </c>
      <c r="C601" t="s">
        <v>305</v>
      </c>
      <c r="D601" t="s">
        <v>16</v>
      </c>
      <c r="E601" t="s">
        <v>7</v>
      </c>
      <c r="F601" s="11">
        <v>45364</v>
      </c>
      <c r="G601" s="7">
        <v>45454</v>
      </c>
      <c r="H601" t="s">
        <v>295</v>
      </c>
      <c r="I601">
        <v>1000</v>
      </c>
      <c r="J601" s="5">
        <v>93000</v>
      </c>
      <c r="K601" s="13">
        <v>1</v>
      </c>
      <c r="L601" s="5">
        <f>23.73+54949.56+53433.52</f>
        <v>108406.81</v>
      </c>
      <c r="M601" s="5">
        <f>Table1[[#This Row],[Open Value]]/Table1[[#This Row],[Shares]]/Table1[[#This Row],[Multiplier]]</f>
        <v>93</v>
      </c>
      <c r="N601" s="5">
        <f>Table1[[#This Row],[Close Value]]/Table1[[#This Row],[Shares]]/Table1[[#This Row],[Multiplier]]</f>
        <v>108.40680999999999</v>
      </c>
      <c r="O601" s="5">
        <f>Table1[[#This Row],[Close Value]]-Table1[[#This Row],[Open Value]]</f>
        <v>15406.809999999998</v>
      </c>
      <c r="P601" s="3">
        <f>Table1[[#This Row],[PnL]]/Table1[[#This Row],[Open Value]]</f>
        <v>0.16566462365591395</v>
      </c>
      <c r="Q601" s="9">
        <f t="shared" si="9"/>
        <v>230333.27845814003</v>
      </c>
      <c r="R601" s="5" t="str">
        <f>TEXT(Table1[[#This Row],[Closing Date]],"yyyy")</f>
        <v>2024</v>
      </c>
      <c r="S601" s="5" t="str">
        <f>TEXT(Table1[[#This Row],[Closing Date]],"mmmm")</f>
        <v>June</v>
      </c>
      <c r="T601" s="5" t="s">
        <v>240</v>
      </c>
      <c r="U601" s="5" t="s">
        <v>203</v>
      </c>
    </row>
    <row r="602" spans="2:21" x14ac:dyDescent="0.25">
      <c r="B602" t="s">
        <v>197</v>
      </c>
      <c r="C602" t="s">
        <v>302</v>
      </c>
      <c r="D602" t="s">
        <v>102</v>
      </c>
      <c r="E602" t="s">
        <v>7</v>
      </c>
      <c r="F602" s="11">
        <v>45443</v>
      </c>
      <c r="G602" s="7">
        <v>45455</v>
      </c>
      <c r="H602" t="s">
        <v>10</v>
      </c>
      <c r="I602">
        <v>7</v>
      </c>
      <c r="J602" s="5">
        <v>3853.13</v>
      </c>
      <c r="K602" s="13">
        <v>100</v>
      </c>
      <c r="L602" s="5">
        <f>Table1[[#This Row],[Open Value]]+Table1[[#This Row],[PnL]]</f>
        <v>5502.24</v>
      </c>
      <c r="M602" s="5">
        <f>Table1[[#This Row],[Open Value]]/Table1[[#This Row],[Shares]]</f>
        <v>550.44714285714292</v>
      </c>
      <c r="N602" s="5">
        <f>Table1[[#This Row],[Close Value]]/Table1[[#This Row],[Shares]]/Table1[[#This Row],[Multiplier]]</f>
        <v>7.8603428571428573</v>
      </c>
      <c r="O602" s="5">
        <v>1649.11</v>
      </c>
      <c r="P602" s="3">
        <f>Table1[[#This Row],[PnL]]/Table1[[#This Row],[Open Value]]</f>
        <v>0.42799230755256112</v>
      </c>
      <c r="Q602" s="9">
        <f t="shared" si="9"/>
        <v>231982.38845814002</v>
      </c>
      <c r="R602" s="5" t="str">
        <f>TEXT(Table1[[#This Row],[Closing Date]],"yyyy")</f>
        <v>2024</v>
      </c>
      <c r="S602" s="5" t="str">
        <f>TEXT(Table1[[#This Row],[Closing Date]],"mmmm")</f>
        <v>June</v>
      </c>
      <c r="T602" s="5" t="s">
        <v>240</v>
      </c>
      <c r="U602" s="5" t="s">
        <v>301</v>
      </c>
    </row>
    <row r="603" spans="2:21" x14ac:dyDescent="0.25">
      <c r="B603" t="s">
        <v>201</v>
      </c>
      <c r="C603" t="s">
        <v>303</v>
      </c>
      <c r="D603" t="s">
        <v>16</v>
      </c>
      <c r="E603" t="s">
        <v>7</v>
      </c>
      <c r="F603" s="5"/>
      <c r="G603" s="7">
        <v>45456</v>
      </c>
      <c r="H603" t="s">
        <v>263</v>
      </c>
      <c r="I603">
        <v>6000</v>
      </c>
      <c r="J603" s="5">
        <v>78450</v>
      </c>
      <c r="L603" s="5">
        <v>73169.95</v>
      </c>
      <c r="M603" s="5">
        <v>13.074999999999999</v>
      </c>
      <c r="N603" s="5">
        <v>12.194991666666667</v>
      </c>
      <c r="O603" s="5">
        <v>-5280.0500000000029</v>
      </c>
      <c r="P603" s="3">
        <v>-6.7304652644996854E-2</v>
      </c>
      <c r="Q603" s="9">
        <f t="shared" si="9"/>
        <v>226702.33845814003</v>
      </c>
      <c r="R603" s="5" t="str">
        <f>TEXT(Table1[[#This Row],[Closing Date]],"yyyy")</f>
        <v>2024</v>
      </c>
      <c r="S603" s="5" t="str">
        <f>TEXT(Table1[[#This Row],[Closing Date]],"mmmm")</f>
        <v>June</v>
      </c>
      <c r="T603" s="5" t="s">
        <v>240</v>
      </c>
      <c r="U603" s="5" t="s">
        <v>301</v>
      </c>
    </row>
    <row r="604" spans="2:21" x14ac:dyDescent="0.25">
      <c r="B604" t="s">
        <v>201</v>
      </c>
      <c r="C604" t="s">
        <v>303</v>
      </c>
      <c r="D604" t="s">
        <v>16</v>
      </c>
      <c r="E604" t="s">
        <v>7</v>
      </c>
      <c r="F604" s="5"/>
      <c r="G604" s="7">
        <v>45456</v>
      </c>
      <c r="H604" t="s">
        <v>281</v>
      </c>
      <c r="I604">
        <v>2600</v>
      </c>
      <c r="J604" s="5">
        <v>42913</v>
      </c>
      <c r="L604" s="5">
        <v>40075.11</v>
      </c>
      <c r="M604" s="5">
        <v>16.504999999999999</v>
      </c>
      <c r="N604" s="5">
        <v>15.413503846153846</v>
      </c>
      <c r="O604" s="5">
        <v>-2837.8899999999994</v>
      </c>
      <c r="P604" s="3">
        <v>-6.6131242280893884E-2</v>
      </c>
      <c r="Q604" s="9">
        <f t="shared" si="9"/>
        <v>223864.44845814002</v>
      </c>
      <c r="R604" s="5" t="str">
        <f>TEXT(Table1[[#This Row],[Closing Date]],"yyyy")</f>
        <v>2024</v>
      </c>
      <c r="S604" s="5" t="str">
        <f>TEXT(Table1[[#This Row],[Closing Date]],"mmmm")</f>
        <v>June</v>
      </c>
      <c r="T604" s="5" t="s">
        <v>240</v>
      </c>
      <c r="U604" s="5" t="s">
        <v>301</v>
      </c>
    </row>
    <row r="605" spans="2:21" x14ac:dyDescent="0.25">
      <c r="B605" t="s">
        <v>197</v>
      </c>
      <c r="C605" t="s">
        <v>302</v>
      </c>
      <c r="D605" t="s">
        <v>97</v>
      </c>
      <c r="E605" t="s">
        <v>7</v>
      </c>
      <c r="F605" s="11">
        <v>45448</v>
      </c>
      <c r="G605" s="7">
        <v>45457</v>
      </c>
      <c r="H605" t="s">
        <v>277</v>
      </c>
      <c r="I605">
        <v>15</v>
      </c>
      <c r="J605" s="5">
        <v>3555</v>
      </c>
      <c r="K605" s="13">
        <v>100</v>
      </c>
      <c r="L605" s="5">
        <v>2435</v>
      </c>
      <c r="M605" s="5">
        <v>2.37</v>
      </c>
      <c r="N605" s="5">
        <v>1.6233333333333335</v>
      </c>
      <c r="O605" s="5">
        <v>-1120</v>
      </c>
      <c r="P605" s="3">
        <v>-0.31504922644163147</v>
      </c>
      <c r="Q605" s="9">
        <f t="shared" si="9"/>
        <v>222744.44845814002</v>
      </c>
      <c r="R605" s="5" t="str">
        <f>TEXT(Table1[[#This Row],[Closing Date]],"yyyy")</f>
        <v>2024</v>
      </c>
      <c r="S605" s="5" t="str">
        <f>TEXT(Table1[[#This Row],[Closing Date]],"mmmm")</f>
        <v>June</v>
      </c>
      <c r="T605" s="5" t="s">
        <v>240</v>
      </c>
      <c r="U605" s="5" t="s">
        <v>301</v>
      </c>
    </row>
    <row r="606" spans="2:21" x14ac:dyDescent="0.25">
      <c r="B606" t="s">
        <v>201</v>
      </c>
      <c r="C606" t="s">
        <v>302</v>
      </c>
      <c r="D606" t="s">
        <v>16</v>
      </c>
      <c r="E606" t="s">
        <v>7</v>
      </c>
      <c r="F606" s="11">
        <v>45457</v>
      </c>
      <c r="G606" s="7">
        <v>45457</v>
      </c>
      <c r="H606" t="s">
        <v>170</v>
      </c>
      <c r="I606">
        <v>3000</v>
      </c>
      <c r="J606" s="5">
        <v>106233</v>
      </c>
      <c r="L606" s="5">
        <v>103655.87</v>
      </c>
      <c r="M606" s="5">
        <v>35.411000000000001</v>
      </c>
      <c r="N606" s="5">
        <v>34.551956666666662</v>
      </c>
      <c r="O606" s="5">
        <v>-2577.1300000000047</v>
      </c>
      <c r="P606" s="3">
        <v>-2.4259222652094969E-2</v>
      </c>
      <c r="Q606" s="9">
        <f t="shared" si="9"/>
        <v>220167.31845814001</v>
      </c>
      <c r="R606" s="5" t="str">
        <f>TEXT(Table1[[#This Row],[Closing Date]],"yyyy")</f>
        <v>2024</v>
      </c>
      <c r="S606" s="5" t="str">
        <f>TEXT(Table1[[#This Row],[Closing Date]],"mmmm")</f>
        <v>June</v>
      </c>
      <c r="T606" s="5" t="s">
        <v>240</v>
      </c>
      <c r="U606" s="5" t="s">
        <v>301</v>
      </c>
    </row>
    <row r="607" spans="2:21" x14ac:dyDescent="0.25">
      <c r="B607" t="s">
        <v>197</v>
      </c>
      <c r="C607" t="s">
        <v>303</v>
      </c>
      <c r="D607" t="s">
        <v>97</v>
      </c>
      <c r="E607" t="s">
        <v>7</v>
      </c>
      <c r="F607" s="11">
        <v>45448</v>
      </c>
      <c r="G607" s="7">
        <v>45457</v>
      </c>
      <c r="H607" t="s">
        <v>277</v>
      </c>
      <c r="I607">
        <v>15</v>
      </c>
      <c r="J607" s="5">
        <f>-275.4+3849.55</f>
        <v>3574.15</v>
      </c>
      <c r="K607" s="13">
        <v>100</v>
      </c>
      <c r="L607" s="5">
        <f>Table1[[#This Row],[Open Value]]+Table1[[#This Row],[PnL]]</f>
        <v>2427.91</v>
      </c>
      <c r="M607" s="5">
        <f>Table1[[#This Row],[Open Value]]/Table1[[#This Row],[Shares]]</f>
        <v>238.27666666666667</v>
      </c>
      <c r="N607" s="5">
        <f>Table1[[#This Row],[Close Value]]/Table1[[#This Row],[Shares]]/Table1[[#This Row],[Multiplier]]</f>
        <v>1.6186066666666665</v>
      </c>
      <c r="O607" s="5">
        <f>-1218.14+71.9</f>
        <v>-1146.24</v>
      </c>
      <c r="P607" s="3">
        <f>Table1[[#This Row],[PnL]]/Table1[[#This Row],[Open Value]]</f>
        <v>-0.32070282444777082</v>
      </c>
      <c r="Q607" s="9">
        <f t="shared" si="9"/>
        <v>219021.07845814002</v>
      </c>
      <c r="R607" s="5" t="str">
        <f>TEXT(Table1[[#This Row],[Closing Date]],"yyyy")</f>
        <v>2024</v>
      </c>
      <c r="S607" s="5" t="str">
        <f>TEXT(Table1[[#This Row],[Closing Date]],"mmmm")</f>
        <v>June</v>
      </c>
      <c r="T607" s="5" t="s">
        <v>240</v>
      </c>
      <c r="U607" s="5" t="s">
        <v>301</v>
      </c>
    </row>
    <row r="608" spans="2:21" x14ac:dyDescent="0.25">
      <c r="B608" t="s">
        <v>201</v>
      </c>
      <c r="C608" t="s">
        <v>303</v>
      </c>
      <c r="D608" t="s">
        <v>16</v>
      </c>
      <c r="E608" t="s">
        <v>7</v>
      </c>
      <c r="F608" s="11">
        <v>45449</v>
      </c>
      <c r="G608" s="7">
        <v>45460</v>
      </c>
      <c r="H608" t="s">
        <v>280</v>
      </c>
      <c r="I608">
        <v>575</v>
      </c>
      <c r="J608" s="5">
        <v>101214.38</v>
      </c>
      <c r="L608" s="5">
        <v>105561.07</v>
      </c>
      <c r="M608" s="5">
        <v>176.02500869565219</v>
      </c>
      <c r="N608" s="5">
        <v>183.5844695652174</v>
      </c>
      <c r="O608" s="5">
        <v>4346.6900000000023</v>
      </c>
      <c r="P608" s="3">
        <v>4.2945379895623546E-2</v>
      </c>
      <c r="Q608" s="9">
        <f t="shared" si="9"/>
        <v>223367.76845814002</v>
      </c>
      <c r="R608" s="5" t="str">
        <f>TEXT(Table1[[#This Row],[Closing Date]],"yyyy")</f>
        <v>2024</v>
      </c>
      <c r="S608" s="5" t="str">
        <f>TEXT(Table1[[#This Row],[Closing Date]],"mmmm")</f>
        <v>June</v>
      </c>
      <c r="T608" s="5" t="s">
        <v>240</v>
      </c>
      <c r="U608" s="5" t="s">
        <v>301</v>
      </c>
    </row>
    <row r="609" spans="2:21" x14ac:dyDescent="0.25">
      <c r="B609" t="s">
        <v>201</v>
      </c>
      <c r="C609" t="s">
        <v>303</v>
      </c>
      <c r="D609" t="s">
        <v>12</v>
      </c>
      <c r="E609" t="s">
        <v>7</v>
      </c>
      <c r="F609" s="11">
        <v>45437</v>
      </c>
      <c r="G609" s="7">
        <v>45460</v>
      </c>
      <c r="H609" t="s">
        <v>286</v>
      </c>
      <c r="I609">
        <v>2</v>
      </c>
      <c r="J609" s="5">
        <v>154280.94</v>
      </c>
      <c r="K609" s="13">
        <v>375</v>
      </c>
      <c r="L609" s="5">
        <f>Table1[[#This Row],[Open Value]]+Table1[[#This Row],[PnL]]</f>
        <v>170356.56</v>
      </c>
      <c r="M609" s="5">
        <f>Table1[[#This Row],[Open Value]]/Table1[[#This Row],[Shares]]/Table1[[#This Row],[Multiplier]]</f>
        <v>205.70792</v>
      </c>
      <c r="N609" s="5">
        <f>Table1[[#This Row],[Close Value]]/Table1[[#This Row],[Shares]]/Table1[[#This Row],[Multiplier]]</f>
        <v>227.14207999999999</v>
      </c>
      <c r="O609" s="5">
        <v>16075.62</v>
      </c>
      <c r="P609" s="3">
        <f>Table1[[#This Row],[PnL]]/Table1[[#This Row],[Open Value]]</f>
        <v>0.10419705765339517</v>
      </c>
      <c r="Q609" s="9">
        <f t="shared" si="9"/>
        <v>239443.38845814002</v>
      </c>
      <c r="R609" s="5" t="str">
        <f>TEXT(Table1[[#This Row],[Closing Date]],"yyyy")</f>
        <v>2024</v>
      </c>
      <c r="S609" s="5" t="str">
        <f>TEXT(Table1[[#This Row],[Closing Date]],"mmmm")</f>
        <v>June</v>
      </c>
      <c r="T609" s="5" t="s">
        <v>240</v>
      </c>
      <c r="U609" s="5" t="s">
        <v>301</v>
      </c>
    </row>
    <row r="610" spans="2:21" x14ac:dyDescent="0.25">
      <c r="B610" t="s">
        <v>197</v>
      </c>
      <c r="C610" t="s">
        <v>303</v>
      </c>
      <c r="D610" t="s">
        <v>102</v>
      </c>
      <c r="E610" t="s">
        <v>7</v>
      </c>
      <c r="F610" s="5"/>
      <c r="G610" s="7">
        <v>45461</v>
      </c>
      <c r="H610" t="s">
        <v>9</v>
      </c>
      <c r="I610">
        <v>40</v>
      </c>
      <c r="J610" s="5">
        <v>10064</v>
      </c>
      <c r="K610" s="13">
        <v>100</v>
      </c>
      <c r="L610" s="5">
        <v>10584</v>
      </c>
      <c r="M610" s="5">
        <f>Table1[[#This Row],[Open Value]]/Table1[[#This Row],[Shares]]/Table1[[#This Row],[Multiplier]]</f>
        <v>2.516</v>
      </c>
      <c r="N610" s="5">
        <f>Table1[[#This Row],[Close Value]]/Table1[[#This Row],[Shares]]/Table1[[#This Row],[Multiplier]]</f>
        <v>2.6460000000000004</v>
      </c>
      <c r="O610" s="5">
        <v>520</v>
      </c>
      <c r="P610" s="3">
        <v>5.1669316375198865E-2</v>
      </c>
      <c r="Q610" s="9">
        <f t="shared" si="9"/>
        <v>239963.38845814002</v>
      </c>
      <c r="R610" s="5" t="str">
        <f>TEXT(Table1[[#This Row],[Closing Date]],"yyyy")</f>
        <v>2024</v>
      </c>
      <c r="S610" s="5" t="str">
        <f>TEXT(Table1[[#This Row],[Closing Date]],"mmmm")</f>
        <v>June</v>
      </c>
      <c r="T610" s="5" t="s">
        <v>240</v>
      </c>
      <c r="U610" s="5" t="s">
        <v>301</v>
      </c>
    </row>
    <row r="611" spans="2:21" x14ac:dyDescent="0.25">
      <c r="B611" t="s">
        <v>201</v>
      </c>
      <c r="C611" t="s">
        <v>303</v>
      </c>
      <c r="D611" t="s">
        <v>12</v>
      </c>
      <c r="E611" t="s">
        <v>7</v>
      </c>
      <c r="F611" s="11">
        <v>45448</v>
      </c>
      <c r="G611" s="7">
        <v>45461</v>
      </c>
      <c r="H611" t="s">
        <v>85</v>
      </c>
      <c r="I611">
        <v>7</v>
      </c>
      <c r="J611" s="5">
        <v>50530.89</v>
      </c>
      <c r="K611" s="13">
        <v>0.1</v>
      </c>
      <c r="L611" s="5">
        <f>Table1[[#This Row],[Open Value]]+Table1[[#This Row],[PnL]]</f>
        <v>45325.89</v>
      </c>
      <c r="M611" s="5">
        <f>Table1[[#This Row],[Open Value]]/Table1[[#This Row],[Shares]]/Table1[[#This Row],[Multiplier]]</f>
        <v>72186.985714285707</v>
      </c>
      <c r="N611" s="5">
        <f>Table1[[#This Row],[Close Value]]/Table1[[#This Row],[Shares]]/Table1[[#This Row],[Multiplier]]</f>
        <v>64751.271428571425</v>
      </c>
      <c r="O611" s="5">
        <v>-5205</v>
      </c>
      <c r="P611" s="3">
        <f>Table1[[#This Row],[PnL]]/Table1[[#This Row],[Open Value]]</f>
        <v>-0.1030062997109293</v>
      </c>
      <c r="Q611" s="9">
        <f t="shared" si="9"/>
        <v>234758.38845814002</v>
      </c>
      <c r="R611" s="5" t="str">
        <f>TEXT(Table1[[#This Row],[Closing Date]],"yyyy")</f>
        <v>2024</v>
      </c>
      <c r="S611" s="5" t="str">
        <f>TEXT(Table1[[#This Row],[Closing Date]],"mmmm")</f>
        <v>June</v>
      </c>
      <c r="T611" s="5" t="s">
        <v>240</v>
      </c>
      <c r="U611" s="5" t="s">
        <v>301</v>
      </c>
    </row>
    <row r="612" spans="2:21" x14ac:dyDescent="0.25">
      <c r="B612" t="s">
        <v>201</v>
      </c>
      <c r="C612" t="s">
        <v>303</v>
      </c>
      <c r="D612" t="s">
        <v>16</v>
      </c>
      <c r="E612" t="s">
        <v>7</v>
      </c>
      <c r="F612" s="11">
        <v>45449</v>
      </c>
      <c r="G612" s="7">
        <v>45463</v>
      </c>
      <c r="H612" t="s">
        <v>224</v>
      </c>
      <c r="I612">
        <v>5000</v>
      </c>
      <c r="J612" s="5">
        <v>75421</v>
      </c>
      <c r="K612" s="13">
        <v>1</v>
      </c>
      <c r="L612" s="5">
        <f>Table1[[#This Row],[Open Value]]+Table1[[#This Row],[PnL]]</f>
        <v>78684.73</v>
      </c>
      <c r="M612" s="5">
        <f>Table1[[#This Row],[Open Value]]/Table1[[#This Row],[Shares]]/Table1[[#This Row],[Multiplier]]</f>
        <v>15.084199999999999</v>
      </c>
      <c r="N612" s="5">
        <f>Table1[[#This Row],[Close Value]]/Table1[[#This Row],[Shares]]/Table1[[#This Row],[Multiplier]]</f>
        <v>15.736946</v>
      </c>
      <c r="O612" s="5">
        <v>3263.73</v>
      </c>
      <c r="P612" s="3">
        <f>Table1[[#This Row],[PnL]]/Table1[[#This Row],[Open Value]]</f>
        <v>4.3273491467893554E-2</v>
      </c>
      <c r="Q612" s="9">
        <f t="shared" si="9"/>
        <v>238022.11845814003</v>
      </c>
      <c r="R612" s="5" t="str">
        <f>TEXT(Table1[[#This Row],[Closing Date]],"yyyy")</f>
        <v>2024</v>
      </c>
      <c r="S612" s="5" t="str">
        <f>TEXT(Table1[[#This Row],[Closing Date]],"mmmm")</f>
        <v>June</v>
      </c>
      <c r="T612" s="5" t="s">
        <v>240</v>
      </c>
      <c r="U612" s="5" t="s">
        <v>301</v>
      </c>
    </row>
    <row r="613" spans="2:21" x14ac:dyDescent="0.25">
      <c r="B613" t="s">
        <v>197</v>
      </c>
      <c r="C613" t="s">
        <v>302</v>
      </c>
      <c r="D613" t="s">
        <v>97</v>
      </c>
      <c r="E613" t="s">
        <v>7</v>
      </c>
      <c r="F613" s="11">
        <v>45453</v>
      </c>
      <c r="G613" s="7">
        <v>45463</v>
      </c>
      <c r="H613" t="s">
        <v>130</v>
      </c>
      <c r="I613">
        <v>40</v>
      </c>
      <c r="J613" s="5">
        <f>4682.68-1037.17</f>
        <v>3645.51</v>
      </c>
      <c r="K613" s="13">
        <v>100</v>
      </c>
      <c r="L613" s="5">
        <f>Table1[[#This Row],[Open Value]]+Table1[[#This Row],[PnL]]</f>
        <v>1333.0100000000002</v>
      </c>
      <c r="M613" s="5">
        <f>Table1[[#This Row],[Open Value]]/Table1[[#This Row],[Shares]]/Table1[[#This Row],[Multiplier]]</f>
        <v>0.91137750000000006</v>
      </c>
      <c r="N613" s="5">
        <f>Table1[[#This Row],[Close Value]]/Table1[[#This Row],[Shares]]/Table1[[#This Row],[Multiplier]]</f>
        <v>0.33325250000000006</v>
      </c>
      <c r="O613" s="5">
        <f>-3025.76+713.26</f>
        <v>-2312.5</v>
      </c>
      <c r="P613" s="3">
        <f>Table1[[#This Row],[PnL]]/Table1[[#This Row],[Open Value]]</f>
        <v>-0.63434197135654546</v>
      </c>
      <c r="Q613" s="9">
        <f t="shared" si="9"/>
        <v>235709.61845814003</v>
      </c>
      <c r="R613" s="5" t="str">
        <f>TEXT(Table1[[#This Row],[Closing Date]],"yyyy")</f>
        <v>2024</v>
      </c>
      <c r="S613" s="5" t="str">
        <f>TEXT(Table1[[#This Row],[Closing Date]],"mmmm")</f>
        <v>June</v>
      </c>
      <c r="T613" s="5" t="s">
        <v>240</v>
      </c>
      <c r="U613" s="5" t="s">
        <v>301</v>
      </c>
    </row>
    <row r="614" spans="2:21" x14ac:dyDescent="0.25">
      <c r="B614" t="s">
        <v>197</v>
      </c>
      <c r="C614" t="s">
        <v>302</v>
      </c>
      <c r="D614" t="s">
        <v>99</v>
      </c>
      <c r="E614" t="s">
        <v>7</v>
      </c>
      <c r="F614" s="11">
        <v>45453</v>
      </c>
      <c r="G614" s="7">
        <v>45464</v>
      </c>
      <c r="H614" t="s">
        <v>133</v>
      </c>
      <c r="I614">
        <v>10</v>
      </c>
      <c r="J614" s="5">
        <v>3326.92</v>
      </c>
      <c r="K614" s="13">
        <v>100</v>
      </c>
      <c r="L614" s="5">
        <v>0</v>
      </c>
      <c r="M614" s="5">
        <f>Table1[[#This Row],[Open Value]]/Table1[[#This Row],[Shares]]/Table1[[#This Row],[Multiplier]]</f>
        <v>3.3269199999999999</v>
      </c>
      <c r="N614" s="5">
        <f>Table1[[#This Row],[Close Value]]/Table1[[#This Row],[Shares]]/Table1[[#This Row],[Multiplier]]</f>
        <v>0</v>
      </c>
      <c r="O614" s="5">
        <v>-3326.92</v>
      </c>
      <c r="P614" s="3">
        <v>-1</v>
      </c>
      <c r="Q614" s="9">
        <f t="shared" si="9"/>
        <v>232382.69845814002</v>
      </c>
      <c r="R614" s="5" t="str">
        <f>TEXT(Table1[[#This Row],[Closing Date]],"yyyy")</f>
        <v>2024</v>
      </c>
      <c r="S614" s="5" t="str">
        <f>TEXT(Table1[[#This Row],[Closing Date]],"mmmm")</f>
        <v>June</v>
      </c>
      <c r="T614" s="5" t="s">
        <v>240</v>
      </c>
      <c r="U614" s="5" t="s">
        <v>301</v>
      </c>
    </row>
    <row r="615" spans="2:21" x14ac:dyDescent="0.25">
      <c r="B615" t="s">
        <v>201</v>
      </c>
      <c r="C615" t="s">
        <v>303</v>
      </c>
      <c r="D615" t="s">
        <v>16</v>
      </c>
      <c r="E615" t="s">
        <v>7</v>
      </c>
      <c r="F615" s="5"/>
      <c r="G615" s="7">
        <v>45464</v>
      </c>
      <c r="H615" t="s">
        <v>11</v>
      </c>
      <c r="I615">
        <v>125</v>
      </c>
      <c r="J615" s="5">
        <v>112327.5</v>
      </c>
      <c r="K615" s="13">
        <v>1</v>
      </c>
      <c r="L615" s="5">
        <v>140081.62</v>
      </c>
      <c r="M615" s="5">
        <f>Table1[[#This Row],[Open Value]]/Table1[[#This Row],[Shares]]/Table1[[#This Row],[Multiplier]]</f>
        <v>898.62</v>
      </c>
      <c r="N615" s="5">
        <f>Table1[[#This Row],[Close Value]]/Table1[[#This Row],[Shares]]/Table1[[#This Row],[Multiplier]]</f>
        <v>1120.6529599999999</v>
      </c>
      <c r="O615" s="5">
        <v>27401</v>
      </c>
      <c r="P615" s="3">
        <v>0.24708214818276911</v>
      </c>
      <c r="Q615" s="9">
        <f t="shared" si="9"/>
        <v>259783.69845814002</v>
      </c>
      <c r="R615" s="5" t="str">
        <f>TEXT(Table1[[#This Row],[Closing Date]],"yyyy")</f>
        <v>2024</v>
      </c>
      <c r="S615" s="5" t="str">
        <f>TEXT(Table1[[#This Row],[Closing Date]],"mmmm")</f>
        <v>June</v>
      </c>
      <c r="T615" s="5" t="s">
        <v>240</v>
      </c>
      <c r="U615" s="5" t="s">
        <v>301</v>
      </c>
    </row>
    <row r="616" spans="2:21" x14ac:dyDescent="0.25">
      <c r="B616" t="s">
        <v>201</v>
      </c>
      <c r="C616" t="s">
        <v>303</v>
      </c>
      <c r="D616" t="s">
        <v>16</v>
      </c>
      <c r="E616" t="s">
        <v>7</v>
      </c>
      <c r="F616" s="5"/>
      <c r="G616" s="7">
        <v>45464</v>
      </c>
      <c r="H616" t="s">
        <v>72</v>
      </c>
      <c r="I616">
        <v>200</v>
      </c>
      <c r="J616" s="5">
        <v>42913</v>
      </c>
      <c r="K616" s="13">
        <v>1</v>
      </c>
      <c r="L616" s="5">
        <v>40260.79</v>
      </c>
      <c r="M616" s="5">
        <f>Table1[[#This Row],[Open Value]]/Table1[[#This Row],[Shares]]/Table1[[#This Row],[Multiplier]]</f>
        <v>214.565</v>
      </c>
      <c r="N616" s="5">
        <f>Table1[[#This Row],[Close Value]]/Table1[[#This Row],[Shares]]/Table1[[#This Row],[Multiplier]]</f>
        <v>201.30395000000001</v>
      </c>
      <c r="O616" s="5">
        <v>-2652.2099999999991</v>
      </c>
      <c r="P616" s="3">
        <v>-2.5000000000000001E-2</v>
      </c>
      <c r="Q616" s="9">
        <f t="shared" si="9"/>
        <v>257131.48845814003</v>
      </c>
      <c r="R616" s="5" t="str">
        <f>TEXT(Table1[[#This Row],[Closing Date]],"yyyy")</f>
        <v>2024</v>
      </c>
      <c r="S616" s="5" t="str">
        <f>TEXT(Table1[[#This Row],[Closing Date]],"mmmm")</f>
        <v>June</v>
      </c>
      <c r="T616" s="5" t="s">
        <v>240</v>
      </c>
      <c r="U616" s="5" t="s">
        <v>301</v>
      </c>
    </row>
    <row r="617" spans="2:21" x14ac:dyDescent="0.25">
      <c r="B617" t="s">
        <v>201</v>
      </c>
      <c r="C617" t="s">
        <v>302</v>
      </c>
      <c r="D617" t="s">
        <v>12</v>
      </c>
      <c r="E617" t="s">
        <v>7</v>
      </c>
      <c r="F617" s="11">
        <v>45464</v>
      </c>
      <c r="G617" s="7">
        <v>45467</v>
      </c>
      <c r="H617" t="s">
        <v>268</v>
      </c>
      <c r="I617">
        <v>3</v>
      </c>
      <c r="J617" s="5">
        <v>335182.40999999997</v>
      </c>
      <c r="K617" s="13">
        <v>25000</v>
      </c>
      <c r="L617" s="5">
        <f>Table1[[#This Row],[Open Value]]+Table1[[#This Row],[PnL]]</f>
        <v>332355.08999999997</v>
      </c>
      <c r="M617" s="5">
        <f>Table1[[#This Row],[Open Value]]/Table1[[#This Row],[Shares]]/Table1[[#This Row],[Multiplier]]</f>
        <v>4.4690987999999994</v>
      </c>
      <c r="N617" s="5">
        <f>Table1[[#This Row],[Close Value]]/Table1[[#This Row],[Shares]]/Table1[[#This Row],[Multiplier]]</f>
        <v>4.4314011999999989</v>
      </c>
      <c r="O617" s="5">
        <v>-2827.32</v>
      </c>
      <c r="P617" s="3">
        <f>Table1[[#This Row],[PnL]]/Table1[[#This Row],[Open Value]]</f>
        <v>-8.4351681820057332E-3</v>
      </c>
      <c r="Q617" s="9">
        <f t="shared" si="9"/>
        <v>254304.16845814002</v>
      </c>
      <c r="R617" s="5" t="str">
        <f>TEXT(Table1[[#This Row],[Closing Date]],"yyyy")</f>
        <v>2024</v>
      </c>
      <c r="S617" s="5" t="str">
        <f>TEXT(Table1[[#This Row],[Closing Date]],"mmmm")</f>
        <v>June</v>
      </c>
      <c r="T617" s="5" t="s">
        <v>240</v>
      </c>
      <c r="U617" s="5" t="s">
        <v>301</v>
      </c>
    </row>
    <row r="618" spans="2:21" x14ac:dyDescent="0.25">
      <c r="B618" t="s">
        <v>197</v>
      </c>
      <c r="C618" t="s">
        <v>305</v>
      </c>
      <c r="D618" t="s">
        <v>102</v>
      </c>
      <c r="E618" t="s">
        <v>7</v>
      </c>
      <c r="F618" s="11">
        <v>45359</v>
      </c>
      <c r="G618" s="7">
        <v>45467</v>
      </c>
      <c r="H618" t="s">
        <v>15</v>
      </c>
      <c r="I618">
        <v>50</v>
      </c>
      <c r="J618" s="5">
        <v>30282.5</v>
      </c>
      <c r="K618" s="13">
        <v>1</v>
      </c>
      <c r="L618" s="5">
        <v>0</v>
      </c>
      <c r="M618" s="5">
        <f>Table1[[#This Row],[Open Value]]/Table1[[#This Row],[Shares]]/Table1[[#This Row],[Multiplier]]</f>
        <v>605.65</v>
      </c>
      <c r="N618" s="5">
        <f>Table1[[#This Row],[Close Value]]/Table1[[#This Row],[Shares]]/Table1[[#This Row],[Multiplier]]</f>
        <v>0</v>
      </c>
      <c r="O618" s="5">
        <f>Table1[[#This Row],[Close Value]]-Table1[[#This Row],[Open Value]]</f>
        <v>-30282.5</v>
      </c>
      <c r="P618" s="3">
        <f>Table1[[#This Row],[PnL]]/Table1[[#This Row],[Open Value]]</f>
        <v>-1</v>
      </c>
      <c r="Q618" s="9">
        <f t="shared" si="9"/>
        <v>224021.66845814002</v>
      </c>
      <c r="R618" s="5" t="str">
        <f>TEXT(Table1[[#This Row],[Closing Date]],"yyyy")</f>
        <v>2024</v>
      </c>
      <c r="S618" s="5" t="str">
        <f>TEXT(Table1[[#This Row],[Closing Date]],"mmmm")</f>
        <v>June</v>
      </c>
      <c r="T618" s="5" t="s">
        <v>240</v>
      </c>
      <c r="U618" s="5" t="s">
        <v>203</v>
      </c>
    </row>
    <row r="619" spans="2:21" x14ac:dyDescent="0.25">
      <c r="B619" t="s">
        <v>197</v>
      </c>
      <c r="C619" t="s">
        <v>303</v>
      </c>
      <c r="D619" t="s">
        <v>102</v>
      </c>
      <c r="E619" t="s">
        <v>7</v>
      </c>
      <c r="F619" s="11">
        <v>45356</v>
      </c>
      <c r="G619" s="7">
        <v>45467</v>
      </c>
      <c r="H619" t="s">
        <v>293</v>
      </c>
      <c r="I619">
        <v>400</v>
      </c>
      <c r="J619" s="5">
        <v>30260</v>
      </c>
      <c r="K619" s="13">
        <v>100</v>
      </c>
      <c r="L619" s="5">
        <v>0</v>
      </c>
      <c r="M619" s="5">
        <f>Table1[[#This Row],[Open Value]]/Table1[[#This Row],[Shares]]/Table1[[#This Row],[Multiplier]]</f>
        <v>0.75650000000000006</v>
      </c>
      <c r="N619" s="5">
        <f>Table1[[#This Row],[Close Value]]/Table1[[#This Row],[Shares]]/Table1[[#This Row],[Multiplier]]</f>
        <v>0</v>
      </c>
      <c r="O619" s="5">
        <f>Table1[[#This Row],[Close Value]]-Table1[[#This Row],[Open Value]]</f>
        <v>-30260</v>
      </c>
      <c r="P619" s="3">
        <f>Table1[[#This Row],[PnL]]/Table1[[#This Row],[Open Value]]</f>
        <v>-1</v>
      </c>
      <c r="Q619" s="9">
        <f t="shared" si="9"/>
        <v>193761.66845814002</v>
      </c>
      <c r="R619" s="5" t="str">
        <f>TEXT(Table1[[#This Row],[Closing Date]],"yyyy")</f>
        <v>2024</v>
      </c>
      <c r="S619" s="5" t="str">
        <f>TEXT(Table1[[#This Row],[Closing Date]],"mmmm")</f>
        <v>June</v>
      </c>
      <c r="T619" s="5" t="s">
        <v>240</v>
      </c>
      <c r="U619" s="5" t="s">
        <v>203</v>
      </c>
    </row>
    <row r="620" spans="2:21" x14ac:dyDescent="0.25">
      <c r="B620" t="s">
        <v>201</v>
      </c>
      <c r="C620" t="s">
        <v>303</v>
      </c>
      <c r="D620" t="s">
        <v>16</v>
      </c>
      <c r="E620" t="s">
        <v>7</v>
      </c>
      <c r="F620" s="5"/>
      <c r="G620" s="7">
        <v>45468</v>
      </c>
      <c r="H620" t="s">
        <v>195</v>
      </c>
      <c r="I620">
        <v>1450</v>
      </c>
      <c r="J620" s="5">
        <v>71920</v>
      </c>
      <c r="K620" s="13">
        <v>1</v>
      </c>
      <c r="L620" s="5">
        <v>72664.66</v>
      </c>
      <c r="M620" s="5">
        <f>Table1[[#This Row],[Open Value]]/Table1[[#This Row],[Shares]]/Table1[[#This Row],[Multiplier]]</f>
        <v>49.6</v>
      </c>
      <c r="N620" s="5">
        <f>Table1[[#This Row],[Close Value]]/Table1[[#This Row],[Shares]]/Table1[[#This Row],[Multiplier]]</f>
        <v>50.113558620689659</v>
      </c>
      <c r="O620" s="5">
        <v>744.66000000000349</v>
      </c>
      <c r="P620" s="3">
        <v>1.0354004449388257E-2</v>
      </c>
      <c r="Q620" s="9">
        <f t="shared" si="9"/>
        <v>194506.32845814002</v>
      </c>
      <c r="R620" s="5" t="str">
        <f>TEXT(Table1[[#This Row],[Closing Date]],"yyyy")</f>
        <v>2024</v>
      </c>
      <c r="S620" s="5" t="str">
        <f>TEXT(Table1[[#This Row],[Closing Date]],"mmmm")</f>
        <v>June</v>
      </c>
      <c r="T620" s="5" t="s">
        <v>240</v>
      </c>
      <c r="U620" s="5" t="s">
        <v>301</v>
      </c>
    </row>
    <row r="621" spans="2:21" x14ac:dyDescent="0.25">
      <c r="B621" t="s">
        <v>201</v>
      </c>
      <c r="C621" t="s">
        <v>303</v>
      </c>
      <c r="D621" t="s">
        <v>16</v>
      </c>
      <c r="E621" t="s">
        <v>7</v>
      </c>
      <c r="F621" s="11">
        <v>45461</v>
      </c>
      <c r="G621" s="7">
        <v>45468</v>
      </c>
      <c r="H621" t="s">
        <v>284</v>
      </c>
      <c r="I621">
        <v>6500</v>
      </c>
      <c r="J621" s="5">
        <v>275625.15999999997</v>
      </c>
      <c r="K621" s="13">
        <v>1</v>
      </c>
      <c r="L621" s="5">
        <f>Table1[[#This Row],[Open Value]]+Table1[[#This Row],[PnL]]</f>
        <v>270801.52999999997</v>
      </c>
      <c r="M621" s="5">
        <f>Table1[[#This Row],[Open Value]]/Table1[[#This Row],[Shares]]/Table1[[#This Row],[Multiplier]]</f>
        <v>42.403870769230764</v>
      </c>
      <c r="N621" s="5">
        <f>Table1[[#This Row],[Close Value]]/Table1[[#This Row],[Shares]]/Table1[[#This Row],[Multiplier]]</f>
        <v>41.661773846153842</v>
      </c>
      <c r="O621" s="5">
        <v>-4823.63</v>
      </c>
      <c r="P621" s="3">
        <f>Table1[[#This Row],[PnL]]/Table1[[#This Row],[Open Value]]</f>
        <v>-1.7500688253568725E-2</v>
      </c>
      <c r="Q621" s="9">
        <f t="shared" si="9"/>
        <v>189682.69845814002</v>
      </c>
      <c r="R621" s="5" t="str">
        <f>TEXT(Table1[[#This Row],[Closing Date]],"yyyy")</f>
        <v>2024</v>
      </c>
      <c r="S621" s="5" t="str">
        <f>TEXT(Table1[[#This Row],[Closing Date]],"mmmm")</f>
        <v>June</v>
      </c>
      <c r="T621" s="5" t="s">
        <v>240</v>
      </c>
      <c r="U621" s="5" t="s">
        <v>301</v>
      </c>
    </row>
    <row r="622" spans="2:21" x14ac:dyDescent="0.25">
      <c r="B622" t="s">
        <v>201</v>
      </c>
      <c r="C622" t="s">
        <v>302</v>
      </c>
      <c r="D622" t="s">
        <v>12</v>
      </c>
      <c r="E622" t="s">
        <v>7</v>
      </c>
      <c r="F622" s="11">
        <v>45467</v>
      </c>
      <c r="G622" s="7">
        <v>45468</v>
      </c>
      <c r="H622" t="s">
        <v>268</v>
      </c>
      <c r="I622">
        <v>3</v>
      </c>
      <c r="J622" s="5">
        <v>331762.5</v>
      </c>
      <c r="K622" s="13">
        <v>25000</v>
      </c>
      <c r="L622" s="5">
        <f>Table1[[#This Row],[Open Value]]+Table1[[#This Row],[PnL]]</f>
        <v>326835.18</v>
      </c>
      <c r="M622" s="5">
        <f>Table1[[#This Row],[Open Value]]/Table1[[#This Row],[Shares]]/Table1[[#This Row],[Multiplier]]</f>
        <v>4.4234999999999998</v>
      </c>
      <c r="N622" s="5">
        <f>Table1[[#This Row],[Close Value]]/Table1[[#This Row],[Shares]]/Table1[[#This Row],[Multiplier]]</f>
        <v>4.3578023999999997</v>
      </c>
      <c r="O622" s="5">
        <v>-4927.32</v>
      </c>
      <c r="P622" s="3">
        <f>Table1[[#This Row],[PnL]]/Table1[[#This Row],[Open Value]]</f>
        <v>-1.48519498134961E-2</v>
      </c>
      <c r="Q622" s="9">
        <f t="shared" si="9"/>
        <v>184755.37845814001</v>
      </c>
      <c r="R622" s="5" t="str">
        <f>TEXT(Table1[[#This Row],[Closing Date]],"yyyy")</f>
        <v>2024</v>
      </c>
      <c r="S622" s="5" t="str">
        <f>TEXT(Table1[[#This Row],[Closing Date]],"mmmm")</f>
        <v>June</v>
      </c>
      <c r="T622" s="5" t="s">
        <v>240</v>
      </c>
      <c r="U622" s="5" t="s">
        <v>301</v>
      </c>
    </row>
    <row r="623" spans="2:21" x14ac:dyDescent="0.25">
      <c r="B623" t="s">
        <v>201</v>
      </c>
      <c r="C623" t="s">
        <v>303</v>
      </c>
      <c r="D623" t="s">
        <v>12</v>
      </c>
      <c r="E623" t="s">
        <v>7</v>
      </c>
      <c r="F623" s="11">
        <v>45448</v>
      </c>
      <c r="G623" s="7">
        <v>45469</v>
      </c>
      <c r="H623" t="s">
        <v>88</v>
      </c>
      <c r="I623">
        <v>10</v>
      </c>
      <c r="J623" s="5">
        <v>210544.9</v>
      </c>
      <c r="K623" s="13">
        <v>1120</v>
      </c>
      <c r="L623" s="5">
        <f>Table1[[#This Row],[Open Value]]+Table1[[#This Row],[PnL]]</f>
        <v>213106.3</v>
      </c>
      <c r="M623" s="5">
        <f>Table1[[#This Row],[Open Value]]/Table1[[#This Row],[Shares]]/Table1[[#This Row],[Multiplier]]</f>
        <v>18.798651785714284</v>
      </c>
      <c r="N623" s="5">
        <f>Table1[[#This Row],[Close Value]]/Table1[[#This Row],[Shares]]/Table1[[#This Row],[Multiplier]]</f>
        <v>19.027348214285713</v>
      </c>
      <c r="O623" s="5">
        <v>2561.4</v>
      </c>
      <c r="P623" s="3">
        <f>Table1[[#This Row],[PnL]]/Table1[[#This Row],[Open Value]]</f>
        <v>1.2165576083771206E-2</v>
      </c>
      <c r="Q623" s="9">
        <f t="shared" si="9"/>
        <v>187316.77845814</v>
      </c>
      <c r="R623" s="5" t="str">
        <f>TEXT(Table1[[#This Row],[Closing Date]],"yyyy")</f>
        <v>2024</v>
      </c>
      <c r="S623" s="5" t="str">
        <f>TEXT(Table1[[#This Row],[Closing Date]],"mmmm")</f>
        <v>June</v>
      </c>
      <c r="T623" s="5" t="s">
        <v>240</v>
      </c>
      <c r="U623" s="5" t="s">
        <v>301</v>
      </c>
    </row>
    <row r="624" spans="2:21" x14ac:dyDescent="0.25">
      <c r="B624" t="s">
        <v>197</v>
      </c>
      <c r="C624" t="s">
        <v>302</v>
      </c>
      <c r="D624" t="s">
        <v>97</v>
      </c>
      <c r="E624" t="s">
        <v>7</v>
      </c>
      <c r="F624" s="11">
        <v>45457</v>
      </c>
      <c r="G624" s="7">
        <v>45470</v>
      </c>
      <c r="H624" t="s">
        <v>186</v>
      </c>
      <c r="I624">
        <v>8</v>
      </c>
      <c r="J624" s="5">
        <v>2824</v>
      </c>
      <c r="K624" s="13">
        <v>100</v>
      </c>
      <c r="L624" s="5">
        <v>3020.57</v>
      </c>
      <c r="M624" s="5">
        <v>3.53</v>
      </c>
      <c r="N624" s="5">
        <v>3.7757125</v>
      </c>
      <c r="O624" s="5">
        <v>196.57000000000016</v>
      </c>
      <c r="P624" s="3">
        <v>6.9606940509915075E-2</v>
      </c>
      <c r="Q624" s="9">
        <f t="shared" si="9"/>
        <v>187513.34845814001</v>
      </c>
      <c r="R624" s="5" t="str">
        <f>TEXT(Table1[[#This Row],[Closing Date]],"yyyy")</f>
        <v>2024</v>
      </c>
      <c r="S624" s="5" t="str">
        <f>TEXT(Table1[[#This Row],[Closing Date]],"mmmm")</f>
        <v>June</v>
      </c>
      <c r="T624" s="5" t="s">
        <v>240</v>
      </c>
      <c r="U624" s="5" t="s">
        <v>301</v>
      </c>
    </row>
    <row r="625" spans="2:21" x14ac:dyDescent="0.25">
      <c r="B625" t="s">
        <v>197</v>
      </c>
      <c r="C625" t="s">
        <v>302</v>
      </c>
      <c r="D625" t="s">
        <v>98</v>
      </c>
      <c r="E625" t="s">
        <v>7</v>
      </c>
      <c r="F625" s="11">
        <v>45464</v>
      </c>
      <c r="G625" s="7">
        <v>45470</v>
      </c>
      <c r="H625" t="s">
        <v>251</v>
      </c>
      <c r="I625">
        <v>2</v>
      </c>
      <c r="J625" s="5">
        <f>3803.05-300.94</f>
        <v>3502.11</v>
      </c>
      <c r="K625" s="13">
        <v>100</v>
      </c>
      <c r="L625" s="5">
        <f>Table1[[#This Row],[Open Value]]+Table1[[#This Row],[PnL]]</f>
        <v>1705.15</v>
      </c>
      <c r="M625" s="5">
        <f>Table1[[#This Row],[Open Value]]/Table1[[#This Row],[Shares]]/Table1[[#This Row],[Multiplier]]</f>
        <v>17.510550000000002</v>
      </c>
      <c r="N625" s="5">
        <f>Table1[[#This Row],[Close Value]]/Table1[[#This Row],[Shares]]/Table1[[#This Row],[Multiplier]]</f>
        <v>8.5257500000000004</v>
      </c>
      <c r="O625" s="5">
        <f>201.54-1998.5</f>
        <v>-1796.96</v>
      </c>
      <c r="P625" s="3">
        <f>Table1[[#This Row],[PnL]]/Table1[[#This Row],[Open Value]]</f>
        <v>-0.51310781214753387</v>
      </c>
      <c r="Q625" s="9">
        <f t="shared" si="9"/>
        <v>185716.38845814002</v>
      </c>
      <c r="R625" s="5" t="str">
        <f>TEXT(Table1[[#This Row],[Closing Date]],"yyyy")</f>
        <v>2024</v>
      </c>
      <c r="S625" s="5" t="str">
        <f>TEXT(Table1[[#This Row],[Closing Date]],"mmmm")</f>
        <v>June</v>
      </c>
      <c r="T625" s="5" t="s">
        <v>240</v>
      </c>
      <c r="U625" s="5" t="s">
        <v>301</v>
      </c>
    </row>
    <row r="626" spans="2:21" x14ac:dyDescent="0.25">
      <c r="B626" t="s">
        <v>197</v>
      </c>
      <c r="C626" t="s">
        <v>302</v>
      </c>
      <c r="D626" t="s">
        <v>97</v>
      </c>
      <c r="E626" t="s">
        <v>7</v>
      </c>
      <c r="F626" s="11">
        <v>45464</v>
      </c>
      <c r="G626" s="7">
        <v>45471</v>
      </c>
      <c r="H626" t="s">
        <v>278</v>
      </c>
      <c r="I626">
        <v>10</v>
      </c>
      <c r="J626" s="5">
        <v>3150</v>
      </c>
      <c r="K626" s="13">
        <v>100</v>
      </c>
      <c r="L626" s="5">
        <v>3616.48</v>
      </c>
      <c r="M626" s="5">
        <f>Table1[[#This Row],[Open Value]]/Table1[[#This Row],[Shares]]/Table1[[#This Row],[Multiplier]]</f>
        <v>3.15</v>
      </c>
      <c r="N626" s="5">
        <f>Table1[[#This Row],[Close Value]]/Table1[[#This Row],[Shares]]/Table1[[#This Row],[Multiplier]]</f>
        <v>3.6164800000000001</v>
      </c>
      <c r="O626" s="5">
        <v>466.48</v>
      </c>
      <c r="P626" s="3">
        <v>0.14808888888888896</v>
      </c>
      <c r="Q626" s="9">
        <f t="shared" si="9"/>
        <v>186182.86845814003</v>
      </c>
      <c r="R626" s="5" t="str">
        <f>TEXT(Table1[[#This Row],[Closing Date]],"yyyy")</f>
        <v>2024</v>
      </c>
      <c r="S626" s="5" t="str">
        <f>TEXT(Table1[[#This Row],[Closing Date]],"mmmm")</f>
        <v>June</v>
      </c>
      <c r="T626" s="5" t="s">
        <v>240</v>
      </c>
      <c r="U626" s="5" t="s">
        <v>301</v>
      </c>
    </row>
    <row r="627" spans="2:21" x14ac:dyDescent="0.25">
      <c r="B627" t="s">
        <v>197</v>
      </c>
      <c r="C627" t="s">
        <v>302</v>
      </c>
      <c r="D627" t="s">
        <v>98</v>
      </c>
      <c r="E627" t="s">
        <v>7</v>
      </c>
      <c r="F627" s="11">
        <v>45455</v>
      </c>
      <c r="G627" s="7">
        <v>45471</v>
      </c>
      <c r="H627" t="s">
        <v>10</v>
      </c>
      <c r="I627">
        <v>20</v>
      </c>
      <c r="J627" s="5">
        <v>2460</v>
      </c>
      <c r="K627" s="13">
        <v>100</v>
      </c>
      <c r="L627" s="5">
        <v>0</v>
      </c>
      <c r="M627" s="5">
        <f>Table1[[#This Row],[Open Value]]/Table1[[#This Row],[Shares]]/Table1[[#This Row],[Multiplier]]</f>
        <v>1.23</v>
      </c>
      <c r="N627" s="5">
        <f>Table1[[#This Row],[Close Value]]/Table1[[#This Row],[Shares]]/Table1[[#This Row],[Multiplier]]</f>
        <v>0</v>
      </c>
      <c r="O627" s="5">
        <v>-2460</v>
      </c>
      <c r="P627" s="3">
        <v>-1</v>
      </c>
      <c r="Q627" s="9">
        <f t="shared" si="9"/>
        <v>183722.86845814003</v>
      </c>
      <c r="R627" s="5" t="str">
        <f>TEXT(Table1[[#This Row],[Closing Date]],"yyyy")</f>
        <v>2024</v>
      </c>
      <c r="S627" s="5" t="str">
        <f>TEXT(Table1[[#This Row],[Closing Date]],"mmmm")</f>
        <v>June</v>
      </c>
      <c r="T627" s="5" t="s">
        <v>240</v>
      </c>
      <c r="U627" s="5" t="s">
        <v>301</v>
      </c>
    </row>
    <row r="628" spans="2:21" x14ac:dyDescent="0.25">
      <c r="B628" t="s">
        <v>197</v>
      </c>
      <c r="C628" t="s">
        <v>302</v>
      </c>
      <c r="D628" t="s">
        <v>98</v>
      </c>
      <c r="E628" t="s">
        <v>7</v>
      </c>
      <c r="F628" s="11">
        <v>45467</v>
      </c>
      <c r="G628" s="7">
        <v>45471</v>
      </c>
      <c r="H628" t="s">
        <v>53</v>
      </c>
      <c r="I628">
        <v>125</v>
      </c>
      <c r="J628" s="5">
        <v>2896</v>
      </c>
      <c r="K628" s="13">
        <v>100</v>
      </c>
      <c r="L628" s="5">
        <v>5933.25</v>
      </c>
      <c r="M628" s="5">
        <f>Table1[[#This Row],[Open Value]]/Table1[[#This Row],[Shares]]/Table1[[#This Row],[Multiplier]]</f>
        <v>0.23168</v>
      </c>
      <c r="N628" s="5">
        <f>Table1[[#This Row],[Close Value]]/Table1[[#This Row],[Shares]]/Table1[[#This Row],[Multiplier]]</f>
        <v>0.47466000000000003</v>
      </c>
      <c r="O628" s="5">
        <v>3037.25</v>
      </c>
      <c r="P628" s="3">
        <v>1.0487741712707184</v>
      </c>
      <c r="Q628" s="9">
        <f t="shared" si="9"/>
        <v>186760.11845814003</v>
      </c>
      <c r="R628" s="5" t="str">
        <f>TEXT(Table1[[#This Row],[Closing Date]],"yyyy")</f>
        <v>2024</v>
      </c>
      <c r="S628" s="5" t="str">
        <f>TEXT(Table1[[#This Row],[Closing Date]],"mmmm")</f>
        <v>June</v>
      </c>
      <c r="T628" s="5" t="s">
        <v>240</v>
      </c>
      <c r="U628" s="5" t="s">
        <v>301</v>
      </c>
    </row>
    <row r="629" spans="2:21" x14ac:dyDescent="0.25">
      <c r="B629" t="s">
        <v>197</v>
      </c>
      <c r="C629" t="s">
        <v>302</v>
      </c>
      <c r="D629" t="s">
        <v>97</v>
      </c>
      <c r="E629" t="s">
        <v>7</v>
      </c>
      <c r="F629" s="11">
        <v>45464</v>
      </c>
      <c r="G629" s="7">
        <v>45471</v>
      </c>
      <c r="H629" t="s">
        <v>278</v>
      </c>
      <c r="I629">
        <v>10</v>
      </c>
      <c r="J629" s="5">
        <f>3371.47-212.5</f>
        <v>3158.97</v>
      </c>
      <c r="K629" s="13">
        <v>100</v>
      </c>
      <c r="L629" s="5">
        <f>Table1[[#This Row],[Open Value]]+Table1[[#This Row],[PnL]]</f>
        <v>3625.45</v>
      </c>
      <c r="M629" s="5">
        <f>Table1[[#This Row],[Open Value]]/Table1[[#This Row],[Shares]]/Table1[[#This Row],[Multiplier]]</f>
        <v>3.1589700000000001</v>
      </c>
      <c r="N629" s="5">
        <f>Table1[[#This Row],[Close Value]]/Table1[[#This Row],[Shares]]/Table1[[#This Row],[Multiplier]]</f>
        <v>3.6254499999999994</v>
      </c>
      <c r="O629" s="5">
        <f>350.42+116.06</f>
        <v>466.48</v>
      </c>
      <c r="P629" s="3">
        <f>Table1[[#This Row],[PnL]]/Table1[[#This Row],[Open Value]]</f>
        <v>0.14766838558137621</v>
      </c>
      <c r="Q629" s="9">
        <f t="shared" si="9"/>
        <v>187226.59845814004</v>
      </c>
      <c r="R629" s="5" t="str">
        <f>TEXT(Table1[[#This Row],[Closing Date]],"yyyy")</f>
        <v>2024</v>
      </c>
      <c r="S629" s="5" t="str">
        <f>TEXT(Table1[[#This Row],[Closing Date]],"mmmm")</f>
        <v>June</v>
      </c>
      <c r="T629" s="5" t="s">
        <v>240</v>
      </c>
      <c r="U629" s="5" t="s">
        <v>301</v>
      </c>
    </row>
    <row r="630" spans="2:21" x14ac:dyDescent="0.25">
      <c r="B630" t="s">
        <v>197</v>
      </c>
      <c r="C630" t="s">
        <v>302</v>
      </c>
      <c r="D630" t="s">
        <v>102</v>
      </c>
      <c r="E630" t="s">
        <v>7</v>
      </c>
      <c r="F630" s="11">
        <v>45455</v>
      </c>
      <c r="G630" s="7">
        <v>45471</v>
      </c>
      <c r="H630" t="s">
        <v>10</v>
      </c>
      <c r="I630">
        <v>3</v>
      </c>
      <c r="J630" s="5">
        <v>9575</v>
      </c>
      <c r="K630" s="13">
        <v>100</v>
      </c>
      <c r="L630" s="5">
        <f>Table1[[#This Row],[Open Value]]+Table1[[#This Row],[PnL]]</f>
        <v>23030.879999999997</v>
      </c>
      <c r="M630" s="5">
        <f>Table1[[#This Row],[Open Value]]/Table1[[#This Row],[Shares]]/Table1[[#This Row],[Multiplier]]</f>
        <v>31.916666666666664</v>
      </c>
      <c r="N630" s="5">
        <f>Table1[[#This Row],[Close Value]]/Table1[[#This Row],[Shares]]/Table1[[#This Row],[Multiplier]]</f>
        <v>76.769599999999997</v>
      </c>
      <c r="O630" s="5">
        <v>13455.88</v>
      </c>
      <c r="P630" s="3">
        <f>Table1[[#This Row],[PnL]]/Table1[[#This Row],[Open Value]]</f>
        <v>1.4053138381201045</v>
      </c>
      <c r="Q630" s="9">
        <f t="shared" si="9"/>
        <v>200682.47845814005</v>
      </c>
      <c r="R630" s="5" t="str">
        <f>TEXT(Table1[[#This Row],[Closing Date]],"yyyy")</f>
        <v>2024</v>
      </c>
      <c r="S630" s="5" t="str">
        <f>TEXT(Table1[[#This Row],[Closing Date]],"mmmm")</f>
        <v>June</v>
      </c>
      <c r="T630" s="5" t="s">
        <v>240</v>
      </c>
      <c r="U630" s="5" t="s">
        <v>301</v>
      </c>
    </row>
    <row r="631" spans="2:21" x14ac:dyDescent="0.25">
      <c r="B631" t="s">
        <v>197</v>
      </c>
      <c r="C631" t="s">
        <v>302</v>
      </c>
      <c r="D631" t="s">
        <v>102</v>
      </c>
      <c r="E631" t="s">
        <v>7</v>
      </c>
      <c r="F631" s="11">
        <v>45397</v>
      </c>
      <c r="G631" s="7">
        <v>45473</v>
      </c>
      <c r="H631" t="s">
        <v>10</v>
      </c>
      <c r="I631">
        <v>8</v>
      </c>
      <c r="J631" s="5">
        <v>14405.49</v>
      </c>
      <c r="K631" s="13">
        <v>100</v>
      </c>
      <c r="L631" s="5">
        <v>27867</v>
      </c>
      <c r="M631" s="5">
        <v>18.0068625</v>
      </c>
      <c r="N631" s="5">
        <v>34.833750000000002</v>
      </c>
      <c r="O631" s="5">
        <v>13461.51</v>
      </c>
      <c r="P631" s="3">
        <v>0.93447081633460582</v>
      </c>
      <c r="Q631" s="9">
        <f t="shared" si="9"/>
        <v>214143.98845814005</v>
      </c>
      <c r="R631" s="5" t="str">
        <f>TEXT(Table1[[#This Row],[Closing Date]],"yyyy")</f>
        <v>2024</v>
      </c>
      <c r="S631" s="5" t="str">
        <f>TEXT(Table1[[#This Row],[Closing Date]],"mmmm")</f>
        <v>June</v>
      </c>
      <c r="T631" s="5" t="s">
        <v>240</v>
      </c>
      <c r="U631" s="5" t="s">
        <v>301</v>
      </c>
    </row>
    <row r="632" spans="2:21" x14ac:dyDescent="0.25">
      <c r="B632" t="s">
        <v>197</v>
      </c>
      <c r="C632" t="s">
        <v>302</v>
      </c>
      <c r="D632" t="s">
        <v>98</v>
      </c>
      <c r="E632" t="s">
        <v>7</v>
      </c>
      <c r="F632" s="11">
        <v>45448</v>
      </c>
      <c r="G632" s="7">
        <v>45473</v>
      </c>
      <c r="H632" t="s">
        <v>276</v>
      </c>
      <c r="I632">
        <v>30</v>
      </c>
      <c r="J632" s="5">
        <v>3621</v>
      </c>
      <c r="K632" s="13">
        <v>100</v>
      </c>
      <c r="L632" s="5">
        <v>5236</v>
      </c>
      <c r="M632" s="5">
        <f>Table1[[#This Row],[Open Value]]/Table1[[#This Row],[Shares]]/Table1[[#This Row],[Multiplier]]</f>
        <v>1.2070000000000001</v>
      </c>
      <c r="N632" s="5">
        <f>Table1[[#This Row],[Close Value]]/Table1[[#This Row],[Shares]]/Table1[[#This Row],[Multiplier]]</f>
        <v>1.7453333333333334</v>
      </c>
      <c r="O632" s="5">
        <v>1615</v>
      </c>
      <c r="P632" s="3">
        <v>0.4460093896713615</v>
      </c>
      <c r="Q632" s="9">
        <f t="shared" si="9"/>
        <v>215758.98845814005</v>
      </c>
      <c r="R632" s="5" t="str">
        <f>TEXT(Table1[[#This Row],[Closing Date]],"yyyy")</f>
        <v>2024</v>
      </c>
      <c r="S632" s="5" t="str">
        <f>TEXT(Table1[[#This Row],[Closing Date]],"mmmm")</f>
        <v>June</v>
      </c>
      <c r="T632" s="5" t="s">
        <v>240</v>
      </c>
      <c r="U632" s="5" t="s">
        <v>301</v>
      </c>
    </row>
    <row r="633" spans="2:21" x14ac:dyDescent="0.25">
      <c r="B633" t="s">
        <v>197</v>
      </c>
      <c r="C633" t="s">
        <v>302</v>
      </c>
      <c r="D633" t="s">
        <v>97</v>
      </c>
      <c r="E633" t="s">
        <v>7</v>
      </c>
      <c r="F633" s="11">
        <v>45474</v>
      </c>
      <c r="G633" s="7">
        <v>45474</v>
      </c>
      <c r="H633" t="s">
        <v>11</v>
      </c>
      <c r="I633">
        <v>12</v>
      </c>
      <c r="J633" s="5">
        <v>3788</v>
      </c>
      <c r="K633" s="13">
        <v>100</v>
      </c>
      <c r="L633" s="5">
        <v>4244</v>
      </c>
      <c r="M633" s="5">
        <f>Table1[[#This Row],[Open Value]]/Table1[[#This Row],[Shares]]/Table1[[#This Row],[Multiplier]]</f>
        <v>3.1566666666666667</v>
      </c>
      <c r="N633" s="5">
        <f>Table1[[#This Row],[Close Value]]/Table1[[#This Row],[Shares]]/Table1[[#This Row],[Multiplier]]</f>
        <v>3.5366666666666671</v>
      </c>
      <c r="O633" s="5">
        <v>456</v>
      </c>
      <c r="P633" s="3">
        <v>0.12038014783526937</v>
      </c>
      <c r="Q633" s="9">
        <f t="shared" si="9"/>
        <v>216214.98845814005</v>
      </c>
      <c r="R633" s="5" t="str">
        <f>TEXT(Table1[[#This Row],[Closing Date]],"yyyy")</f>
        <v>2024</v>
      </c>
      <c r="S633" s="5" t="str">
        <f>TEXT(Table1[[#This Row],[Closing Date]],"mmmm")</f>
        <v>July</v>
      </c>
      <c r="T633" s="5" t="s">
        <v>240</v>
      </c>
      <c r="U633" s="5" t="s">
        <v>301</v>
      </c>
    </row>
    <row r="634" spans="2:21" x14ac:dyDescent="0.25">
      <c r="B634" t="s">
        <v>201</v>
      </c>
      <c r="C634" t="s">
        <v>303</v>
      </c>
      <c r="D634" t="s">
        <v>4</v>
      </c>
      <c r="E634" t="s">
        <v>7</v>
      </c>
      <c r="F634" s="11">
        <v>45461</v>
      </c>
      <c r="G634" s="7">
        <v>45474</v>
      </c>
      <c r="H634" t="s">
        <v>287</v>
      </c>
      <c r="I634">
        <v>250000</v>
      </c>
      <c r="J634" s="5">
        <v>2058270</v>
      </c>
      <c r="K634" s="13">
        <v>1</v>
      </c>
      <c r="L634" s="5">
        <f>Table1[[#This Row],[Open Value]]+Table1[[#This Row],[PnL]]</f>
        <v>2053770.4748056266</v>
      </c>
      <c r="M634" s="5">
        <f>Table1[[#This Row],[Open Value]]/Table1[[#This Row],[Shares]]/Table1[[#This Row],[Multiplier]]</f>
        <v>8.2330799999999993</v>
      </c>
      <c r="N634" s="5">
        <f>Table1[[#This Row],[Close Value]]/Table1[[#This Row],[Shares]]/Table1[[#This Row],[Multiplier]]</f>
        <v>8.2150818992225059</v>
      </c>
      <c r="O634" s="5">
        <f>(2021880-Table1[[#This Row],[Open Value]])/8.08752</f>
        <v>-4499.5251943735539</v>
      </c>
      <c r="P634" s="3">
        <f>Table1[[#This Row],[PnL]]/Table1[[#This Row],[Open Value]]</f>
        <v>-2.1860714067510841E-3</v>
      </c>
      <c r="Q634" s="9">
        <f t="shared" si="9"/>
        <v>211715.46326376649</v>
      </c>
      <c r="R634" s="5" t="str">
        <f>TEXT(Table1[[#This Row],[Closing Date]],"yyyy")</f>
        <v>2024</v>
      </c>
      <c r="S634" s="5" t="str">
        <f>TEXT(Table1[[#This Row],[Closing Date]],"mmmm")</f>
        <v>July</v>
      </c>
      <c r="T634" s="5" t="s">
        <v>240</v>
      </c>
      <c r="U634" s="5" t="s">
        <v>301</v>
      </c>
    </row>
    <row r="635" spans="2:21" x14ac:dyDescent="0.25">
      <c r="B635" t="s">
        <v>201</v>
      </c>
      <c r="C635" t="s">
        <v>303</v>
      </c>
      <c r="D635" t="s">
        <v>4</v>
      </c>
      <c r="E635" t="s">
        <v>7</v>
      </c>
      <c r="F635" s="11">
        <v>45463</v>
      </c>
      <c r="G635" s="7">
        <v>45474</v>
      </c>
      <c r="H635" t="s">
        <v>288</v>
      </c>
      <c r="I635">
        <v>400000</v>
      </c>
      <c r="J635" s="5">
        <v>148146800</v>
      </c>
      <c r="K635" s="13">
        <v>1</v>
      </c>
      <c r="L635" s="5">
        <f>Table1[[#This Row],[Open Value]]+Table1[[#This Row],[PnL]]</f>
        <v>148142003.42833763</v>
      </c>
      <c r="M635" s="5">
        <f>Table1[[#This Row],[Open Value]]/Table1[[#This Row],[Shares]]/Table1[[#This Row],[Multiplier]]</f>
        <v>370.36700000000002</v>
      </c>
      <c r="N635" s="5">
        <f>Table1[[#This Row],[Close Value]]/Table1[[#This Row],[Shares]]/Table1[[#This Row],[Multiplier]]</f>
        <v>370.35500857084406</v>
      </c>
      <c r="O635" s="5">
        <f>(146400400-Table1[[#This Row],[Open Value]])/366.001-25</f>
        <v>-4796.5716623725075</v>
      </c>
      <c r="P635" s="3">
        <f>Table1[[#This Row],[PnL]]/Table1[[#This Row],[Open Value]]</f>
        <v>-3.237715335310994E-5</v>
      </c>
      <c r="Q635" s="9">
        <f t="shared" si="9"/>
        <v>206918.89160139399</v>
      </c>
      <c r="R635" s="5" t="str">
        <f>TEXT(Table1[[#This Row],[Closing Date]],"yyyy")</f>
        <v>2024</v>
      </c>
      <c r="S635" s="5" t="str">
        <f>TEXT(Table1[[#This Row],[Closing Date]],"mmmm")</f>
        <v>July</v>
      </c>
      <c r="T635" s="5" t="s">
        <v>240</v>
      </c>
      <c r="U635" s="5" t="s">
        <v>301</v>
      </c>
    </row>
    <row r="636" spans="2:21" x14ac:dyDescent="0.25">
      <c r="B636" t="s">
        <v>197</v>
      </c>
      <c r="C636" t="s">
        <v>302</v>
      </c>
      <c r="D636" t="s">
        <v>97</v>
      </c>
      <c r="E636" t="s">
        <v>7</v>
      </c>
      <c r="F636" s="11">
        <v>45468</v>
      </c>
      <c r="G636" s="7">
        <v>45476</v>
      </c>
      <c r="H636" t="s">
        <v>279</v>
      </c>
      <c r="I636">
        <v>10</v>
      </c>
      <c r="J636" s="5">
        <v>4050</v>
      </c>
      <c r="K636" s="13">
        <v>100</v>
      </c>
      <c r="L636" s="5">
        <v>4394.63</v>
      </c>
      <c r="M636" s="5">
        <f>Table1[[#This Row],[Open Value]]/Table1[[#This Row],[Shares]]/Table1[[#This Row],[Multiplier]]</f>
        <v>4.05</v>
      </c>
      <c r="N636" s="5">
        <f>Table1[[#This Row],[Close Value]]/Table1[[#This Row],[Shares]]/Table1[[#This Row],[Multiplier]]</f>
        <v>4.3946300000000003</v>
      </c>
      <c r="O636" s="5">
        <v>344.63000000000011</v>
      </c>
      <c r="P636" s="3">
        <v>8.5093827160493934E-2</v>
      </c>
      <c r="Q636" s="9">
        <f t="shared" si="9"/>
        <v>207263.52160139399</v>
      </c>
      <c r="R636" s="5" t="str">
        <f>TEXT(Table1[[#This Row],[Closing Date]],"yyyy")</f>
        <v>2024</v>
      </c>
      <c r="S636" s="5" t="str">
        <f>TEXT(Table1[[#This Row],[Closing Date]],"mmmm")</f>
        <v>July</v>
      </c>
      <c r="T636" s="5" t="s">
        <v>240</v>
      </c>
      <c r="U636" s="5" t="s">
        <v>301</v>
      </c>
    </row>
    <row r="637" spans="2:21" x14ac:dyDescent="0.25">
      <c r="B637" t="s">
        <v>197</v>
      </c>
      <c r="C637" t="s">
        <v>302</v>
      </c>
      <c r="D637" t="s">
        <v>99</v>
      </c>
      <c r="E637" t="s">
        <v>7</v>
      </c>
      <c r="F637" s="11">
        <v>45470</v>
      </c>
      <c r="G637" s="7">
        <v>45478</v>
      </c>
      <c r="H637" t="s">
        <v>266</v>
      </c>
      <c r="I637">
        <v>40</v>
      </c>
      <c r="J637" s="5">
        <v>2307.4699999999998</v>
      </c>
      <c r="K637" s="13">
        <v>100</v>
      </c>
      <c r="L637" s="5">
        <f>Table1[[#This Row],[Open Value]]+Table1[[#This Row],[PnL]]</f>
        <v>0</v>
      </c>
      <c r="M637" s="5">
        <f>Table1[[#This Row],[Open Value]]/Table1[[#This Row],[Shares]]/Table1[[#This Row],[Multiplier]]</f>
        <v>0.57686749999999998</v>
      </c>
      <c r="N637" s="5">
        <f>Table1[[#This Row],[Close Value]]/Table1[[#This Row],[Shares]]/Table1[[#This Row],[Multiplier]]</f>
        <v>0</v>
      </c>
      <c r="O637" s="5">
        <v>-2307.4699999999998</v>
      </c>
      <c r="P637" s="3">
        <f>Table1[[#This Row],[PnL]]/Table1[[#This Row],[Open Value]]</f>
        <v>-1</v>
      </c>
      <c r="Q637" s="9">
        <f t="shared" si="9"/>
        <v>204956.05160139399</v>
      </c>
      <c r="R637" s="5" t="str">
        <f>TEXT(Table1[[#This Row],[Closing Date]],"yyyy")</f>
        <v>2024</v>
      </c>
      <c r="S637" s="5" t="str">
        <f>TEXT(Table1[[#This Row],[Closing Date]],"mmmm")</f>
        <v>July</v>
      </c>
      <c r="T637" s="5" t="s">
        <v>240</v>
      </c>
      <c r="U637" s="5" t="s">
        <v>301</v>
      </c>
    </row>
    <row r="638" spans="2:21" x14ac:dyDescent="0.25">
      <c r="B638" t="s">
        <v>197</v>
      </c>
      <c r="C638" t="s">
        <v>302</v>
      </c>
      <c r="D638" t="s">
        <v>97</v>
      </c>
      <c r="E638" t="s">
        <v>7</v>
      </c>
      <c r="F638" s="11">
        <v>45474</v>
      </c>
      <c r="G638" s="7">
        <v>45478</v>
      </c>
      <c r="H638" t="s">
        <v>162</v>
      </c>
      <c r="I638">
        <v>6</v>
      </c>
      <c r="J638" s="5">
        <f>-93.9+3548.08</f>
        <v>3454.18</v>
      </c>
      <c r="K638" s="13">
        <v>100</v>
      </c>
      <c r="L638" s="5">
        <f>Table1[[#This Row],[Open Value]]+Table1[[#This Row],[PnL]]</f>
        <v>8453.09</v>
      </c>
      <c r="M638" s="5">
        <f>Table1[[#This Row],[Open Value]]/Table1[[#This Row],[Shares]]/Table1[[#This Row],[Multiplier]]</f>
        <v>5.7569666666666661</v>
      </c>
      <c r="N638" s="5">
        <f>Table1[[#This Row],[Close Value]]/Table1[[#This Row],[Shares]]/Table1[[#This Row],[Multiplier]]</f>
        <v>14.088483333333334</v>
      </c>
      <c r="O638" s="5">
        <f>4947.54+51.37</f>
        <v>4998.91</v>
      </c>
      <c r="P638" s="3">
        <f>Table1[[#This Row],[PnL]]/Table1[[#This Row],[Open Value]]</f>
        <v>1.4472059938972492</v>
      </c>
      <c r="Q638" s="9">
        <f t="shared" si="9"/>
        <v>209954.961601394</v>
      </c>
      <c r="R638" s="5" t="str">
        <f>TEXT(Table1[[#This Row],[Closing Date]],"yyyy")</f>
        <v>2024</v>
      </c>
      <c r="S638" s="5" t="str">
        <f>TEXT(Table1[[#This Row],[Closing Date]],"mmmm")</f>
        <v>July</v>
      </c>
      <c r="T638" s="5" t="s">
        <v>240</v>
      </c>
      <c r="U638" s="5" t="s">
        <v>301</v>
      </c>
    </row>
    <row r="639" spans="2:21" x14ac:dyDescent="0.25">
      <c r="B639" t="s">
        <v>197</v>
      </c>
      <c r="C639" t="s">
        <v>302</v>
      </c>
      <c r="D639" t="s">
        <v>99</v>
      </c>
      <c r="E639" t="s">
        <v>7</v>
      </c>
      <c r="F639" s="11">
        <v>45463</v>
      </c>
      <c r="G639" s="7">
        <v>45483</v>
      </c>
      <c r="H639" t="s">
        <v>130</v>
      </c>
      <c r="I639">
        <v>25</v>
      </c>
      <c r="J639" s="5">
        <v>3642.17</v>
      </c>
      <c r="K639" s="13">
        <v>100</v>
      </c>
      <c r="L639" s="5">
        <f>Table1[[#This Row],[Open Value]]+Table1[[#This Row],[PnL]]</f>
        <v>6128.59</v>
      </c>
      <c r="M639" s="5">
        <f>Table1[[#This Row],[Open Value]]/Table1[[#This Row],[Shares]]/Table1[[#This Row],[Multiplier]]</f>
        <v>1.4568680000000001</v>
      </c>
      <c r="N639" s="5">
        <f>Table1[[#This Row],[Close Value]]/Table1[[#This Row],[Shares]]/Table1[[#This Row],[Multiplier]]</f>
        <v>2.4514359999999997</v>
      </c>
      <c r="O639" s="5">
        <v>2486.42</v>
      </c>
      <c r="P639" s="3">
        <f>Table1[[#This Row],[PnL]]/Table1[[#This Row],[Open Value]]</f>
        <v>0.68267543799438246</v>
      </c>
      <c r="Q639" s="9">
        <f t="shared" si="9"/>
        <v>212441.38160139401</v>
      </c>
      <c r="R639" s="5" t="str">
        <f>TEXT(Table1[[#This Row],[Closing Date]],"yyyy")</f>
        <v>2024</v>
      </c>
      <c r="S639" s="5" t="str">
        <f>TEXT(Table1[[#This Row],[Closing Date]],"mmmm")</f>
        <v>July</v>
      </c>
      <c r="T639" s="5" t="s">
        <v>240</v>
      </c>
      <c r="U639" s="5" t="s">
        <v>301</v>
      </c>
    </row>
    <row r="640" spans="2:21" x14ac:dyDescent="0.25">
      <c r="B640" t="s">
        <v>201</v>
      </c>
      <c r="C640" t="s">
        <v>303</v>
      </c>
      <c r="D640" t="s">
        <v>12</v>
      </c>
      <c r="E640" t="s">
        <v>7</v>
      </c>
      <c r="F640" s="11">
        <v>45482</v>
      </c>
      <c r="G640" s="7">
        <v>45484</v>
      </c>
      <c r="H640" t="s">
        <v>86</v>
      </c>
      <c r="I640">
        <v>75</v>
      </c>
      <c r="J640" s="5">
        <v>323292.75</v>
      </c>
      <c r="K640" s="13">
        <v>1000</v>
      </c>
      <c r="L640" s="5">
        <f>Table1[[#This Row],[Open Value]]+Table1[[#This Row],[PnL]]</f>
        <v>313401.25</v>
      </c>
      <c r="M640" s="5">
        <f>Table1[[#This Row],[Open Value]]/Table1[[#This Row],[Shares]]/Table1[[#This Row],[Multiplier]]</f>
        <v>4.3105699999999993</v>
      </c>
      <c r="N640" s="5">
        <f>Table1[[#This Row],[Close Value]]/Table1[[#This Row],[Shares]]/Table1[[#This Row],[Multiplier]]</f>
        <v>4.1786833333333337</v>
      </c>
      <c r="O640" s="5">
        <v>-9891.5</v>
      </c>
      <c r="P640" s="3">
        <f>Table1[[#This Row],[PnL]]/Table1[[#This Row],[Open Value]]</f>
        <v>-3.0596108325967718E-2</v>
      </c>
      <c r="Q640" s="9">
        <f t="shared" si="9"/>
        <v>202549.88160139401</v>
      </c>
      <c r="R640" s="5" t="str">
        <f>TEXT(Table1[[#This Row],[Closing Date]],"yyyy")</f>
        <v>2024</v>
      </c>
      <c r="S640" s="5" t="str">
        <f>TEXT(Table1[[#This Row],[Closing Date]],"mmmm")</f>
        <v>July</v>
      </c>
      <c r="T640" s="5" t="s">
        <v>240</v>
      </c>
      <c r="U640" s="5" t="s">
        <v>301</v>
      </c>
    </row>
    <row r="641" spans="2:21" x14ac:dyDescent="0.25">
      <c r="B641" t="s">
        <v>201</v>
      </c>
      <c r="C641" t="s">
        <v>303</v>
      </c>
      <c r="D641" t="s">
        <v>16</v>
      </c>
      <c r="E641" t="s">
        <v>7</v>
      </c>
      <c r="F641" s="11">
        <v>45447</v>
      </c>
      <c r="G641" s="7">
        <v>45485</v>
      </c>
      <c r="H641" t="s">
        <v>139</v>
      </c>
      <c r="I641">
        <v>650</v>
      </c>
      <c r="J641" s="5">
        <v>94680.27</v>
      </c>
      <c r="K641" s="13">
        <v>1</v>
      </c>
      <c r="L641" s="5">
        <f>Table1[[#This Row],[Open Value]]+Table1[[#This Row],[PnL]]</f>
        <v>89466.52</v>
      </c>
      <c r="M641" s="5">
        <f>Table1[[#This Row],[Open Value]]/Table1[[#This Row],[Shares]]/Table1[[#This Row],[Multiplier]]</f>
        <v>145.66195384615386</v>
      </c>
      <c r="N641" s="5">
        <f>Table1[[#This Row],[Close Value]]/Table1[[#This Row],[Shares]]/Table1[[#This Row],[Multiplier]]</f>
        <v>137.64080000000001</v>
      </c>
      <c r="O641" s="5">
        <v>-5213.75</v>
      </c>
      <c r="P641" s="3">
        <f>Table1[[#This Row],[PnL]]/Table1[[#This Row],[Open Value]]</f>
        <v>-5.5066910983671676E-2</v>
      </c>
      <c r="Q641" s="9">
        <f t="shared" si="9"/>
        <v>197336.13160139401</v>
      </c>
      <c r="R641" s="5" t="str">
        <f>TEXT(Table1[[#This Row],[Closing Date]],"yyyy")</f>
        <v>2024</v>
      </c>
      <c r="S641" s="5" t="str">
        <f>TEXT(Table1[[#This Row],[Closing Date]],"mmmm")</f>
        <v>July</v>
      </c>
      <c r="T641" s="5" t="s">
        <v>240</v>
      </c>
      <c r="U641" s="5" t="s">
        <v>301</v>
      </c>
    </row>
    <row r="642" spans="2:21" x14ac:dyDescent="0.25">
      <c r="B642" t="s">
        <v>201</v>
      </c>
      <c r="C642" t="s">
        <v>303</v>
      </c>
      <c r="D642" t="s">
        <v>16</v>
      </c>
      <c r="E642" t="s">
        <v>7</v>
      </c>
      <c r="F642" s="11">
        <v>45454</v>
      </c>
      <c r="G642" s="7">
        <v>45485</v>
      </c>
      <c r="H642" t="s">
        <v>162</v>
      </c>
      <c r="I642">
        <v>800</v>
      </c>
      <c r="J642" s="5">
        <v>425352</v>
      </c>
      <c r="K642" s="13">
        <v>1</v>
      </c>
      <c r="L642" s="5">
        <f>Table1[[#This Row],[Open Value]]+Table1[[#This Row],[PnL]]</f>
        <v>405974.72</v>
      </c>
      <c r="M642" s="5">
        <f>Table1[[#This Row],[Open Value]]/Table1[[#This Row],[Shares]]/Table1[[#This Row],[Multiplier]]</f>
        <v>531.69000000000005</v>
      </c>
      <c r="N642" s="5">
        <f>Table1[[#This Row],[Close Value]]/Table1[[#This Row],[Shares]]/Table1[[#This Row],[Multiplier]]</f>
        <v>507.46839999999997</v>
      </c>
      <c r="O642" s="5">
        <v>-19377.28</v>
      </c>
      <c r="P642" s="3">
        <f>Table1[[#This Row],[PnL]]/Table1[[#This Row],[Open Value]]</f>
        <v>-4.5555869021422252E-2</v>
      </c>
      <c r="Q642" s="9">
        <f t="shared" si="9"/>
        <v>177958.85160139401</v>
      </c>
      <c r="R642" s="5" t="str">
        <f>TEXT(Table1[[#This Row],[Closing Date]],"yyyy")</f>
        <v>2024</v>
      </c>
      <c r="S642" s="5" t="str">
        <f>TEXT(Table1[[#This Row],[Closing Date]],"mmmm")</f>
        <v>July</v>
      </c>
      <c r="T642" s="5" t="s">
        <v>240</v>
      </c>
      <c r="U642" s="5" t="s">
        <v>301</v>
      </c>
    </row>
    <row r="643" spans="2:21" x14ac:dyDescent="0.25">
      <c r="B643" t="s">
        <v>201</v>
      </c>
      <c r="C643" t="s">
        <v>303</v>
      </c>
      <c r="D643" t="s">
        <v>16</v>
      </c>
      <c r="E643" t="s">
        <v>7</v>
      </c>
      <c r="F643" s="11">
        <v>45481</v>
      </c>
      <c r="G643" s="7">
        <v>45485</v>
      </c>
      <c r="H643" t="s">
        <v>285</v>
      </c>
      <c r="I643">
        <v>700</v>
      </c>
      <c r="J643" s="5">
        <v>52318</v>
      </c>
      <c r="K643" s="13">
        <v>1</v>
      </c>
      <c r="L643" s="5">
        <f>Table1[[#This Row],[Open Value]]+Table1[[#This Row],[PnL]]</f>
        <v>47293.72</v>
      </c>
      <c r="M643" s="5">
        <f>Table1[[#This Row],[Open Value]]/Table1[[#This Row],[Shares]]/Table1[[#This Row],[Multiplier]]</f>
        <v>74.739999999999995</v>
      </c>
      <c r="N643" s="5">
        <f>Table1[[#This Row],[Close Value]]/Table1[[#This Row],[Shares]]/Table1[[#This Row],[Multiplier]]</f>
        <v>67.562457142857141</v>
      </c>
      <c r="O643" s="5">
        <v>-5024.28</v>
      </c>
      <c r="P643" s="3">
        <f>Table1[[#This Row],[PnL]]/Table1[[#This Row],[Open Value]]</f>
        <v>-9.6033487518636024E-2</v>
      </c>
      <c r="Q643" s="9">
        <f t="shared" ref="Q643:Q662" si="10">O643+Q642</f>
        <v>172934.57160139401</v>
      </c>
      <c r="R643" s="5" t="str">
        <f>TEXT(Table1[[#This Row],[Closing Date]],"yyyy")</f>
        <v>2024</v>
      </c>
      <c r="S643" s="5" t="str">
        <f>TEXT(Table1[[#This Row],[Closing Date]],"mmmm")</f>
        <v>July</v>
      </c>
      <c r="T643" s="5" t="s">
        <v>240</v>
      </c>
      <c r="U643" s="5" t="s">
        <v>301</v>
      </c>
    </row>
    <row r="644" spans="2:21" x14ac:dyDescent="0.25">
      <c r="B644" t="s">
        <v>197</v>
      </c>
      <c r="C644" t="s">
        <v>302</v>
      </c>
      <c r="D644" t="s">
        <v>98</v>
      </c>
      <c r="E644" t="s">
        <v>7</v>
      </c>
      <c r="F644" s="11">
        <v>45471</v>
      </c>
      <c r="G644" s="7">
        <v>45485</v>
      </c>
      <c r="H644" t="s">
        <v>37</v>
      </c>
      <c r="I644">
        <v>5</v>
      </c>
      <c r="J644" s="5">
        <v>2010</v>
      </c>
      <c r="K644" s="13">
        <v>100</v>
      </c>
      <c r="L644" s="5">
        <f>Table1[[#This Row],[Open Value]]+Table1[[#This Row],[PnL]]</f>
        <v>0</v>
      </c>
      <c r="M644" s="5">
        <f>Table1[[#This Row],[Open Value]]/Table1[[#This Row],[Shares]]/Table1[[#This Row],[Multiplier]]</f>
        <v>4.0199999999999996</v>
      </c>
      <c r="N644" s="5">
        <f>Table1[[#This Row],[Close Value]]/Table1[[#This Row],[Shares]]/Table1[[#This Row],[Multiplier]]</f>
        <v>0</v>
      </c>
      <c r="O644" s="5">
        <v>-2010</v>
      </c>
      <c r="P644" s="3">
        <f>Table1[[#This Row],[PnL]]/Table1[[#This Row],[Open Value]]</f>
        <v>-1</v>
      </c>
      <c r="Q644" s="9">
        <f t="shared" si="10"/>
        <v>170924.57160139401</v>
      </c>
      <c r="R644" s="5" t="str">
        <f>TEXT(Table1[[#This Row],[Closing Date]],"yyyy")</f>
        <v>2024</v>
      </c>
      <c r="S644" s="5" t="str">
        <f>TEXT(Table1[[#This Row],[Closing Date]],"mmmm")</f>
        <v>July</v>
      </c>
      <c r="T644" s="5" t="s">
        <v>240</v>
      </c>
      <c r="U644" s="5" t="s">
        <v>301</v>
      </c>
    </row>
    <row r="645" spans="2:21" x14ac:dyDescent="0.25">
      <c r="B645" t="s">
        <v>201</v>
      </c>
      <c r="C645" t="s">
        <v>303</v>
      </c>
      <c r="D645" t="s">
        <v>12</v>
      </c>
      <c r="E645" t="s">
        <v>7</v>
      </c>
      <c r="F645" s="11">
        <v>45461</v>
      </c>
      <c r="G645" s="7">
        <v>45489</v>
      </c>
      <c r="H645" t="s">
        <v>13</v>
      </c>
      <c r="I645">
        <v>4</v>
      </c>
      <c r="J645" s="5">
        <v>311169.48</v>
      </c>
      <c r="K645" s="13">
        <v>1000</v>
      </c>
      <c r="L645" s="5">
        <f>Table1[[#This Row],[Open Value]]+Table1[[#This Row],[PnL]]</f>
        <v>310630.51999999996</v>
      </c>
      <c r="M645" s="5">
        <f>Table1[[#This Row],[Open Value]]/Table1[[#This Row],[Shares]]/Table1[[#This Row],[Multiplier]]</f>
        <v>77.792369999999991</v>
      </c>
      <c r="N645" s="5">
        <f>Table1[[#This Row],[Close Value]]/Table1[[#This Row],[Shares]]/Table1[[#This Row],[Multiplier]]</f>
        <v>77.657629999999983</v>
      </c>
      <c r="O645" s="5">
        <v>-538.96</v>
      </c>
      <c r="P645" s="3">
        <f>Table1[[#This Row],[PnL]]/Table1[[#This Row],[Open Value]]</f>
        <v>-1.7320464719097774E-3</v>
      </c>
      <c r="Q645" s="9">
        <f t="shared" si="10"/>
        <v>170385.61160139402</v>
      </c>
      <c r="R645" s="5" t="str">
        <f>TEXT(Table1[[#This Row],[Closing Date]],"yyyy")</f>
        <v>2024</v>
      </c>
      <c r="S645" s="5" t="str">
        <f>TEXT(Table1[[#This Row],[Closing Date]],"mmmm")</f>
        <v>July</v>
      </c>
      <c r="T645" s="5" t="s">
        <v>240</v>
      </c>
      <c r="U645" s="5" t="s">
        <v>301</v>
      </c>
    </row>
    <row r="646" spans="2:21" x14ac:dyDescent="0.25">
      <c r="B646" t="s">
        <v>201</v>
      </c>
      <c r="C646" t="s">
        <v>303</v>
      </c>
      <c r="D646" t="s">
        <v>12</v>
      </c>
      <c r="E646" t="s">
        <v>7</v>
      </c>
      <c r="F646" s="11">
        <v>45463</v>
      </c>
      <c r="G646" s="7">
        <v>45489</v>
      </c>
      <c r="H646" t="s">
        <v>91</v>
      </c>
      <c r="I646">
        <v>2</v>
      </c>
      <c r="J646" s="5">
        <v>207980.34</v>
      </c>
      <c r="K646" s="13">
        <v>42000</v>
      </c>
      <c r="L646" s="5">
        <f>Table1[[#This Row],[Open Value]]+Table1[[#This Row],[PnL]]</f>
        <v>207987.66</v>
      </c>
      <c r="M646" s="5">
        <f>Table1[[#This Row],[Open Value]]/Table1[[#This Row],[Shares]]/Table1[[#This Row],[Multiplier]]</f>
        <v>2.4759564285714286</v>
      </c>
      <c r="N646" s="5">
        <f>Table1[[#This Row],[Close Value]]/Table1[[#This Row],[Shares]]/Table1[[#This Row],[Multiplier]]</f>
        <v>2.4760435714285713</v>
      </c>
      <c r="O646" s="5">
        <v>7.32</v>
      </c>
      <c r="P646" s="3">
        <f>Table1[[#This Row],[PnL]]/Table1[[#This Row],[Open Value]]</f>
        <v>3.5195634356593517E-5</v>
      </c>
      <c r="Q646" s="9">
        <f t="shared" si="10"/>
        <v>170392.93160139403</v>
      </c>
      <c r="R646" s="5" t="str">
        <f>TEXT(Table1[[#This Row],[Closing Date]],"yyyy")</f>
        <v>2024</v>
      </c>
      <c r="S646" s="5" t="str">
        <f>TEXT(Table1[[#This Row],[Closing Date]],"mmmm")</f>
        <v>July</v>
      </c>
      <c r="T646" s="5" t="s">
        <v>240</v>
      </c>
      <c r="U646" s="5" t="s">
        <v>301</v>
      </c>
    </row>
    <row r="647" spans="2:21" x14ac:dyDescent="0.25">
      <c r="B647" t="s">
        <v>201</v>
      </c>
      <c r="C647" t="s">
        <v>302</v>
      </c>
      <c r="D647" t="s">
        <v>16</v>
      </c>
      <c r="E647" t="s">
        <v>7</v>
      </c>
      <c r="F647" s="11">
        <v>45490</v>
      </c>
      <c r="G647" s="7">
        <v>45490</v>
      </c>
      <c r="H647" t="s">
        <v>283</v>
      </c>
      <c r="I647">
        <v>500</v>
      </c>
      <c r="J647" s="5">
        <v>63767.5</v>
      </c>
      <c r="K647" s="13">
        <v>1</v>
      </c>
      <c r="L647" s="5">
        <f>Table1[[#This Row],[Open Value]]+Table1[[#This Row],[PnL]]</f>
        <v>61205.72</v>
      </c>
      <c r="M647" s="5">
        <f>Table1[[#This Row],[Open Value]]/Table1[[#This Row],[Shares]]/Table1[[#This Row],[Multiplier]]</f>
        <v>127.535</v>
      </c>
      <c r="N647" s="5">
        <f>Table1[[#This Row],[Close Value]]/Table1[[#This Row],[Shares]]/Table1[[#This Row],[Multiplier]]</f>
        <v>122.41144</v>
      </c>
      <c r="O647" s="5">
        <v>-2561.7800000000002</v>
      </c>
      <c r="P647" s="3">
        <f>Table1[[#This Row],[PnL]]/Table1[[#This Row],[Open Value]]</f>
        <v>-4.0173756223781713E-2</v>
      </c>
      <c r="Q647" s="9">
        <f t="shared" si="10"/>
        <v>167831.15160139403</v>
      </c>
      <c r="R647" s="5" t="str">
        <f>TEXT(Table1[[#This Row],[Closing Date]],"yyyy")</f>
        <v>2024</v>
      </c>
      <c r="S647" s="5" t="str">
        <f>TEXT(Table1[[#This Row],[Closing Date]],"mmmm")</f>
        <v>July</v>
      </c>
      <c r="T647" s="5" t="s">
        <v>240</v>
      </c>
      <c r="U647" s="5" t="s">
        <v>301</v>
      </c>
    </row>
    <row r="648" spans="2:21" x14ac:dyDescent="0.25">
      <c r="B648" t="s">
        <v>201</v>
      </c>
      <c r="C648" t="s">
        <v>303</v>
      </c>
      <c r="D648" t="s">
        <v>16</v>
      </c>
      <c r="E648" t="s">
        <v>7</v>
      </c>
      <c r="F648" s="11">
        <v>42931</v>
      </c>
      <c r="G648" s="7">
        <v>45490</v>
      </c>
      <c r="H648" t="s">
        <v>256</v>
      </c>
      <c r="I648">
        <v>2050</v>
      </c>
      <c r="J648" s="5">
        <v>312500</v>
      </c>
      <c r="K648" s="13">
        <v>1</v>
      </c>
      <c r="L648" s="5">
        <f>Table1[[#This Row],[Open Value]]+Table1[[#This Row],[PnL]]</f>
        <v>315728.03000000003</v>
      </c>
      <c r="M648" s="5">
        <f>Table1[[#This Row],[Open Value]]/Table1[[#This Row],[Shares]]/Table1[[#This Row],[Multiplier]]</f>
        <v>152.4390243902439</v>
      </c>
      <c r="N648" s="5">
        <f>Table1[[#This Row],[Close Value]]/Table1[[#This Row],[Shares]]/Table1[[#This Row],[Multiplier]]</f>
        <v>154.01367317073172</v>
      </c>
      <c r="O648" s="5">
        <v>3228.03</v>
      </c>
      <c r="P648" s="3">
        <f>Table1[[#This Row],[PnL]]/Table1[[#This Row],[Open Value]]</f>
        <v>1.0329696000000001E-2</v>
      </c>
      <c r="Q648" s="9">
        <f t="shared" si="10"/>
        <v>171059.18160139403</v>
      </c>
      <c r="R648" s="5" t="str">
        <f>TEXT(Table1[[#This Row],[Closing Date]],"yyyy")</f>
        <v>2024</v>
      </c>
      <c r="S648" s="5" t="str">
        <f>TEXT(Table1[[#This Row],[Closing Date]],"mmmm")</f>
        <v>July</v>
      </c>
      <c r="T648" s="5" t="s">
        <v>240</v>
      </c>
      <c r="U648" s="5" t="s">
        <v>301</v>
      </c>
    </row>
    <row r="649" spans="2:21" x14ac:dyDescent="0.25">
      <c r="B649" t="s">
        <v>201</v>
      </c>
      <c r="C649" t="s">
        <v>303</v>
      </c>
      <c r="D649" t="s">
        <v>16</v>
      </c>
      <c r="E649" t="s">
        <v>7</v>
      </c>
      <c r="F649" s="11">
        <v>45474</v>
      </c>
      <c r="G649" s="7">
        <v>45490</v>
      </c>
      <c r="H649" t="s">
        <v>153</v>
      </c>
      <c r="I649">
        <v>3000</v>
      </c>
      <c r="J649" s="5">
        <v>165000</v>
      </c>
      <c r="K649" s="13">
        <v>1</v>
      </c>
      <c r="L649" s="5">
        <f>Table1[[#This Row],[Open Value]]+Table1[[#This Row],[PnL]]</f>
        <v>181841.41999999998</v>
      </c>
      <c r="M649" s="5">
        <f>Table1[[#This Row],[Open Value]]/Table1[[#This Row],[Shares]]/Table1[[#This Row],[Multiplier]]</f>
        <v>55</v>
      </c>
      <c r="N649" s="5">
        <f>Table1[[#This Row],[Close Value]]/Table1[[#This Row],[Shares]]/Table1[[#This Row],[Multiplier]]</f>
        <v>60.613806666666662</v>
      </c>
      <c r="O649" s="5">
        <v>16841.419999999998</v>
      </c>
      <c r="P649" s="3">
        <f>Table1[[#This Row],[PnL]]/Table1[[#This Row],[Open Value]]</f>
        <v>0.10206921212121212</v>
      </c>
      <c r="Q649" s="9">
        <f t="shared" si="10"/>
        <v>187900.60160139401</v>
      </c>
      <c r="R649" s="5" t="str">
        <f>TEXT(Table1[[#This Row],[Closing Date]],"yyyy")</f>
        <v>2024</v>
      </c>
      <c r="S649" s="5" t="str">
        <f>TEXT(Table1[[#This Row],[Closing Date]],"mmmm")</f>
        <v>July</v>
      </c>
      <c r="T649" s="5" t="s">
        <v>240</v>
      </c>
      <c r="U649" s="5" t="s">
        <v>301</v>
      </c>
    </row>
    <row r="650" spans="2:21" x14ac:dyDescent="0.25">
      <c r="B650" t="s">
        <v>197</v>
      </c>
      <c r="C650" t="s">
        <v>302</v>
      </c>
      <c r="D650" t="s">
        <v>97</v>
      </c>
      <c r="E650" t="s">
        <v>7</v>
      </c>
      <c r="F650" s="11">
        <v>45467</v>
      </c>
      <c r="G650" s="7">
        <v>45490</v>
      </c>
      <c r="H650" t="s">
        <v>186</v>
      </c>
      <c r="I650">
        <v>6</v>
      </c>
      <c r="J650" s="5">
        <f>3399.14-92.84</f>
        <v>3306.2999999999997</v>
      </c>
      <c r="K650" s="13">
        <v>100</v>
      </c>
      <c r="L650" s="5">
        <f>Table1[[#This Row],[Open Value]]+Table1[[#This Row],[PnL]]</f>
        <v>6128.78</v>
      </c>
      <c r="M650" s="5">
        <f>Table1[[#This Row],[Open Value]]/Table1[[#This Row],[Shares]]/Table1[[#This Row],[Multiplier]]</f>
        <v>5.5104999999999995</v>
      </c>
      <c r="N650" s="5">
        <f>Table1[[#This Row],[Close Value]]/Table1[[#This Row],[Shares]]/Table1[[#This Row],[Multiplier]]</f>
        <v>10.214633333333332</v>
      </c>
      <c r="O650" s="5">
        <f>2822.48</f>
        <v>2822.48</v>
      </c>
      <c r="P650" s="3">
        <f>Table1[[#This Row],[PnL]]/Table1[[#This Row],[Open Value]]</f>
        <v>0.85366724132716332</v>
      </c>
      <c r="Q650" s="9">
        <f t="shared" si="10"/>
        <v>190723.08160139402</v>
      </c>
      <c r="R650" s="5" t="str">
        <f>TEXT(Table1[[#This Row],[Closing Date]],"yyyy")</f>
        <v>2024</v>
      </c>
      <c r="S650" s="5" t="str">
        <f>TEXT(Table1[[#This Row],[Closing Date]],"mmmm")</f>
        <v>July</v>
      </c>
      <c r="T650" s="5" t="s">
        <v>240</v>
      </c>
      <c r="U650" s="5" t="s">
        <v>301</v>
      </c>
    </row>
    <row r="651" spans="2:21" x14ac:dyDescent="0.25">
      <c r="B651" t="s">
        <v>197</v>
      </c>
      <c r="C651" t="s">
        <v>302</v>
      </c>
      <c r="D651" t="s">
        <v>102</v>
      </c>
      <c r="E651" t="s">
        <v>7</v>
      </c>
      <c r="F651" s="11">
        <v>45485</v>
      </c>
      <c r="G651" s="7">
        <v>45490</v>
      </c>
      <c r="H651" t="s">
        <v>9</v>
      </c>
      <c r="I651">
        <v>400</v>
      </c>
      <c r="J651" s="5">
        <v>6274.74</v>
      </c>
      <c r="K651" s="13">
        <v>100</v>
      </c>
      <c r="L651" s="5">
        <f>Table1[[#This Row],[Open Value]]+Table1[[#This Row],[PnL]]</f>
        <v>0</v>
      </c>
      <c r="M651" s="5">
        <f>Table1[[#This Row],[Open Value]]/Table1[[#This Row],[Shares]]/Table1[[#This Row],[Multiplier]]</f>
        <v>0.15686849999999999</v>
      </c>
      <c r="N651" s="5">
        <f>Table1[[#This Row],[Close Value]]/Table1[[#This Row],[Shares]]/Table1[[#This Row],[Multiplier]]</f>
        <v>0</v>
      </c>
      <c r="O651" s="5">
        <v>-6274.74</v>
      </c>
      <c r="P651" s="3">
        <f>Table1[[#This Row],[PnL]]/Table1[[#This Row],[Open Value]]</f>
        <v>-1</v>
      </c>
      <c r="Q651" s="9">
        <f t="shared" si="10"/>
        <v>184448.34160139403</v>
      </c>
      <c r="R651" s="5" t="str">
        <f>TEXT(Table1[[#This Row],[Closing Date]],"yyyy")</f>
        <v>2024</v>
      </c>
      <c r="S651" s="5" t="str">
        <f>TEXT(Table1[[#This Row],[Closing Date]],"mmmm")</f>
        <v>July</v>
      </c>
      <c r="T651" s="5" t="s">
        <v>240</v>
      </c>
      <c r="U651" s="5" t="s">
        <v>301</v>
      </c>
    </row>
    <row r="652" spans="2:21" x14ac:dyDescent="0.25">
      <c r="B652" t="s">
        <v>201</v>
      </c>
      <c r="C652" t="s">
        <v>305</v>
      </c>
      <c r="D652" t="s">
        <v>12</v>
      </c>
      <c r="E652" t="s">
        <v>7</v>
      </c>
      <c r="F652" s="11">
        <v>45468</v>
      </c>
      <c r="G652" s="7">
        <v>45490</v>
      </c>
      <c r="H652" t="s">
        <v>44</v>
      </c>
      <c r="I652">
        <v>2</v>
      </c>
      <c r="J652" s="5">
        <v>393656.04</v>
      </c>
      <c r="K652" s="13">
        <v>25</v>
      </c>
      <c r="L652" s="5">
        <f>Table1[[#This Row],[Open Value]]+Table1[[#This Row],[PnL]]</f>
        <v>407718.95999999996</v>
      </c>
      <c r="M652" s="5">
        <f>Table1[[#This Row],[Open Value]]/Table1[[#This Row],[Shares]]/Table1[[#This Row],[Multiplier]]</f>
        <v>7873.1207999999997</v>
      </c>
      <c r="N652" s="5">
        <f>Table1[[#This Row],[Close Value]]/Table1[[#This Row],[Shares]]/Table1[[#This Row],[Multiplier]]</f>
        <v>8154.3791999999994</v>
      </c>
      <c r="O652" s="5">
        <v>14062.92</v>
      </c>
      <c r="P652" s="3">
        <f>Table1[[#This Row],[PnL]]/Table1[[#This Row],[Open Value]]</f>
        <v>3.5723877118715115E-2</v>
      </c>
      <c r="Q652" s="9">
        <f t="shared" si="10"/>
        <v>198511.26160139404</v>
      </c>
      <c r="R652" s="5" t="str">
        <f>TEXT(Table1[[#This Row],[Closing Date]],"yyyy")</f>
        <v>2024</v>
      </c>
      <c r="S652" s="5" t="str">
        <f>TEXT(Table1[[#This Row],[Closing Date]],"mmmm")</f>
        <v>July</v>
      </c>
      <c r="T652" s="5" t="s">
        <v>240</v>
      </c>
      <c r="U652" s="5" t="s">
        <v>301</v>
      </c>
    </row>
    <row r="653" spans="2:21" x14ac:dyDescent="0.25">
      <c r="B653" t="s">
        <v>201</v>
      </c>
      <c r="C653" t="s">
        <v>303</v>
      </c>
      <c r="D653" t="s">
        <v>16</v>
      </c>
      <c r="E653" t="s">
        <v>7</v>
      </c>
      <c r="F653" s="11">
        <v>45460</v>
      </c>
      <c r="G653" s="7">
        <v>45491</v>
      </c>
      <c r="H653" t="s">
        <v>14</v>
      </c>
      <c r="I653">
        <v>1600</v>
      </c>
      <c r="J653" s="5">
        <v>283648</v>
      </c>
      <c r="K653" s="13">
        <v>1</v>
      </c>
      <c r="L653" s="5">
        <f>Table1[[#This Row],[Open Value]]+Table1[[#This Row],[PnL]]</f>
        <v>292875.59000000003</v>
      </c>
      <c r="M653" s="5">
        <f>Table1[[#This Row],[Open Value]]/Table1[[#This Row],[Shares]]/Table1[[#This Row],[Multiplier]]</f>
        <v>177.28</v>
      </c>
      <c r="N653" s="5">
        <f>Table1[[#This Row],[Close Value]]/Table1[[#This Row],[Shares]]/Table1[[#This Row],[Multiplier]]</f>
        <v>183.04724375000001</v>
      </c>
      <c r="O653" s="5">
        <v>9227.59</v>
      </c>
      <c r="P653" s="3">
        <f>Table1[[#This Row],[PnL]]/Table1[[#This Row],[Open Value]]</f>
        <v>3.2531835232400726E-2</v>
      </c>
      <c r="Q653" s="9">
        <f t="shared" si="10"/>
        <v>207738.85160139404</v>
      </c>
      <c r="R653" s="5" t="str">
        <f>TEXT(Table1[[#This Row],[Closing Date]],"yyyy")</f>
        <v>2024</v>
      </c>
      <c r="S653" s="5" t="str">
        <f>TEXT(Table1[[#This Row],[Closing Date]],"mmmm")</f>
        <v>July</v>
      </c>
      <c r="T653" s="5" t="s">
        <v>240</v>
      </c>
      <c r="U653" s="5" t="s">
        <v>301</v>
      </c>
    </row>
    <row r="654" spans="2:21" x14ac:dyDescent="0.25">
      <c r="B654" t="s">
        <v>201</v>
      </c>
      <c r="C654" t="s">
        <v>302</v>
      </c>
      <c r="D654" t="s">
        <v>16</v>
      </c>
      <c r="E654" t="s">
        <v>5</v>
      </c>
      <c r="F654" s="11">
        <v>45489</v>
      </c>
      <c r="G654" s="7">
        <v>45492</v>
      </c>
      <c r="H654" t="s">
        <v>10</v>
      </c>
      <c r="I654">
        <v>1000</v>
      </c>
      <c r="J654" s="5">
        <v>550000</v>
      </c>
      <c r="K654" s="13">
        <v>1</v>
      </c>
      <c r="L654" s="5">
        <f>Table1[[#This Row],[Open Value]]+Table1[[#This Row],[PnL]]</f>
        <v>545039.28</v>
      </c>
      <c r="M654" s="5">
        <f>Table1[[#This Row],[Open Value]]/Table1[[#This Row],[Shares]]/Table1[[#This Row],[Multiplier]]</f>
        <v>550</v>
      </c>
      <c r="N654" s="5">
        <f>Table1[[#This Row],[Close Value]]/Table1[[#This Row],[Shares]]/Table1[[#This Row],[Multiplier]]</f>
        <v>545.03928000000008</v>
      </c>
      <c r="O654" s="5">
        <v>-4960.72</v>
      </c>
      <c r="P654" s="3">
        <f>Table1[[#This Row],[PnL]]/Table1[[#This Row],[Open Value]]</f>
        <v>-9.01949090909091E-3</v>
      </c>
      <c r="Q654" s="9">
        <f t="shared" si="10"/>
        <v>202778.13160139404</v>
      </c>
      <c r="R654" s="5" t="str">
        <f>TEXT(Table1[[#This Row],[Closing Date]],"yyyy")</f>
        <v>2024</v>
      </c>
      <c r="S654" s="5" t="str">
        <f>TEXT(Table1[[#This Row],[Closing Date]],"mmmm")</f>
        <v>July</v>
      </c>
      <c r="T654" s="5" t="s">
        <v>240</v>
      </c>
      <c r="U654" s="5" t="s">
        <v>301</v>
      </c>
    </row>
    <row r="655" spans="2:21" x14ac:dyDescent="0.25">
      <c r="B655" t="s">
        <v>201</v>
      </c>
      <c r="C655" t="s">
        <v>303</v>
      </c>
      <c r="D655" t="s">
        <v>16</v>
      </c>
      <c r="E655" t="s">
        <v>7</v>
      </c>
      <c r="F655" s="11">
        <v>45489</v>
      </c>
      <c r="G655" s="7">
        <v>45492</v>
      </c>
      <c r="H655" t="s">
        <v>37</v>
      </c>
      <c r="I655">
        <v>325</v>
      </c>
      <c r="J655" s="5">
        <v>82933.460000000006</v>
      </c>
      <c r="K655" s="13">
        <v>1</v>
      </c>
      <c r="L655" s="5">
        <f>Table1[[#This Row],[Open Value]]+Table1[[#This Row],[PnL]]</f>
        <v>77946.03</v>
      </c>
      <c r="M655" s="5">
        <f>Table1[[#This Row],[Open Value]]/Table1[[#This Row],[Shares]]/Table1[[#This Row],[Multiplier]]</f>
        <v>255.17987692307693</v>
      </c>
      <c r="N655" s="5">
        <f>Table1[[#This Row],[Close Value]]/Table1[[#This Row],[Shares]]/Table1[[#This Row],[Multiplier]]</f>
        <v>239.83393846153845</v>
      </c>
      <c r="O655" s="5">
        <v>-4987.43</v>
      </c>
      <c r="P655" s="3">
        <f>Table1[[#This Row],[PnL]]/Table1[[#This Row],[Open Value]]</f>
        <v>-6.013772969317812E-2</v>
      </c>
      <c r="Q655" s="9">
        <f t="shared" si="10"/>
        <v>197790.70160139404</v>
      </c>
      <c r="R655" s="5" t="str">
        <f>TEXT(Table1[[#This Row],[Closing Date]],"yyyy")</f>
        <v>2024</v>
      </c>
      <c r="S655" s="5" t="str">
        <f>TEXT(Table1[[#This Row],[Closing Date]],"mmmm")</f>
        <v>July</v>
      </c>
      <c r="T655" s="5" t="s">
        <v>240</v>
      </c>
      <c r="U655" s="5" t="s">
        <v>301</v>
      </c>
    </row>
    <row r="656" spans="2:21" x14ac:dyDescent="0.25">
      <c r="B656" t="s">
        <v>197</v>
      </c>
      <c r="C656" t="s">
        <v>303</v>
      </c>
      <c r="D656" t="s">
        <v>97</v>
      </c>
      <c r="E656" t="s">
        <v>7</v>
      </c>
      <c r="F656" s="11">
        <v>45463</v>
      </c>
      <c r="G656" s="7">
        <v>45492</v>
      </c>
      <c r="H656" t="s">
        <v>76</v>
      </c>
      <c r="I656">
        <v>80</v>
      </c>
      <c r="J656" s="5">
        <v>6535.75</v>
      </c>
      <c r="K656" s="13">
        <v>100</v>
      </c>
      <c r="L656" s="5">
        <f>Table1[[#This Row],[Open Value]]+Table1[[#This Row],[PnL]]</f>
        <v>0</v>
      </c>
      <c r="M656" s="5">
        <f>Table1[[#This Row],[Open Value]]/Table1[[#This Row],[Shares]]/Table1[[#This Row],[Multiplier]]</f>
        <v>0.81696875000000002</v>
      </c>
      <c r="N656" s="5">
        <f>Table1[[#This Row],[Close Value]]/Table1[[#This Row],[Shares]]/Table1[[#This Row],[Multiplier]]</f>
        <v>0</v>
      </c>
      <c r="O656" s="5">
        <v>-6535.75</v>
      </c>
      <c r="P656" s="3">
        <f>Table1[[#This Row],[PnL]]/Table1[[#This Row],[Open Value]]</f>
        <v>-1</v>
      </c>
      <c r="Q656" s="9">
        <f t="shared" si="10"/>
        <v>191254.95160139404</v>
      </c>
      <c r="R656" s="5" t="str">
        <f>TEXT(Table1[[#This Row],[Closing Date]],"yyyy")</f>
        <v>2024</v>
      </c>
      <c r="S656" s="5" t="str">
        <f>TEXT(Table1[[#This Row],[Closing Date]],"mmmm")</f>
        <v>July</v>
      </c>
      <c r="T656" s="5" t="s">
        <v>240</v>
      </c>
      <c r="U656" s="5" t="s">
        <v>301</v>
      </c>
    </row>
    <row r="657" spans="2:21" x14ac:dyDescent="0.25">
      <c r="B657" t="s">
        <v>197</v>
      </c>
      <c r="C657" t="s">
        <v>302</v>
      </c>
      <c r="D657" t="s">
        <v>99</v>
      </c>
      <c r="E657" t="s">
        <v>7</v>
      </c>
      <c r="F657" s="11">
        <v>45488</v>
      </c>
      <c r="G657" s="7">
        <v>45492</v>
      </c>
      <c r="H657" t="s">
        <v>10</v>
      </c>
      <c r="I657">
        <v>100</v>
      </c>
      <c r="J657" s="5">
        <v>2902.68</v>
      </c>
      <c r="K657" s="13">
        <v>100</v>
      </c>
      <c r="L657" s="5">
        <f>Table1[[#This Row],[Open Value]]+Table1[[#This Row],[PnL]]</f>
        <v>10914.44</v>
      </c>
      <c r="M657" s="5">
        <f>Table1[[#This Row],[Open Value]]/Table1[[#This Row],[Shares]]/Table1[[#This Row],[Multiplier]]</f>
        <v>0.29026799999999997</v>
      </c>
      <c r="N657" s="5">
        <f>Table1[[#This Row],[Close Value]]/Table1[[#This Row],[Shares]]/Table1[[#This Row],[Multiplier]]</f>
        <v>1.0914440000000001</v>
      </c>
      <c r="O657" s="5">
        <f>6211.76+1800</f>
        <v>8011.76</v>
      </c>
      <c r="P657" s="3">
        <f>Table1[[#This Row],[PnL]]/Table1[[#This Row],[Open Value]]</f>
        <v>2.7601251257458626</v>
      </c>
      <c r="Q657" s="9">
        <f t="shared" si="10"/>
        <v>199266.71160139405</v>
      </c>
      <c r="R657" s="5" t="str">
        <f>TEXT(Table1[[#This Row],[Closing Date]],"yyyy")</f>
        <v>2024</v>
      </c>
      <c r="S657" s="5" t="str">
        <f>TEXT(Table1[[#This Row],[Closing Date]],"mmmm")</f>
        <v>July</v>
      </c>
      <c r="T657" s="5" t="s">
        <v>240</v>
      </c>
      <c r="U657" s="5" t="s">
        <v>301</v>
      </c>
    </row>
    <row r="658" spans="2:21" x14ac:dyDescent="0.25">
      <c r="B658" t="s">
        <v>201</v>
      </c>
      <c r="C658" t="s">
        <v>303</v>
      </c>
      <c r="D658" t="s">
        <v>12</v>
      </c>
      <c r="E658" t="s">
        <v>7</v>
      </c>
      <c r="F658" s="11">
        <v>45487</v>
      </c>
      <c r="G658" s="7">
        <v>45492</v>
      </c>
      <c r="H658" t="s">
        <v>85</v>
      </c>
      <c r="I658">
        <v>8</v>
      </c>
      <c r="J658" s="5">
        <v>48753.16</v>
      </c>
      <c r="K658" s="13">
        <v>0.1</v>
      </c>
      <c r="L658" s="5">
        <f>Table1[[#This Row],[Open Value]]+Table1[[#This Row],[PnL]]</f>
        <v>50893.840000000004</v>
      </c>
      <c r="M658" s="5">
        <f>Table1[[#This Row],[Open Value]]/Table1[[#This Row],[Shares]]/Table1[[#This Row],[Multiplier]]</f>
        <v>60941.450000000004</v>
      </c>
      <c r="N658" s="5">
        <f>Table1[[#This Row],[Close Value]]/Table1[[#This Row],[Shares]]/Table1[[#This Row],[Multiplier]]</f>
        <v>63617.3</v>
      </c>
      <c r="O658" s="5">
        <v>2140.6799999999998</v>
      </c>
      <c r="P658" s="3">
        <f>Table1[[#This Row],[PnL]]/Table1[[#This Row],[Open Value]]</f>
        <v>4.3908538441405638E-2</v>
      </c>
      <c r="Q658" s="9">
        <f t="shared" si="10"/>
        <v>201407.39160139405</v>
      </c>
      <c r="R658" s="5" t="str">
        <f>TEXT(Table1[[#This Row],[Closing Date]],"yyyy")</f>
        <v>2024</v>
      </c>
      <c r="S658" s="5" t="str">
        <f>TEXT(Table1[[#This Row],[Closing Date]],"mmmm")</f>
        <v>July</v>
      </c>
      <c r="T658" s="5" t="s">
        <v>240</v>
      </c>
      <c r="U658" s="5" t="s">
        <v>301</v>
      </c>
    </row>
    <row r="659" spans="2:21" x14ac:dyDescent="0.25">
      <c r="B659" t="s">
        <v>201</v>
      </c>
      <c r="C659" t="s">
        <v>303</v>
      </c>
      <c r="D659" t="s">
        <v>12</v>
      </c>
      <c r="E659" t="s">
        <v>7</v>
      </c>
      <c r="F659" s="11">
        <v>45487</v>
      </c>
      <c r="G659" s="7">
        <v>45492</v>
      </c>
      <c r="H659" t="s">
        <v>271</v>
      </c>
      <c r="I659">
        <v>130</v>
      </c>
      <c r="J659" s="5">
        <v>42291.6</v>
      </c>
      <c r="K659" s="13">
        <v>0.1</v>
      </c>
      <c r="L659" s="5">
        <f>Table1[[#This Row],[Open Value]]+Table1[[#This Row],[PnL]]</f>
        <v>44320.9</v>
      </c>
      <c r="M659" s="5">
        <f>Table1[[#This Row],[Open Value]]/Table1[[#This Row],[Shares]]/Table1[[#This Row],[Multiplier]]</f>
        <v>3253.2</v>
      </c>
      <c r="N659" s="5">
        <f>Table1[[#This Row],[Close Value]]/Table1[[#This Row],[Shares]]/Table1[[#This Row],[Multiplier]]</f>
        <v>3409.2999999999997</v>
      </c>
      <c r="O659" s="5">
        <v>2029.3</v>
      </c>
      <c r="P659" s="3">
        <f>Table1[[#This Row],[PnL]]/Table1[[#This Row],[Open Value]]</f>
        <v>4.7983523914914547E-2</v>
      </c>
      <c r="Q659" s="9">
        <f t="shared" si="10"/>
        <v>203436.69160139404</v>
      </c>
      <c r="R659" s="5" t="str">
        <f>TEXT(Table1[[#This Row],[Closing Date]],"yyyy")</f>
        <v>2024</v>
      </c>
      <c r="S659" s="5" t="str">
        <f>TEXT(Table1[[#This Row],[Closing Date]],"mmmm")</f>
        <v>July</v>
      </c>
      <c r="T659" s="5" t="s">
        <v>240</v>
      </c>
      <c r="U659" s="5" t="s">
        <v>301</v>
      </c>
    </row>
    <row r="660" spans="2:21" x14ac:dyDescent="0.25">
      <c r="B660" t="s">
        <v>197</v>
      </c>
      <c r="C660" t="s">
        <v>302</v>
      </c>
      <c r="D660" t="s">
        <v>99</v>
      </c>
      <c r="E660" t="s">
        <v>7</v>
      </c>
      <c r="F660" s="11">
        <v>45488</v>
      </c>
      <c r="G660" s="7">
        <v>45495</v>
      </c>
      <c r="H660" t="s">
        <v>10</v>
      </c>
      <c r="I660">
        <v>85</v>
      </c>
      <c r="J660" s="5">
        <v>2609.23</v>
      </c>
      <c r="K660" s="13">
        <v>100</v>
      </c>
      <c r="L660" s="5">
        <f>Table1[[#This Row],[Open Value]]+Table1[[#This Row],[PnL]]</f>
        <v>12067.789999999999</v>
      </c>
      <c r="M660" s="5">
        <f>Table1[[#This Row],[Open Value]]/Table1[[#This Row],[Shares]]/Table1[[#This Row],[Multiplier]]</f>
        <v>0.30696823529411765</v>
      </c>
      <c r="N660" s="5">
        <f>Table1[[#This Row],[Close Value]]/Table1[[#This Row],[Shares]]/Table1[[#This Row],[Multiplier]]</f>
        <v>1.41974</v>
      </c>
      <c r="O660" s="5">
        <v>9458.56</v>
      </c>
      <c r="P660" s="3">
        <f>Table1[[#This Row],[PnL]]/Table1[[#This Row],[Open Value]]</f>
        <v>3.6250388045515343</v>
      </c>
      <c r="Q660" s="9">
        <f t="shared" si="10"/>
        <v>212895.25160139403</v>
      </c>
      <c r="R660" s="5" t="str">
        <f>TEXT(Table1[[#This Row],[Closing Date]],"yyyy")</f>
        <v>2024</v>
      </c>
      <c r="S660" s="5" t="str">
        <f>TEXT(Table1[[#This Row],[Closing Date]],"mmmm")</f>
        <v>July</v>
      </c>
      <c r="T660" s="5" t="s">
        <v>240</v>
      </c>
      <c r="U660" s="5" t="s">
        <v>301</v>
      </c>
    </row>
    <row r="661" spans="2:21" x14ac:dyDescent="0.25">
      <c r="B661" t="s">
        <v>201</v>
      </c>
      <c r="C661" t="s">
        <v>303</v>
      </c>
      <c r="D661" t="s">
        <v>12</v>
      </c>
      <c r="E661" t="s">
        <v>7</v>
      </c>
      <c r="F661" s="11">
        <v>45469</v>
      </c>
      <c r="G661" s="7">
        <v>45495</v>
      </c>
      <c r="H661" t="s">
        <v>88</v>
      </c>
      <c r="I661">
        <v>10</v>
      </c>
      <c r="J661" s="5">
        <v>217421.7</v>
      </c>
      <c r="K661" s="13">
        <v>1120</v>
      </c>
      <c r="L661" s="5">
        <f>Table1[[#This Row],[Open Value]]+Table1[[#This Row],[PnL]]</f>
        <v>207618.30000000002</v>
      </c>
      <c r="M661" s="5">
        <f>Table1[[#This Row],[Open Value]]/Table1[[#This Row],[Shares]]/Table1[[#This Row],[Multiplier]]</f>
        <v>19.412651785714289</v>
      </c>
      <c r="N661" s="5">
        <f>Table1[[#This Row],[Close Value]]/Table1[[#This Row],[Shares]]/Table1[[#This Row],[Multiplier]]</f>
        <v>18.537348214285714</v>
      </c>
      <c r="O661" s="5">
        <v>-9803.4</v>
      </c>
      <c r="P661" s="3">
        <f>Table1[[#This Row],[PnL]]/Table1[[#This Row],[Open Value]]</f>
        <v>-4.508933560909513E-2</v>
      </c>
      <c r="Q661" s="9">
        <f t="shared" si="10"/>
        <v>203091.85160139404</v>
      </c>
      <c r="R661" s="5" t="str">
        <f>TEXT(Table1[[#This Row],[Closing Date]],"yyyy")</f>
        <v>2024</v>
      </c>
      <c r="S661" s="5" t="str">
        <f>TEXT(Table1[[#This Row],[Closing Date]],"mmmm")</f>
        <v>July</v>
      </c>
      <c r="T661" s="5" t="s">
        <v>240</v>
      </c>
      <c r="U661" s="5" t="s">
        <v>301</v>
      </c>
    </row>
    <row r="662" spans="2:21" x14ac:dyDescent="0.25">
      <c r="B662" t="s">
        <v>201</v>
      </c>
      <c r="C662" t="s">
        <v>303</v>
      </c>
      <c r="D662" t="s">
        <v>4</v>
      </c>
      <c r="E662" t="s">
        <v>7</v>
      </c>
      <c r="F662" s="11">
        <v>45484</v>
      </c>
      <c r="G662" s="7">
        <v>45495</v>
      </c>
      <c r="H662" t="s">
        <v>289</v>
      </c>
      <c r="I662">
        <v>1000000</v>
      </c>
      <c r="J662" s="5">
        <f>103499949+101874610+50</f>
        <v>205374609</v>
      </c>
      <c r="K662" s="13">
        <v>1</v>
      </c>
      <c r="L662" s="5">
        <f>Table1[[#This Row],[Open Value]]+Table1[[#This Row],[PnL]]</f>
        <v>205358228.37421229</v>
      </c>
      <c r="M662" s="5">
        <f>Table1[[#This Row],[Open Value]]/Table1[[#This Row],[Shares]]/Table1[[#This Row],[Multiplier]]</f>
        <v>205.37460899999999</v>
      </c>
      <c r="N662" s="5">
        <f>Table1[[#This Row],[Close Value]]/Table1[[#This Row],[Shares]]/Table1[[#This Row],[Multiplier]]</f>
        <v>205.3582283742123</v>
      </c>
      <c r="O662" s="5">
        <f>(202072616-Table1[[#This Row],[Open Value]])/202.072616-40</f>
        <v>-16380.625787711879</v>
      </c>
      <c r="P662" s="3">
        <f>Table1[[#This Row],[PnL]]/Table1[[#This Row],[Open Value]]*Table1[[#This Row],[Close Price]]</f>
        <v>-1.6379319273228402E-2</v>
      </c>
      <c r="Q662" s="9">
        <f t="shared" si="10"/>
        <v>186711.22581368216</v>
      </c>
      <c r="R662" s="5" t="str">
        <f>TEXT(Table1[[#This Row],[Closing Date]],"yyyy")</f>
        <v>2024</v>
      </c>
      <c r="S662" s="5" t="str">
        <f>TEXT(Table1[[#This Row],[Closing Date]],"mmmm")</f>
        <v>July</v>
      </c>
      <c r="T662" s="5" t="s">
        <v>240</v>
      </c>
      <c r="U662" s="5" t="s">
        <v>301</v>
      </c>
    </row>
    <row r="663" spans="2:21" x14ac:dyDescent="0.25">
      <c r="B663" t="s">
        <v>201</v>
      </c>
      <c r="C663" t="s">
        <v>303</v>
      </c>
      <c r="D663" t="s">
        <v>16</v>
      </c>
      <c r="E663" t="s">
        <v>7</v>
      </c>
      <c r="F663" s="11">
        <v>45496</v>
      </c>
      <c r="G663" s="7">
        <v>45497</v>
      </c>
      <c r="H663" t="s">
        <v>206</v>
      </c>
      <c r="I663">
        <v>1000</v>
      </c>
      <c r="J663" s="5">
        <v>155605</v>
      </c>
      <c r="K663" s="13">
        <v>1</v>
      </c>
      <c r="L663" s="5">
        <f>Table1[[#This Row],[Open Value]]+Table1[[#This Row],[PnL]]</f>
        <v>150378.65</v>
      </c>
      <c r="M663" s="5">
        <f>Table1[[#This Row],[Open Value]]/Table1[[#This Row],[Shares]]/Table1[[#This Row],[Multiplier]]</f>
        <v>155.60499999999999</v>
      </c>
      <c r="N663" s="5">
        <f>Table1[[#This Row],[Close Value]]/Table1[[#This Row],[Shares]]/Table1[[#This Row],[Multiplier]]</f>
        <v>150.37864999999999</v>
      </c>
      <c r="O663" s="5">
        <v>-5226.3500000000004</v>
      </c>
      <c r="P663" s="3">
        <f>Table1[[#This Row],[PnL]]/Table1[[#This Row],[Open Value]]</f>
        <v>-3.35872883262106E-2</v>
      </c>
      <c r="Q663" s="9"/>
      <c r="R663" s="5" t="str">
        <f>TEXT(Table1[[#This Row],[Closing Date]],"yyyy")</f>
        <v>2024</v>
      </c>
      <c r="S663" s="5" t="str">
        <f>TEXT(Table1[[#This Row],[Closing Date]],"mmmm")</f>
        <v>July</v>
      </c>
      <c r="T663" s="5" t="s">
        <v>240</v>
      </c>
      <c r="U663" s="5" t="s">
        <v>301</v>
      </c>
    </row>
    <row r="664" spans="2:21" x14ac:dyDescent="0.25">
      <c r="B664" t="s">
        <v>201</v>
      </c>
      <c r="C664" t="s">
        <v>303</v>
      </c>
      <c r="D664" t="s">
        <v>12</v>
      </c>
      <c r="E664" t="s">
        <v>7</v>
      </c>
      <c r="F664" s="11">
        <v>45492</v>
      </c>
      <c r="G664" s="7">
        <v>45497</v>
      </c>
      <c r="H664" t="s">
        <v>271</v>
      </c>
      <c r="I664">
        <v>260</v>
      </c>
      <c r="J664" s="5">
        <v>85169</v>
      </c>
      <c r="K664" s="13">
        <v>0.1</v>
      </c>
      <c r="L664" s="5">
        <f>Table1[[#This Row],[Open Value]]+Table1[[#This Row],[PnL]]</f>
        <v>79127.100000000006</v>
      </c>
      <c r="M664" s="5">
        <f>Table1[[#This Row],[Open Value]]/Table1[[#This Row],[Shares]]/Table1[[#This Row],[Multiplier]]</f>
        <v>3275.7307692307691</v>
      </c>
      <c r="N664" s="5">
        <f>Table1[[#This Row],[Close Value]]/Table1[[#This Row],[Shares]]/Table1[[#This Row],[Multiplier]]</f>
        <v>3043.3500000000004</v>
      </c>
      <c r="O664" s="5">
        <v>-6041.9</v>
      </c>
      <c r="P664" s="3">
        <f>Table1[[#This Row],[PnL]]/Table1[[#This Row],[Open Value]]</f>
        <v>-7.0940130798764808E-2</v>
      </c>
      <c r="Q664" s="9"/>
      <c r="R664" s="5" t="str">
        <f>TEXT(Table1[[#This Row],[Closing Date]],"yyyy")</f>
        <v>2024</v>
      </c>
      <c r="S664" s="5" t="str">
        <f>TEXT(Table1[[#This Row],[Closing Date]],"mmmm")</f>
        <v>July</v>
      </c>
      <c r="T664" s="5" t="s">
        <v>240</v>
      </c>
      <c r="U664" s="5" t="s">
        <v>301</v>
      </c>
    </row>
    <row r="665" spans="2:21" x14ac:dyDescent="0.25">
      <c r="B665" t="s">
        <v>201</v>
      </c>
      <c r="C665" t="s">
        <v>305</v>
      </c>
      <c r="D665" t="s">
        <v>16</v>
      </c>
      <c r="E665" t="s">
        <v>7</v>
      </c>
      <c r="F665" s="11">
        <v>45355</v>
      </c>
      <c r="G665" s="7">
        <v>45497</v>
      </c>
      <c r="H665" t="s">
        <v>14</v>
      </c>
      <c r="I665">
        <v>1000</v>
      </c>
      <c r="J665" s="5">
        <v>133799.41</v>
      </c>
      <c r="K665" s="13">
        <v>1</v>
      </c>
      <c r="L665" s="5">
        <f>59839.52+59799.52+40+34869.03</f>
        <v>154548.07</v>
      </c>
      <c r="M665" s="5">
        <f>Table1[[#This Row],[Open Value]]/Table1[[#This Row],[Shares]]/Table1[[#This Row],[Multiplier]]</f>
        <v>133.79940999999999</v>
      </c>
      <c r="N665" s="5">
        <f>Table1[[#This Row],[Close Value]]/Table1[[#This Row],[Shares]]/Table1[[#This Row],[Multiplier]]</f>
        <v>154.54807</v>
      </c>
      <c r="O665" s="5">
        <f>Table1[[#This Row],[Close Value]]-Table1[[#This Row],[Open Value]]</f>
        <v>20748.660000000003</v>
      </c>
      <c r="P665" s="3">
        <f>Table1[[#This Row],[PnL]]/Table1[[#This Row],[Open Value]]</f>
        <v>0.15507288111360135</v>
      </c>
      <c r="Q665" s="9"/>
      <c r="R665" s="5" t="str">
        <f>TEXT(Table1[[#This Row],[Closing Date]],"yyyy")</f>
        <v>2024</v>
      </c>
      <c r="S665" s="5" t="str">
        <f>TEXT(Table1[[#This Row],[Closing Date]],"mmmm")</f>
        <v>July</v>
      </c>
      <c r="T665" s="5" t="s">
        <v>240</v>
      </c>
      <c r="U665" s="5" t="s">
        <v>203</v>
      </c>
    </row>
    <row r="666" spans="2:21" x14ac:dyDescent="0.25">
      <c r="B666" t="s">
        <v>201</v>
      </c>
      <c r="C666" t="s">
        <v>302</v>
      </c>
      <c r="D666" t="s">
        <v>16</v>
      </c>
      <c r="E666" t="s">
        <v>7</v>
      </c>
      <c r="F666" s="11">
        <v>45488</v>
      </c>
      <c r="G666" s="7">
        <v>45498</v>
      </c>
      <c r="H666" t="s">
        <v>211</v>
      </c>
      <c r="I666">
        <v>2500</v>
      </c>
      <c r="J666" s="5">
        <v>75137.5</v>
      </c>
      <c r="K666" s="13">
        <v>1</v>
      </c>
      <c r="L666" s="5">
        <f>Table1[[#This Row],[Open Value]]+Table1[[#This Row],[PnL]]</f>
        <v>65262.38</v>
      </c>
      <c r="M666" s="5">
        <f>Table1[[#This Row],[Open Value]]/Table1[[#This Row],[Shares]]/Table1[[#This Row],[Multiplier]]</f>
        <v>30.055</v>
      </c>
      <c r="N666" s="5">
        <f>Table1[[#This Row],[Close Value]]/Table1[[#This Row],[Shares]]/Table1[[#This Row],[Multiplier]]</f>
        <v>26.104951999999997</v>
      </c>
      <c r="O666" s="5">
        <v>-9875.1200000000008</v>
      </c>
      <c r="P666" s="3">
        <f>Table1[[#This Row],[PnL]]/Table1[[#This Row],[Open Value]]</f>
        <v>-0.13142731658625853</v>
      </c>
      <c r="Q666" s="9"/>
      <c r="R666" s="5" t="str">
        <f>TEXT(Table1[[#This Row],[Closing Date]],"yyyy")</f>
        <v>2024</v>
      </c>
      <c r="S666" s="5" t="str">
        <f>TEXT(Table1[[#This Row],[Closing Date]],"mmmm")</f>
        <v>July</v>
      </c>
      <c r="T666" s="5" t="s">
        <v>240</v>
      </c>
      <c r="U666" s="5" t="s">
        <v>301</v>
      </c>
    </row>
    <row r="667" spans="2:21" x14ac:dyDescent="0.25">
      <c r="B667" t="s">
        <v>201</v>
      </c>
      <c r="C667" t="s">
        <v>303</v>
      </c>
      <c r="D667" t="s">
        <v>16</v>
      </c>
      <c r="E667" t="s">
        <v>7</v>
      </c>
      <c r="F667" s="11">
        <v>45449</v>
      </c>
      <c r="G667" s="7">
        <v>45498</v>
      </c>
      <c r="H667" t="s">
        <v>218</v>
      </c>
      <c r="I667">
        <v>5000</v>
      </c>
      <c r="J667" s="5">
        <f>33831+75680</f>
        <v>109511</v>
      </c>
      <c r="K667" s="13">
        <v>1</v>
      </c>
      <c r="L667" s="5">
        <f>Table1[[#This Row],[Open Value]]+Table1[[#This Row],[PnL]]</f>
        <v>98427</v>
      </c>
      <c r="M667" s="5">
        <f>Table1[[#This Row],[Open Value]]/Table1[[#This Row],[Shares]]/Table1[[#This Row],[Multiplier]]</f>
        <v>21.902200000000001</v>
      </c>
      <c r="N667" s="5">
        <f>Table1[[#This Row],[Close Value]]/Table1[[#This Row],[Shares]]/Table1[[#This Row],[Multiplier]]</f>
        <v>19.685400000000001</v>
      </c>
      <c r="O667" s="5">
        <v>-11084</v>
      </c>
      <c r="P667" s="3">
        <f>Table1[[#This Row],[PnL]]/Table1[[#This Row],[Open Value]]</f>
        <v>-0.10121357671832053</v>
      </c>
      <c r="Q667" s="9"/>
      <c r="R667" s="5" t="str">
        <f>TEXT(Table1[[#This Row],[Closing Date]],"yyyy")</f>
        <v>2024</v>
      </c>
      <c r="S667" s="5" t="str">
        <f>TEXT(Table1[[#This Row],[Closing Date]],"mmmm")</f>
        <v>July</v>
      </c>
      <c r="T667" s="5" t="s">
        <v>240</v>
      </c>
      <c r="U667" s="5" t="s">
        <v>301</v>
      </c>
    </row>
    <row r="668" spans="2:21" x14ac:dyDescent="0.25">
      <c r="B668" t="s">
        <v>197</v>
      </c>
      <c r="C668" t="s">
        <v>302</v>
      </c>
      <c r="D668" t="s">
        <v>102</v>
      </c>
      <c r="E668" t="s">
        <v>7</v>
      </c>
      <c r="F668" s="11">
        <v>45449</v>
      </c>
      <c r="G668" s="7">
        <v>45498</v>
      </c>
      <c r="H668" t="s">
        <v>186</v>
      </c>
      <c r="I668">
        <v>3</v>
      </c>
      <c r="J668" s="5">
        <v>3452.06</v>
      </c>
      <c r="K668" s="13">
        <v>100</v>
      </c>
      <c r="L668" s="5">
        <f>Table1[[#This Row],[Open Value]]+Table1[[#This Row],[PnL]]</f>
        <v>8122.32</v>
      </c>
      <c r="M668" s="5">
        <f>Table1[[#This Row],[Open Value]]/Table1[[#This Row],[Shares]]/Table1[[#This Row],[Multiplier]]</f>
        <v>11.506866666666667</v>
      </c>
      <c r="N668" s="5">
        <f>Table1[[#This Row],[Close Value]]/Table1[[#This Row],[Shares]]/Table1[[#This Row],[Multiplier]]</f>
        <v>27.074400000000001</v>
      </c>
      <c r="O668" s="5">
        <v>4670.26</v>
      </c>
      <c r="P668" s="3">
        <f>Table1[[#This Row],[PnL]]/Table1[[#This Row],[Open Value]]</f>
        <v>1.3528907377044432</v>
      </c>
      <c r="Q668" s="9"/>
      <c r="R668" s="5" t="str">
        <f>TEXT(Table1[[#This Row],[Closing Date]],"yyyy")</f>
        <v>2024</v>
      </c>
      <c r="S668" s="5" t="str">
        <f>TEXT(Table1[[#This Row],[Closing Date]],"mmmm")</f>
        <v>July</v>
      </c>
      <c r="T668" s="5" t="s">
        <v>240</v>
      </c>
      <c r="U668" s="5" t="s">
        <v>301</v>
      </c>
    </row>
    <row r="669" spans="2:21" x14ac:dyDescent="0.25">
      <c r="B669" t="s">
        <v>197</v>
      </c>
      <c r="C669" t="s">
        <v>303</v>
      </c>
      <c r="D669" t="s">
        <v>99</v>
      </c>
      <c r="E669" t="s">
        <v>7</v>
      </c>
      <c r="F669" s="11">
        <v>45463</v>
      </c>
      <c r="G669" s="7">
        <v>45498</v>
      </c>
      <c r="H669" t="s">
        <v>51</v>
      </c>
      <c r="I669">
        <v>5</v>
      </c>
      <c r="J669" s="5">
        <v>7002.23</v>
      </c>
      <c r="K669" s="13">
        <v>100</v>
      </c>
      <c r="L669" s="5">
        <f>Table1[[#This Row],[Open Value]]+Table1[[#This Row],[PnL]]</f>
        <v>21022.16</v>
      </c>
      <c r="M669" s="5">
        <f>Table1[[#This Row],[Open Value]]/Table1[[#This Row],[Shares]]/Table1[[#This Row],[Multiplier]]</f>
        <v>14.00446</v>
      </c>
      <c r="N669" s="5">
        <f>Table1[[#This Row],[Close Value]]/Table1[[#This Row],[Shares]]/Table1[[#This Row],[Multiplier]]</f>
        <v>42.044319999999999</v>
      </c>
      <c r="O669" s="5">
        <v>14019.93</v>
      </c>
      <c r="P669" s="3">
        <f>Table1[[#This Row],[PnL]]/Table1[[#This Row],[Open Value]]</f>
        <v>2.0022092961813596</v>
      </c>
      <c r="Q669" s="9"/>
      <c r="R669" s="5" t="str">
        <f>TEXT(Table1[[#This Row],[Closing Date]],"yyyy")</f>
        <v>2024</v>
      </c>
      <c r="S669" s="5" t="str">
        <f>TEXT(Table1[[#This Row],[Closing Date]],"mmmm")</f>
        <v>July</v>
      </c>
      <c r="T669" s="5" t="s">
        <v>240</v>
      </c>
      <c r="U669" s="5" t="s">
        <v>301</v>
      </c>
    </row>
    <row r="670" spans="2:21" x14ac:dyDescent="0.25">
      <c r="B670" t="s">
        <v>197</v>
      </c>
      <c r="C670" t="s">
        <v>302</v>
      </c>
      <c r="D670" t="s">
        <v>98</v>
      </c>
      <c r="E670" t="s">
        <v>7</v>
      </c>
      <c r="F670" s="11">
        <v>45455</v>
      </c>
      <c r="G670" s="7">
        <v>45498</v>
      </c>
      <c r="H670" t="s">
        <v>29</v>
      </c>
      <c r="I670">
        <v>85</v>
      </c>
      <c r="J670" s="5">
        <f>3766.23-551.26</f>
        <v>3214.9700000000003</v>
      </c>
      <c r="K670" s="13">
        <v>100</v>
      </c>
      <c r="L670" s="5">
        <f>Table1[[#This Row],[Open Value]]+Table1[[#This Row],[PnL]]</f>
        <v>1423.5700000000002</v>
      </c>
      <c r="M670" s="5">
        <f>Table1[[#This Row],[Open Value]]/Table1[[#This Row],[Shares]]/Table1[[#This Row],[Multiplier]]</f>
        <v>0.37823176470588238</v>
      </c>
      <c r="N670" s="5">
        <f>Table1[[#This Row],[Close Value]]/Table1[[#This Row],[Shares]]/Table1[[#This Row],[Multiplier]]</f>
        <v>0.16747882352941179</v>
      </c>
      <c r="O670" s="5">
        <f>79.57-1870.97</f>
        <v>-1791.4</v>
      </c>
      <c r="P670" s="3">
        <f>Table1[[#This Row],[PnL]]/Table1[[#This Row],[Open Value]]</f>
        <v>-0.55720582151621945</v>
      </c>
      <c r="Q670" s="9"/>
      <c r="R670" s="5" t="str">
        <f>TEXT(Table1[[#This Row],[Closing Date]],"yyyy")</f>
        <v>2024</v>
      </c>
      <c r="S670" s="5" t="str">
        <f>TEXT(Table1[[#This Row],[Closing Date]],"mmmm")</f>
        <v>July</v>
      </c>
      <c r="T670" s="5" t="s">
        <v>240</v>
      </c>
      <c r="U670" s="5" t="s">
        <v>301</v>
      </c>
    </row>
    <row r="671" spans="2:21" x14ac:dyDescent="0.25">
      <c r="B671" t="s">
        <v>201</v>
      </c>
      <c r="C671" t="s">
        <v>303</v>
      </c>
      <c r="D671" t="s">
        <v>16</v>
      </c>
      <c r="E671" t="s">
        <v>7</v>
      </c>
      <c r="F671" s="11">
        <v>45491</v>
      </c>
      <c r="G671" s="7">
        <v>45503</v>
      </c>
      <c r="H671" t="s">
        <v>155</v>
      </c>
      <c r="I671">
        <v>350</v>
      </c>
      <c r="J671" s="5">
        <v>122500</v>
      </c>
      <c r="K671" s="13">
        <v>1</v>
      </c>
      <c r="L671" s="5">
        <v>86386.49</v>
      </c>
      <c r="M671" s="5">
        <f>Table1[[#This Row],[Open Value]]/Table1[[#This Row],[Shares]]/Table1[[#This Row],[Multiplier]]</f>
        <v>350</v>
      </c>
      <c r="N671" s="5">
        <f>Table1[[#This Row],[Close Value]]/Table1[[#This Row],[Shares]]/Table1[[#This Row],[Multiplier]]</f>
        <v>246.81854285714286</v>
      </c>
      <c r="O671" s="5">
        <f>Table1[[#This Row],[Close Value]]-Table1[[#This Row],[Open Value]]</f>
        <v>-36113.509999999995</v>
      </c>
      <c r="P671" s="3">
        <f>Table1[[#This Row],[PnL]]/Table1[[#This Row],[Open Value]]</f>
        <v>-0.29480416326530606</v>
      </c>
      <c r="Q671" s="14"/>
      <c r="R671" s="5" t="str">
        <f>TEXT(Table1[[#This Row],[Closing Date]],"yyyy")</f>
        <v>2024</v>
      </c>
      <c r="S671" s="5" t="str">
        <f>TEXT(Table1[[#This Row],[Closing Date]],"mmmm")</f>
        <v>July</v>
      </c>
      <c r="T671" s="5" t="s">
        <v>240</v>
      </c>
      <c r="U671" s="5" t="s">
        <v>203</v>
      </c>
    </row>
    <row r="672" spans="2:21" x14ac:dyDescent="0.25">
      <c r="B672" t="s">
        <v>201</v>
      </c>
      <c r="C672" t="s">
        <v>306</v>
      </c>
      <c r="D672" t="s">
        <v>12</v>
      </c>
      <c r="E672" t="s">
        <v>7</v>
      </c>
      <c r="F672" s="11">
        <v>45460</v>
      </c>
      <c r="G672" s="7">
        <v>45504</v>
      </c>
      <c r="H672" t="s">
        <v>286</v>
      </c>
      <c r="I672">
        <v>2</v>
      </c>
      <c r="J672" s="5">
        <v>169811</v>
      </c>
      <c r="K672" s="13">
        <v>375</v>
      </c>
      <c r="L672" s="5">
        <v>170844.06</v>
      </c>
      <c r="M672" s="5">
        <f>Table1[[#This Row],[Open Value]]/Table1[[#This Row],[Shares]]/Table1[[#This Row],[Multiplier]]</f>
        <v>226.41466666666668</v>
      </c>
      <c r="N672" s="5">
        <f>Table1[[#This Row],[Close Value]]/Table1[[#This Row],[Shares]]/Table1[[#This Row],[Multiplier]]</f>
        <v>227.79208</v>
      </c>
      <c r="O672" s="5">
        <f>Table1[[#This Row],[Close Value]]-Table1[[#This Row],[Open Value]]</f>
        <v>1033.0599999999977</v>
      </c>
      <c r="P672" s="3">
        <f>Table1[[#This Row],[PnL]]/Table1[[#This Row],[Open Value]]</f>
        <v>6.0835870467755189E-3</v>
      </c>
      <c r="Q672" s="14"/>
      <c r="R672" s="5" t="str">
        <f>TEXT(Table1[[#This Row],[Closing Date]],"yyyy")</f>
        <v>2024</v>
      </c>
      <c r="S672" s="5" t="str">
        <f>TEXT(Table1[[#This Row],[Closing Date]],"mmmm")</f>
        <v>July</v>
      </c>
      <c r="T672" s="5" t="s">
        <v>240</v>
      </c>
      <c r="U672" s="5" t="s">
        <v>301</v>
      </c>
    </row>
    <row r="673" spans="1:21" x14ac:dyDescent="0.25">
      <c r="B673" t="s">
        <v>201</v>
      </c>
      <c r="C673" t="s">
        <v>303</v>
      </c>
      <c r="D673" t="s">
        <v>16</v>
      </c>
      <c r="E673" t="s">
        <v>5</v>
      </c>
      <c r="F673" s="11">
        <v>45503</v>
      </c>
      <c r="G673" s="7">
        <v>45504</v>
      </c>
      <c r="H673" t="s">
        <v>307</v>
      </c>
      <c r="I673">
        <v>200</v>
      </c>
      <c r="J673" s="5">
        <f>Table1[[#This Row],[Close Value]]+Table1[[#This Row],[PnL]]</f>
        <v>153800.97</v>
      </c>
      <c r="K673" s="13">
        <v>1</v>
      </c>
      <c r="L673" s="5">
        <v>162801.97</v>
      </c>
      <c r="M673" s="5">
        <f>Table1[[#This Row],[Open Value]]/Table1[[#This Row],[Shares]]/Table1[[#This Row],[Multiplier]]</f>
        <v>769.00485000000003</v>
      </c>
      <c r="N673" s="5">
        <f>Table1[[#This Row],[Close Value]]/Table1[[#This Row],[Shares]]/Table1[[#This Row],[Multiplier]]</f>
        <v>814.00985000000003</v>
      </c>
      <c r="O673" s="5">
        <v>-9001</v>
      </c>
      <c r="P673" s="3">
        <f>Table1[[#This Row],[PnL]]/Table1[[#This Row],[Open Value]]</f>
        <v>-5.8523688114580814E-2</v>
      </c>
      <c r="Q673" s="14"/>
      <c r="R673" s="5" t="str">
        <f>TEXT(Table1[[#This Row],[Closing Date]],"yyyy")</f>
        <v>2024</v>
      </c>
      <c r="S673" s="5" t="str">
        <f>TEXT(Table1[[#This Row],[Closing Date]],"mmmm")</f>
        <v>July</v>
      </c>
      <c r="T673" s="5" t="s">
        <v>240</v>
      </c>
      <c r="U673" s="5" t="s">
        <v>301</v>
      </c>
    </row>
    <row r="674" spans="1:21" x14ac:dyDescent="0.25">
      <c r="B674" t="s">
        <v>201</v>
      </c>
      <c r="C674" t="s">
        <v>303</v>
      </c>
      <c r="D674" t="s">
        <v>16</v>
      </c>
      <c r="E674" t="s">
        <v>7</v>
      </c>
      <c r="F674" s="11">
        <v>45504</v>
      </c>
      <c r="G674" s="7">
        <v>45504</v>
      </c>
      <c r="H674" t="s">
        <v>231</v>
      </c>
      <c r="I674">
        <v>8333</v>
      </c>
      <c r="J674" s="5">
        <v>111245.55</v>
      </c>
      <c r="K674" s="13">
        <v>1</v>
      </c>
      <c r="L674" s="5">
        <f>106167.07-87.66</f>
        <v>106079.41</v>
      </c>
      <c r="M674" s="5">
        <f>Table1[[#This Row],[Open Value]]/Table1[[#This Row],[Shares]]/Table1[[#This Row],[Multiplier]]</f>
        <v>13.35</v>
      </c>
      <c r="N674" s="5">
        <f>Table1[[#This Row],[Close Value]]/Table1[[#This Row],[Shares]]/Table1[[#This Row],[Multiplier]]</f>
        <v>12.730038401536062</v>
      </c>
      <c r="O674" s="5">
        <v>-5166</v>
      </c>
      <c r="P674" s="3">
        <f>Table1[[#This Row],[PnL]]/Table1[[#This Row],[Open Value]]</f>
        <v>-4.643781256868252E-2</v>
      </c>
      <c r="Q674" s="14"/>
      <c r="R674" s="5" t="str">
        <f>TEXT(Table1[[#This Row],[Closing Date]],"yyyy")</f>
        <v>2024</v>
      </c>
      <c r="S674" s="5" t="str">
        <f>TEXT(Table1[[#This Row],[Closing Date]],"mmmm")</f>
        <v>July</v>
      </c>
      <c r="T674" s="5" t="s">
        <v>240</v>
      </c>
      <c r="U674" s="5" t="s">
        <v>301</v>
      </c>
    </row>
    <row r="675" spans="1:21" x14ac:dyDescent="0.25">
      <c r="B675" t="s">
        <v>201</v>
      </c>
      <c r="C675" t="s">
        <v>303</v>
      </c>
      <c r="D675" t="s">
        <v>12</v>
      </c>
      <c r="E675" t="s">
        <v>5</v>
      </c>
      <c r="F675" s="11">
        <v>45497</v>
      </c>
      <c r="G675" s="7">
        <v>45504</v>
      </c>
      <c r="H675" t="s">
        <v>267</v>
      </c>
      <c r="I675">
        <v>15</v>
      </c>
      <c r="J675" s="5">
        <f>Table1[[#This Row],[Close Value]]+Table1[[#This Row],[PnL]]</f>
        <v>3607280.8</v>
      </c>
      <c r="K675" s="13">
        <v>2500</v>
      </c>
      <c r="L675" s="5">
        <v>3612406.8</v>
      </c>
      <c r="M675" s="5">
        <f>Table1[[#This Row],[Open Value]]/Table1[[#This Row],[Shares]]/Table1[[#This Row],[Multiplier]]</f>
        <v>96.194154666666662</v>
      </c>
      <c r="N675" s="5">
        <f>Table1[[#This Row],[Close Value]]/Table1[[#This Row],[Shares]]/Table1[[#This Row],[Multiplier]]</f>
        <v>96.330848000000003</v>
      </c>
      <c r="O675" s="5">
        <v>-5126</v>
      </c>
      <c r="P675" s="3">
        <f>Table1[[#This Row],[PnL]]/Table1[[#This Row],[Open Value]]</f>
        <v>-1.4210149650673162E-3</v>
      </c>
      <c r="Q675" s="14"/>
      <c r="R675" s="5" t="str">
        <f>TEXT(Table1[[#This Row],[Closing Date]],"yyyy")</f>
        <v>2024</v>
      </c>
      <c r="S675" s="5" t="str">
        <f>TEXT(Table1[[#This Row],[Closing Date]],"mmmm")</f>
        <v>July</v>
      </c>
      <c r="T675" s="5" t="s">
        <v>240</v>
      </c>
      <c r="U675" s="5" t="s">
        <v>301</v>
      </c>
    </row>
    <row r="676" spans="1:21" x14ac:dyDescent="0.25">
      <c r="B676" t="s">
        <v>201</v>
      </c>
      <c r="C676" t="s">
        <v>303</v>
      </c>
      <c r="D676" t="s">
        <v>12</v>
      </c>
      <c r="E676" t="s">
        <v>7</v>
      </c>
      <c r="F676" s="11">
        <v>45488</v>
      </c>
      <c r="G676" s="7">
        <v>45506</v>
      </c>
      <c r="H676" t="s">
        <v>85</v>
      </c>
      <c r="I676">
        <v>16</v>
      </c>
      <c r="J676" s="5">
        <f>Table1[[#This Row],[Close Value]]-Table1[[#This Row],[PnL]]</f>
        <v>106288.18</v>
      </c>
      <c r="K676" s="13">
        <v>0.1</v>
      </c>
      <c r="L676" s="5">
        <v>99938.18</v>
      </c>
      <c r="M676" s="5">
        <f>Table1[[#This Row],[Open Value]]/Table1[[#This Row],[Shares]]/Table1[[#This Row],[Multiplier]]</f>
        <v>66430.112499999988</v>
      </c>
      <c r="N676" s="5">
        <f>Table1[[#This Row],[Close Value]]/Table1[[#This Row],[Shares]]/Table1[[#This Row],[Multiplier]]</f>
        <v>62461.362499999996</v>
      </c>
      <c r="O676" s="5">
        <v>-6350</v>
      </c>
      <c r="P676" s="3">
        <f>Table1[[#This Row],[PnL]]/Table1[[#This Row],[Open Value]]</f>
        <v>-5.9743237677039915E-2</v>
      </c>
      <c r="Q676" s="14"/>
      <c r="R676" s="5" t="str">
        <f>TEXT(Table1[[#This Row],[Closing Date]],"yyyy")</f>
        <v>2024</v>
      </c>
      <c r="S676" s="5" t="str">
        <f>TEXT(Table1[[#This Row],[Closing Date]],"mmmm")</f>
        <v>August</v>
      </c>
      <c r="T676" s="5" t="s">
        <v>240</v>
      </c>
      <c r="U676" s="5" t="s">
        <v>301</v>
      </c>
    </row>
    <row r="677" spans="1:21" x14ac:dyDescent="0.25">
      <c r="B677" t="s">
        <v>197</v>
      </c>
      <c r="C677" t="s">
        <v>302</v>
      </c>
      <c r="D677" t="s">
        <v>97</v>
      </c>
      <c r="E677" t="s">
        <v>7</v>
      </c>
      <c r="F677" s="11">
        <v>45487</v>
      </c>
      <c r="G677" s="7">
        <v>45509</v>
      </c>
      <c r="H677" t="s">
        <v>308</v>
      </c>
      <c r="I677">
        <v>200</v>
      </c>
      <c r="J677" s="5">
        <v>8012</v>
      </c>
      <c r="K677" s="13">
        <v>100</v>
      </c>
      <c r="L677" s="5">
        <f>33800-399.49</f>
        <v>33400.51</v>
      </c>
      <c r="M677" s="5">
        <f>Table1[[#This Row],[Open Value]]/Table1[[#This Row],[Shares]]/Table1[[#This Row],[Multiplier]]</f>
        <v>0.40060000000000001</v>
      </c>
      <c r="N677" s="5">
        <f>Table1[[#This Row],[Close Value]]/Table1[[#This Row],[Shares]]/Table1[[#This Row],[Multiplier]]</f>
        <v>1.6700255000000002</v>
      </c>
      <c r="O677" s="5">
        <f>Table1[[#This Row],[Close Value]]-Table1[[#This Row],[Open Value]]</f>
        <v>25388.510000000002</v>
      </c>
      <c r="P677" s="3">
        <f>Table1[[#This Row],[PnL]]/Table1[[#This Row],[Open Value]]</f>
        <v>3.1688105341987023</v>
      </c>
      <c r="Q677" s="14"/>
      <c r="R677" s="5" t="str">
        <f>TEXT(Table1[[#This Row],[Closing Date]],"yyyy")</f>
        <v>2024</v>
      </c>
      <c r="S677" s="5" t="str">
        <f>TEXT(Table1[[#This Row],[Closing Date]],"mmmm")</f>
        <v>August</v>
      </c>
      <c r="T677" s="5" t="s">
        <v>240</v>
      </c>
      <c r="U677" s="5" t="s">
        <v>301</v>
      </c>
    </row>
    <row r="678" spans="1:21" x14ac:dyDescent="0.25">
      <c r="B678" t="s">
        <v>201</v>
      </c>
      <c r="C678" t="s">
        <v>303</v>
      </c>
      <c r="D678" t="s">
        <v>16</v>
      </c>
      <c r="E678" t="s">
        <v>5</v>
      </c>
      <c r="F678" s="11">
        <v>45505</v>
      </c>
      <c r="G678" s="7">
        <v>45510</v>
      </c>
      <c r="H678" t="s">
        <v>307</v>
      </c>
      <c r="I678">
        <v>200</v>
      </c>
      <c r="J678" s="5">
        <f>Table1[[#This Row],[Close Value]]-Table1[[#This Row],[PnL]]</f>
        <v>129001.68</v>
      </c>
      <c r="K678" s="13">
        <v>1</v>
      </c>
      <c r="L678" s="5">
        <f>72633.68+69661</f>
        <v>142294.68</v>
      </c>
      <c r="M678" s="5">
        <f>Table1[[#This Row],[Open Value]]/Table1[[#This Row],[Shares]]/Table1[[#This Row],[Multiplier]]</f>
        <v>645.00839999999994</v>
      </c>
      <c r="N678" s="5">
        <f>Table1[[#This Row],[Close Value]]/Table1[[#This Row],[Shares]]/Table1[[#This Row],[Multiplier]]</f>
        <v>711.47339999999997</v>
      </c>
      <c r="O678" s="5">
        <f>10392+2901</f>
        <v>13293</v>
      </c>
      <c r="P678" s="3">
        <f>Table1[[#This Row],[PnL]]/Table1[[#This Row],[Open Value]]</f>
        <v>0.10304516964430231</v>
      </c>
      <c r="Q678" s="14"/>
      <c r="R678" s="5" t="str">
        <f>TEXT(Table1[[#This Row],[Closing Date]],"yyyy")</f>
        <v>2024</v>
      </c>
      <c r="S678" s="5" t="str">
        <f>TEXT(Table1[[#This Row],[Closing Date]],"mmmm")</f>
        <v>August</v>
      </c>
      <c r="T678" s="5"/>
      <c r="U678" s="5"/>
    </row>
    <row r="679" spans="1:21" x14ac:dyDescent="0.25">
      <c r="B679" t="s">
        <v>201</v>
      </c>
      <c r="C679" t="s">
        <v>305</v>
      </c>
      <c r="D679" t="s">
        <v>12</v>
      </c>
      <c r="E679" t="s">
        <v>7</v>
      </c>
      <c r="F679" s="11">
        <v>45509</v>
      </c>
      <c r="G679" s="7">
        <v>45511</v>
      </c>
      <c r="H679" t="s">
        <v>82</v>
      </c>
      <c r="I679">
        <v>1</v>
      </c>
      <c r="J679" s="5">
        <v>260227.25</v>
      </c>
      <c r="K679" s="13">
        <v>50</v>
      </c>
      <c r="L679" s="5">
        <v>267897.75</v>
      </c>
      <c r="M679" s="5">
        <f>Table1[[#This Row],[Open Value]]/Table1[[#This Row],[Shares]]/Table1[[#This Row],[Multiplier]]</f>
        <v>5204.5450000000001</v>
      </c>
      <c r="N679" s="5">
        <f>Table1[[#This Row],[Close Value]]/Table1[[#This Row],[Shares]]/Table1[[#This Row],[Multiplier]]</f>
        <v>5357.9549999999999</v>
      </c>
      <c r="O679" s="5">
        <f>Table1[[#This Row],[Close Value]]-Table1[[#This Row],[Open Value]]</f>
        <v>7670.5</v>
      </c>
      <c r="P679" s="3">
        <f>Table1[[#This Row],[PnL]]/Table1[[#This Row],[Open Value]]</f>
        <v>2.9476159779577273E-2</v>
      </c>
      <c r="Q679" s="14"/>
      <c r="R679" s="5" t="str">
        <f>TEXT(Table1[[#This Row],[Closing Date]],"yyyy")</f>
        <v>2024</v>
      </c>
      <c r="S679" s="5" t="str">
        <f>TEXT(Table1[[#This Row],[Closing Date]],"mmmm")</f>
        <v>August</v>
      </c>
      <c r="T679" s="5"/>
      <c r="U679" s="5"/>
    </row>
    <row r="680" spans="1:21" x14ac:dyDescent="0.25">
      <c r="B680" t="s">
        <v>201</v>
      </c>
      <c r="C680" t="s">
        <v>303</v>
      </c>
      <c r="D680" t="s">
        <v>16</v>
      </c>
      <c r="E680" t="s">
        <v>5</v>
      </c>
      <c r="F680" s="11">
        <v>45510</v>
      </c>
      <c r="G680" s="7">
        <v>45511</v>
      </c>
      <c r="H680" t="s">
        <v>310</v>
      </c>
      <c r="I680">
        <v>1850</v>
      </c>
      <c r="J680" s="5">
        <f>Table1[[#This Row],[Close Value]]+Table1[[#This Row],[PnL]]</f>
        <v>116777.55</v>
      </c>
      <c r="K680" s="13">
        <v>1</v>
      </c>
      <c r="L680" s="5">
        <v>122253.55</v>
      </c>
      <c r="M680" s="5">
        <f>Table1[[#This Row],[Open Value]]/Table1[[#This Row],[Shares]]/Table1[[#This Row],[Multiplier]]</f>
        <v>63.123000000000005</v>
      </c>
      <c r="N680" s="5">
        <f>Table1[[#This Row],[Close Value]]/Table1[[#This Row],[Shares]]/Table1[[#This Row],[Multiplier]]</f>
        <v>66.082999999999998</v>
      </c>
      <c r="O680" s="5">
        <v>-5476</v>
      </c>
      <c r="P680" s="3">
        <f>Table1[[#This Row],[PnL]]/Table1[[#This Row],[Open Value]]</f>
        <v>-4.6892574814251541E-2</v>
      </c>
      <c r="Q680" s="14"/>
      <c r="R680" s="5" t="str">
        <f>TEXT(Table1[[#This Row],[Closing Date]],"yyyy")</f>
        <v>2024</v>
      </c>
      <c r="S680" s="5" t="str">
        <f>TEXT(Table1[[#This Row],[Closing Date]],"mmmm")</f>
        <v>August</v>
      </c>
      <c r="T680" s="5"/>
      <c r="U680" s="5"/>
    </row>
    <row r="681" spans="1:21" x14ac:dyDescent="0.25">
      <c r="B681" t="s">
        <v>197</v>
      </c>
      <c r="C681" t="s">
        <v>302</v>
      </c>
      <c r="D681" t="s">
        <v>102</v>
      </c>
      <c r="E681" t="s">
        <v>7</v>
      </c>
      <c r="F681" s="11">
        <v>45505</v>
      </c>
      <c r="G681" s="7">
        <v>45520</v>
      </c>
      <c r="H681" t="s">
        <v>35</v>
      </c>
      <c r="I681">
        <v>200</v>
      </c>
      <c r="J681" s="5">
        <v>4937.5600000000013</v>
      </c>
      <c r="K681" s="13">
        <v>100</v>
      </c>
      <c r="L681" s="5">
        <f>9004.78</f>
        <v>9004.7800000000007</v>
      </c>
      <c r="M681" s="5">
        <f>Table1[[#This Row],[Open Value]]/Table1[[#This Row],[Shares]]/Table1[[#This Row],[Multiplier]]</f>
        <v>0.24687800000000007</v>
      </c>
      <c r="N681" s="5">
        <f>Table1[[#This Row],[Close Value]]/Table1[[#This Row],[Shares]]/Table1[[#This Row],[Multiplier]]</f>
        <v>0.45023900000000006</v>
      </c>
      <c r="O681" s="5">
        <f>Table1[[#This Row],[Close Value]]-Table1[[#This Row],[Open Value]]</f>
        <v>4067.2199999999993</v>
      </c>
      <c r="P681" s="3">
        <f>Table1[[#This Row],[PnL]]/Table1[[#This Row],[Open Value]]</f>
        <v>0.82373074960101711</v>
      </c>
      <c r="Q681" s="14"/>
      <c r="R681" s="5" t="str">
        <f>TEXT(Table1[[#This Row],[Closing Date]],"yyyy")</f>
        <v>2024</v>
      </c>
      <c r="S681" s="5" t="str">
        <f>TEXT(Table1[[#This Row],[Closing Date]],"mmmm")</f>
        <v>August</v>
      </c>
      <c r="T681" s="5"/>
      <c r="U681" s="5"/>
    </row>
    <row r="682" spans="1:21" x14ac:dyDescent="0.25">
      <c r="B682" t="s">
        <v>197</v>
      </c>
      <c r="C682" t="s">
        <v>302</v>
      </c>
      <c r="D682" t="s">
        <v>98</v>
      </c>
      <c r="E682" t="s">
        <v>7</v>
      </c>
      <c r="F682" s="11">
        <v>45505</v>
      </c>
      <c r="G682" s="7">
        <v>45512</v>
      </c>
      <c r="H682" t="s">
        <v>309</v>
      </c>
      <c r="I682">
        <v>20</v>
      </c>
      <c r="J682" s="5">
        <f>Table1[[#This Row],[Close Value]]-Table1[[#This Row],[PnL]]</f>
        <v>3224.7800000000007</v>
      </c>
      <c r="K682" s="13">
        <v>100</v>
      </c>
      <c r="L682" s="5">
        <f>7296.88+3430.9</f>
        <v>10727.78</v>
      </c>
      <c r="M682" s="5">
        <f>Table1[[#This Row],[Open Value]]/Table1[[#This Row],[Shares]]/Table1[[#This Row],[Multiplier]]</f>
        <v>1.6123900000000004</v>
      </c>
      <c r="N682" s="5">
        <f>Table1[[#This Row],[Close Value]]/Table1[[#This Row],[Shares]]/Table1[[#This Row],[Multiplier]]</f>
        <v>5.3638900000000005</v>
      </c>
      <c r="O682" s="5">
        <f>4877+2626</f>
        <v>7503</v>
      </c>
      <c r="P682" s="3">
        <f>Table1[[#This Row],[PnL]]/Table1[[#This Row],[Open Value]]</f>
        <v>2.3266703465042573</v>
      </c>
      <c r="Q682" s="14"/>
      <c r="R682" s="5" t="str">
        <f>TEXT(Table1[[#This Row],[Closing Date]],"yyyy")</f>
        <v>2024</v>
      </c>
      <c r="S682" s="5" t="str">
        <f>TEXT(Table1[[#This Row],[Closing Date]],"mmmm")</f>
        <v>August</v>
      </c>
      <c r="T682" s="5"/>
      <c r="U682" s="5"/>
    </row>
    <row r="683" spans="1:21" x14ac:dyDescent="0.25">
      <c r="B683" t="s">
        <v>201</v>
      </c>
      <c r="C683" t="s">
        <v>302</v>
      </c>
      <c r="D683" t="s">
        <v>12</v>
      </c>
      <c r="E683" t="s">
        <v>7</v>
      </c>
      <c r="F683" s="11">
        <v>45498</v>
      </c>
      <c r="G683" s="7">
        <v>45518</v>
      </c>
      <c r="H683" t="s">
        <v>82</v>
      </c>
      <c r="I683">
        <v>1</v>
      </c>
      <c r="J683" s="5">
        <f>5450*Table1[[#This Row],[Multiplier]]</f>
        <v>272500</v>
      </c>
      <c r="K683" s="13">
        <v>50</v>
      </c>
      <c r="L683" s="5">
        <v>272522.75</v>
      </c>
      <c r="M683" s="5">
        <f>Table1[[#This Row],[Open Value]]/Table1[[#This Row],[Shares]]/Table1[[#This Row],[Multiplier]]</f>
        <v>5450</v>
      </c>
      <c r="N683" s="5">
        <f>Table1[[#This Row],[Close Value]]/Table1[[#This Row],[Shares]]/Table1[[#This Row],[Multiplier]]</f>
        <v>5450.4549999999999</v>
      </c>
      <c r="O683" s="5">
        <f>Table1[[#This Row],[Close Value]]-Table1[[#This Row],[Open Value]]</f>
        <v>22.75</v>
      </c>
      <c r="P683" s="3">
        <f>Table1[[#This Row],[PnL]]/Table1[[#This Row],[Open Value]]</f>
        <v>8.3486238532110086E-5</v>
      </c>
      <c r="Q683" s="14"/>
      <c r="R683" s="5" t="str">
        <f>TEXT(Table1[[#This Row],[Closing Date]],"yyyy")</f>
        <v>2024</v>
      </c>
      <c r="S683" s="5" t="str">
        <f>TEXT(Table1[[#This Row],[Closing Date]],"mmmm")</f>
        <v>August</v>
      </c>
      <c r="T683" s="5"/>
      <c r="U683" s="5"/>
    </row>
    <row r="684" spans="1:21" x14ac:dyDescent="0.25">
      <c r="B684" t="s">
        <v>201</v>
      </c>
      <c r="C684" t="s">
        <v>303</v>
      </c>
      <c r="D684" t="s">
        <v>12</v>
      </c>
      <c r="E684" t="s">
        <v>7</v>
      </c>
      <c r="F684" s="11">
        <v>45498</v>
      </c>
      <c r="H684" t="s">
        <v>82</v>
      </c>
      <c r="I684">
        <v>1</v>
      </c>
      <c r="K684" s="13">
        <v>50</v>
      </c>
      <c r="N684" s="5"/>
      <c r="Q684" s="14"/>
      <c r="R684" s="5" t="str">
        <f>TEXT(Table1[[#This Row],[Closing Date]],"yyyy")</f>
        <v>1900</v>
      </c>
      <c r="S684" s="5" t="str">
        <f>TEXT(Table1[[#This Row],[Closing Date]],"mmmm")</f>
        <v>January</v>
      </c>
      <c r="T684" s="5"/>
      <c r="U684" s="5"/>
    </row>
    <row r="685" spans="1:21" x14ac:dyDescent="0.25">
      <c r="B685" t="s">
        <v>201</v>
      </c>
      <c r="C685" t="s">
        <v>303</v>
      </c>
      <c r="D685" t="s">
        <v>12</v>
      </c>
      <c r="E685" t="s">
        <v>7</v>
      </c>
      <c r="F685" s="11">
        <v>45510</v>
      </c>
      <c r="H685" t="s">
        <v>90</v>
      </c>
      <c r="I685">
        <v>2</v>
      </c>
      <c r="J685" s="5">
        <v>720534.4</v>
      </c>
      <c r="K685" s="13">
        <v>5</v>
      </c>
      <c r="L685" s="5">
        <f>370612.8</f>
        <v>370612.8</v>
      </c>
      <c r="N685" s="5"/>
      <c r="Q685" s="14"/>
      <c r="R685" s="5" t="str">
        <f>TEXT(Table1[[#This Row],[Closing Date]],"yyyy")</f>
        <v>1900</v>
      </c>
      <c r="S685" s="5" t="str">
        <f>TEXT(Table1[[#This Row],[Closing Date]],"mmmm")</f>
        <v>January</v>
      </c>
      <c r="T685" s="5"/>
      <c r="U685" s="5"/>
    </row>
    <row r="686" spans="1:21" x14ac:dyDescent="0.25">
      <c r="A686" t="s">
        <v>316</v>
      </c>
      <c r="B686" t="s">
        <v>197</v>
      </c>
      <c r="C686" t="s">
        <v>302</v>
      </c>
      <c r="D686" t="s">
        <v>97</v>
      </c>
      <c r="E686" t="s">
        <v>7</v>
      </c>
      <c r="F686" s="11">
        <v>45510</v>
      </c>
      <c r="H686" t="s">
        <v>41</v>
      </c>
      <c r="I686">
        <v>20</v>
      </c>
      <c r="J686" s="5">
        <v>7022.41</v>
      </c>
      <c r="K686" s="13">
        <v>100</v>
      </c>
      <c r="L686" s="5">
        <f>4394.68</f>
        <v>4394.68</v>
      </c>
      <c r="N686" s="5"/>
      <c r="Q686" s="14"/>
      <c r="R686" s="5" t="str">
        <f>TEXT(Table1[[#This Row],[Closing Date]],"yyyy")</f>
        <v>1900</v>
      </c>
      <c r="S686" s="5" t="str">
        <f>TEXT(Table1[[#This Row],[Closing Date]],"mmmm")</f>
        <v>January</v>
      </c>
      <c r="T686" s="5"/>
      <c r="U686" s="5"/>
    </row>
    <row r="687" spans="1:21" x14ac:dyDescent="0.25">
      <c r="B687" t="s">
        <v>201</v>
      </c>
      <c r="C687" t="s">
        <v>303</v>
      </c>
      <c r="D687" t="s">
        <v>16</v>
      </c>
      <c r="E687" t="s">
        <v>7</v>
      </c>
      <c r="F687" s="11">
        <v>45510</v>
      </c>
      <c r="H687" t="s">
        <v>153</v>
      </c>
      <c r="I687">
        <v>2500</v>
      </c>
      <c r="J687" s="5">
        <f>43884.5+41517</f>
        <v>85401.5</v>
      </c>
      <c r="K687" s="13">
        <v>1</v>
      </c>
      <c r="N687" s="5"/>
      <c r="Q687" s="14"/>
      <c r="R687" s="5" t="str">
        <f>TEXT(Table1[[#This Row],[Closing Date]],"yyyy")</f>
        <v>1900</v>
      </c>
      <c r="S687" s="5" t="str">
        <f>TEXT(Table1[[#This Row],[Closing Date]],"mmmm")</f>
        <v>January</v>
      </c>
      <c r="T687" s="5"/>
      <c r="U687" s="5"/>
    </row>
    <row r="688" spans="1:21" x14ac:dyDescent="0.25">
      <c r="B688" t="s">
        <v>201</v>
      </c>
      <c r="C688" t="s">
        <v>303</v>
      </c>
      <c r="D688" t="s">
        <v>16</v>
      </c>
      <c r="E688" t="s">
        <v>7</v>
      </c>
      <c r="F688" s="11">
        <v>45511</v>
      </c>
      <c r="H688" t="s">
        <v>312</v>
      </c>
      <c r="I688">
        <v>1600</v>
      </c>
      <c r="J688" s="5">
        <v>32896</v>
      </c>
      <c r="K688" s="13">
        <v>1</v>
      </c>
      <c r="L688" s="5">
        <f>29.77*600-10.5</f>
        <v>17851.5</v>
      </c>
      <c r="N688" s="5"/>
      <c r="Q688" s="14">
        <f>O688+Q687</f>
        <v>0</v>
      </c>
      <c r="R688" s="5" t="str">
        <f>TEXT(Table1[[#This Row],[Closing Date]],"yyyy")</f>
        <v>1900</v>
      </c>
      <c r="S688" s="5" t="str">
        <f>TEXT(Table1[[#This Row],[Closing Date]],"mmmm")</f>
        <v>January</v>
      </c>
      <c r="T688" s="5"/>
      <c r="U688" s="5"/>
    </row>
    <row r="689" spans="1:21" x14ac:dyDescent="0.25">
      <c r="A689" t="s">
        <v>317</v>
      </c>
      <c r="B689" t="s">
        <v>197</v>
      </c>
      <c r="C689" t="s">
        <v>303</v>
      </c>
      <c r="D689" t="s">
        <v>102</v>
      </c>
      <c r="E689" t="s">
        <v>7</v>
      </c>
      <c r="F689" s="11">
        <v>45509</v>
      </c>
      <c r="H689" t="s">
        <v>313</v>
      </c>
      <c r="I689">
        <v>50</v>
      </c>
      <c r="J689" s="5">
        <v>4989</v>
      </c>
      <c r="K689" s="13">
        <v>100</v>
      </c>
      <c r="N689" s="5"/>
      <c r="Q689" s="14">
        <f>O689+Q688</f>
        <v>0</v>
      </c>
      <c r="R689" s="5" t="str">
        <f>TEXT(Table1[[#This Row],[Closing Date]],"yyyy")</f>
        <v>1900</v>
      </c>
      <c r="S689" s="5" t="str">
        <f>TEXT(Table1[[#This Row],[Closing Date]],"mmmm")</f>
        <v>January</v>
      </c>
      <c r="T689" s="5"/>
      <c r="U689" s="5"/>
    </row>
    <row r="690" spans="1:21" x14ac:dyDescent="0.25">
      <c r="A690" t="s">
        <v>315</v>
      </c>
      <c r="B690" t="s">
        <v>197</v>
      </c>
      <c r="C690" t="s">
        <v>302</v>
      </c>
      <c r="D690" t="s">
        <v>97</v>
      </c>
      <c r="E690" t="s">
        <v>7</v>
      </c>
      <c r="F690" s="11">
        <v>45492</v>
      </c>
      <c r="G690" s="7">
        <v>45524</v>
      </c>
      <c r="H690" t="s">
        <v>206</v>
      </c>
      <c r="I690">
        <v>3</v>
      </c>
      <c r="J690" s="5">
        <v>3600</v>
      </c>
      <c r="K690" s="13">
        <v>100</v>
      </c>
      <c r="L690" s="5">
        <v>1975.74</v>
      </c>
      <c r="M690" s="5">
        <f>Table1[[#This Row],[Open Value]]/Table1[[#This Row],[Shares]]/Table1[[#This Row],[Multiplier]]</f>
        <v>12</v>
      </c>
      <c r="N690" s="5">
        <f>Table1[[#This Row],[Close Value]]/Table1[[#This Row],[Shares]]/Table1[[#This Row],[Multiplier]]</f>
        <v>6.5858000000000008</v>
      </c>
      <c r="O690" s="5">
        <f>Table1[[#This Row],[Close Value]]-Table1[[#This Row],[Open Value]]</f>
        <v>-1624.26</v>
      </c>
      <c r="P690" s="3">
        <f>Table1[[#This Row],[PnL]]/Table1[[#This Row],[Open Value]]</f>
        <v>-0.45118333333333333</v>
      </c>
      <c r="Q690" s="14">
        <f t="shared" ref="Q690:Q693" si="11">O690+Q689</f>
        <v>-1624.26</v>
      </c>
      <c r="R690" s="5" t="str">
        <f>TEXT(Table1[[#This Row],[Closing Date]],"yyyy")</f>
        <v>2024</v>
      </c>
      <c r="S690" s="5" t="str">
        <f>TEXT(Table1[[#This Row],[Closing Date]],"mmmm")</f>
        <v>August</v>
      </c>
      <c r="T690" s="5"/>
      <c r="U690" s="5"/>
    </row>
    <row r="691" spans="1:21" x14ac:dyDescent="0.25">
      <c r="A691" t="s">
        <v>315</v>
      </c>
      <c r="B691" t="s">
        <v>197</v>
      </c>
      <c r="C691" t="s">
        <v>302</v>
      </c>
      <c r="D691" t="s">
        <v>97</v>
      </c>
      <c r="E691" t="s">
        <v>7</v>
      </c>
      <c r="F691" s="11">
        <v>45457</v>
      </c>
      <c r="H691" t="s">
        <v>96</v>
      </c>
      <c r="I691">
        <v>4</v>
      </c>
      <c r="J691" s="5">
        <v>3406</v>
      </c>
      <c r="K691" s="13">
        <v>100</v>
      </c>
      <c r="N691" s="5"/>
      <c r="Q691" s="14">
        <f t="shared" si="11"/>
        <v>-1624.26</v>
      </c>
      <c r="R691" s="5" t="str">
        <f>TEXT(Table1[[#This Row],[Closing Date]],"yyyy")</f>
        <v>1900</v>
      </c>
      <c r="S691" s="5" t="str">
        <f>TEXT(Table1[[#This Row],[Closing Date]],"mmmm")</f>
        <v>January</v>
      </c>
      <c r="T691" s="5"/>
      <c r="U691" s="5"/>
    </row>
    <row r="692" spans="1:21" x14ac:dyDescent="0.25">
      <c r="A692" t="s">
        <v>316</v>
      </c>
      <c r="B692" t="s">
        <v>197</v>
      </c>
      <c r="C692" t="s">
        <v>302</v>
      </c>
      <c r="D692" t="s">
        <v>97</v>
      </c>
      <c r="E692" t="s">
        <v>7</v>
      </c>
      <c r="F692" s="11">
        <v>45485</v>
      </c>
      <c r="G692" s="7">
        <v>45512</v>
      </c>
      <c r="H692" t="s">
        <v>277</v>
      </c>
      <c r="I692">
        <v>4</v>
      </c>
      <c r="J692" s="5">
        <v>5610</v>
      </c>
      <c r="K692" s="13">
        <v>100</v>
      </c>
      <c r="L692" s="5">
        <f>3200+6420.61</f>
        <v>9620.61</v>
      </c>
      <c r="M692" s="5">
        <f>Table1[[#This Row],[Open Value]]/Table1[[#This Row],[Shares]]/Table1[[#This Row],[Multiplier]]</f>
        <v>14.025</v>
      </c>
      <c r="N692" s="5">
        <f>Table1[[#This Row],[Close Value]]/Table1[[#This Row],[Shares]]/Table1[[#This Row],[Multiplier]]</f>
        <v>24.051525000000002</v>
      </c>
      <c r="O692" s="5">
        <f>Table1[[#This Row],[Close Value]]-Table1[[#This Row],[Open Value]]</f>
        <v>4010.6100000000006</v>
      </c>
      <c r="P692" s="3">
        <f>Table1[[#This Row],[PnL]]/Table1[[#This Row],[Open Value]]</f>
        <v>0.7149037433155081</v>
      </c>
      <c r="Q692" s="14">
        <f t="shared" si="11"/>
        <v>2386.3500000000004</v>
      </c>
      <c r="R692" s="5" t="str">
        <f>TEXT(Table1[[#This Row],[Closing Date]],"yyyy")</f>
        <v>2024</v>
      </c>
      <c r="S692" s="5" t="str">
        <f>TEXT(Table1[[#This Row],[Closing Date]],"mmmm")</f>
        <v>August</v>
      </c>
      <c r="T692" s="5"/>
      <c r="U692" s="5"/>
    </row>
    <row r="693" spans="1:21" x14ac:dyDescent="0.25">
      <c r="A693" t="s">
        <v>316</v>
      </c>
      <c r="B693" t="s">
        <v>197</v>
      </c>
      <c r="C693" t="s">
        <v>302</v>
      </c>
      <c r="D693" t="s">
        <v>97</v>
      </c>
      <c r="E693" t="s">
        <v>7</v>
      </c>
      <c r="F693" s="11">
        <v>45503</v>
      </c>
      <c r="G693" s="7">
        <v>45518</v>
      </c>
      <c r="H693" t="s">
        <v>256</v>
      </c>
      <c r="I693">
        <v>15</v>
      </c>
      <c r="J693" s="5">
        <v>7316</v>
      </c>
      <c r="K693" s="13">
        <v>100</v>
      </c>
      <c r="L693" s="5">
        <v>5991.6</v>
      </c>
      <c r="M693" s="5">
        <f>Table1[[#This Row],[Open Value]]/Table1[[#This Row],[Shares]]/Table1[[#This Row],[Multiplier]]</f>
        <v>4.8773333333333335</v>
      </c>
      <c r="N693" s="5">
        <f>Table1[[#This Row],[Close Value]]/Table1[[#This Row],[Shares]]/Table1[[#This Row],[Multiplier]]</f>
        <v>3.9944000000000002</v>
      </c>
      <c r="O693" s="5">
        <f>Table1[[#This Row],[Close Value]]-Table1[[#This Row],[Open Value]]</f>
        <v>-1324.3999999999996</v>
      </c>
      <c r="P693" s="3">
        <f>Table1[[#This Row],[PnL]]/Table1[[#This Row],[Open Value]]</f>
        <v>-0.18102788408966644</v>
      </c>
      <c r="Q693" s="14">
        <f t="shared" si="11"/>
        <v>1061.9500000000007</v>
      </c>
      <c r="R693" s="5" t="str">
        <f>TEXT(Table1[[#This Row],[Closing Date]],"yyyy")</f>
        <v>2024</v>
      </c>
      <c r="S693" s="5" t="str">
        <f>TEXT(Table1[[#This Row],[Closing Date]],"mmmm")</f>
        <v>August</v>
      </c>
      <c r="T693" s="5"/>
      <c r="U693" s="5"/>
    </row>
    <row r="694" spans="1:21" x14ac:dyDescent="0.25">
      <c r="A694" t="s">
        <v>315</v>
      </c>
      <c r="B694" t="s">
        <v>197</v>
      </c>
      <c r="C694" t="s">
        <v>302</v>
      </c>
      <c r="D694" t="s">
        <v>97</v>
      </c>
      <c r="E694" t="s">
        <v>7</v>
      </c>
      <c r="F694" s="11">
        <v>45488</v>
      </c>
      <c r="G694" s="7">
        <v>45524</v>
      </c>
      <c r="H694" t="s">
        <v>159</v>
      </c>
      <c r="I694">
        <v>2</v>
      </c>
      <c r="J694" s="5">
        <v>7004</v>
      </c>
      <c r="K694" s="13">
        <v>100</v>
      </c>
      <c r="L694" s="5">
        <v>4568.08</v>
      </c>
      <c r="M694" s="5">
        <f>Table1[[#This Row],[Open Value]]/Table1[[#This Row],[Shares]]/Table1[[#This Row],[Multiplier]]</f>
        <v>35.020000000000003</v>
      </c>
      <c r="N694" s="5">
        <f>Table1[[#This Row],[Close Value]]/Table1[[#This Row],[Shares]]/Table1[[#This Row],[Multiplier]]</f>
        <v>22.840399999999999</v>
      </c>
      <c r="O694" s="5">
        <f>Table1[[#This Row],[Close Value]]-Table1[[#This Row],[Open Value]]</f>
        <v>-2435.92</v>
      </c>
      <c r="P694" s="3">
        <f>Table1[[#This Row],[PnL]]/Table1[[#This Row],[Open Value]]</f>
        <v>-0.3477898343803541</v>
      </c>
      <c r="Q694" s="14">
        <f>O694+Q693</f>
        <v>-1373.9699999999993</v>
      </c>
      <c r="R694" s="5" t="str">
        <f>TEXT(Table1[[#This Row],[Closing Date]],"yyyy")</f>
        <v>2024</v>
      </c>
      <c r="S694" s="5" t="str">
        <f>TEXT(Table1[[#This Row],[Closing Date]],"mmmm")</f>
        <v>August</v>
      </c>
      <c r="T694" s="5"/>
      <c r="U694" s="5"/>
    </row>
    <row r="695" spans="1:21" x14ac:dyDescent="0.25">
      <c r="A695" t="s">
        <v>318</v>
      </c>
      <c r="B695" t="s">
        <v>197</v>
      </c>
      <c r="C695" t="s">
        <v>302</v>
      </c>
      <c r="D695" t="s">
        <v>102</v>
      </c>
      <c r="E695" t="s">
        <v>7</v>
      </c>
      <c r="F695" s="11">
        <v>45501</v>
      </c>
      <c r="H695" t="s">
        <v>10</v>
      </c>
      <c r="I695">
        <v>400</v>
      </c>
      <c r="J695" s="5">
        <v>5475</v>
      </c>
      <c r="K695" s="13">
        <v>100</v>
      </c>
      <c r="N695" s="5"/>
      <c r="Q695" s="14">
        <f>O695+Q694</f>
        <v>-1373.9699999999993</v>
      </c>
      <c r="R695" s="5" t="str">
        <f>TEXT(Table1[[#This Row],[Closing Date]],"yyyy")</f>
        <v>1900</v>
      </c>
      <c r="S695" s="5" t="str">
        <f>TEXT(Table1[[#This Row],[Closing Date]],"mmmm")</f>
        <v>January</v>
      </c>
      <c r="T695" s="5"/>
      <c r="U695" s="5"/>
    </row>
    <row r="696" spans="1:21" x14ac:dyDescent="0.25">
      <c r="A696" t="s">
        <v>318</v>
      </c>
      <c r="B696" t="s">
        <v>197</v>
      </c>
      <c r="C696" t="s">
        <v>302</v>
      </c>
      <c r="D696" t="s">
        <v>102</v>
      </c>
      <c r="E696" t="s">
        <v>7</v>
      </c>
      <c r="F696" s="11">
        <v>45500</v>
      </c>
      <c r="H696" t="s">
        <v>10</v>
      </c>
      <c r="I696">
        <v>300</v>
      </c>
      <c r="J696" s="5">
        <v>3508</v>
      </c>
      <c r="K696" s="13">
        <v>100</v>
      </c>
      <c r="N696" s="5"/>
      <c r="Q696" s="14">
        <f t="shared" ref="Q696:Q701" si="12">O696+Q695</f>
        <v>-1373.9699999999993</v>
      </c>
      <c r="R696" s="5" t="str">
        <f>TEXT(Table1[[#This Row],[Closing Date]],"yyyy")</f>
        <v>1900</v>
      </c>
      <c r="S696" s="5" t="str">
        <f>TEXT(Table1[[#This Row],[Closing Date]],"mmmm")</f>
        <v>January</v>
      </c>
      <c r="T696" s="5"/>
      <c r="U696" s="5"/>
    </row>
    <row r="697" spans="1:21" x14ac:dyDescent="0.25">
      <c r="A697" t="s">
        <v>318</v>
      </c>
      <c r="B697" t="s">
        <v>197</v>
      </c>
      <c r="C697" t="s">
        <v>302</v>
      </c>
      <c r="D697" t="s">
        <v>102</v>
      </c>
      <c r="E697" t="s">
        <v>7</v>
      </c>
      <c r="F697" s="11">
        <v>45510</v>
      </c>
      <c r="H697" t="s">
        <v>266</v>
      </c>
      <c r="I697">
        <v>300</v>
      </c>
      <c r="J697" s="5">
        <v>2864.05</v>
      </c>
      <c r="K697" s="13">
        <v>100</v>
      </c>
      <c r="N697" s="5"/>
      <c r="Q697" s="14">
        <f t="shared" si="12"/>
        <v>-1373.9699999999993</v>
      </c>
      <c r="R697" s="5" t="str">
        <f>TEXT(Table1[[#This Row],[Closing Date]],"yyyy")</f>
        <v>1900</v>
      </c>
      <c r="S697" s="5" t="str">
        <f>TEXT(Table1[[#This Row],[Closing Date]],"mmmm")</f>
        <v>January</v>
      </c>
      <c r="T697" s="5"/>
      <c r="U697" s="5"/>
    </row>
    <row r="698" spans="1:21" x14ac:dyDescent="0.25">
      <c r="A698" t="s">
        <v>316</v>
      </c>
      <c r="B698" t="s">
        <v>197</v>
      </c>
      <c r="C698" t="s">
        <v>302</v>
      </c>
      <c r="D698" t="s">
        <v>102</v>
      </c>
      <c r="E698" t="s">
        <v>7</v>
      </c>
      <c r="F698" s="11">
        <v>45498</v>
      </c>
      <c r="G698" s="7">
        <v>45524</v>
      </c>
      <c r="H698" t="s">
        <v>37</v>
      </c>
      <c r="I698">
        <v>100</v>
      </c>
      <c r="J698" s="5">
        <f>2258+4987</f>
        <v>7245</v>
      </c>
      <c r="K698" s="13">
        <v>100</v>
      </c>
      <c r="L698" s="5">
        <v>5154.8900000000003</v>
      </c>
      <c r="M698" s="5">
        <f>Table1[[#This Row],[Open Value]]/Table1[[#This Row],[Shares]]/Table1[[#This Row],[Multiplier]]</f>
        <v>0.72450000000000003</v>
      </c>
      <c r="N698" s="5">
        <f>Table1[[#This Row],[Close Value]]/Table1[[#This Row],[Shares]]/Table1[[#This Row],[Multiplier]]</f>
        <v>0.51548900000000009</v>
      </c>
      <c r="O698" s="5">
        <f>Table1[[#This Row],[Close Value]]-Table1[[#This Row],[Open Value]]</f>
        <v>-2090.1099999999997</v>
      </c>
      <c r="P698" s="3">
        <f>Table1[[#This Row],[PnL]]/Table1[[#This Row],[Open Value]]</f>
        <v>-0.28848999309868872</v>
      </c>
      <c r="Q698" s="14">
        <f t="shared" si="12"/>
        <v>-3464.079999999999</v>
      </c>
      <c r="R698" s="5" t="str">
        <f>TEXT(Table1[[#This Row],[Closing Date]],"yyyy")</f>
        <v>2024</v>
      </c>
      <c r="S698" s="5" t="str">
        <f>TEXT(Table1[[#This Row],[Closing Date]],"mmmm")</f>
        <v>August</v>
      </c>
      <c r="T698" s="5"/>
      <c r="U698" s="5"/>
    </row>
    <row r="699" spans="1:21" x14ac:dyDescent="0.25">
      <c r="A699" t="s">
        <v>319</v>
      </c>
      <c r="B699" t="s">
        <v>197</v>
      </c>
      <c r="C699" t="s">
        <v>302</v>
      </c>
      <c r="D699" t="s">
        <v>102</v>
      </c>
      <c r="E699" t="s">
        <v>7</v>
      </c>
      <c r="F699" s="11">
        <v>45505</v>
      </c>
      <c r="G699" s="7">
        <v>45524</v>
      </c>
      <c r="H699" t="s">
        <v>133</v>
      </c>
      <c r="I699">
        <v>20</v>
      </c>
      <c r="J699" s="5">
        <v>6492</v>
      </c>
      <c r="K699" s="13">
        <v>100</v>
      </c>
      <c r="L699" s="5">
        <v>10175.719999999999</v>
      </c>
      <c r="M699" s="5">
        <f>Table1[[#This Row],[Open Value]]/Table1[[#This Row],[Shares]]/Table1[[#This Row],[Multiplier]]</f>
        <v>3.2460000000000004</v>
      </c>
      <c r="N699" s="5">
        <f>Table1[[#This Row],[Close Value]]/Table1[[#This Row],[Shares]]/Table1[[#This Row],[Multiplier]]</f>
        <v>5.0878599999999992</v>
      </c>
      <c r="O699" s="5">
        <f>Table1[[#This Row],[Close Value]]-Table1[[#This Row],[Open Value]]</f>
        <v>3683.7199999999993</v>
      </c>
      <c r="P699" s="3">
        <f>Table1[[#This Row],[PnL]]/Table1[[#This Row],[Open Value]]</f>
        <v>0.56742452248921738</v>
      </c>
      <c r="Q699" s="14">
        <f t="shared" si="12"/>
        <v>219.64000000000033</v>
      </c>
      <c r="R699" s="5" t="str">
        <f>TEXT(Table1[[#This Row],[Closing Date]],"yyyy")</f>
        <v>2024</v>
      </c>
      <c r="S699" s="5" t="str">
        <f>TEXT(Table1[[#This Row],[Closing Date]],"mmmm")</f>
        <v>August</v>
      </c>
      <c r="T699" s="5"/>
      <c r="U699" s="5"/>
    </row>
    <row r="700" spans="1:21" x14ac:dyDescent="0.25">
      <c r="A700" t="s">
        <v>315</v>
      </c>
      <c r="B700" t="s">
        <v>197</v>
      </c>
      <c r="C700" t="s">
        <v>302</v>
      </c>
      <c r="D700" t="s">
        <v>102</v>
      </c>
      <c r="E700" t="s">
        <v>7</v>
      </c>
      <c r="F700" s="11">
        <v>45459</v>
      </c>
      <c r="G700" s="7">
        <v>45518</v>
      </c>
      <c r="H700" t="s">
        <v>320</v>
      </c>
      <c r="I700">
        <v>15</v>
      </c>
      <c r="J700" s="5">
        <v>4810</v>
      </c>
      <c r="K700" s="13">
        <v>100</v>
      </c>
      <c r="L700" s="5">
        <v>5029.33</v>
      </c>
      <c r="M700" s="5">
        <f>Table1[[#This Row],[Open Value]]/Table1[[#This Row],[Shares]]/Table1[[#This Row],[Multiplier]]</f>
        <v>3.206666666666667</v>
      </c>
      <c r="N700" s="5">
        <f>Table1[[#This Row],[Close Value]]/Table1[[#This Row],[Shares]]/Table1[[#This Row],[Multiplier]]</f>
        <v>3.3528866666666666</v>
      </c>
      <c r="O700" s="5">
        <f>Table1[[#This Row],[Close Value]]-Table1[[#This Row],[Open Value]]</f>
        <v>219.32999999999993</v>
      </c>
      <c r="P700" s="3">
        <f>Table1[[#This Row],[PnL]]/Table1[[#This Row],[Open Value]]</f>
        <v>4.5598752598752582E-2</v>
      </c>
      <c r="Q700" s="14">
        <f t="shared" si="12"/>
        <v>438.97000000000025</v>
      </c>
      <c r="R700" s="5" t="str">
        <f>TEXT(Table1[[#This Row],[Closing Date]],"yyyy")</f>
        <v>2024</v>
      </c>
      <c r="S700" s="5" t="str">
        <f>TEXT(Table1[[#This Row],[Closing Date]],"mmmm")</f>
        <v>August</v>
      </c>
      <c r="T700" s="5"/>
      <c r="U700" s="5"/>
    </row>
    <row r="701" spans="1:21" x14ac:dyDescent="0.25">
      <c r="A701" t="s">
        <v>315</v>
      </c>
      <c r="B701" t="s">
        <v>197</v>
      </c>
      <c r="C701" t="s">
        <v>302</v>
      </c>
      <c r="D701" t="s">
        <v>102</v>
      </c>
      <c r="E701" t="s">
        <v>7</v>
      </c>
      <c r="F701" s="11">
        <v>45499</v>
      </c>
      <c r="G701" s="7">
        <v>45524</v>
      </c>
      <c r="H701" t="s">
        <v>206</v>
      </c>
      <c r="I701">
        <v>4</v>
      </c>
      <c r="J701" s="5">
        <v>2804</v>
      </c>
      <c r="K701" s="13">
        <v>100</v>
      </c>
      <c r="L701" s="5">
        <v>1473.16</v>
      </c>
      <c r="M701" s="5">
        <f>Table1[[#This Row],[Open Value]]/Table1[[#This Row],[Shares]]/Table1[[#This Row],[Multiplier]]</f>
        <v>7.01</v>
      </c>
      <c r="N701" s="5">
        <f>Table1[[#This Row],[Close Value]]/Table1[[#This Row],[Shares]]/Table1[[#This Row],[Multiplier]]</f>
        <v>3.6829000000000001</v>
      </c>
      <c r="O701" s="5">
        <f>Table1[[#This Row],[Close Value]]-Table1[[#This Row],[Open Value]]</f>
        <v>-1330.84</v>
      </c>
      <c r="P701" s="3">
        <f>Table1[[#This Row],[PnL]]/Table1[[#This Row],[Open Value]]</f>
        <v>-0.47462196861626244</v>
      </c>
      <c r="Q701" s="14">
        <f t="shared" si="12"/>
        <v>-891.86999999999966</v>
      </c>
      <c r="R701" s="5" t="str">
        <f>TEXT(Table1[[#This Row],[Closing Date]],"yyyy")</f>
        <v>2024</v>
      </c>
      <c r="S701" s="5" t="str">
        <f>TEXT(Table1[[#This Row],[Closing Date]],"mmmm")</f>
        <v>August</v>
      </c>
      <c r="T701" s="5"/>
      <c r="U701" s="5"/>
    </row>
    <row r="702" spans="1:21" x14ac:dyDescent="0.25">
      <c r="A702" t="s">
        <v>319</v>
      </c>
      <c r="B702" t="s">
        <v>197</v>
      </c>
      <c r="C702" t="s">
        <v>302</v>
      </c>
      <c r="D702" t="s">
        <v>102</v>
      </c>
      <c r="E702" t="s">
        <v>7</v>
      </c>
      <c r="F702" s="17">
        <v>45458</v>
      </c>
      <c r="H702" t="s">
        <v>156</v>
      </c>
      <c r="I702">
        <v>9</v>
      </c>
      <c r="J702" s="5">
        <v>3608</v>
      </c>
      <c r="K702" s="18">
        <v>100</v>
      </c>
    </row>
    <row r="703" spans="1:21" x14ac:dyDescent="0.25">
      <c r="A703" t="s">
        <v>315</v>
      </c>
      <c r="B703" t="s">
        <v>197</v>
      </c>
      <c r="C703" t="s">
        <v>302</v>
      </c>
      <c r="D703" t="s">
        <v>97</v>
      </c>
      <c r="E703" t="s">
        <v>7</v>
      </c>
      <c r="F703" s="11">
        <v>45501</v>
      </c>
      <c r="H703" t="s">
        <v>52</v>
      </c>
      <c r="I703">
        <v>20</v>
      </c>
      <c r="J703" s="5">
        <v>3442</v>
      </c>
      <c r="K703" s="18">
        <v>100</v>
      </c>
    </row>
    <row r="704" spans="1:21" x14ac:dyDescent="0.25">
      <c r="A704" t="s">
        <v>321</v>
      </c>
      <c r="B704" t="s">
        <v>197</v>
      </c>
      <c r="C704" s="15" t="s">
        <v>306</v>
      </c>
      <c r="D704" t="s">
        <v>102</v>
      </c>
      <c r="E704" t="s">
        <v>7</v>
      </c>
      <c r="F704" s="11">
        <v>45509</v>
      </c>
      <c r="H704" t="s">
        <v>100</v>
      </c>
      <c r="I704">
        <v>10</v>
      </c>
      <c r="J704" s="5">
        <v>10007</v>
      </c>
      <c r="K704" s="18">
        <v>100</v>
      </c>
    </row>
    <row r="705" spans="1:16" x14ac:dyDescent="0.25">
      <c r="A705" t="s">
        <v>319</v>
      </c>
      <c r="B705" t="s">
        <v>197</v>
      </c>
      <c r="C705" t="s">
        <v>302</v>
      </c>
      <c r="D705" t="s">
        <v>102</v>
      </c>
      <c r="E705" t="s">
        <v>7</v>
      </c>
      <c r="F705" s="17">
        <v>45511</v>
      </c>
      <c r="H705" t="s">
        <v>133</v>
      </c>
      <c r="I705">
        <v>2</v>
      </c>
      <c r="J705" s="5">
        <v>8880.99</v>
      </c>
      <c r="K705" s="18">
        <v>100</v>
      </c>
      <c r="L705" s="5">
        <f>5879.04</f>
        <v>5879.04</v>
      </c>
    </row>
    <row r="706" spans="1:16" x14ac:dyDescent="0.25">
      <c r="B706" t="s">
        <v>197</v>
      </c>
      <c r="C706" t="s">
        <v>302</v>
      </c>
      <c r="D706" t="s">
        <v>99</v>
      </c>
      <c r="E706" t="s">
        <v>7</v>
      </c>
      <c r="F706" s="17">
        <v>45516</v>
      </c>
      <c r="H706" t="s">
        <v>322</v>
      </c>
      <c r="I706">
        <v>40</v>
      </c>
      <c r="J706" s="5">
        <v>2187.4699999999998</v>
      </c>
      <c r="K706" s="13">
        <v>100</v>
      </c>
    </row>
    <row r="707" spans="1:16" x14ac:dyDescent="0.25">
      <c r="B707" t="s">
        <v>201</v>
      </c>
      <c r="C707" t="s">
        <v>303</v>
      </c>
      <c r="D707" t="s">
        <v>12</v>
      </c>
      <c r="E707" t="s">
        <v>7</v>
      </c>
      <c r="F707" s="17">
        <v>45519</v>
      </c>
      <c r="H707" t="s">
        <v>92</v>
      </c>
      <c r="I707">
        <v>2</v>
      </c>
      <c r="J707" s="5">
        <f>506220+765</f>
        <v>506985</v>
      </c>
      <c r="K707" s="13">
        <v>1000</v>
      </c>
    </row>
    <row r="708" spans="1:16" x14ac:dyDescent="0.25">
      <c r="B708" t="s">
        <v>201</v>
      </c>
      <c r="C708" t="s">
        <v>303</v>
      </c>
      <c r="D708" t="s">
        <v>12</v>
      </c>
      <c r="E708" t="s">
        <v>7</v>
      </c>
      <c r="F708" s="17">
        <v>45519</v>
      </c>
      <c r="G708" s="7">
        <v>45524</v>
      </c>
      <c r="H708" t="s">
        <v>50</v>
      </c>
      <c r="I708">
        <v>12</v>
      </c>
      <c r="J708" s="5">
        <f>1224660+3447</f>
        <v>1228107</v>
      </c>
      <c r="K708" s="13">
        <v>1000</v>
      </c>
      <c r="L708" s="5">
        <v>1218333.3600000001</v>
      </c>
      <c r="M708" s="5">
        <f>J708/I708/K708</f>
        <v>102.34225000000001</v>
      </c>
      <c r="N708" s="9">
        <f>L708/I708/K708</f>
        <v>101.52778000000001</v>
      </c>
      <c r="O708" s="5">
        <f>L708-J708</f>
        <v>-9773.6399999998976</v>
      </c>
      <c r="P708" s="3">
        <f>O708/J708</f>
        <v>-7.9582967933574979E-3</v>
      </c>
    </row>
    <row r="709" spans="1:16" x14ac:dyDescent="0.25">
      <c r="B709" t="s">
        <v>201</v>
      </c>
      <c r="C709" t="s">
        <v>303</v>
      </c>
      <c r="D709" t="s">
        <v>16</v>
      </c>
      <c r="E709" t="s">
        <v>7</v>
      </c>
      <c r="F709" s="17">
        <v>45519</v>
      </c>
      <c r="H709" t="s">
        <v>323</v>
      </c>
      <c r="I709">
        <v>5000</v>
      </c>
      <c r="J709" s="5">
        <f>155950+523</f>
        <v>156473</v>
      </c>
      <c r="K709" s="13">
        <v>1</v>
      </c>
    </row>
    <row r="710" spans="1:16" x14ac:dyDescent="0.25">
      <c r="B710" t="s">
        <v>201</v>
      </c>
      <c r="C710" t="s">
        <v>303</v>
      </c>
      <c r="D710" t="s">
        <v>16</v>
      </c>
      <c r="E710" t="s">
        <v>7</v>
      </c>
      <c r="F710" s="17">
        <v>45517</v>
      </c>
      <c r="G710" s="7">
        <v>45519</v>
      </c>
      <c r="H710" t="s">
        <v>231</v>
      </c>
      <c r="I710">
        <v>5000</v>
      </c>
      <c r="J710" s="5">
        <f>I710*16.7</f>
        <v>83500</v>
      </c>
      <c r="K710" s="13">
        <v>1</v>
      </c>
      <c r="L710" s="5">
        <f>5000*15.495-52.98</f>
        <v>77422.02</v>
      </c>
      <c r="M710" s="5">
        <f>J710/I710/K710</f>
        <v>16.7</v>
      </c>
      <c r="N710" s="9">
        <f>L710/I710/K710</f>
        <v>15.484404000000001</v>
      </c>
      <c r="O710" s="5">
        <f>L710-J710</f>
        <v>-6077.9799999999959</v>
      </c>
      <c r="P710" s="3">
        <f>O710/J710</f>
        <v>-7.2790179640718516E-2</v>
      </c>
    </row>
    <row r="711" spans="1:16" x14ac:dyDescent="0.25">
      <c r="A711" s="17">
        <v>45583</v>
      </c>
      <c r="B711" t="s">
        <v>197</v>
      </c>
      <c r="C711" t="s">
        <v>302</v>
      </c>
      <c r="D711" t="s">
        <v>99</v>
      </c>
      <c r="E711" t="s">
        <v>7</v>
      </c>
      <c r="F711" s="17">
        <v>45524</v>
      </c>
      <c r="H711" t="s">
        <v>136</v>
      </c>
      <c r="I711">
        <v>100</v>
      </c>
      <c r="J711" s="5">
        <v>5469.94</v>
      </c>
      <c r="K711" s="13">
        <v>100</v>
      </c>
    </row>
    <row r="712" spans="1:16" x14ac:dyDescent="0.25">
      <c r="A712" s="17">
        <v>45531</v>
      </c>
      <c r="B712" t="s">
        <v>197</v>
      </c>
      <c r="C712" t="s">
        <v>302</v>
      </c>
      <c r="D712" t="s">
        <v>99</v>
      </c>
      <c r="E712" t="s">
        <v>7</v>
      </c>
      <c r="F712" s="17">
        <v>45524</v>
      </c>
      <c r="H712" t="s">
        <v>133</v>
      </c>
      <c r="I712">
        <v>300</v>
      </c>
      <c r="J712" s="5">
        <v>5303.58</v>
      </c>
      <c r="K712" s="13">
        <v>100</v>
      </c>
    </row>
  </sheetData>
  <sortState xmlns:xlrd2="http://schemas.microsoft.com/office/spreadsheetml/2017/richdata2" ref="B2:P414">
    <sortCondition ref="G1:G414"/>
  </sortState>
  <phoneticPr fontId="3" type="noConversion"/>
  <conditionalFormatting sqref="O1:O682 Q1 P1:P697 P699:P1048576 O683:P70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S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Closed Trades</vt:lpstr>
      <vt:lpstr>All Trades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McKinley Slade</dc:creator>
  <cp:lastModifiedBy>McKinley Slade</cp:lastModifiedBy>
  <dcterms:created xsi:type="dcterms:W3CDTF">2024-01-10T19:03:54Z</dcterms:created>
  <dcterms:modified xsi:type="dcterms:W3CDTF">2024-08-21T13:08:11Z</dcterms:modified>
</cp:coreProperties>
</file>