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DAD0835C-1445-443C-9F08-5E1C6810F862}" xr6:coauthVersionLast="47" xr6:coauthVersionMax="47" xr10:uidLastSave="{00000000-0000-0000-0000-000000000000}"/>
  <bookViews>
    <workbookView xWindow="46605" yWindow="0" windowWidth="30300" windowHeight="20985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5" i="28" l="1"/>
  <c r="R695" i="28"/>
  <c r="O698" i="15"/>
  <c r="P698" i="15" s="1"/>
  <c r="N698" i="15"/>
  <c r="M698" i="15"/>
  <c r="Q694" i="28"/>
  <c r="R694" i="28"/>
  <c r="O708" i="15"/>
  <c r="P708" i="15" s="1"/>
  <c r="N708" i="15"/>
  <c r="M708" i="15"/>
  <c r="Q693" i="28"/>
  <c r="R693" i="28"/>
  <c r="O694" i="15"/>
  <c r="P694" i="15" s="1"/>
  <c r="N694" i="15"/>
  <c r="M694" i="15"/>
  <c r="O690" i="15"/>
  <c r="P690" i="15" s="1"/>
  <c r="N690" i="15"/>
  <c r="M690" i="15"/>
  <c r="O701" i="15"/>
  <c r="P701" i="15" s="1"/>
  <c r="N701" i="15"/>
  <c r="M701" i="15"/>
  <c r="J687" i="15"/>
  <c r="O699" i="15"/>
  <c r="P699" i="15" s="1"/>
  <c r="N699" i="15"/>
  <c r="M699" i="15"/>
  <c r="L686" i="15"/>
  <c r="Q689" i="28" l="1"/>
  <c r="R689" i="28"/>
  <c r="P710" i="15"/>
  <c r="O710" i="15"/>
  <c r="N710" i="15"/>
  <c r="M710" i="15"/>
  <c r="L710" i="15"/>
  <c r="J710" i="15"/>
  <c r="L688" i="15"/>
  <c r="J709" i="15"/>
  <c r="J708" i="15"/>
  <c r="J707" i="15"/>
  <c r="Q688" i="28"/>
  <c r="R688" i="28"/>
  <c r="O700" i="15"/>
  <c r="P700" i="15" s="1"/>
  <c r="N700" i="15"/>
  <c r="M700" i="15"/>
  <c r="L705" i="15"/>
  <c r="Q687" i="28"/>
  <c r="R687" i="28"/>
  <c r="M693" i="15"/>
  <c r="N693" i="15"/>
  <c r="O693" i="15"/>
  <c r="P693" i="15"/>
  <c r="Q686" i="28"/>
  <c r="R686" i="28"/>
  <c r="O683" i="15"/>
  <c r="P683" i="15" s="1"/>
  <c r="N683" i="15"/>
  <c r="M683" i="15"/>
  <c r="J683" i="15"/>
  <c r="N685" i="28"/>
  <c r="M685" i="28"/>
  <c r="L685" i="28"/>
  <c r="Q685" i="28"/>
  <c r="R685" i="28"/>
  <c r="Q684" i="28"/>
  <c r="R684" i="28"/>
  <c r="N681" i="15"/>
  <c r="M681" i="15"/>
  <c r="P681" i="15"/>
  <c r="O681" i="15"/>
  <c r="Q683" i="28"/>
  <c r="R683" i="28"/>
  <c r="P682" i="15"/>
  <c r="N682" i="15"/>
  <c r="M682" i="15"/>
  <c r="J682" i="15"/>
  <c r="L682" i="15"/>
  <c r="O682" i="15"/>
  <c r="R682" i="28"/>
  <c r="Q682" i="28"/>
  <c r="O692" i="15"/>
  <c r="P692" i="15"/>
  <c r="N692" i="15"/>
  <c r="M692" i="15"/>
  <c r="L692" i="15"/>
  <c r="J698" i="15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L685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8" i="28"/>
  <c r="R679" i="28"/>
  <c r="R680" i="28"/>
  <c r="R681" i="28"/>
  <c r="Q677" i="28"/>
  <c r="Q678" i="28"/>
  <c r="Q679" i="28"/>
  <c r="Q680" i="28"/>
  <c r="Q681" i="28"/>
  <c r="M681" i="28"/>
  <c r="I681" i="28"/>
  <c r="L681" i="28" s="1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6" i="15"/>
  <c r="J676" i="15"/>
  <c r="P676" i="15" s="1"/>
  <c r="R676" i="15"/>
  <c r="S676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s="1"/>
  <c r="P679" i="28" s="1"/>
  <c r="P680" i="28" s="1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</calcChain>
</file>

<file path=xl/sharedStrings.xml><?xml version="1.0" encoding="utf-8"?>
<sst xmlns="http://schemas.openxmlformats.org/spreadsheetml/2006/main" count="9822" uniqueCount="326">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</sst>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ill="1" applyBorder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190681.59845814004</c:v>
                </c:pt>
                <c:pt idx="629">
                  <c:v>204143.10845814005</c:v>
                </c:pt>
                <c:pt idx="630">
                  <c:v>205758.10845814005</c:v>
                </c:pt>
                <c:pt idx="631">
                  <c:v>206214.10845814005</c:v>
                </c:pt>
                <c:pt idx="632">
                  <c:v>201714.58326376649</c:v>
                </c:pt>
                <c:pt idx="633">
                  <c:v>196918.01160139398</c:v>
                </c:pt>
                <c:pt idx="634">
                  <c:v>197262.64160139399</c:v>
                </c:pt>
                <c:pt idx="635">
                  <c:v>194955.17160139399</c:v>
                </c:pt>
                <c:pt idx="636">
                  <c:v>199954.08160139399</c:v>
                </c:pt>
                <c:pt idx="637">
                  <c:v>202440.501601394</c:v>
                </c:pt>
                <c:pt idx="638">
                  <c:v>192549.001601394</c:v>
                </c:pt>
                <c:pt idx="639">
                  <c:v>187335.251601394</c:v>
                </c:pt>
                <c:pt idx="640">
                  <c:v>167957.97160139401</c:v>
                </c:pt>
                <c:pt idx="641">
                  <c:v>162933.69160139401</c:v>
                </c:pt>
                <c:pt idx="642">
                  <c:v>160923.69160139401</c:v>
                </c:pt>
                <c:pt idx="643">
                  <c:v>160384.73160139401</c:v>
                </c:pt>
                <c:pt idx="644">
                  <c:v>160392.05160139402</c:v>
                </c:pt>
                <c:pt idx="645">
                  <c:v>157830.27160139402</c:v>
                </c:pt>
                <c:pt idx="646">
                  <c:v>161058.30160139402</c:v>
                </c:pt>
                <c:pt idx="647">
                  <c:v>177899.72160139401</c:v>
                </c:pt>
                <c:pt idx="648">
                  <c:v>180722.20160139402</c:v>
                </c:pt>
                <c:pt idx="649">
                  <c:v>174447.46160139402</c:v>
                </c:pt>
                <c:pt idx="650">
                  <c:v>188510.38160139404</c:v>
                </c:pt>
                <c:pt idx="651">
                  <c:v>197737.97160139403</c:v>
                </c:pt>
                <c:pt idx="652">
                  <c:v>192777.25160139403</c:v>
                </c:pt>
                <c:pt idx="653">
                  <c:v>187789.82160139404</c:v>
                </c:pt>
                <c:pt idx="654">
                  <c:v>181254.07160139404</c:v>
                </c:pt>
                <c:pt idx="655">
                  <c:v>189265.83160139405</c:v>
                </c:pt>
                <c:pt idx="656">
                  <c:v>191406.51160139404</c:v>
                </c:pt>
                <c:pt idx="657">
                  <c:v>193435.81160139403</c:v>
                </c:pt>
                <c:pt idx="658">
                  <c:v>202894.37160139403</c:v>
                </c:pt>
                <c:pt idx="659">
                  <c:v>193090.97160139403</c:v>
                </c:pt>
                <c:pt idx="660">
                  <c:v>176710.34581368216</c:v>
                </c:pt>
                <c:pt idx="661">
                  <c:v>171483.99581368215</c:v>
                </c:pt>
                <c:pt idx="662">
                  <c:v>165442.09581368216</c:v>
                </c:pt>
                <c:pt idx="663">
                  <c:v>186190.75581368216</c:v>
                </c:pt>
                <c:pt idx="664">
                  <c:v>176315.63581368217</c:v>
                </c:pt>
                <c:pt idx="665">
                  <c:v>165231.63581368217</c:v>
                </c:pt>
                <c:pt idx="666">
                  <c:v>169901.89581368217</c:v>
                </c:pt>
                <c:pt idx="667">
                  <c:v>183921.82581368217</c:v>
                </c:pt>
                <c:pt idx="668">
                  <c:v>182130.42581368217</c:v>
                </c:pt>
                <c:pt idx="669">
                  <c:v>146016.91581368219</c:v>
                </c:pt>
                <c:pt idx="670">
                  <c:v>147049.97581368219</c:v>
                </c:pt>
                <c:pt idx="671">
                  <c:v>138048.97581368219</c:v>
                </c:pt>
                <c:pt idx="672">
                  <c:v>132882.97581368219</c:v>
                </c:pt>
                <c:pt idx="673">
                  <c:v>127756.97581368219</c:v>
                </c:pt>
                <c:pt idx="674">
                  <c:v>121406.97581368219</c:v>
                </c:pt>
                <c:pt idx="675">
                  <c:v>146795.4858136822</c:v>
                </c:pt>
                <c:pt idx="676">
                  <c:v>160088.4858136822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  <c:pt idx="679">
                  <c:v>45520</c:v>
                </c:pt>
                <c:pt idx="680">
                  <c:v>45512</c:v>
                </c:pt>
                <c:pt idx="681">
                  <c:v>45518</c:v>
                </c:pt>
                <c:pt idx="688">
                  <c:v>45524</c:v>
                </c:pt>
                <c:pt idx="690">
                  <c:v>45512</c:v>
                </c:pt>
                <c:pt idx="691">
                  <c:v>45518</c:v>
                </c:pt>
                <c:pt idx="692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45518</c:v>
                </c:pt>
                <c:pt idx="699">
                  <c:v>45524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0</c:v>
                </c:pt>
                <c:pt idx="687">
                  <c:v>0</c:v>
                </c:pt>
                <c:pt idx="688">
                  <c:v>-1624.26</c:v>
                </c:pt>
                <c:pt idx="689">
                  <c:v>-1624.26</c:v>
                </c:pt>
                <c:pt idx="690">
                  <c:v>2386.3500000000004</c:v>
                </c:pt>
                <c:pt idx="691">
                  <c:v>1061.9500000000007</c:v>
                </c:pt>
                <c:pt idx="692">
                  <c:v>-1373.9699999999993</c:v>
                </c:pt>
                <c:pt idx="693">
                  <c:v>-1373.9699999999993</c:v>
                </c:pt>
                <c:pt idx="694">
                  <c:v>-1373.9699999999993</c:v>
                </c:pt>
                <c:pt idx="695">
                  <c:v>-1373.9699999999993</c:v>
                </c:pt>
                <c:pt idx="696">
                  <c:v>-3464.079999999999</c:v>
                </c:pt>
                <c:pt idx="697">
                  <c:v>219.64000000000033</c:v>
                </c:pt>
                <c:pt idx="698">
                  <c:v>438.97000000000025</c:v>
                </c:pt>
                <c:pt idx="699">
                  <c:v>-891.86999999999966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695" totalsRowShown="0" dataDxfId="14" dataCellStyle="Currency">
  <autoFilter ref="A1:T695" xr:uid="{0321047A-259E-4994-BC3F-CB9C1AF5C84F}"/>
  <sortState xmlns:xlrd2="http://schemas.microsoft.com/office/spreadsheetml/2017/richdata2" ref="A2:T677">
    <sortCondition ref="F1:F677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29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15" dataCellStyle="Percent"/>
    <tableColumn id="15" xr3:uid="{7EE8F9A3-1681-4DBC-B6E2-018EDEFBAFBA}" name="Rolling PnL" dataDxfId="20">
      <calculatedColumnFormula>O2+Q1</calculatedColumnFormula>
    </tableColumn>
    <tableColumn id="18" xr3:uid="{2A2A4645-9CA6-4F56-92D4-F4E60B2D28F9}" name="Year" dataDxfId="19" dataCellStyle="Currency">
      <calculatedColumnFormula>TEXT(Table1[[#This Row],[Closing Date]],"yyyy")</calculatedColumnFormula>
    </tableColumn>
    <tableColumn id="19" xr3:uid="{57C91844-55C6-4FDE-86B2-D3BEB61A54BE}" name="Month" dataDxfId="18" dataCellStyle="Currency">
      <calculatedColumnFormula>TEXT(Table1[[#This Row],[Closing Date]],"mmmm")</calculatedColumnFormula>
    </tableColumn>
    <tableColumn id="16" xr3:uid="{D48C620A-A514-4FE5-8A5C-971B574A96B4}" name="ONH" dataDxfId="17" dataCellStyle="Currency"/>
    <tableColumn id="10" xr3:uid="{E7BCFBBC-C95D-444A-BD1E-CCA8A1CC739D}" name="Account" dataDxfId="1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695"/>
  <sheetViews>
    <sheetView tabSelected="1" workbookViewId="0">
      <pane ySplit="1" topLeftCell="A662" activePane="bottomLeft" state="frozen"/>
      <selection pane="bottomLeft" activeCell="D700" sqref="D700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 t="shared" ref="P3:P66" si="0"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 t="shared" si="0"/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 t="shared" si="0"/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 t="shared" si="0"/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 t="shared" si="0"/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 t="shared" si="0"/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 t="shared" si="0"/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 t="shared" si="0"/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 t="shared" si="0"/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 t="shared" si="0"/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 t="shared" si="0"/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 t="shared" si="0"/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 t="shared" si="0"/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 t="shared" si="0"/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 t="shared" si="0"/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 t="shared" si="0"/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 t="shared" si="0"/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 t="shared" si="0"/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 t="shared" si="0"/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 t="shared" si="0"/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 t="shared" si="0"/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 t="shared" si="0"/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 t="shared" si="0"/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 t="shared" si="0"/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 t="shared" si="0"/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 t="shared" si="0"/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 t="shared" si="0"/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 t="shared" si="0"/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 t="shared" si="0"/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 t="shared" si="0"/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 t="shared" si="0"/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 t="shared" si="0"/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 t="shared" si="0"/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 t="shared" si="0"/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 t="shared" si="0"/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 t="shared" si="0"/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 t="shared" si="0"/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 t="shared" si="0"/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 t="shared" si="0"/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 t="shared" si="0"/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 t="shared" si="0"/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 t="shared" si="0"/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 t="shared" si="0"/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 t="shared" si="0"/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 t="shared" si="0"/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 t="shared" si="0"/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 t="shared" si="0"/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 t="shared" si="0"/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 t="shared" si="0"/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 t="shared" si="0"/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 t="shared" si="0"/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 t="shared" si="0"/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 t="shared" si="0"/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 t="shared" si="0"/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 t="shared" si="0"/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 t="shared" si="0"/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 t="shared" si="0"/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 t="shared" si="0"/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 t="shared" si="0"/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 t="shared" si="0"/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 t="shared" si="0"/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 t="shared" si="0"/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 t="shared" si="0"/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 t="shared" si="0"/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 t="shared" ref="P67:P130" si="1"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 t="shared" si="1"/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 t="shared" si="1"/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 t="shared" si="1"/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 t="shared" si="1"/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 t="shared" si="1"/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 t="shared" si="1"/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 t="shared" si="1"/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 t="shared" si="1"/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 t="shared" si="1"/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 t="shared" si="1"/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 t="shared" si="1"/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 t="shared" si="1"/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 t="shared" si="1"/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 t="shared" si="1"/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 t="shared" si="1"/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 t="shared" si="1"/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 t="shared" si="1"/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 t="shared" si="1"/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 t="shared" si="1"/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 t="shared" si="1"/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 t="shared" si="1"/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 t="shared" si="1"/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 t="shared" si="1"/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 t="shared" si="1"/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 t="shared" si="1"/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 t="shared" si="1"/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 t="shared" si="1"/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 t="shared" si="1"/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 t="shared" si="1"/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 t="shared" si="1"/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 t="shared" si="1"/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 t="shared" si="1"/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 t="shared" si="1"/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 t="shared" si="1"/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 t="shared" si="1"/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 t="shared" si="1"/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 t="shared" si="1"/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 t="shared" si="1"/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 t="shared" si="1"/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 t="shared" si="1"/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 t="shared" si="1"/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 t="shared" si="1"/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 t="shared" si="1"/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 t="shared" si="1"/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 t="shared" si="1"/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 t="shared" si="1"/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 t="shared" si="1"/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 t="shared" si="1"/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 t="shared" si="1"/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 t="shared" si="1"/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 t="shared" si="1"/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 t="shared" si="1"/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 t="shared" si="1"/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 t="shared" si="1"/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 t="shared" si="1"/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 t="shared" si="1"/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 t="shared" si="1"/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 t="shared" si="1"/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 t="shared" si="1"/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 t="shared" si="1"/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 t="shared" si="1"/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 t="shared" si="1"/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 t="shared" si="1"/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 t="shared" ref="P131:P194" si="2"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 t="shared" si="2"/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 t="shared" si="2"/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 t="shared" si="2"/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 t="shared" si="2"/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 t="shared" si="2"/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 t="shared" si="2"/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 t="shared" si="2"/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 t="shared" si="2"/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 t="shared" si="2"/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 t="shared" si="2"/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 t="shared" si="2"/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 t="shared" si="2"/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 t="shared" si="2"/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 t="shared" si="2"/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 t="shared" si="2"/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 t="shared" si="2"/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 t="shared" si="2"/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 t="shared" si="2"/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 t="shared" si="2"/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 t="shared" si="2"/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 t="shared" si="2"/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 t="shared" si="2"/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 t="shared" si="2"/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 t="shared" si="2"/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 t="shared" si="2"/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 t="shared" si="2"/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 t="shared" si="2"/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 t="shared" si="2"/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 t="shared" si="2"/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 t="shared" si="2"/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 t="shared" si="2"/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 t="shared" si="2"/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 t="shared" si="2"/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 t="shared" si="2"/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 t="shared" si="2"/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 t="shared" si="2"/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 t="shared" si="2"/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 t="shared" si="2"/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 t="shared" si="2"/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 t="shared" si="2"/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 t="shared" si="2"/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 t="shared" si="2"/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 t="shared" si="2"/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 t="shared" si="2"/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 t="shared" si="2"/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 t="shared" si="2"/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 t="shared" si="2"/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 t="shared" si="2"/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 t="shared" si="2"/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 t="shared" si="2"/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 t="shared" si="2"/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 t="shared" si="2"/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 t="shared" si="2"/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 t="shared" si="2"/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 t="shared" si="2"/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 t="shared" si="2"/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 t="shared" si="2"/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 t="shared" si="2"/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 t="shared" si="2"/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 t="shared" si="2"/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 t="shared" si="2"/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 t="shared" si="2"/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 t="shared" si="2"/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 t="shared" ref="P195:P258" si="3"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 t="shared" si="3"/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 t="shared" si="3"/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 t="shared" si="3"/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 t="shared" si="3"/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 t="shared" si="3"/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 t="shared" si="3"/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 t="shared" si="3"/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 t="shared" si="3"/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 t="shared" si="3"/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 t="shared" si="3"/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 t="shared" si="3"/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 t="shared" si="3"/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 t="shared" si="3"/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 t="shared" si="3"/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 t="shared" si="3"/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 t="shared" si="3"/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 t="shared" si="3"/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 t="shared" si="3"/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 t="shared" si="3"/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 t="shared" si="3"/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 t="shared" si="3"/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 t="shared" si="3"/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 t="shared" si="3"/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 t="shared" si="3"/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 t="shared" si="3"/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 t="shared" si="3"/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 t="shared" si="3"/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 t="shared" si="3"/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 t="shared" si="3"/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 t="shared" si="3"/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 t="shared" si="3"/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 t="shared" si="3"/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 t="shared" si="3"/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 t="shared" si="3"/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 t="shared" si="3"/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 t="shared" si="3"/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 t="shared" si="3"/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 t="shared" si="3"/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 t="shared" si="3"/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 t="shared" si="3"/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 t="shared" si="3"/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 t="shared" si="3"/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 t="shared" si="3"/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 t="shared" si="3"/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 t="shared" si="3"/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 t="shared" si="3"/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 t="shared" si="3"/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 t="shared" si="3"/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 t="shared" si="3"/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 t="shared" si="3"/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 t="shared" si="3"/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 t="shared" si="3"/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 t="shared" si="3"/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 t="shared" si="3"/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 t="shared" si="3"/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 t="shared" si="3"/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 t="shared" si="3"/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 t="shared" si="3"/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 t="shared" si="3"/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 t="shared" si="3"/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 t="shared" si="3"/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 t="shared" si="3"/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 t="shared" si="3"/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 t="shared" ref="P259:P322" si="4"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 t="shared" si="4"/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 t="shared" si="4"/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 t="shared" si="4"/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 t="shared" si="4"/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 t="shared" si="4"/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 t="shared" si="4"/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 t="shared" si="4"/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 t="shared" si="4"/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 t="shared" si="4"/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 t="shared" si="4"/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 t="shared" si="4"/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 t="shared" si="4"/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 t="shared" si="4"/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 t="shared" si="4"/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 t="shared" si="4"/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 t="shared" si="4"/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 t="shared" si="4"/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 t="shared" si="4"/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 t="shared" si="4"/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 t="shared" si="4"/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 t="shared" si="4"/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 t="shared" si="4"/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 t="shared" si="4"/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 t="shared" si="4"/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 t="shared" si="4"/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 t="shared" si="4"/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 t="shared" si="4"/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 t="shared" si="4"/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 t="shared" si="4"/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 t="shared" si="4"/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 t="shared" si="4"/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 t="shared" si="4"/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 t="shared" si="4"/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 t="shared" si="4"/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 t="shared" si="4"/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 t="shared" si="4"/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 t="shared" si="4"/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 t="shared" si="4"/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 t="shared" si="4"/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 t="shared" si="4"/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 t="shared" si="4"/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 t="shared" si="4"/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 t="shared" si="4"/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 t="shared" si="4"/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 t="shared" si="4"/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 t="shared" si="4"/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 t="shared" si="4"/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 t="shared" si="4"/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 t="shared" si="4"/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 t="shared" si="4"/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 t="shared" si="4"/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 t="shared" si="4"/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 t="shared" si="4"/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 t="shared" si="4"/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 t="shared" si="4"/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 t="shared" si="4"/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 t="shared" si="4"/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 t="shared" si="4"/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 t="shared" si="4"/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 t="shared" si="4"/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 t="shared" si="4"/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 t="shared" si="4"/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 t="shared" si="4"/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 t="shared" ref="P323:P386" si="5"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 t="shared" si="5"/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 t="shared" si="5"/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 t="shared" si="5"/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 t="shared" si="5"/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 t="shared" si="5"/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 t="shared" si="5"/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 t="shared" si="5"/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 t="shared" si="5"/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 t="shared" si="5"/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 t="shared" si="5"/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 t="shared" si="5"/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 t="shared" si="5"/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 t="shared" si="5"/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 t="shared" si="5"/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 t="shared" si="5"/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 t="shared" si="5"/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 t="shared" si="5"/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 t="shared" si="5"/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 t="shared" si="5"/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 t="shared" si="5"/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 t="shared" si="5"/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 t="shared" si="5"/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 t="shared" si="5"/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 t="shared" si="5"/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 t="shared" si="5"/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 t="shared" si="5"/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 t="shared" si="5"/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 t="shared" si="5"/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 t="shared" si="5"/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 t="shared" si="5"/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 t="shared" si="5"/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 t="shared" si="5"/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 t="shared" si="5"/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 t="shared" si="5"/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 t="shared" si="5"/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 t="shared" si="5"/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 t="shared" si="5"/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 t="shared" si="5"/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 t="shared" si="5"/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 t="shared" si="5"/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 t="shared" si="5"/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 t="shared" si="5"/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 t="shared" si="5"/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 t="shared" si="5"/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 t="shared" si="5"/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 t="shared" si="5"/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 t="shared" si="5"/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 t="shared" si="5"/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 t="shared" si="5"/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 t="shared" si="5"/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 t="shared" si="5"/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 t="shared" si="5"/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 t="shared" si="5"/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 t="shared" si="5"/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 t="shared" si="5"/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 t="shared" si="5"/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 t="shared" si="5"/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 t="shared" si="5"/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 t="shared" si="5"/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 t="shared" si="5"/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 t="shared" si="5"/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 t="shared" si="5"/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 t="shared" si="5"/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 t="shared" ref="P387:P450" si="6"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 t="shared" si="6"/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 t="shared" si="6"/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 t="shared" si="6"/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 t="shared" si="6"/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 t="shared" si="6"/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 t="shared" si="6"/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 t="shared" si="6"/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 t="shared" si="6"/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 t="shared" si="6"/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 t="shared" si="6"/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 t="shared" si="6"/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 t="shared" si="6"/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 t="shared" si="6"/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 t="shared" si="6"/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 t="shared" si="6"/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 t="shared" si="6"/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 t="shared" si="6"/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 t="shared" si="6"/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 t="shared" si="6"/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 t="shared" si="6"/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 t="shared" si="6"/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 t="shared" si="6"/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 t="shared" si="6"/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 t="shared" si="6"/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 t="shared" si="6"/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 t="shared" si="6"/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 t="shared" si="6"/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 t="shared" si="6"/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 t="shared" si="6"/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 t="shared" si="6"/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 t="shared" si="6"/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 t="shared" si="6"/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 t="shared" si="6"/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 t="shared" si="6"/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 t="shared" si="6"/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 t="shared" si="6"/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 t="shared" si="6"/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 t="shared" si="6"/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 t="shared" si="6"/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 t="shared" si="6"/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 t="shared" si="6"/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 t="shared" si="6"/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 t="shared" si="6"/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 t="shared" si="6"/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 t="shared" si="6"/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 t="shared" si="6"/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 t="shared" si="6"/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 t="shared" si="6"/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 t="shared" si="6"/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 t="shared" si="6"/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 t="shared" si="6"/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 t="shared" si="6"/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 t="shared" si="6"/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 t="shared" si="6"/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 t="shared" si="6"/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 t="shared" si="6"/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 t="shared" si="6"/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 t="shared" si="6"/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 t="shared" si="6"/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 t="shared" si="6"/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 t="shared" si="6"/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 t="shared" si="6"/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197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 t="shared" si="6"/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 t="shared" ref="P451:P514" si="7"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 t="shared" si="7"/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 t="shared" si="7"/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 t="shared" si="7"/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 t="shared" si="7"/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 t="shared" si="7"/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 t="shared" si="7"/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 t="shared" si="7"/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 t="shared" si="7"/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 t="shared" si="7"/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 t="shared" si="7"/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 t="shared" si="7"/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 t="shared" si="7"/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 t="shared" si="7"/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 t="shared" si="7"/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 t="shared" si="7"/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 t="shared" si="7"/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 t="shared" si="7"/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 t="shared" si="7"/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 t="shared" si="7"/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 t="shared" si="7"/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 t="shared" si="7"/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 t="shared" si="7"/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 t="shared" si="7"/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 t="shared" si="7"/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 t="shared" si="7"/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 t="shared" si="7"/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 t="shared" si="7"/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 t="shared" si="7"/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 t="shared" si="7"/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 t="shared" si="7"/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 t="shared" si="7"/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 t="shared" si="7"/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 t="shared" si="7"/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 t="shared" si="7"/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 t="shared" si="7"/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 t="shared" si="7"/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 t="shared" si="7"/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 t="shared" si="7"/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 t="shared" si="7"/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 t="shared" si="7"/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 t="shared" si="7"/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 t="shared" si="7"/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 t="shared" si="7"/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 t="shared" si="7"/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 t="shared" si="7"/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 t="shared" si="7"/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 t="shared" si="7"/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 t="shared" si="7"/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 t="shared" si="7"/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 t="shared" si="7"/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 t="shared" si="7"/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 t="shared" si="7"/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 t="shared" si="7"/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 t="shared" si="7"/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 t="shared" si="7"/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 t="shared" si="7"/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 t="shared" si="7"/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 t="shared" si="7"/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 t="shared" si="7"/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 t="shared" si="7"/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 t="shared" si="7"/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 t="shared" si="7"/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 t="shared" si="7"/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 t="shared" ref="P515:P578" si="8"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 t="shared" si="8"/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 t="shared" si="8"/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 t="shared" si="8"/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 t="shared" si="8"/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 t="shared" si="8"/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 t="shared" si="8"/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 t="shared" si="8"/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 t="shared" si="8"/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 t="shared" si="8"/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 t="shared" si="8"/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 t="shared" si="8"/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 t="shared" si="8"/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 t="shared" si="8"/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 t="shared" si="8"/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 t="shared" si="8"/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 t="shared" si="8"/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 t="shared" si="8"/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 t="shared" si="8"/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 t="shared" si="8"/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 t="shared" si="8"/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 t="shared" si="8"/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 t="shared" si="8"/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 t="shared" si="8"/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 t="shared" si="8"/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 t="shared" si="8"/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 t="shared" si="8"/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302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 t="shared" si="8"/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 t="shared" si="8"/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 t="shared" si="8"/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 t="shared" si="8"/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 t="shared" si="8"/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 t="shared" si="8"/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 t="shared" si="8"/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 t="shared" si="8"/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 t="shared" si="8"/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 t="shared" si="8"/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 t="shared" si="8"/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 t="shared" si="8"/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 t="shared" si="8"/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 t="shared" si="8"/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 t="shared" si="8"/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 t="shared" si="8"/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 t="shared" si="8"/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 t="shared" si="8"/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 t="shared" si="8"/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11">
        <v>45410</v>
      </c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 t="shared" si="8"/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 t="shared" si="8"/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 t="shared" si="8"/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 t="shared" si="8"/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 t="shared" si="8"/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 t="shared" si="8"/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 t="shared" si="8"/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 t="shared" si="8"/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 t="shared" si="8"/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197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 t="shared" si="8"/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 t="shared" si="8"/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 t="shared" si="8"/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 t="shared" si="8"/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 t="shared" si="8"/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 t="shared" si="8"/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 t="shared" si="8"/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 t="shared" si="8"/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 t="shared" si="8"/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 t="shared" ref="P579:P642" si="9"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 t="shared" si="9"/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 t="shared" si="9"/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 t="shared" si="9"/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11">
        <v>45428</v>
      </c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 t="shared" si="9"/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 t="shared" si="9"/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/>
      <c r="T584" s="5"/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 t="shared" si="9"/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 t="shared" si="9"/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 t="shared" si="9"/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 t="shared" si="9"/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 t="shared" si="9"/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 t="shared" si="9"/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 t="shared" si="9"/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 t="shared" si="9"/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 t="shared" si="9"/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 t="shared" si="9"/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 t="shared" si="9"/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 t="shared" si="9"/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 t="shared" si="9"/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 t="shared" si="9"/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 t="shared" si="9"/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 t="shared" si="9"/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 t="shared" si="9"/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 t="shared" si="9"/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 t="shared" si="9"/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 t="shared" si="9"/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 t="shared" si="9"/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 t="shared" si="9"/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 t="shared" si="9"/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 t="shared" si="9"/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 t="shared" si="9"/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11">
        <v>45436</v>
      </c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 t="shared" si="9"/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 t="shared" si="9"/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 t="shared" si="9"/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 t="shared" si="9"/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 t="shared" si="9"/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 t="shared" si="9"/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 t="shared" si="9"/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 t="shared" si="9"/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</v>
      </c>
      <c r="K618" s="5">
        <v>0</v>
      </c>
      <c r="L618" s="5">
        <f>Table13[[#This Row],[Open Value]]/Table13[[#This Row],[Shares]]/Table13[[#This Row],[Multiplier]]</f>
        <v>605.65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 t="shared" si="9"/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 t="shared" si="9"/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 t="shared" si="9"/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 t="shared" si="9"/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 t="shared" si="9"/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 t="shared" si="9"/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 t="shared" si="9"/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 t="shared" si="9"/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 t="shared" si="9"/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 t="shared" si="9"/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 t="shared" si="9"/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 t="shared" si="9"/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5</v>
      </c>
      <c r="I630" s="5">
        <v>9575</v>
      </c>
      <c r="J630" s="13">
        <v>100</v>
      </c>
      <c r="K630" s="5">
        <f>Table13[[#This Row],[Open Value]]+Table13[[#This Row],[PnL]]</f>
        <v>13030</v>
      </c>
      <c r="L630" s="5">
        <f>Table13[[#This Row],[Open Value]]/Table13[[#This Row],[Shares]]/Table13[[#This Row],[Multiplier]]</f>
        <v>19.149999999999999</v>
      </c>
      <c r="M630" s="5">
        <f>Table13[[#This Row],[Close Value]]/Table13[[#This Row],[Shares]]/Table13[[#This Row],[Multiplier]]</f>
        <v>26.06</v>
      </c>
      <c r="N630" s="5">
        <v>3455</v>
      </c>
      <c r="O630" s="3">
        <f>Table13[[#This Row],[PnL]]/Table13[[#This Row],[Open Value]]</f>
        <v>0.36083550913838119</v>
      </c>
      <c r="P630" s="9">
        <f t="shared" si="9"/>
        <v>190681.59845814004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 t="shared" si="9"/>
        <v>204143.10845814005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 t="shared" si="9"/>
        <v>205758.10845814005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 t="shared" si="9"/>
        <v>206214.10845814005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 t="shared" si="9"/>
        <v>201714.58326376649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 t="shared" si="9"/>
        <v>196918.01160139398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 t="shared" si="9"/>
        <v>197262.64160139399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 t="shared" si="9"/>
        <v>194955.17160139399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 t="shared" si="9"/>
        <v>199954.08160139399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 t="shared" si="9"/>
        <v>202440.501601394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 t="shared" si="9"/>
        <v>192549.001601394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 t="shared" si="9"/>
        <v>187335.251601394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 t="shared" si="9"/>
        <v>167957.97160139401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 t="shared" ref="P643:P678" si="10">N643+P642</f>
        <v>162933.69160139401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 t="shared" si="10"/>
        <v>160923.69160139401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 t="shared" si="10"/>
        <v>160384.73160139401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 t="shared" si="10"/>
        <v>160392.05160139402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 t="shared" si="10"/>
        <v>157830.27160139402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 t="shared" si="10"/>
        <v>161058.30160139402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 t="shared" si="10"/>
        <v>177899.72160139401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 t="shared" si="10"/>
        <v>180722.20160139402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 t="shared" si="10"/>
        <v>174447.46160139402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 t="shared" si="10"/>
        <v>188510.38160139404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 t="shared" si="10"/>
        <v>197737.97160139403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 t="shared" si="10"/>
        <v>192777.25160139403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 t="shared" si="10"/>
        <v>187789.82160139404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 t="shared" si="10"/>
        <v>181254.07160139404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 t="shared" si="10"/>
        <v>189265.83160139405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 t="shared" si="10"/>
        <v>191406.51160139404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 t="shared" si="10"/>
        <v>193435.81160139403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 t="shared" si="10"/>
        <v>202894.37160139403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 t="shared" si="10"/>
        <v>193090.97160139403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 t="shared" si="10"/>
        <v>176710.34581368216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 t="shared" si="10"/>
        <v>171483.99581368215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 t="shared" si="10"/>
        <v>165442.09581368216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 t="shared" si="10"/>
        <v>186190.75581368216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 t="shared" si="10"/>
        <v>176315.63581368217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 t="shared" si="10"/>
        <v>165231.63581368217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 t="shared" si="10"/>
        <v>169901.89581368217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 t="shared" si="10"/>
        <v>183921.82581368217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 t="shared" si="10"/>
        <v>182130.42581368217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 t="shared" si="10"/>
        <v>146016.91581368219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 t="shared" si="10"/>
        <v>147049.97581368219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 t="shared" si="10"/>
        <v>138048.97581368219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 t="shared" si="10"/>
        <v>132882.97581368219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 t="shared" si="10"/>
        <v>127756.97581368219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 t="shared" si="10"/>
        <v>121406.97581368219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 t="shared" si="10"/>
        <v>146795.4858136822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16</v>
      </c>
      <c r="D678" t="s">
        <v>5</v>
      </c>
      <c r="E678" s="11">
        <v>45505</v>
      </c>
      <c r="F678" s="7">
        <v>45510</v>
      </c>
      <c r="G678" t="s">
        <v>307</v>
      </c>
      <c r="H678">
        <v>200</v>
      </c>
      <c r="I678" s="5">
        <v>129001.68</v>
      </c>
      <c r="J678" s="13">
        <v>1</v>
      </c>
      <c r="K678" s="5">
        <v>142294.68</v>
      </c>
      <c r="L678" s="5">
        <v>645.00839999999994</v>
      </c>
      <c r="M678" s="5">
        <v>711.47339999999997</v>
      </c>
      <c r="N678" s="5">
        <v>13293</v>
      </c>
      <c r="O678" s="3">
        <v>0.10304516964430231</v>
      </c>
      <c r="P678" s="14">
        <f t="shared" si="10"/>
        <v>160088.4858136822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305</v>
      </c>
      <c r="C679" t="s">
        <v>12</v>
      </c>
      <c r="D679" t="s">
        <v>7</v>
      </c>
      <c r="E679" s="11">
        <v>45509</v>
      </c>
      <c r="F679" s="7">
        <v>45511</v>
      </c>
      <c r="G679" t="s">
        <v>82</v>
      </c>
      <c r="H679">
        <v>1</v>
      </c>
      <c r="I679" s="5">
        <v>260227.25</v>
      </c>
      <c r="J679" s="13">
        <v>50</v>
      </c>
      <c r="K679" s="5">
        <v>267897.75</v>
      </c>
      <c r="L679" s="5">
        <v>5204.5450000000001</v>
      </c>
      <c r="M679" s="5">
        <v>5357.9549999999999</v>
      </c>
      <c r="N679" s="5">
        <v>7670.5</v>
      </c>
      <c r="O679" s="3">
        <v>2.9476159779577273E-2</v>
      </c>
      <c r="P679" s="14">
        <f t="shared" ref="P679" si="11">N679+P678</f>
        <v>167758.9858136822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5</v>
      </c>
      <c r="E680" s="11">
        <v>45510</v>
      </c>
      <c r="F680" s="7">
        <v>45511</v>
      </c>
      <c r="G680" t="s">
        <v>310</v>
      </c>
      <c r="H680">
        <v>1850</v>
      </c>
      <c r="I680" s="5">
        <v>116777.55</v>
      </c>
      <c r="J680" s="13">
        <v>1</v>
      </c>
      <c r="K680" s="5">
        <v>122253.55</v>
      </c>
      <c r="L680" s="5">
        <v>63.123000000000005</v>
      </c>
      <c r="M680" s="5">
        <v>66.082999999999998</v>
      </c>
      <c r="N680" s="5">
        <v>-5476</v>
      </c>
      <c r="O680" s="3">
        <v>-4.6892574814251541E-2</v>
      </c>
      <c r="P680" s="14">
        <f t="shared" ref="P680" si="12">N680+P679</f>
        <v>162282.9858136822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12</v>
      </c>
      <c r="D681" t="s">
        <v>7</v>
      </c>
      <c r="E681" s="11">
        <v>45499</v>
      </c>
      <c r="F681" s="7">
        <v>45509</v>
      </c>
      <c r="G681" t="s">
        <v>311</v>
      </c>
      <c r="H681">
        <v>2</v>
      </c>
      <c r="I681" s="5">
        <f>Table13[[#This Row],[Close Value]]-Table13[[#This Row],[PnL]]</f>
        <v>167529.60000000001</v>
      </c>
      <c r="J681" s="13">
        <v>10</v>
      </c>
      <c r="K681" s="5">
        <v>161956.6</v>
      </c>
      <c r="L681" s="5">
        <f>Table13[[#This Row],[Open Value]]/Table13[[#This Row],[Shares]]/Table13[[#This Row],[Multiplier]]</f>
        <v>8376.48</v>
      </c>
      <c r="M681" s="5">
        <f>Table13[[#This Row],[Close Value]]/Table13[[#This Row],[Shares]]/Table13[[#This Row],[Multiplier]]</f>
        <v>8097.83</v>
      </c>
      <c r="N681" s="5">
        <v>-5573</v>
      </c>
      <c r="O681" s="3">
        <v>-4.6892574814251541E-2</v>
      </c>
      <c r="P681" s="14">
        <f t="shared" ref="P681:P693" si="13">N681+P680</f>
        <v>156709.9858136822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197</v>
      </c>
      <c r="B682" t="s">
        <v>302</v>
      </c>
      <c r="C682" t="s">
        <v>97</v>
      </c>
      <c r="D682" t="s">
        <v>7</v>
      </c>
      <c r="E682" s="11">
        <v>45485</v>
      </c>
      <c r="F682" s="7">
        <v>45512</v>
      </c>
      <c r="G682" t="s">
        <v>277</v>
      </c>
      <c r="H682">
        <v>4</v>
      </c>
      <c r="I682" s="5">
        <v>5610</v>
      </c>
      <c r="J682" s="13">
        <v>100</v>
      </c>
      <c r="K682" s="5">
        <v>9620.61</v>
      </c>
      <c r="L682" s="5">
        <v>14.025</v>
      </c>
      <c r="M682" s="5">
        <v>24.051525000000002</v>
      </c>
      <c r="N682" s="5">
        <v>4010.6100000000006</v>
      </c>
      <c r="O682" s="3">
        <v>0.7149037433155081</v>
      </c>
      <c r="P682" s="14">
        <f t="shared" si="13"/>
        <v>160720.59581368219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98</v>
      </c>
      <c r="D683" t="s">
        <v>7</v>
      </c>
      <c r="E683" s="11">
        <v>45505</v>
      </c>
      <c r="F683" s="7">
        <v>45513</v>
      </c>
      <c r="G683" t="s">
        <v>309</v>
      </c>
      <c r="H683">
        <v>20</v>
      </c>
      <c r="I683" s="5">
        <v>3224.7800000000007</v>
      </c>
      <c r="J683" s="13">
        <v>100</v>
      </c>
      <c r="K683" s="5">
        <v>10727.78</v>
      </c>
      <c r="L683" s="5">
        <v>1.6123900000000004</v>
      </c>
      <c r="M683" s="5">
        <v>5.3638900000000005</v>
      </c>
      <c r="N683" s="5">
        <v>7503</v>
      </c>
      <c r="O683" s="3">
        <v>2.3266703465042573</v>
      </c>
      <c r="P683" s="14">
        <f t="shared" si="13"/>
        <v>168223.59581368219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102</v>
      </c>
      <c r="D684" t="s">
        <v>7</v>
      </c>
      <c r="E684" s="11">
        <v>45505</v>
      </c>
      <c r="F684" s="7">
        <v>45520</v>
      </c>
      <c r="G684" t="s">
        <v>35</v>
      </c>
      <c r="H684">
        <v>200</v>
      </c>
      <c r="I684" s="5">
        <v>4937.5600000000013</v>
      </c>
      <c r="J684" s="13">
        <v>100</v>
      </c>
      <c r="K684" s="5">
        <v>9004.7800000000007</v>
      </c>
      <c r="L684" s="5">
        <v>0.24687800000000007</v>
      </c>
      <c r="M684" s="5">
        <v>0.45023900000000006</v>
      </c>
      <c r="N684" s="5">
        <v>4067.2199999999993</v>
      </c>
      <c r="O684" s="3">
        <v>0.82373074960101711</v>
      </c>
      <c r="P684" s="14">
        <f t="shared" si="13"/>
        <v>172290.81581368219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99</v>
      </c>
      <c r="D685" t="s">
        <v>7</v>
      </c>
      <c r="E685" s="11">
        <v>45516</v>
      </c>
      <c r="F685" s="7">
        <v>45519</v>
      </c>
      <c r="G685" t="s">
        <v>136</v>
      </c>
      <c r="H685">
        <v>200</v>
      </c>
      <c r="I685" s="5">
        <v>2537.88</v>
      </c>
      <c r="J685" s="13">
        <v>100</v>
      </c>
      <c r="K685" s="5">
        <v>0</v>
      </c>
      <c r="L685" s="5">
        <f>Table13[[#This Row],[Open Value]]/Table13[[#This Row],[Shares]]/Table13[[#This Row],[Multiplier]]</f>
        <v>0.12689400000000001</v>
      </c>
      <c r="M685" s="5">
        <f>Table13[[#This Row],[Close Value]]/Table13[[#This Row],[Shares]]/Table13[[#This Row],[Multiplier]]</f>
        <v>0</v>
      </c>
      <c r="N685" s="5">
        <f>Table13[[#This Row],[Close Value]]-Table13[[#This Row],[Open Value]]</f>
        <v>-2537.88</v>
      </c>
      <c r="O685" s="3">
        <v>-4.6892574814251541E-2</v>
      </c>
      <c r="P685" s="14">
        <f t="shared" si="13"/>
        <v>169752.93581368218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201</v>
      </c>
      <c r="B686" t="s">
        <v>302</v>
      </c>
      <c r="C686" t="s">
        <v>12</v>
      </c>
      <c r="D686" t="s">
        <v>7</v>
      </c>
      <c r="E686" s="11">
        <v>45498</v>
      </c>
      <c r="F686" s="7">
        <v>45518</v>
      </c>
      <c r="G686" t="s">
        <v>82</v>
      </c>
      <c r="H686">
        <v>1</v>
      </c>
      <c r="I686" s="5">
        <v>272500</v>
      </c>
      <c r="J686" s="13">
        <v>50</v>
      </c>
      <c r="K686" s="5">
        <v>272522.75</v>
      </c>
      <c r="L686" s="5">
        <v>5450</v>
      </c>
      <c r="M686" s="5">
        <v>5450.4549999999999</v>
      </c>
      <c r="N686" s="5">
        <v>22.75</v>
      </c>
      <c r="O686" s="3">
        <v>8.3486238532110086E-5</v>
      </c>
      <c r="P686" s="14">
        <f t="shared" si="13"/>
        <v>169775.68581368218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97</v>
      </c>
      <c r="D687" t="s">
        <v>7</v>
      </c>
      <c r="E687" s="11">
        <v>45503</v>
      </c>
      <c r="F687" s="7">
        <v>45518</v>
      </c>
      <c r="G687" t="s">
        <v>256</v>
      </c>
      <c r="H687">
        <v>15</v>
      </c>
      <c r="I687" s="5">
        <v>7316</v>
      </c>
      <c r="J687" s="13">
        <v>100</v>
      </c>
      <c r="K687" s="5">
        <v>5991.6</v>
      </c>
      <c r="L687" s="5">
        <v>4.8773333333333335</v>
      </c>
      <c r="M687" s="5">
        <v>3.9944000000000002</v>
      </c>
      <c r="N687" s="5">
        <v>-1324.3999999999996</v>
      </c>
      <c r="O687" s="3">
        <v>-0.18102788408966644</v>
      </c>
      <c r="P687" s="14">
        <f t="shared" si="13"/>
        <v>168451.28581368219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102</v>
      </c>
      <c r="D688" t="s">
        <v>7</v>
      </c>
      <c r="E688" s="11">
        <v>45459</v>
      </c>
      <c r="F688" s="7">
        <v>45518</v>
      </c>
      <c r="G688" t="s">
        <v>320</v>
      </c>
      <c r="H688">
        <v>15</v>
      </c>
      <c r="I688" s="5">
        <v>4810</v>
      </c>
      <c r="J688" s="13">
        <v>100</v>
      </c>
      <c r="K688" s="5">
        <v>5029.33</v>
      </c>
      <c r="L688" s="5">
        <v>3.206666666666667</v>
      </c>
      <c r="M688" s="5">
        <v>3.3528866666666666</v>
      </c>
      <c r="N688" s="5">
        <v>219.32999999999993</v>
      </c>
      <c r="O688" s="3">
        <v>4.5598752598752582E-2</v>
      </c>
      <c r="P688" s="14">
        <f t="shared" si="13"/>
        <v>168670.61581368218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201</v>
      </c>
      <c r="B689" t="s">
        <v>303</v>
      </c>
      <c r="C689" t="s">
        <v>16</v>
      </c>
      <c r="D689" t="s">
        <v>7</v>
      </c>
      <c r="E689" s="11">
        <v>45517</v>
      </c>
      <c r="F689" s="7">
        <v>45519</v>
      </c>
      <c r="G689" t="s">
        <v>231</v>
      </c>
      <c r="H689">
        <v>5000</v>
      </c>
      <c r="I689" s="5">
        <v>83500</v>
      </c>
      <c r="J689" s="13">
        <v>1</v>
      </c>
      <c r="K689" s="5">
        <v>77422.02</v>
      </c>
      <c r="L689" s="5">
        <v>16.7</v>
      </c>
      <c r="M689" s="5">
        <v>15.484404000000001</v>
      </c>
      <c r="N689" s="5">
        <v>-6077.9799999999959</v>
      </c>
      <c r="O689" s="3">
        <v>-7.2790179640718516E-2</v>
      </c>
      <c r="P689" s="14">
        <f t="shared" si="13"/>
        <v>162592.63581368217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102</v>
      </c>
      <c r="D690" t="s">
        <v>7</v>
      </c>
      <c r="E690" s="11">
        <v>45505</v>
      </c>
      <c r="F690" s="7">
        <v>45524</v>
      </c>
      <c r="G690" t="s">
        <v>133</v>
      </c>
      <c r="H690">
        <v>20</v>
      </c>
      <c r="I690" s="5">
        <v>6492</v>
      </c>
      <c r="J690" s="13">
        <v>100</v>
      </c>
      <c r="K690" s="19">
        <v>10175.719999999999</v>
      </c>
      <c r="L690" s="5">
        <v>3.2460000000000004</v>
      </c>
      <c r="M690" s="5">
        <v>5.0878599999999992</v>
      </c>
      <c r="N690" s="5">
        <v>3683.7199999999993</v>
      </c>
      <c r="O690" s="3">
        <v>0.56742452248921738</v>
      </c>
      <c r="P690" s="14">
        <f t="shared" si="13"/>
        <v>166276.35581368217</v>
      </c>
      <c r="Q690" s="19" t="s">
        <v>324</v>
      </c>
      <c r="R690" s="19" t="s">
        <v>325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97</v>
      </c>
      <c r="D691" t="s">
        <v>7</v>
      </c>
      <c r="E691" s="11">
        <v>45492</v>
      </c>
      <c r="F691" s="7">
        <v>45524</v>
      </c>
      <c r="G691" t="s">
        <v>206</v>
      </c>
      <c r="H691">
        <v>3</v>
      </c>
      <c r="I691" s="5">
        <v>3600</v>
      </c>
      <c r="J691" s="13">
        <v>100</v>
      </c>
      <c r="K691" s="19">
        <v>1975.74</v>
      </c>
      <c r="L691" s="5">
        <v>12</v>
      </c>
      <c r="M691" s="5">
        <v>6.5858000000000008</v>
      </c>
      <c r="N691" s="5">
        <v>-1624.26</v>
      </c>
      <c r="O691" s="3">
        <v>-0.45118333333333333</v>
      </c>
      <c r="P691" s="14">
        <f t="shared" si="13"/>
        <v>164652.09581368216</v>
      </c>
      <c r="Q691" s="19" t="s">
        <v>324</v>
      </c>
      <c r="R691" s="19" t="s">
        <v>325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45499</v>
      </c>
      <c r="F692" s="7">
        <v>45524</v>
      </c>
      <c r="G692" t="s">
        <v>206</v>
      </c>
      <c r="H692">
        <v>4</v>
      </c>
      <c r="I692" s="5">
        <v>2804</v>
      </c>
      <c r="J692" s="13">
        <v>100</v>
      </c>
      <c r="K692" s="19">
        <v>1473.16</v>
      </c>
      <c r="L692" s="5">
        <v>7.01</v>
      </c>
      <c r="M692" s="5">
        <v>3.6829000000000001</v>
      </c>
      <c r="N692" s="5">
        <v>-1330.84</v>
      </c>
      <c r="O692" s="3">
        <v>-0.47462196861626244</v>
      </c>
      <c r="P692" s="14">
        <f t="shared" si="13"/>
        <v>163321.25581368216</v>
      </c>
      <c r="Q692" s="19" t="s">
        <v>324</v>
      </c>
      <c r="R692" s="19" t="s">
        <v>325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97</v>
      </c>
      <c r="D693" t="s">
        <v>7</v>
      </c>
      <c r="E693" s="11">
        <v>45488</v>
      </c>
      <c r="F693" s="7">
        <v>45524</v>
      </c>
      <c r="G693" t="s">
        <v>159</v>
      </c>
      <c r="H693">
        <v>2</v>
      </c>
      <c r="I693" s="5">
        <v>7004</v>
      </c>
      <c r="J693" s="13">
        <v>100</v>
      </c>
      <c r="K693" s="19">
        <v>4568.08</v>
      </c>
      <c r="L693" s="5">
        <v>35.020000000000003</v>
      </c>
      <c r="M693" s="5">
        <v>22.840399999999999</v>
      </c>
      <c r="N693" s="5">
        <v>-2435.92</v>
      </c>
      <c r="O693" s="3">
        <v>-0.3477898343803541</v>
      </c>
      <c r="P693" s="14">
        <f t="shared" si="13"/>
        <v>160885.33581368215</v>
      </c>
      <c r="Q693" s="19" t="str">
        <f>TEXT(Table13[[#This Row],[Closing Date]],"yyyy")</f>
        <v>2024</v>
      </c>
      <c r="R693" s="19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12</v>
      </c>
      <c r="D694" t="s">
        <v>7</v>
      </c>
      <c r="E694" s="11">
        <v>45519</v>
      </c>
      <c r="F694" s="7">
        <v>45524</v>
      </c>
      <c r="G694" t="s">
        <v>50</v>
      </c>
      <c r="H694">
        <v>12</v>
      </c>
      <c r="I694" s="5">
        <v>1228107</v>
      </c>
      <c r="J694" s="13">
        <v>1000</v>
      </c>
      <c r="K694" s="19">
        <v>1218333.3600000001</v>
      </c>
      <c r="L694" s="5">
        <v>102.34225000000001</v>
      </c>
      <c r="M694" s="5">
        <v>101.52778000000001</v>
      </c>
      <c r="N694" s="5">
        <v>-9773.6399999998976</v>
      </c>
      <c r="O694" s="3">
        <v>-7.9582967933574979E-3</v>
      </c>
      <c r="P694" s="14">
        <f>N694+P693</f>
        <v>151111.69581368225</v>
      </c>
      <c r="Q694" s="19" t="str">
        <f>TEXT(Table13[[#This Row],[Closing Date]],"yyyy")</f>
        <v>2024</v>
      </c>
      <c r="R694" s="19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45498</v>
      </c>
      <c r="F695" s="7">
        <v>45524</v>
      </c>
      <c r="G695" t="s">
        <v>37</v>
      </c>
      <c r="H695">
        <v>100</v>
      </c>
      <c r="I695" s="5">
        <v>7245</v>
      </c>
      <c r="J695" s="13">
        <v>100</v>
      </c>
      <c r="K695" s="19">
        <v>5154.8900000000003</v>
      </c>
      <c r="L695" s="5">
        <v>0.72450000000000003</v>
      </c>
      <c r="M695" s="5">
        <v>0.51548900000000009</v>
      </c>
      <c r="N695" s="5">
        <v>-2090.1099999999997</v>
      </c>
      <c r="O695" s="3">
        <v>-0.28848999309868872</v>
      </c>
      <c r="P695" s="14">
        <f>N695+P694</f>
        <v>149021.58581368226</v>
      </c>
      <c r="Q695" s="19" t="str">
        <f>TEXT(Table13[[#This Row],[Closing Date]],"yyyy")</f>
        <v>2024</v>
      </c>
      <c r="R695" s="19" t="str">
        <f>TEXT(Table13[[#This Row],[Closing Date]],"mmmm")</f>
        <v>August</v>
      </c>
      <c r="S695" s="5" t="s">
        <v>240</v>
      </c>
      <c r="T695" s="5" t="s">
        <v>301</v>
      </c>
    </row>
  </sheetData>
  <phoneticPr fontId="3" type="noConversion"/>
  <conditionalFormatting sqref="N1:N695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12"/>
  <sheetViews>
    <sheetView workbookViewId="0">
      <pane ySplit="1" topLeftCell="A670" activePane="bottomLeft" state="frozen"/>
      <selection pane="bottomLeft" activeCell="L718" sqref="L718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6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 t="shared" si="8"/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 t="shared" si="8"/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 t="shared" si="8"/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 t="shared" si="8"/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 t="shared" si="8"/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 t="shared" si="8"/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 t="shared" si="8"/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 t="shared" si="8"/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 t="shared" si="8"/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 t="shared" si="8"/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 t="shared" si="8"/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 t="shared" si="8"/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 t="shared" si="8"/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 t="shared" si="8"/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 t="shared" si="8"/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 t="shared" si="8"/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 t="shared" si="8"/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 t="shared" si="8"/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 t="shared" si="8"/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 t="shared" si="8"/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 t="shared" si="8"/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 t="shared" si="8"/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 t="shared" si="8"/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 t="shared" si="8"/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 t="shared" si="8"/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 t="shared" si="8"/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 t="shared" si="8"/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 t="shared" si="8"/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 t="shared" si="8"/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 t="shared" si="8"/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 t="shared" ref="Q579:Q642" si="9"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 t="shared" si="9"/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 t="shared" si="9"/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 t="shared" si="9"/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 t="shared" si="9"/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 t="shared" si="9"/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 t="shared" si="9"/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 t="shared" si="9"/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 t="shared" si="9"/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 t="shared" si="9"/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 t="shared" si="9"/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 t="shared" si="9"/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 t="shared" si="9"/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 t="shared" si="9"/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 t="shared" si="9"/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 t="shared" si="9"/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 t="shared" si="9"/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 t="shared" si="9"/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 t="shared" si="9"/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 t="shared" si="9"/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 t="shared" si="9"/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 t="shared" si="9"/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 t="shared" si="9"/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 t="shared" si="9"/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 t="shared" si="9"/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 t="shared" si="9"/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 t="shared" si="9"/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 t="shared" si="9"/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 t="shared" si="9"/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 t="shared" si="9"/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 t="shared" si="9"/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 t="shared" si="9"/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 t="shared" si="9"/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 t="shared" si="9"/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 t="shared" si="9"/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 t="shared" si="9"/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 t="shared" si="9"/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 t="shared" si="9"/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 t="shared" si="9"/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 t="shared" si="9"/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 t="shared" si="9"/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 t="shared" si="9"/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 t="shared" si="9"/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 t="shared" si="9"/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 t="shared" si="9"/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 t="shared" si="9"/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 t="shared" si="9"/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 t="shared" si="9"/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 t="shared" si="9"/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 t="shared" si="9"/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 t="shared" si="9"/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 t="shared" si="9"/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 t="shared" si="9"/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 t="shared" si="9"/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 t="shared" si="9"/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 t="shared" si="9"/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 t="shared" si="9"/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 t="shared" si="9"/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 t="shared" si="9"/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 t="shared" si="9"/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 t="shared" si="9"/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 t="shared" si="9"/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 t="shared" si="9"/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 t="shared" si="9"/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 t="shared" ref="Q643:Q662" si="10"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 t="shared" si="10"/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 t="shared" si="10"/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 t="shared" si="10"/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 t="shared" si="10"/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 t="shared" si="10"/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 t="shared" si="10"/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 t="shared" si="10"/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 t="shared" si="10"/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 t="shared" si="10"/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 t="shared" si="10"/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 t="shared" si="10"/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 t="shared" si="10"/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 t="shared" si="10"/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 t="shared" si="10"/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 t="shared" si="10"/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 t="shared" si="10"/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 t="shared" si="10"/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 t="shared" si="10"/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 t="shared" si="10"/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G681" s="7">
        <v>45520</v>
      </c>
      <c r="H681" t="s">
        <v>35</v>
      </c>
      <c r="I681">
        <v>200</v>
      </c>
      <c r="J681" s="5">
        <v>4937.5600000000013</v>
      </c>
      <c r="K681" s="13">
        <v>100</v>
      </c>
      <c r="L681" s="5">
        <f>9004.78</f>
        <v>9004.7800000000007</v>
      </c>
      <c r="M681" s="5">
        <f>Table1[[#This Row],[Open Value]]/Table1[[#This Row],[Shares]]/Table1[[#This Row],[Multiplier]]</f>
        <v>0.24687800000000007</v>
      </c>
      <c r="N681" s="5">
        <f>Table1[[#This Row],[Close Value]]/Table1[[#This Row],[Shares]]/Table1[[#This Row],[Multiplier]]</f>
        <v>0.45023900000000006</v>
      </c>
      <c r="O681" s="5">
        <f>Table1[[#This Row],[Close Value]]-Table1[[#This Row],[Open Value]]</f>
        <v>4067.2199999999993</v>
      </c>
      <c r="P681" s="3">
        <f>Table1[[#This Row],[PnL]]/Table1[[#This Row],[Open Value]]</f>
        <v>0.82373074960101711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G683" s="7">
        <v>45518</v>
      </c>
      <c r="H683" t="s">
        <v>82</v>
      </c>
      <c r="I683">
        <v>1</v>
      </c>
      <c r="J683" s="5">
        <f>5450*Table1[[#This Row],[Multiplier]]</f>
        <v>272500</v>
      </c>
      <c r="K683" s="13">
        <v>50</v>
      </c>
      <c r="L683" s="5">
        <v>272522.75</v>
      </c>
      <c r="M683" s="5">
        <f>Table1[[#This Row],[Open Value]]/Table1[[#This Row],[Shares]]/Table1[[#This Row],[Multiplier]]</f>
        <v>5450</v>
      </c>
      <c r="N683" s="5">
        <f>Table1[[#This Row],[Close Value]]/Table1[[#This Row],[Shares]]/Table1[[#This Row],[Multiplier]]</f>
        <v>5450.4549999999999</v>
      </c>
      <c r="O683" s="5">
        <f>Table1[[#This Row],[Close Value]]-Table1[[#This Row],[Open Value]]</f>
        <v>22.75</v>
      </c>
      <c r="P683" s="3">
        <f>Table1[[#This Row],[PnL]]/Table1[[#This Row],[Open Value]]</f>
        <v>8.3486238532110086E-5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</f>
        <v>370612.8</v>
      </c>
      <c r="N685" s="5"/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H686" t="s">
        <v>41</v>
      </c>
      <c r="I686">
        <v>20</v>
      </c>
      <c r="J686" s="5">
        <v>7022.41</v>
      </c>
      <c r="K686" s="13">
        <v>100</v>
      </c>
      <c r="L686" s="5">
        <f>4394.68</f>
        <v>4394.68</v>
      </c>
      <c r="N686" s="5"/>
      <c r="Q686" s="14"/>
      <c r="R686" s="5" t="str">
        <f>TEXT(Table1[[#This Row],[Closing Date]],"yyyy")</f>
        <v>1900</v>
      </c>
      <c r="S686" s="5" t="str">
        <f>TEXT(Table1[[#This Row],[Closing Date]],"mmmm")</f>
        <v>January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2500</v>
      </c>
      <c r="J687" s="5">
        <f>43884.5+41517</f>
        <v>85401.5</v>
      </c>
      <c r="K687" s="13">
        <v>1</v>
      </c>
      <c r="N687" s="5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H688" t="s">
        <v>312</v>
      </c>
      <c r="I688">
        <v>1600</v>
      </c>
      <c r="J688" s="5">
        <v>32896</v>
      </c>
      <c r="K688" s="13">
        <v>1</v>
      </c>
      <c r="L688" s="5">
        <f>29.77*600-10.5</f>
        <v>17851.5</v>
      </c>
      <c r="N688" s="5"/>
      <c r="Q688" s="14">
        <f>O688+Q687</f>
        <v>0</v>
      </c>
      <c r="R688" s="5" t="str">
        <f>TEXT(Table1[[#This Row],[Closing Date]],"yyyy")</f>
        <v>1900</v>
      </c>
      <c r="S688" s="5" t="str">
        <f>TEXT(Table1[[#This Row],[Closing Date]],"mmmm")</f>
        <v>January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N689" s="5"/>
      <c r="Q689" s="14">
        <f>O689+Q688</f>
        <v>0</v>
      </c>
      <c r="R689" s="5" t="str">
        <f>TEXT(Table1[[#This Row],[Closing Date]],"yyyy")</f>
        <v>1900</v>
      </c>
      <c r="S689" s="5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G690" s="7">
        <v>45524</v>
      </c>
      <c r="H690" t="s">
        <v>206</v>
      </c>
      <c r="I690">
        <v>3</v>
      </c>
      <c r="J690" s="5">
        <v>3600</v>
      </c>
      <c r="K690" s="13">
        <v>100</v>
      </c>
      <c r="L690" s="5">
        <v>1975.74</v>
      </c>
      <c r="M690" s="5">
        <f>Table1[[#This Row],[Open Value]]/Table1[[#This Row],[Shares]]/Table1[[#This Row],[Multiplier]]</f>
        <v>12</v>
      </c>
      <c r="N690" s="5">
        <f>Table1[[#This Row],[Close Value]]/Table1[[#This Row],[Shares]]/Table1[[#This Row],[Multiplier]]</f>
        <v>6.5858000000000008</v>
      </c>
      <c r="O690" s="5">
        <f>Table1[[#This Row],[Close Value]]-Table1[[#This Row],[Open Value]]</f>
        <v>-1624.26</v>
      </c>
      <c r="P690" s="3">
        <f>Table1[[#This Row],[PnL]]/Table1[[#This Row],[Open Value]]</f>
        <v>-0.45118333333333333</v>
      </c>
      <c r="Q690" s="14">
        <f t="shared" ref="Q690:Q693" si="11">O690+Q689</f>
        <v>-1624.26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N691" s="5"/>
      <c r="Q691" s="14">
        <f t="shared" si="11"/>
        <v>-1624.26</v>
      </c>
      <c r="R691" s="5" t="str">
        <f>TEXT(Table1[[#This Row],[Closing Date]],"yyyy")</f>
        <v>1900</v>
      </c>
      <c r="S691" s="5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G692" s="7">
        <v>45512</v>
      </c>
      <c r="H692" t="s">
        <v>277</v>
      </c>
      <c r="I692">
        <v>4</v>
      </c>
      <c r="J692" s="5">
        <v>5610</v>
      </c>
      <c r="K692" s="13">
        <v>100</v>
      </c>
      <c r="L692" s="5">
        <f>3200+6420.61</f>
        <v>9620.61</v>
      </c>
      <c r="M692" s="5">
        <f>Table1[[#This Row],[Open Value]]/Table1[[#This Row],[Shares]]/Table1[[#This Row],[Multiplier]]</f>
        <v>14.025</v>
      </c>
      <c r="N692" s="5">
        <f>Table1[[#This Row],[Close Value]]/Table1[[#This Row],[Shares]]/Table1[[#This Row],[Multiplier]]</f>
        <v>24.051525000000002</v>
      </c>
      <c r="O692" s="5">
        <f>Table1[[#This Row],[Close Value]]-Table1[[#This Row],[Open Value]]</f>
        <v>4010.6100000000006</v>
      </c>
      <c r="P692" s="3">
        <f>Table1[[#This Row],[PnL]]/Table1[[#This Row],[Open Value]]</f>
        <v>0.7149037433155081</v>
      </c>
      <c r="Q692" s="14">
        <f t="shared" si="11"/>
        <v>2386.3500000000004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G693" s="7">
        <v>45518</v>
      </c>
      <c r="H693" t="s">
        <v>256</v>
      </c>
      <c r="I693">
        <v>15</v>
      </c>
      <c r="J693" s="5">
        <v>7316</v>
      </c>
      <c r="K693" s="13">
        <v>100</v>
      </c>
      <c r="L693" s="5">
        <v>5991.6</v>
      </c>
      <c r="M693" s="5">
        <f>Table1[[#This Row],[Open Value]]/Table1[[#This Row],[Shares]]/Table1[[#This Row],[Multiplier]]</f>
        <v>4.8773333333333335</v>
      </c>
      <c r="N693" s="5">
        <f>Table1[[#This Row],[Close Value]]/Table1[[#This Row],[Shares]]/Table1[[#This Row],[Multiplier]]</f>
        <v>3.9944000000000002</v>
      </c>
      <c r="O693" s="5">
        <f>Table1[[#This Row],[Close Value]]-Table1[[#This Row],[Open Value]]</f>
        <v>-1324.3999999999996</v>
      </c>
      <c r="P693" s="3">
        <f>Table1[[#This Row],[PnL]]/Table1[[#This Row],[Open Value]]</f>
        <v>-0.18102788408966644</v>
      </c>
      <c r="Q693" s="14">
        <f t="shared" si="11"/>
        <v>1061.9500000000007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G694" s="7">
        <v>45524</v>
      </c>
      <c r="H694" t="s">
        <v>159</v>
      </c>
      <c r="I694">
        <v>2</v>
      </c>
      <c r="J694" s="5">
        <v>7004</v>
      </c>
      <c r="K694" s="13">
        <v>100</v>
      </c>
      <c r="L694" s="5">
        <v>4568.08</v>
      </c>
      <c r="M694" s="5">
        <f>Table1[[#This Row],[Open Value]]/Table1[[#This Row],[Shares]]/Table1[[#This Row],[Multiplier]]</f>
        <v>35.020000000000003</v>
      </c>
      <c r="N694" s="5">
        <f>Table1[[#This Row],[Close Value]]/Table1[[#This Row],[Shares]]/Table1[[#This Row],[Multiplier]]</f>
        <v>22.840399999999999</v>
      </c>
      <c r="O694" s="5">
        <f>Table1[[#This Row],[Close Value]]-Table1[[#This Row],[Open Value]]</f>
        <v>-2435.92</v>
      </c>
      <c r="P694" s="3">
        <f>Table1[[#This Row],[PnL]]/Table1[[#This Row],[Open Value]]</f>
        <v>-0.3477898343803541</v>
      </c>
      <c r="Q694" s="14">
        <f>O694+Q693</f>
        <v>-1373.9699999999993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N695" s="5"/>
      <c r="Q695" s="14">
        <f>O695+Q694</f>
        <v>-1373.9699999999993</v>
      </c>
      <c r="R695" s="5" t="str">
        <f>TEXT(Table1[[#This Row],[Closing Date]],"yyyy")</f>
        <v>1900</v>
      </c>
      <c r="S695" s="5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N696" s="5"/>
      <c r="Q696" s="14">
        <f t="shared" ref="Q696:Q701" si="12">O696+Q695</f>
        <v>-1373.9699999999993</v>
      </c>
      <c r="R696" s="5" t="str">
        <f>TEXT(Table1[[#This Row],[Closing Date]],"yyyy")</f>
        <v>1900</v>
      </c>
      <c r="S696" s="5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N697" s="5"/>
      <c r="Q697" s="14">
        <f t="shared" si="12"/>
        <v>-1373.9699999999993</v>
      </c>
      <c r="R697" s="5" t="str">
        <f>TEXT(Table1[[#This Row],[Closing Date]],"yyyy")</f>
        <v>1900</v>
      </c>
      <c r="S697" s="5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G698" s="7">
        <v>45524</v>
      </c>
      <c r="H698" t="s">
        <v>37</v>
      </c>
      <c r="I698">
        <v>100</v>
      </c>
      <c r="J698" s="5">
        <f>2258+4987</f>
        <v>7245</v>
      </c>
      <c r="K698" s="13">
        <v>100</v>
      </c>
      <c r="L698" s="5">
        <v>5154.8900000000003</v>
      </c>
      <c r="M698" s="5">
        <f>Table1[[#This Row],[Open Value]]/Table1[[#This Row],[Shares]]/Table1[[#This Row],[Multiplier]]</f>
        <v>0.72450000000000003</v>
      </c>
      <c r="N698" s="5">
        <f>Table1[[#This Row],[Close Value]]/Table1[[#This Row],[Shares]]/Table1[[#This Row],[Multiplier]]</f>
        <v>0.51548900000000009</v>
      </c>
      <c r="O698" s="5">
        <f>Table1[[#This Row],[Close Value]]-Table1[[#This Row],[Open Value]]</f>
        <v>-2090.1099999999997</v>
      </c>
      <c r="P698" s="3">
        <f>Table1[[#This Row],[PnL]]/Table1[[#This Row],[Open Value]]</f>
        <v>-0.28848999309868872</v>
      </c>
      <c r="Q698" s="14">
        <f t="shared" si="12"/>
        <v>-3464.079999999999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G699" s="7">
        <v>45524</v>
      </c>
      <c r="H699" t="s">
        <v>133</v>
      </c>
      <c r="I699">
        <v>20</v>
      </c>
      <c r="J699" s="5">
        <v>6492</v>
      </c>
      <c r="K699" s="13">
        <v>100</v>
      </c>
      <c r="L699" s="5">
        <v>10175.719999999999</v>
      </c>
      <c r="M699" s="5">
        <f>Table1[[#This Row],[Open Value]]/Table1[[#This Row],[Shares]]/Table1[[#This Row],[Multiplier]]</f>
        <v>3.2460000000000004</v>
      </c>
      <c r="N699" s="5">
        <f>Table1[[#This Row],[Close Value]]/Table1[[#This Row],[Shares]]/Table1[[#This Row],[Multiplier]]</f>
        <v>5.0878599999999992</v>
      </c>
      <c r="O699" s="5">
        <f>Table1[[#This Row],[Close Value]]-Table1[[#This Row],[Open Value]]</f>
        <v>3683.7199999999993</v>
      </c>
      <c r="P699" s="3">
        <f>Table1[[#This Row],[PnL]]/Table1[[#This Row],[Open Value]]</f>
        <v>0.56742452248921738</v>
      </c>
      <c r="Q699" s="14">
        <f t="shared" si="12"/>
        <v>219.64000000000033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G700" s="7">
        <v>45518</v>
      </c>
      <c r="H700" t="s">
        <v>320</v>
      </c>
      <c r="I700">
        <v>15</v>
      </c>
      <c r="J700" s="5">
        <v>4810</v>
      </c>
      <c r="K700" s="13">
        <v>100</v>
      </c>
      <c r="L700" s="5">
        <v>5029.33</v>
      </c>
      <c r="M700" s="5">
        <f>Table1[[#This Row],[Open Value]]/Table1[[#This Row],[Shares]]/Table1[[#This Row],[Multiplier]]</f>
        <v>3.206666666666667</v>
      </c>
      <c r="N700" s="5">
        <f>Table1[[#This Row],[Close Value]]/Table1[[#This Row],[Shares]]/Table1[[#This Row],[Multiplier]]</f>
        <v>3.3528866666666666</v>
      </c>
      <c r="O700" s="5">
        <f>Table1[[#This Row],[Close Value]]-Table1[[#This Row],[Open Value]]</f>
        <v>219.32999999999993</v>
      </c>
      <c r="P700" s="3">
        <f>Table1[[#This Row],[PnL]]/Table1[[#This Row],[Open Value]]</f>
        <v>4.5598752598752582E-2</v>
      </c>
      <c r="Q700" s="14">
        <f t="shared" si="12"/>
        <v>438.97000000000025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G701" s="7">
        <v>45524</v>
      </c>
      <c r="H701" t="s">
        <v>206</v>
      </c>
      <c r="I701">
        <v>4</v>
      </c>
      <c r="J701" s="5">
        <v>2804</v>
      </c>
      <c r="K701" s="13">
        <v>100</v>
      </c>
      <c r="L701" s="5">
        <v>1473.16</v>
      </c>
      <c r="M701" s="5">
        <f>Table1[[#This Row],[Open Value]]/Table1[[#This Row],[Shares]]/Table1[[#This Row],[Multiplier]]</f>
        <v>7.01</v>
      </c>
      <c r="N701" s="5">
        <f>Table1[[#This Row],[Close Value]]/Table1[[#This Row],[Shares]]/Table1[[#This Row],[Multiplier]]</f>
        <v>3.6829000000000001</v>
      </c>
      <c r="O701" s="5">
        <f>Table1[[#This Row],[Close Value]]-Table1[[#This Row],[Open Value]]</f>
        <v>-1330.84</v>
      </c>
      <c r="P701" s="3">
        <f>Table1[[#This Row],[PnL]]/Table1[[#This Row],[Open Value]]</f>
        <v>-0.47462196861626244</v>
      </c>
      <c r="Q701" s="14">
        <f t="shared" si="12"/>
        <v>-891.86999999999966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7">
        <v>45458</v>
      </c>
      <c r="H702" t="s">
        <v>156</v>
      </c>
      <c r="I702">
        <v>9</v>
      </c>
      <c r="J702" s="5">
        <v>3608</v>
      </c>
      <c r="K702" s="18">
        <v>100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8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8">
        <v>100</v>
      </c>
    </row>
    <row r="705" spans="1:16" x14ac:dyDescent="0.25">
      <c r="A705" t="s">
        <v>319</v>
      </c>
      <c r="B705" t="s">
        <v>197</v>
      </c>
      <c r="C705" t="s">
        <v>302</v>
      </c>
      <c r="D705" t="s">
        <v>102</v>
      </c>
      <c r="E705" t="s">
        <v>7</v>
      </c>
      <c r="F705" s="17">
        <v>45511</v>
      </c>
      <c r="H705" t="s">
        <v>133</v>
      </c>
      <c r="I705">
        <v>2</v>
      </c>
      <c r="J705" s="5">
        <v>8880.99</v>
      </c>
      <c r="K705" s="18">
        <v>100</v>
      </c>
      <c r="L705" s="5">
        <f>5879.04</f>
        <v>5879.04</v>
      </c>
    </row>
    <row r="706" spans="1:16" x14ac:dyDescent="0.25">
      <c r="B706" t="s">
        <v>197</v>
      </c>
      <c r="C706" t="s">
        <v>302</v>
      </c>
      <c r="D706" t="s">
        <v>99</v>
      </c>
      <c r="E706" t="s">
        <v>7</v>
      </c>
      <c r="F706" s="17">
        <v>45516</v>
      </c>
      <c r="H706" t="s">
        <v>322</v>
      </c>
      <c r="I706">
        <v>40</v>
      </c>
      <c r="J706" s="5">
        <v>2187.4699999999998</v>
      </c>
      <c r="K706" s="13">
        <v>100</v>
      </c>
    </row>
    <row r="707" spans="1:16" x14ac:dyDescent="0.25">
      <c r="B707" t="s">
        <v>201</v>
      </c>
      <c r="C707" t="s">
        <v>303</v>
      </c>
      <c r="D707" t="s">
        <v>12</v>
      </c>
      <c r="E707" t="s">
        <v>7</v>
      </c>
      <c r="F707" s="17">
        <v>45519</v>
      </c>
      <c r="H707" t="s">
        <v>92</v>
      </c>
      <c r="I707">
        <v>2</v>
      </c>
      <c r="J707" s="5">
        <f>506220+765</f>
        <v>506985</v>
      </c>
      <c r="K707" s="13">
        <v>1000</v>
      </c>
    </row>
    <row r="708" spans="1:16" x14ac:dyDescent="0.25">
      <c r="B708" t="s">
        <v>201</v>
      </c>
      <c r="C708" t="s">
        <v>303</v>
      </c>
      <c r="D708" t="s">
        <v>12</v>
      </c>
      <c r="E708" t="s">
        <v>7</v>
      </c>
      <c r="F708" s="17">
        <v>45519</v>
      </c>
      <c r="G708" s="7">
        <v>45524</v>
      </c>
      <c r="H708" t="s">
        <v>50</v>
      </c>
      <c r="I708">
        <v>12</v>
      </c>
      <c r="J708" s="5">
        <f>1224660+3447</f>
        <v>1228107</v>
      </c>
      <c r="K708" s="13">
        <v>1000</v>
      </c>
      <c r="L708" s="5">
        <v>1218333.3600000001</v>
      </c>
      <c r="M708" s="5">
        <f>J708/I708/K708</f>
        <v>102.34225000000001</v>
      </c>
      <c r="N708" s="9">
        <f>L708/I708/K708</f>
        <v>101.52778000000001</v>
      </c>
      <c r="O708" s="5">
        <f>L708-J708</f>
        <v>-9773.6399999998976</v>
      </c>
      <c r="P708" s="3">
        <f>O708/J708</f>
        <v>-7.9582967933574979E-3</v>
      </c>
    </row>
    <row r="709" spans="1:16" x14ac:dyDescent="0.25">
      <c r="B709" t="s">
        <v>201</v>
      </c>
      <c r="C709" t="s">
        <v>303</v>
      </c>
      <c r="D709" t="s">
        <v>16</v>
      </c>
      <c r="E709" t="s">
        <v>7</v>
      </c>
      <c r="F709" s="17">
        <v>45519</v>
      </c>
      <c r="H709" t="s">
        <v>323</v>
      </c>
      <c r="I709">
        <v>5000</v>
      </c>
      <c r="J709" s="5">
        <f>155950+523</f>
        <v>156473</v>
      </c>
      <c r="K709" s="13">
        <v>1</v>
      </c>
    </row>
    <row r="710" spans="1:16" x14ac:dyDescent="0.25">
      <c r="B710" t="s">
        <v>201</v>
      </c>
      <c r="C710" t="s">
        <v>303</v>
      </c>
      <c r="D710" t="s">
        <v>16</v>
      </c>
      <c r="E710" t="s">
        <v>7</v>
      </c>
      <c r="F710" s="17">
        <v>45517</v>
      </c>
      <c r="G710" s="7">
        <v>45519</v>
      </c>
      <c r="H710" t="s">
        <v>231</v>
      </c>
      <c r="I710">
        <v>5000</v>
      </c>
      <c r="J710" s="5">
        <f>I710*16.7</f>
        <v>83500</v>
      </c>
      <c r="K710" s="13">
        <v>1</v>
      </c>
      <c r="L710" s="5">
        <f>5000*15.495-52.98</f>
        <v>77422.02</v>
      </c>
      <c r="M710" s="5">
        <f>J710/I710/K710</f>
        <v>16.7</v>
      </c>
      <c r="N710" s="9">
        <f>L710/I710/K710</f>
        <v>15.484404000000001</v>
      </c>
      <c r="O710" s="5">
        <f>L710-J710</f>
        <v>-6077.9799999999959</v>
      </c>
      <c r="P710" s="3">
        <f>O710/J710</f>
        <v>-7.2790179640718516E-2</v>
      </c>
    </row>
    <row r="711" spans="1:16" x14ac:dyDescent="0.25">
      <c r="A711" s="17">
        <v>45583</v>
      </c>
      <c r="B711" t="s">
        <v>197</v>
      </c>
      <c r="C711" t="s">
        <v>302</v>
      </c>
      <c r="D711" t="s">
        <v>99</v>
      </c>
      <c r="E711" t="s">
        <v>7</v>
      </c>
      <c r="F711" s="17">
        <v>45524</v>
      </c>
      <c r="H711" t="s">
        <v>136</v>
      </c>
      <c r="I711">
        <v>100</v>
      </c>
      <c r="J711" s="5">
        <v>5469.94</v>
      </c>
      <c r="K711" s="13">
        <v>100</v>
      </c>
    </row>
    <row r="712" spans="1:16" x14ac:dyDescent="0.25">
      <c r="A712" s="17">
        <v>45531</v>
      </c>
      <c r="B712" t="s">
        <v>197</v>
      </c>
      <c r="C712" t="s">
        <v>302</v>
      </c>
      <c r="D712" t="s">
        <v>99</v>
      </c>
      <c r="E712" t="s">
        <v>7</v>
      </c>
      <c r="F712" s="17">
        <v>45524</v>
      </c>
      <c r="H712" t="s">
        <v>133</v>
      </c>
      <c r="I712">
        <v>300</v>
      </c>
      <c r="J712" s="5">
        <v>5303.58</v>
      </c>
      <c r="K712" s="13">
        <v>100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97 P699:P1048576 O683:P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2024-08-21T13:02:48Z</dcterms:modified>
</cp:coreProperties>
</file>