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F66F27C0-7A7D-4456-AE1D-76D43A9CDBFB}" xr6:coauthVersionLast="47" xr6:coauthVersionMax="47" xr10:uidLastSave="{00000000-0000-0000-0000-000000000000}"/>
  <bookViews>
    <workbookView xWindow="47565" yWindow="0" windowWidth="29340" windowHeight="20985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08" i="28" l="1"/>
  <c r="Q809" i="28"/>
  <c r="Q810" i="28"/>
  <c r="Q811" i="28"/>
  <c r="Q812" i="28"/>
  <c r="Q813" i="28"/>
  <c r="Q814" i="28"/>
  <c r="Q815" i="28"/>
  <c r="Q816" i="28"/>
  <c r="Q817" i="28"/>
  <c r="Q818" i="28"/>
  <c r="Q819" i="28"/>
  <c r="Q820" i="28"/>
  <c r="Q821" i="28"/>
  <c r="Q822" i="28"/>
  <c r="Q823" i="28"/>
  <c r="Q824" i="28"/>
  <c r="Q825" i="28"/>
  <c r="R808" i="28"/>
  <c r="R809" i="28"/>
  <c r="R810" i="28"/>
  <c r="R811" i="28"/>
  <c r="R812" i="28"/>
  <c r="R813" i="28"/>
  <c r="R814" i="28"/>
  <c r="R815" i="28"/>
  <c r="R816" i="28"/>
  <c r="R817" i="28"/>
  <c r="R818" i="28"/>
  <c r="R819" i="28"/>
  <c r="R820" i="28"/>
  <c r="R821" i="28"/>
  <c r="R822" i="28"/>
  <c r="R823" i="28"/>
  <c r="R824" i="28"/>
  <c r="R825" i="28"/>
  <c r="O845" i="15"/>
  <c r="P845" i="15" s="1"/>
  <c r="N845" i="15"/>
  <c r="M845" i="15"/>
  <c r="R845" i="15"/>
  <c r="S845" i="15"/>
  <c r="O844" i="15"/>
  <c r="P844" i="15" s="1"/>
  <c r="N844" i="15"/>
  <c r="M844" i="15"/>
  <c r="R844" i="15"/>
  <c r="S844" i="15"/>
  <c r="O843" i="15"/>
  <c r="P843" i="15" s="1"/>
  <c r="N843" i="15"/>
  <c r="M843" i="15"/>
  <c r="R843" i="15"/>
  <c r="S843" i="15"/>
  <c r="O842" i="15"/>
  <c r="P842" i="15" s="1"/>
  <c r="N842" i="15"/>
  <c r="M842" i="15"/>
  <c r="J842" i="15"/>
  <c r="R842" i="15"/>
  <c r="S842" i="15"/>
  <c r="O841" i="15"/>
  <c r="P841" i="15" s="1"/>
  <c r="N841" i="15"/>
  <c r="M841" i="15"/>
  <c r="R841" i="15"/>
  <c r="S841" i="15"/>
  <c r="O840" i="15"/>
  <c r="P840" i="15" s="1"/>
  <c r="N840" i="15"/>
  <c r="M840" i="15"/>
  <c r="R840" i="15"/>
  <c r="S840" i="15"/>
  <c r="O839" i="15"/>
  <c r="P839" i="15" s="1"/>
  <c r="N839" i="15"/>
  <c r="M839" i="15"/>
  <c r="R839" i="15"/>
  <c r="S839" i="15"/>
  <c r="O838" i="15"/>
  <c r="P838" i="15" s="1"/>
  <c r="N838" i="15"/>
  <c r="M838" i="15"/>
  <c r="R838" i="15"/>
  <c r="S838" i="15"/>
  <c r="O837" i="15"/>
  <c r="P837" i="15" s="1"/>
  <c r="N837" i="15"/>
  <c r="M837" i="15"/>
  <c r="L837" i="15"/>
  <c r="J837" i="15"/>
  <c r="R837" i="15"/>
  <c r="S837" i="15"/>
  <c r="M836" i="15"/>
  <c r="N836" i="15"/>
  <c r="O836" i="15"/>
  <c r="P836" i="15" s="1"/>
  <c r="L836" i="15"/>
  <c r="R836" i="15"/>
  <c r="S836" i="15"/>
  <c r="O835" i="15"/>
  <c r="P835" i="15" s="1"/>
  <c r="N835" i="15"/>
  <c r="M835" i="15"/>
  <c r="R835" i="15"/>
  <c r="S835" i="15"/>
  <c r="O834" i="15"/>
  <c r="P834" i="15" s="1"/>
  <c r="N834" i="15"/>
  <c r="M834" i="15"/>
  <c r="R834" i="15"/>
  <c r="S834" i="15"/>
  <c r="O833" i="15"/>
  <c r="P833" i="15" s="1"/>
  <c r="N833" i="15"/>
  <c r="M833" i="15"/>
  <c r="R833" i="15"/>
  <c r="S833" i="15"/>
  <c r="J832" i="15"/>
  <c r="O832" i="15"/>
  <c r="P832" i="15" s="1"/>
  <c r="N832" i="15"/>
  <c r="M832" i="15"/>
  <c r="L832" i="15"/>
  <c r="R832" i="15"/>
  <c r="S832" i="15"/>
  <c r="O831" i="15"/>
  <c r="P831" i="15" s="1"/>
  <c r="N831" i="15"/>
  <c r="M831" i="15"/>
  <c r="L831" i="15"/>
  <c r="R831" i="15"/>
  <c r="S831" i="15"/>
  <c r="O830" i="15"/>
  <c r="P830" i="15" s="1"/>
  <c r="N830" i="15"/>
  <c r="M830" i="15"/>
  <c r="R830" i="15"/>
  <c r="S830" i="15"/>
  <c r="M829" i="15"/>
  <c r="L829" i="15"/>
  <c r="O829" i="15" s="1"/>
  <c r="P829" i="15" s="1"/>
  <c r="R829" i="15"/>
  <c r="S829" i="15"/>
  <c r="O828" i="15"/>
  <c r="P828" i="15" s="1"/>
  <c r="N828" i="15"/>
  <c r="M828" i="15"/>
  <c r="R828" i="15"/>
  <c r="S828" i="15"/>
  <c r="R827" i="15"/>
  <c r="S827" i="15"/>
  <c r="O808" i="15"/>
  <c r="P808" i="15" s="1"/>
  <c r="N808" i="15"/>
  <c r="M808" i="15"/>
  <c r="O809" i="15"/>
  <c r="P809" i="15" s="1"/>
  <c r="N809" i="15"/>
  <c r="M809" i="15"/>
  <c r="L826" i="15"/>
  <c r="J826" i="15"/>
  <c r="R826" i="15"/>
  <c r="S826" i="15"/>
  <c r="M825" i="15"/>
  <c r="N825" i="15"/>
  <c r="O825" i="15"/>
  <c r="P825" i="15" s="1"/>
  <c r="R825" i="15"/>
  <c r="S825" i="15"/>
  <c r="O824" i="15"/>
  <c r="P824" i="15" s="1"/>
  <c r="N824" i="15"/>
  <c r="M824" i="15"/>
  <c r="R824" i="15"/>
  <c r="S824" i="15"/>
  <c r="O823" i="15"/>
  <c r="P823" i="15" s="1"/>
  <c r="N823" i="15"/>
  <c r="M823" i="15"/>
  <c r="R823" i="15"/>
  <c r="S823" i="15"/>
  <c r="M822" i="15"/>
  <c r="N822" i="15"/>
  <c r="O822" i="15"/>
  <c r="P822" i="15" s="1"/>
  <c r="R822" i="15"/>
  <c r="S822" i="15"/>
  <c r="O821" i="15"/>
  <c r="P821" i="15" s="1"/>
  <c r="N821" i="15"/>
  <c r="M821" i="15"/>
  <c r="R821" i="15"/>
  <c r="S821" i="15"/>
  <c r="O820" i="15"/>
  <c r="P820" i="15" s="1"/>
  <c r="N820" i="15"/>
  <c r="M820" i="15"/>
  <c r="R820" i="15"/>
  <c r="S820" i="15"/>
  <c r="M819" i="15"/>
  <c r="N819" i="15"/>
  <c r="O819" i="15"/>
  <c r="P819" i="15" s="1"/>
  <c r="L819" i="15"/>
  <c r="J819" i="15"/>
  <c r="R819" i="15"/>
  <c r="S819" i="15"/>
  <c r="O818" i="15"/>
  <c r="P818" i="15" s="1"/>
  <c r="N818" i="15"/>
  <c r="M818" i="15"/>
  <c r="R818" i="15"/>
  <c r="S818" i="15"/>
  <c r="R817" i="15"/>
  <c r="S817" i="15"/>
  <c r="R816" i="15"/>
  <c r="S816" i="15"/>
  <c r="Q801" i="28"/>
  <c r="R801" i="28"/>
  <c r="Q781" i="28"/>
  <c r="R781" i="28"/>
  <c r="Q792" i="28"/>
  <c r="R792" i="28"/>
  <c r="Q796" i="28"/>
  <c r="R796" i="28"/>
  <c r="Q786" i="28"/>
  <c r="R786" i="28"/>
  <c r="Q795" i="28"/>
  <c r="R795" i="28"/>
  <c r="O797" i="15"/>
  <c r="P797" i="15" s="1"/>
  <c r="N797" i="15"/>
  <c r="M797" i="15"/>
  <c r="R797" i="15"/>
  <c r="S797" i="15"/>
  <c r="O777" i="15"/>
  <c r="P777" i="15" s="1"/>
  <c r="N777" i="15"/>
  <c r="M777" i="15"/>
  <c r="R777" i="15"/>
  <c r="S777" i="15"/>
  <c r="R815" i="15"/>
  <c r="S815" i="15"/>
  <c r="R814" i="15"/>
  <c r="S814" i="15"/>
  <c r="M788" i="15"/>
  <c r="L788" i="15"/>
  <c r="O788" i="15" s="1"/>
  <c r="P788" i="15" s="1"/>
  <c r="R788" i="15"/>
  <c r="S788" i="15"/>
  <c r="M791" i="15"/>
  <c r="L791" i="15"/>
  <c r="O791" i="15" s="1"/>
  <c r="P791" i="15" s="1"/>
  <c r="R813" i="15"/>
  <c r="S813" i="15"/>
  <c r="R812" i="15"/>
  <c r="S812" i="15"/>
  <c r="M792" i="15"/>
  <c r="L792" i="15"/>
  <c r="O792" i="15" s="1"/>
  <c r="P792" i="15" s="1"/>
  <c r="R792" i="15"/>
  <c r="S792" i="15"/>
  <c r="L782" i="15"/>
  <c r="N782" i="15" s="1"/>
  <c r="M782" i="15"/>
  <c r="Q736" i="28"/>
  <c r="Q775" i="28"/>
  <c r="Q802" i="28"/>
  <c r="Q776" i="28"/>
  <c r="Q777" i="28"/>
  <c r="Q806" i="28"/>
  <c r="Q773" i="28"/>
  <c r="Q788" i="28"/>
  <c r="Q797" i="28"/>
  <c r="Q774" i="28"/>
  <c r="Q778" i="28"/>
  <c r="R736" i="28"/>
  <c r="R775" i="28"/>
  <c r="R802" i="28"/>
  <c r="R776" i="28"/>
  <c r="R777" i="28"/>
  <c r="R806" i="28"/>
  <c r="R773" i="28"/>
  <c r="R788" i="28"/>
  <c r="R797" i="28"/>
  <c r="R774" i="28"/>
  <c r="R778" i="28"/>
  <c r="Q803" i="28"/>
  <c r="Q807" i="28"/>
  <c r="Q787" i="28"/>
  <c r="Q800" i="28"/>
  <c r="Q785" i="28"/>
  <c r="Q780" i="28"/>
  <c r="Q805" i="28"/>
  <c r="R803" i="28"/>
  <c r="R807" i="28"/>
  <c r="R787" i="28"/>
  <c r="R800" i="28"/>
  <c r="R785" i="28"/>
  <c r="R780" i="28"/>
  <c r="R805" i="28"/>
  <c r="Q768" i="28"/>
  <c r="Q757" i="28"/>
  <c r="R768" i="28"/>
  <c r="R757" i="28"/>
  <c r="Q770" i="28"/>
  <c r="Q779" i="28"/>
  <c r="R770" i="28"/>
  <c r="R779" i="28"/>
  <c r="R782" i="15"/>
  <c r="S782" i="15"/>
  <c r="R805" i="15"/>
  <c r="S805" i="15"/>
  <c r="M774" i="15"/>
  <c r="L774" i="15"/>
  <c r="O774" i="15" s="1"/>
  <c r="P774" i="15" s="1"/>
  <c r="R774" i="15"/>
  <c r="S774" i="15"/>
  <c r="M770" i="15"/>
  <c r="L770" i="15"/>
  <c r="O770" i="15" s="1"/>
  <c r="P770" i="15" s="1"/>
  <c r="R770" i="15"/>
  <c r="S770" i="15"/>
  <c r="L793" i="15"/>
  <c r="O793" i="15" s="1"/>
  <c r="P793" i="15" s="1"/>
  <c r="M793" i="15"/>
  <c r="R793" i="15"/>
  <c r="S793" i="15"/>
  <c r="M784" i="15"/>
  <c r="L784" i="15"/>
  <c r="O784" i="15" s="1"/>
  <c r="P784" i="15" s="1"/>
  <c r="R784" i="15"/>
  <c r="S784" i="15"/>
  <c r="M769" i="15"/>
  <c r="L769" i="15"/>
  <c r="O769" i="15" s="1"/>
  <c r="P769" i="15" s="1"/>
  <c r="R769" i="15"/>
  <c r="S769" i="15"/>
  <c r="M803" i="15"/>
  <c r="L803" i="15"/>
  <c r="O803" i="15" s="1"/>
  <c r="P803" i="15" s="1"/>
  <c r="R803" i="15"/>
  <c r="S803" i="15"/>
  <c r="M773" i="15"/>
  <c r="L773" i="15"/>
  <c r="O773" i="15" s="1"/>
  <c r="P773" i="15" s="1"/>
  <c r="I773" i="15"/>
  <c r="R773" i="15"/>
  <c r="S773" i="15"/>
  <c r="O772" i="15"/>
  <c r="P772" i="15" s="1"/>
  <c r="N772" i="15"/>
  <c r="M772" i="15"/>
  <c r="R772" i="15"/>
  <c r="S772" i="15"/>
  <c r="M798" i="15"/>
  <c r="L798" i="15"/>
  <c r="O798" i="15" s="1"/>
  <c r="P798" i="15" s="1"/>
  <c r="R798" i="15"/>
  <c r="S798" i="15"/>
  <c r="L771" i="15"/>
  <c r="O771" i="15" s="1"/>
  <c r="P771" i="15" s="1"/>
  <c r="M771" i="15"/>
  <c r="R771" i="15"/>
  <c r="S771" i="15"/>
  <c r="M734" i="15"/>
  <c r="O734" i="15"/>
  <c r="P734" i="15" s="1"/>
  <c r="R734" i="15"/>
  <c r="S734" i="15"/>
  <c r="R811" i="15"/>
  <c r="S811" i="15"/>
  <c r="J802" i="15"/>
  <c r="M802" i="15" s="1"/>
  <c r="R802" i="15"/>
  <c r="S802" i="15"/>
  <c r="M776" i="15"/>
  <c r="L776" i="15"/>
  <c r="O776" i="15" s="1"/>
  <c r="P776" i="15" s="1"/>
  <c r="R776" i="15"/>
  <c r="S776" i="15"/>
  <c r="M781" i="15"/>
  <c r="L781" i="15"/>
  <c r="O781" i="15" s="1"/>
  <c r="P781" i="15" s="1"/>
  <c r="R781" i="15"/>
  <c r="S781" i="15"/>
  <c r="M796" i="15"/>
  <c r="L796" i="15"/>
  <c r="O796" i="15" s="1"/>
  <c r="P796" i="15" s="1"/>
  <c r="R796" i="15"/>
  <c r="S796" i="15"/>
  <c r="M783" i="15"/>
  <c r="L783" i="15"/>
  <c r="O783" i="15" s="1"/>
  <c r="P783" i="15" s="1"/>
  <c r="R783" i="15"/>
  <c r="S783" i="15"/>
  <c r="M804" i="15"/>
  <c r="L804" i="15"/>
  <c r="O804" i="15" s="1"/>
  <c r="P804" i="15" s="1"/>
  <c r="R804" i="15"/>
  <c r="S804" i="15"/>
  <c r="M799" i="15"/>
  <c r="L799" i="15"/>
  <c r="O799" i="15" s="1"/>
  <c r="P799" i="15" s="1"/>
  <c r="R799" i="15"/>
  <c r="S799" i="15"/>
  <c r="M775" i="15"/>
  <c r="L775" i="15"/>
  <c r="N775" i="15" s="1"/>
  <c r="M766" i="15"/>
  <c r="L766" i="15"/>
  <c r="O766" i="15" s="1"/>
  <c r="P766" i="15" s="1"/>
  <c r="M800" i="15"/>
  <c r="L800" i="15"/>
  <c r="O800" i="15" s="1"/>
  <c r="P800" i="15" s="1"/>
  <c r="Q764" i="28"/>
  <c r="Q765" i="28"/>
  <c r="Q766" i="28"/>
  <c r="Q767" i="28"/>
  <c r="Q769" i="28"/>
  <c r="Q771" i="28"/>
  <c r="Q772" i="28"/>
  <c r="Q782" i="28"/>
  <c r="Q783" i="28"/>
  <c r="Q784" i="28"/>
  <c r="Q789" i="28"/>
  <c r="Q790" i="28"/>
  <c r="Q791" i="28"/>
  <c r="Q793" i="28"/>
  <c r="Q794" i="28"/>
  <c r="Q798" i="28"/>
  <c r="Q799" i="28"/>
  <c r="Q804" i="28"/>
  <c r="R764" i="28"/>
  <c r="R765" i="28"/>
  <c r="R766" i="28"/>
  <c r="R767" i="28"/>
  <c r="R769" i="28"/>
  <c r="R771" i="28"/>
  <c r="R772" i="28"/>
  <c r="R782" i="28"/>
  <c r="R783" i="28"/>
  <c r="R784" i="28"/>
  <c r="R789" i="28"/>
  <c r="R790" i="28"/>
  <c r="R791" i="28"/>
  <c r="R793" i="28"/>
  <c r="R794" i="28"/>
  <c r="R798" i="28"/>
  <c r="R799" i="28"/>
  <c r="R804" i="28"/>
  <c r="L765" i="15"/>
  <c r="O765" i="15" s="1"/>
  <c r="P765" i="15" s="1"/>
  <c r="M765" i="15"/>
  <c r="M760" i="15"/>
  <c r="L760" i="15"/>
  <c r="N760" i="15" s="1"/>
  <c r="M779" i="15"/>
  <c r="L779" i="15"/>
  <c r="N779" i="15" s="1"/>
  <c r="M768" i="15"/>
  <c r="L768" i="15"/>
  <c r="N768" i="15" s="1"/>
  <c r="M780" i="15"/>
  <c r="L780" i="15"/>
  <c r="O780" i="15" s="1"/>
  <c r="P780" i="15" s="1"/>
  <c r="M801" i="15"/>
  <c r="L801" i="15"/>
  <c r="O801" i="15" s="1"/>
  <c r="P801" i="15" s="1"/>
  <c r="R801" i="15"/>
  <c r="S801" i="15"/>
  <c r="J778" i="15"/>
  <c r="L778" i="15" s="1"/>
  <c r="O778" i="15" s="1"/>
  <c r="P778" i="15" s="1"/>
  <c r="M785" i="15"/>
  <c r="L785" i="15"/>
  <c r="O785" i="15" s="1"/>
  <c r="P785" i="15" s="1"/>
  <c r="L749" i="15"/>
  <c r="O749" i="15" s="1"/>
  <c r="P749" i="15" s="1"/>
  <c r="J749" i="15"/>
  <c r="J787" i="15"/>
  <c r="M787" i="15" s="1"/>
  <c r="R787" i="15"/>
  <c r="S787" i="15"/>
  <c r="J786" i="15"/>
  <c r="L786" i="15" s="1"/>
  <c r="R786" i="15"/>
  <c r="S786" i="15"/>
  <c r="L750" i="15"/>
  <c r="M761" i="15"/>
  <c r="L761" i="15"/>
  <c r="O761" i="15" s="1"/>
  <c r="P761" i="15" s="1"/>
  <c r="M795" i="15"/>
  <c r="L795" i="15"/>
  <c r="N795" i="15" s="1"/>
  <c r="Q760" i="28"/>
  <c r="R760" i="28"/>
  <c r="Q755" i="28"/>
  <c r="R755" i="28"/>
  <c r="Q752" i="28"/>
  <c r="Q763" i="28"/>
  <c r="R752" i="28"/>
  <c r="R763" i="28"/>
  <c r="Q754" i="28"/>
  <c r="R754" i="28"/>
  <c r="Q762" i="28"/>
  <c r="R762" i="28"/>
  <c r="Q756" i="28"/>
  <c r="R756" i="28"/>
  <c r="Q761" i="28"/>
  <c r="R761" i="28"/>
  <c r="R785" i="15"/>
  <c r="S785" i="15"/>
  <c r="R780" i="15"/>
  <c r="S780" i="15"/>
  <c r="R768" i="15"/>
  <c r="S768" i="15"/>
  <c r="R779" i="15"/>
  <c r="S779" i="15"/>
  <c r="M751" i="15"/>
  <c r="L751" i="15"/>
  <c r="O751" i="15" s="1"/>
  <c r="P751" i="15" s="1"/>
  <c r="M759" i="15"/>
  <c r="L759" i="15"/>
  <c r="O759" i="15" s="1"/>
  <c r="P759" i="15" s="1"/>
  <c r="J790" i="15"/>
  <c r="L790" i="15" s="1"/>
  <c r="O790" i="15" s="1"/>
  <c r="P790" i="15" s="1"/>
  <c r="O756" i="15"/>
  <c r="P756" i="15" s="1"/>
  <c r="N756" i="15"/>
  <c r="M756" i="15"/>
  <c r="R790" i="15"/>
  <c r="S790" i="15"/>
  <c r="J794" i="15"/>
  <c r="M794" i="15" s="1"/>
  <c r="R794" i="15"/>
  <c r="S794" i="15"/>
  <c r="R756" i="15"/>
  <c r="S756" i="15"/>
  <c r="O753" i="15"/>
  <c r="P753" i="15" s="1"/>
  <c r="N753" i="15"/>
  <c r="M753" i="15"/>
  <c r="R760" i="15"/>
  <c r="S760" i="15"/>
  <c r="M749" i="15"/>
  <c r="L757" i="15"/>
  <c r="L758" i="15"/>
  <c r="N829" i="15" l="1"/>
  <c r="O782" i="15"/>
  <c r="P782" i="15" s="1"/>
  <c r="N788" i="15"/>
  <c r="N791" i="15"/>
  <c r="N792" i="15"/>
  <c r="N774" i="15"/>
  <c r="N793" i="15"/>
  <c r="N770" i="15"/>
  <c r="N769" i="15"/>
  <c r="N784" i="15"/>
  <c r="N803" i="15"/>
  <c r="N773" i="15"/>
  <c r="N798" i="15"/>
  <c r="N771" i="15"/>
  <c r="N734" i="15"/>
  <c r="M786" i="15"/>
  <c r="N776" i="15"/>
  <c r="L787" i="15"/>
  <c r="N787" i="15" s="1"/>
  <c r="N765" i="15"/>
  <c r="L802" i="15"/>
  <c r="O802" i="15" s="1"/>
  <c r="P802" i="15" s="1"/>
  <c r="L794" i="15"/>
  <c r="O794" i="15" s="1"/>
  <c r="P794" i="15" s="1"/>
  <c r="N781" i="15"/>
  <c r="N796" i="15"/>
  <c r="N804" i="15"/>
  <c r="N783" i="15"/>
  <c r="N799" i="15"/>
  <c r="M790" i="15"/>
  <c r="N766" i="15"/>
  <c r="O775" i="15"/>
  <c r="P775" i="15" s="1"/>
  <c r="N780" i="15"/>
  <c r="N800" i="15"/>
  <c r="O779" i="15"/>
  <c r="P779" i="15" s="1"/>
  <c r="O760" i="15"/>
  <c r="P760" i="15" s="1"/>
  <c r="N801" i="15"/>
  <c r="O768" i="15"/>
  <c r="P768" i="15" s="1"/>
  <c r="N785" i="15"/>
  <c r="N790" i="15"/>
  <c r="N761" i="15"/>
  <c r="M778" i="15"/>
  <c r="N778" i="15"/>
  <c r="O786" i="15"/>
  <c r="P786" i="15" s="1"/>
  <c r="N786" i="15"/>
  <c r="N758" i="15"/>
  <c r="N759" i="15"/>
  <c r="N757" i="15"/>
  <c r="N749" i="15"/>
  <c r="O795" i="15"/>
  <c r="P795" i="15" s="1"/>
  <c r="N751" i="15"/>
  <c r="Q753" i="28"/>
  <c r="R753" i="28"/>
  <c r="O750" i="15"/>
  <c r="P750" i="15" s="1"/>
  <c r="N750" i="15"/>
  <c r="M750" i="15"/>
  <c r="I789" i="15"/>
  <c r="J789" i="15" s="1"/>
  <c r="R789" i="15"/>
  <c r="S789" i="15"/>
  <c r="J762" i="15"/>
  <c r="Q759" i="28"/>
  <c r="R759" i="28"/>
  <c r="L755" i="15"/>
  <c r="N755" i="15" s="1"/>
  <c r="J767" i="15"/>
  <c r="R765" i="15"/>
  <c r="S765" i="15"/>
  <c r="J763" i="15"/>
  <c r="R763" i="15"/>
  <c r="S763" i="15"/>
  <c r="Q758" i="28"/>
  <c r="R758" i="28"/>
  <c r="L754" i="15"/>
  <c r="Q734" i="28"/>
  <c r="R734" i="28"/>
  <c r="Q751" i="28"/>
  <c r="R751" i="28"/>
  <c r="Q730" i="28"/>
  <c r="R730" i="28"/>
  <c r="Q749" i="28"/>
  <c r="R749" i="28"/>
  <c r="O732" i="15"/>
  <c r="P732" i="15" s="1"/>
  <c r="N732" i="15"/>
  <c r="M732" i="15"/>
  <c r="R732" i="15"/>
  <c r="S732" i="15"/>
  <c r="O748" i="15"/>
  <c r="P748" i="15" s="1"/>
  <c r="N748" i="15"/>
  <c r="M748" i="15"/>
  <c r="R778" i="15"/>
  <c r="S778" i="15"/>
  <c r="R748" i="15"/>
  <c r="S748" i="15"/>
  <c r="O728" i="15"/>
  <c r="P728" i="15" s="1"/>
  <c r="N728" i="15"/>
  <c r="M728" i="15"/>
  <c r="R810" i="15"/>
  <c r="S810" i="15"/>
  <c r="R728" i="15"/>
  <c r="S728" i="15"/>
  <c r="R809" i="15"/>
  <c r="S809" i="15"/>
  <c r="R808" i="15"/>
  <c r="S808" i="15"/>
  <c r="O746" i="15"/>
  <c r="P746" i="15" s="1"/>
  <c r="N746" i="15"/>
  <c r="M746" i="15"/>
  <c r="R746" i="15"/>
  <c r="S746" i="15"/>
  <c r="Q743" i="28"/>
  <c r="R743" i="28"/>
  <c r="M740" i="15"/>
  <c r="L740" i="15"/>
  <c r="O740" i="15" s="1"/>
  <c r="P740" i="15" s="1"/>
  <c r="R740" i="15"/>
  <c r="S740" i="15"/>
  <c r="R753" i="15"/>
  <c r="S753" i="15"/>
  <c r="J754" i="15"/>
  <c r="M754" i="15" s="1"/>
  <c r="R754" i="15"/>
  <c r="S754" i="15"/>
  <c r="J764" i="15"/>
  <c r="R764" i="15"/>
  <c r="S764" i="15"/>
  <c r="J755" i="15"/>
  <c r="O755" i="15" s="1"/>
  <c r="P755" i="15" s="1"/>
  <c r="R755" i="15"/>
  <c r="S755" i="15"/>
  <c r="R800" i="15"/>
  <c r="S800" i="15"/>
  <c r="R759" i="15"/>
  <c r="S759" i="15"/>
  <c r="Q750" i="28"/>
  <c r="R750" i="28"/>
  <c r="O747" i="15"/>
  <c r="P747" i="15" s="1"/>
  <c r="N747" i="15"/>
  <c r="M747" i="15"/>
  <c r="R747" i="15"/>
  <c r="S747" i="15"/>
  <c r="R749" i="15"/>
  <c r="S749" i="15"/>
  <c r="R750" i="15"/>
  <c r="S750" i="15"/>
  <c r="R751" i="15"/>
  <c r="S751" i="15"/>
  <c r="R762" i="15"/>
  <c r="S762" i="15"/>
  <c r="Q748" i="28"/>
  <c r="R748" i="28"/>
  <c r="O742" i="15"/>
  <c r="P742" i="15" s="1"/>
  <c r="N742" i="15"/>
  <c r="M742" i="15"/>
  <c r="Q747" i="28"/>
  <c r="R747" i="28"/>
  <c r="M745" i="15"/>
  <c r="L745" i="15"/>
  <c r="O745" i="15" s="1"/>
  <c r="P745" i="15" s="1"/>
  <c r="R745" i="15"/>
  <c r="S745" i="15"/>
  <c r="Q746" i="28"/>
  <c r="R746" i="28"/>
  <c r="Q745" i="28"/>
  <c r="R745" i="28"/>
  <c r="L743" i="15"/>
  <c r="O744" i="15"/>
  <c r="P744" i="15" s="1"/>
  <c r="N744" i="15"/>
  <c r="M744" i="15"/>
  <c r="Q741" i="28"/>
  <c r="R741" i="28"/>
  <c r="R744" i="15"/>
  <c r="S744" i="15"/>
  <c r="Q740" i="28"/>
  <c r="R740" i="28"/>
  <c r="M735" i="15"/>
  <c r="Q738" i="28"/>
  <c r="Q739" i="28"/>
  <c r="R738" i="28"/>
  <c r="R739" i="28"/>
  <c r="N736" i="15"/>
  <c r="J736" i="15"/>
  <c r="O736" i="15" s="1"/>
  <c r="P736" i="15" s="1"/>
  <c r="N737" i="15"/>
  <c r="J737" i="15"/>
  <c r="O737" i="15" s="1"/>
  <c r="P737" i="15" s="1"/>
  <c r="L737" i="15"/>
  <c r="R791" i="15"/>
  <c r="S791" i="15"/>
  <c r="R767" i="15"/>
  <c r="S767" i="15"/>
  <c r="J758" i="15"/>
  <c r="M758" i="15" s="1"/>
  <c r="R758" i="15"/>
  <c r="S758" i="15"/>
  <c r="M738" i="15"/>
  <c r="L738" i="15"/>
  <c r="O738" i="15" s="1"/>
  <c r="P738" i="15" s="1"/>
  <c r="Q742" i="28"/>
  <c r="R742" i="28"/>
  <c r="Q737" i="28"/>
  <c r="R737" i="28"/>
  <c r="Q744" i="28"/>
  <c r="R744" i="28"/>
  <c r="M741" i="15"/>
  <c r="N741" i="15"/>
  <c r="O741" i="15"/>
  <c r="P741" i="15" s="1"/>
  <c r="R775" i="15"/>
  <c r="S775" i="15"/>
  <c r="J739" i="15"/>
  <c r="M739" i="15" s="1"/>
  <c r="R766" i="15"/>
  <c r="R739" i="15"/>
  <c r="S766" i="15"/>
  <c r="S739" i="15"/>
  <c r="J752" i="15"/>
  <c r="R752" i="15"/>
  <c r="S752" i="15"/>
  <c r="R738" i="15"/>
  <c r="S738" i="15"/>
  <c r="Q735" i="28"/>
  <c r="R735" i="28"/>
  <c r="O733" i="15"/>
  <c r="N733" i="15"/>
  <c r="J733" i="15"/>
  <c r="M733" i="15" s="1"/>
  <c r="R733" i="15"/>
  <c r="S733" i="15"/>
  <c r="J743" i="15"/>
  <c r="M743" i="15" s="1"/>
  <c r="R743" i="15"/>
  <c r="S743" i="15"/>
  <c r="R737" i="15"/>
  <c r="S737" i="15"/>
  <c r="R736" i="15"/>
  <c r="S736" i="15"/>
  <c r="Q733" i="28"/>
  <c r="R733" i="28"/>
  <c r="M731" i="15"/>
  <c r="L731" i="15"/>
  <c r="N731" i="15" s="1"/>
  <c r="Q732" i="28"/>
  <c r="R732" i="28"/>
  <c r="O730" i="15"/>
  <c r="L730" i="15" s="1"/>
  <c r="N730" i="15" s="1"/>
  <c r="R761" i="15"/>
  <c r="S761" i="15"/>
  <c r="Q731" i="28"/>
  <c r="R731" i="28"/>
  <c r="N729" i="15"/>
  <c r="O729" i="15"/>
  <c r="P729" i="15" s="1"/>
  <c r="Q680" i="28"/>
  <c r="R680" i="28"/>
  <c r="M699" i="15"/>
  <c r="L699" i="15"/>
  <c r="O699" i="15" s="1"/>
  <c r="P699" i="15" s="1"/>
  <c r="S699" i="15"/>
  <c r="R699" i="15"/>
  <c r="Q716" i="28"/>
  <c r="R716" i="28"/>
  <c r="L713" i="15"/>
  <c r="Q715" i="28"/>
  <c r="R715" i="28"/>
  <c r="N712" i="15"/>
  <c r="Q722" i="28"/>
  <c r="R722" i="28"/>
  <c r="O715" i="15"/>
  <c r="P715" i="15" s="1"/>
  <c r="N715" i="15"/>
  <c r="M715" i="15"/>
  <c r="Q728" i="28"/>
  <c r="R728" i="28"/>
  <c r="O725" i="15"/>
  <c r="P725" i="15" s="1"/>
  <c r="N725" i="15"/>
  <c r="M725" i="15"/>
  <c r="Q726" i="28"/>
  <c r="R726" i="28"/>
  <c r="Q725" i="28"/>
  <c r="R725" i="28"/>
  <c r="O723" i="15"/>
  <c r="P723" i="15" s="1"/>
  <c r="N723" i="15"/>
  <c r="M723" i="15"/>
  <c r="L720" i="15"/>
  <c r="Q727" i="28"/>
  <c r="R727" i="28"/>
  <c r="Q729" i="28"/>
  <c r="R729" i="28"/>
  <c r="O726" i="15"/>
  <c r="P726" i="15" s="1"/>
  <c r="N726" i="15"/>
  <c r="M726" i="15"/>
  <c r="L735" i="15"/>
  <c r="O735" i="15" s="1"/>
  <c r="P735" i="15" s="1"/>
  <c r="O727" i="15"/>
  <c r="P727" i="15" s="1"/>
  <c r="N727" i="15"/>
  <c r="M727" i="15"/>
  <c r="S742" i="15"/>
  <c r="R742" i="15"/>
  <c r="R726" i="15"/>
  <c r="S726" i="15"/>
  <c r="Q723" i="28"/>
  <c r="R723" i="28"/>
  <c r="Q724" i="28"/>
  <c r="R724" i="28"/>
  <c r="N724" i="15"/>
  <c r="J724" i="15"/>
  <c r="M724" i="15" s="1"/>
  <c r="R725" i="15"/>
  <c r="S725" i="15"/>
  <c r="M721" i="15"/>
  <c r="L721" i="15"/>
  <c r="O721" i="15" s="1"/>
  <c r="P721" i="15" s="1"/>
  <c r="R721" i="15"/>
  <c r="S721" i="15"/>
  <c r="R741" i="15"/>
  <c r="S741" i="15"/>
  <c r="R727" i="15"/>
  <c r="S727" i="15"/>
  <c r="R724" i="15"/>
  <c r="S724" i="15"/>
  <c r="L721" i="28"/>
  <c r="K721" i="28"/>
  <c r="N721" i="28" s="1"/>
  <c r="O721" i="28" s="1"/>
  <c r="Q721" i="28"/>
  <c r="R721" i="28"/>
  <c r="R720" i="15"/>
  <c r="S720" i="15"/>
  <c r="Q720" i="28"/>
  <c r="R720" i="28"/>
  <c r="O714" i="15"/>
  <c r="P714" i="15" s="1"/>
  <c r="N714" i="15"/>
  <c r="M714" i="15"/>
  <c r="L807" i="15"/>
  <c r="R723" i="15"/>
  <c r="S723" i="15"/>
  <c r="Q719" i="28"/>
  <c r="R719" i="28"/>
  <c r="R731" i="15"/>
  <c r="S731" i="15"/>
  <c r="Q717" i="28"/>
  <c r="Q718" i="28"/>
  <c r="R717" i="28"/>
  <c r="R718" i="28"/>
  <c r="M719" i="15"/>
  <c r="N719" i="15"/>
  <c r="O719" i="15"/>
  <c r="P719" i="15" s="1"/>
  <c r="R719" i="15"/>
  <c r="S719" i="15"/>
  <c r="O718" i="15"/>
  <c r="P718" i="15" s="1"/>
  <c r="N718" i="15"/>
  <c r="M718" i="15"/>
  <c r="R718" i="15"/>
  <c r="S718" i="15"/>
  <c r="R730" i="15"/>
  <c r="S730" i="15"/>
  <c r="M730" i="15"/>
  <c r="Q714" i="28"/>
  <c r="R714" i="28"/>
  <c r="L722" i="15"/>
  <c r="N722" i="15" s="1"/>
  <c r="J722" i="15"/>
  <c r="M722" i="15" s="1"/>
  <c r="R722" i="15"/>
  <c r="S722" i="15"/>
  <c r="L716" i="15"/>
  <c r="O716" i="15" s="1"/>
  <c r="P716" i="15" s="1"/>
  <c r="L717" i="15"/>
  <c r="N717" i="15" s="1"/>
  <c r="R708" i="15"/>
  <c r="R806" i="15"/>
  <c r="R807" i="15"/>
  <c r="R701" i="15"/>
  <c r="R715" i="15"/>
  <c r="R712" i="15"/>
  <c r="R697" i="15"/>
  <c r="R757" i="15"/>
  <c r="R689" i="15"/>
  <c r="R735" i="15"/>
  <c r="R702" i="15"/>
  <c r="R713" i="15"/>
  <c r="R710" i="15"/>
  <c r="R707" i="15"/>
  <c r="R703" i="15"/>
  <c r="R698" i="15"/>
  <c r="R549" i="15"/>
  <c r="R716" i="15"/>
  <c r="R729" i="15"/>
  <c r="R717" i="15"/>
  <c r="R711" i="15"/>
  <c r="S708" i="15"/>
  <c r="S806" i="15"/>
  <c r="S807" i="15"/>
  <c r="S701" i="15"/>
  <c r="S715" i="15"/>
  <c r="S712" i="15"/>
  <c r="S697" i="15"/>
  <c r="S757" i="15"/>
  <c r="S689" i="15"/>
  <c r="S735" i="15"/>
  <c r="S702" i="15"/>
  <c r="S713" i="15"/>
  <c r="S710" i="15"/>
  <c r="S707" i="15"/>
  <c r="S703" i="15"/>
  <c r="S698" i="15"/>
  <c r="S549" i="15"/>
  <c r="S716" i="15"/>
  <c r="S729" i="15"/>
  <c r="S717" i="15"/>
  <c r="S711" i="15"/>
  <c r="Q686" i="28"/>
  <c r="Q687" i="28"/>
  <c r="Q694" i="28"/>
  <c r="R686" i="28"/>
  <c r="R687" i="28"/>
  <c r="R694" i="28"/>
  <c r="M684" i="15"/>
  <c r="N684" i="15"/>
  <c r="O684" i="15"/>
  <c r="P684" i="15" s="1"/>
  <c r="M685" i="15"/>
  <c r="N685" i="15"/>
  <c r="O685" i="15"/>
  <c r="P685" i="15" s="1"/>
  <c r="M691" i="15"/>
  <c r="N691" i="15"/>
  <c r="O691" i="15"/>
  <c r="P691" i="15" s="1"/>
  <c r="N794" i="15" l="1"/>
  <c r="O787" i="15"/>
  <c r="P787" i="15" s="1"/>
  <c r="N802" i="15"/>
  <c r="O717" i="15"/>
  <c r="P717" i="15" s="1"/>
  <c r="L762" i="15"/>
  <c r="M762" i="15"/>
  <c r="N735" i="15"/>
  <c r="M764" i="15"/>
  <c r="L764" i="15"/>
  <c r="N764" i="15" s="1"/>
  <c r="O743" i="15"/>
  <c r="P743" i="15" s="1"/>
  <c r="M767" i="15"/>
  <c r="L767" i="15"/>
  <c r="L789" i="15"/>
  <c r="M789" i="15"/>
  <c r="M763" i="15"/>
  <c r="L763" i="15"/>
  <c r="N716" i="15"/>
  <c r="P730" i="15"/>
  <c r="N713" i="15"/>
  <c r="O724" i="15"/>
  <c r="P724" i="15" s="1"/>
  <c r="O731" i="15"/>
  <c r="P731" i="15" s="1"/>
  <c r="N743" i="15"/>
  <c r="M736" i="15"/>
  <c r="P733" i="15"/>
  <c r="N699" i="15"/>
  <c r="O758" i="15"/>
  <c r="P758" i="15" s="1"/>
  <c r="M755" i="15"/>
  <c r="M752" i="15"/>
  <c r="L752" i="15"/>
  <c r="O754" i="15"/>
  <c r="P754" i="15" s="1"/>
  <c r="N754" i="15"/>
  <c r="N740" i="15"/>
  <c r="N745" i="15"/>
  <c r="M737" i="15"/>
  <c r="O739" i="15"/>
  <c r="P739" i="15" s="1"/>
  <c r="N739" i="15"/>
  <c r="N738" i="15"/>
  <c r="O722" i="15"/>
  <c r="P722" i="15" s="1"/>
  <c r="M721" i="28"/>
  <c r="N721" i="15"/>
  <c r="Q713" i="28"/>
  <c r="R713" i="28"/>
  <c r="O711" i="15"/>
  <c r="P711" i="15" s="1"/>
  <c r="N711" i="15"/>
  <c r="M711" i="15"/>
  <c r="Q712" i="28"/>
  <c r="R712" i="28"/>
  <c r="M709" i="15"/>
  <c r="L709" i="15"/>
  <c r="N709" i="15" s="1"/>
  <c r="Q711" i="28"/>
  <c r="R711" i="28"/>
  <c r="O710" i="15"/>
  <c r="P710" i="15" s="1"/>
  <c r="N710" i="15"/>
  <c r="M710" i="15"/>
  <c r="J713" i="15"/>
  <c r="M713" i="15" s="1"/>
  <c r="M717" i="15"/>
  <c r="M729" i="15"/>
  <c r="M716" i="15"/>
  <c r="Q549" i="28"/>
  <c r="R549" i="28"/>
  <c r="M549" i="15"/>
  <c r="L549" i="15"/>
  <c r="N549" i="15" s="1"/>
  <c r="L710" i="28"/>
  <c r="Q710" i="28"/>
  <c r="R710" i="28"/>
  <c r="Q690" i="28"/>
  <c r="R690" i="28"/>
  <c r="N705" i="15"/>
  <c r="Q709" i="28"/>
  <c r="R709" i="28"/>
  <c r="N707" i="15"/>
  <c r="Q708" i="28"/>
  <c r="R708" i="28"/>
  <c r="M706" i="15"/>
  <c r="L706" i="15"/>
  <c r="N706" i="15" s="1"/>
  <c r="J707" i="15"/>
  <c r="O707" i="15" s="1"/>
  <c r="P707" i="15" s="1"/>
  <c r="Q701" i="28"/>
  <c r="R701" i="28"/>
  <c r="Q707" i="28"/>
  <c r="R707" i="28"/>
  <c r="O702" i="15"/>
  <c r="P702" i="15" s="1"/>
  <c r="N702" i="15"/>
  <c r="M702" i="15"/>
  <c r="O698" i="15"/>
  <c r="P698" i="15" s="1"/>
  <c r="N698" i="15"/>
  <c r="M698" i="15"/>
  <c r="Q706" i="28"/>
  <c r="R706" i="28"/>
  <c r="M703" i="15"/>
  <c r="L703" i="15"/>
  <c r="O703" i="15" s="1"/>
  <c r="P703" i="15" s="1"/>
  <c r="Q705" i="28"/>
  <c r="R705" i="28"/>
  <c r="M704" i="15"/>
  <c r="L704" i="15"/>
  <c r="O704" i="15" s="1"/>
  <c r="P704" i="15" s="1"/>
  <c r="Q704" i="28"/>
  <c r="R704" i="28"/>
  <c r="O701" i="15"/>
  <c r="P701" i="15" s="1"/>
  <c r="M701" i="15"/>
  <c r="L701" i="15"/>
  <c r="N701" i="15" s="1"/>
  <c r="Q703" i="28"/>
  <c r="R703" i="28"/>
  <c r="O708" i="15"/>
  <c r="P708" i="15" s="1"/>
  <c r="N708" i="15"/>
  <c r="M708" i="15"/>
  <c r="Q702" i="28"/>
  <c r="R702" i="28"/>
  <c r="M700" i="15"/>
  <c r="L700" i="15"/>
  <c r="O700" i="15" s="1"/>
  <c r="P700" i="15" s="1"/>
  <c r="Q700" i="28"/>
  <c r="R700" i="28"/>
  <c r="N694" i="15"/>
  <c r="Q699" i="28"/>
  <c r="R699" i="28"/>
  <c r="N697" i="15"/>
  <c r="Q698" i="28"/>
  <c r="R698" i="28"/>
  <c r="O693" i="15"/>
  <c r="P693" i="15" s="1"/>
  <c r="N693" i="15"/>
  <c r="M693" i="15"/>
  <c r="O692" i="15"/>
  <c r="P692" i="15" s="1"/>
  <c r="N692" i="15"/>
  <c r="M692" i="15"/>
  <c r="O696" i="15"/>
  <c r="P696" i="15" s="1"/>
  <c r="N696" i="15"/>
  <c r="M696" i="15"/>
  <c r="J709" i="15"/>
  <c r="O695" i="15"/>
  <c r="P695" i="15" s="1"/>
  <c r="N695" i="15"/>
  <c r="M695" i="15"/>
  <c r="N767" i="15" l="1"/>
  <c r="O767" i="15"/>
  <c r="P767" i="15" s="1"/>
  <c r="O762" i="15"/>
  <c r="P762" i="15" s="1"/>
  <c r="N762" i="15"/>
  <c r="O549" i="15"/>
  <c r="P549" i="15" s="1"/>
  <c r="O764" i="15"/>
  <c r="O789" i="15"/>
  <c r="P789" i="15" s="1"/>
  <c r="N789" i="15"/>
  <c r="O763" i="15"/>
  <c r="P763" i="15" s="1"/>
  <c r="N763" i="15"/>
  <c r="M707" i="15"/>
  <c r="O706" i="15"/>
  <c r="P706" i="15" s="1"/>
  <c r="O709" i="15"/>
  <c r="P709" i="15" s="1"/>
  <c r="N704" i="15"/>
  <c r="N700" i="15"/>
  <c r="N703" i="15"/>
  <c r="O713" i="15"/>
  <c r="P713" i="15" s="1"/>
  <c r="O752" i="15"/>
  <c r="P752" i="15" s="1"/>
  <c r="N752" i="15"/>
  <c r="Q692" i="28"/>
  <c r="R692" i="28"/>
  <c r="L689" i="15"/>
  <c r="N689" i="15" s="1"/>
  <c r="J689" i="15"/>
  <c r="O689" i="15" s="1"/>
  <c r="P689" i="15" s="1"/>
  <c r="J757" i="15"/>
  <c r="J697" i="15"/>
  <c r="J712" i="15"/>
  <c r="Q689" i="28"/>
  <c r="R689" i="28"/>
  <c r="O688" i="15"/>
  <c r="P688" i="15" s="1"/>
  <c r="N688" i="15"/>
  <c r="M688" i="15"/>
  <c r="Q688" i="28"/>
  <c r="R688" i="28"/>
  <c r="M687" i="15"/>
  <c r="N687" i="15"/>
  <c r="O687" i="15"/>
  <c r="P687" i="15" s="1"/>
  <c r="N686" i="15"/>
  <c r="J686" i="15"/>
  <c r="J705" i="15" s="1"/>
  <c r="N691" i="28"/>
  <c r="O691" i="28" s="1"/>
  <c r="M691" i="28"/>
  <c r="L691" i="28"/>
  <c r="Q691" i="28"/>
  <c r="R691" i="28"/>
  <c r="Q693" i="28"/>
  <c r="R693" i="28"/>
  <c r="M690" i="15"/>
  <c r="Q685" i="28"/>
  <c r="R685" i="28"/>
  <c r="L682" i="15"/>
  <c r="N682" i="15" s="1"/>
  <c r="O682" i="15"/>
  <c r="R684" i="28"/>
  <c r="Q684" i="28"/>
  <c r="M683" i="15"/>
  <c r="L683" i="15"/>
  <c r="N683" i="15" s="1"/>
  <c r="J694" i="15"/>
  <c r="R685" i="15"/>
  <c r="R691" i="15"/>
  <c r="R694" i="15"/>
  <c r="R695" i="15"/>
  <c r="R688" i="15"/>
  <c r="R696" i="15"/>
  <c r="S685" i="15"/>
  <c r="S691" i="15"/>
  <c r="S694" i="15"/>
  <c r="S695" i="15"/>
  <c r="S688" i="15"/>
  <c r="S696" i="15"/>
  <c r="R684" i="15"/>
  <c r="S684" i="15"/>
  <c r="R693" i="15"/>
  <c r="S693" i="15"/>
  <c r="R692" i="15"/>
  <c r="R714" i="15"/>
  <c r="R683" i="15"/>
  <c r="R687" i="15"/>
  <c r="S692" i="15"/>
  <c r="S714" i="15"/>
  <c r="S683" i="15"/>
  <c r="S687" i="15"/>
  <c r="R795" i="15"/>
  <c r="S795" i="15"/>
  <c r="R706" i="15"/>
  <c r="S706" i="15"/>
  <c r="R678" i="28"/>
  <c r="R681" i="28"/>
  <c r="R682" i="28"/>
  <c r="R683" i="28"/>
  <c r="R679" i="28"/>
  <c r="Q678" i="28"/>
  <c r="Q681" i="28"/>
  <c r="Q682" i="28"/>
  <c r="Q683" i="28"/>
  <c r="Q679" i="28"/>
  <c r="M679" i="28"/>
  <c r="I679" i="28"/>
  <c r="L679" i="28" s="1"/>
  <c r="N681" i="15"/>
  <c r="J681" i="15"/>
  <c r="P681" i="15" s="1"/>
  <c r="N680" i="15"/>
  <c r="M680" i="15"/>
  <c r="O680" i="15"/>
  <c r="P680" i="15" s="1"/>
  <c r="R681" i="15"/>
  <c r="S681" i="15"/>
  <c r="R709" i="15"/>
  <c r="S709" i="15"/>
  <c r="R700" i="15"/>
  <c r="S700" i="15"/>
  <c r="O679" i="15"/>
  <c r="L679" i="15"/>
  <c r="N679" i="15" s="1"/>
  <c r="R679" i="15"/>
  <c r="S679" i="15"/>
  <c r="R704" i="15"/>
  <c r="S704" i="15"/>
  <c r="R680" i="15"/>
  <c r="S680" i="15"/>
  <c r="R705" i="15"/>
  <c r="S705" i="15"/>
  <c r="R686" i="15"/>
  <c r="S686" i="15"/>
  <c r="R677" i="28"/>
  <c r="Q677" i="28"/>
  <c r="M677" i="28"/>
  <c r="I677" i="28"/>
  <c r="O677" i="28" s="1"/>
  <c r="L678" i="28"/>
  <c r="K678" i="28"/>
  <c r="N678" i="28" s="1"/>
  <c r="R676" i="28"/>
  <c r="Q676" i="28"/>
  <c r="M676" i="28"/>
  <c r="I676" i="28"/>
  <c r="O676" i="28" s="1"/>
  <c r="R675" i="28"/>
  <c r="Q675" i="28"/>
  <c r="O675" i="28"/>
  <c r="L675" i="28"/>
  <c r="K675" i="28"/>
  <c r="M675" i="28" s="1"/>
  <c r="R674" i="28"/>
  <c r="Q674" i="28"/>
  <c r="M674" i="28"/>
  <c r="I674" i="28"/>
  <c r="O674" i="28" s="1"/>
  <c r="R673" i="28"/>
  <c r="Q673" i="28"/>
  <c r="N673" i="28"/>
  <c r="O673" i="28" s="1"/>
  <c r="M673" i="28"/>
  <c r="L673" i="28"/>
  <c r="R672" i="28"/>
  <c r="Q672" i="28"/>
  <c r="N672" i="28"/>
  <c r="M672" i="28"/>
  <c r="L672" i="28"/>
  <c r="R671" i="28"/>
  <c r="Q671" i="28"/>
  <c r="N671" i="28"/>
  <c r="I671" i="28"/>
  <c r="L671" i="28" s="1"/>
  <c r="R670" i="28"/>
  <c r="Q670" i="28"/>
  <c r="O670" i="28"/>
  <c r="L670" i="28"/>
  <c r="K670" i="28"/>
  <c r="M670" i="28" s="1"/>
  <c r="R669" i="28"/>
  <c r="Q669" i="28"/>
  <c r="O669" i="28"/>
  <c r="L669" i="28"/>
  <c r="K669" i="28"/>
  <c r="M669" i="28" s="1"/>
  <c r="R668" i="28"/>
  <c r="Q668" i="28"/>
  <c r="I668" i="28"/>
  <c r="O668" i="28" s="1"/>
  <c r="R667" i="28"/>
  <c r="Q667" i="28"/>
  <c r="O667" i="28"/>
  <c r="L667" i="28"/>
  <c r="K667" i="28"/>
  <c r="M667" i="28" s="1"/>
  <c r="R666" i="28"/>
  <c r="Q666" i="28"/>
  <c r="L666" i="28"/>
  <c r="K666" i="28"/>
  <c r="M666" i="28" s="1"/>
  <c r="R665" i="28"/>
  <c r="Q665" i="28"/>
  <c r="O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I663" i="28"/>
  <c r="L663" i="28" s="1"/>
  <c r="R662" i="28"/>
  <c r="Q662" i="28"/>
  <c r="O662" i="28"/>
  <c r="L662" i="28"/>
  <c r="K662" i="28"/>
  <c r="M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N658" i="28"/>
  <c r="K658" i="28" s="1"/>
  <c r="M658" i="28" s="1"/>
  <c r="L658" i="28"/>
  <c r="R657" i="28"/>
  <c r="Q657" i="28"/>
  <c r="O657" i="28"/>
  <c r="L657" i="28"/>
  <c r="K657" i="28"/>
  <c r="M657" i="28" s="1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N651" i="28"/>
  <c r="I651" i="28"/>
  <c r="K651" i="28" s="1"/>
  <c r="M651" i="28" s="1"/>
  <c r="R650" i="28"/>
  <c r="Q650" i="28"/>
  <c r="O650" i="28"/>
  <c r="L650" i="28"/>
  <c r="K650" i="28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N639" i="28"/>
  <c r="I639" i="28"/>
  <c r="L639" i="28" s="1"/>
  <c r="R638" i="28"/>
  <c r="Q638" i="28"/>
  <c r="O638" i="28"/>
  <c r="L638" i="28"/>
  <c r="K638" i="28"/>
  <c r="M638" i="28" s="1"/>
  <c r="R637" i="28"/>
  <c r="Q637" i="28"/>
  <c r="M637" i="28"/>
  <c r="L637" i="28"/>
  <c r="R636" i="28"/>
  <c r="Q636" i="28"/>
  <c r="N636" i="28"/>
  <c r="O636" i="28" s="1"/>
  <c r="L636" i="28"/>
  <c r="R635" i="28"/>
  <c r="Q635" i="28"/>
  <c r="N635" i="28"/>
  <c r="K635" i="28" s="1"/>
  <c r="M635" i="28" s="1"/>
  <c r="L635" i="28"/>
  <c r="R634" i="28"/>
  <c r="Q634" i="28"/>
  <c r="M634" i="28"/>
  <c r="L634" i="28"/>
  <c r="R633" i="28"/>
  <c r="Q633" i="28"/>
  <c r="M633" i="28"/>
  <c r="L633" i="28"/>
  <c r="R632" i="28"/>
  <c r="Q632" i="28"/>
  <c r="R631" i="28"/>
  <c r="Q631" i="28"/>
  <c r="O631" i="28"/>
  <c r="L631" i="28"/>
  <c r="K631" i="28"/>
  <c r="M631" i="28" s="1"/>
  <c r="R630" i="28"/>
  <c r="Q630" i="28"/>
  <c r="N630" i="28"/>
  <c r="I630" i="28"/>
  <c r="R629" i="28"/>
  <c r="Q629" i="28"/>
  <c r="M629" i="28"/>
  <c r="L629" i="28"/>
  <c r="R628" i="28"/>
  <c r="Q628" i="28"/>
  <c r="M628" i="28"/>
  <c r="L628" i="28"/>
  <c r="R627" i="28"/>
  <c r="Q627" i="28"/>
  <c r="M627" i="28"/>
  <c r="L627" i="28"/>
  <c r="R626" i="28"/>
  <c r="Q626" i="28"/>
  <c r="N626" i="28"/>
  <c r="I626" i="28"/>
  <c r="R625" i="28"/>
  <c r="Q625" i="28"/>
  <c r="R624" i="28"/>
  <c r="Q624" i="28"/>
  <c r="O624" i="28"/>
  <c r="L624" i="28"/>
  <c r="K624" i="28"/>
  <c r="M624" i="28" s="1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M621" i="28"/>
  <c r="L621" i="28"/>
  <c r="R620" i="28"/>
  <c r="Q620" i="28"/>
  <c r="N620" i="28"/>
  <c r="O620" i="28" s="1"/>
  <c r="M620" i="28"/>
  <c r="L620" i="28"/>
  <c r="R619" i="28"/>
  <c r="Q619" i="28"/>
  <c r="N619" i="28"/>
  <c r="M619" i="28"/>
  <c r="L619" i="28"/>
  <c r="R618" i="28"/>
  <c r="Q618" i="28"/>
  <c r="O618" i="28"/>
  <c r="L618" i="28"/>
  <c r="K618" i="28"/>
  <c r="M618" i="28" s="1"/>
  <c r="R617" i="28"/>
  <c r="Q617" i="28"/>
  <c r="M617" i="28"/>
  <c r="L617" i="28"/>
  <c r="R616" i="28"/>
  <c r="Q616" i="28"/>
  <c r="M616" i="28"/>
  <c r="L616" i="28"/>
  <c r="R615" i="28"/>
  <c r="Q615" i="28"/>
  <c r="M615" i="28"/>
  <c r="L615" i="28"/>
  <c r="R614" i="28"/>
  <c r="Q614" i="28"/>
  <c r="N614" i="28"/>
  <c r="I614" i="28"/>
  <c r="L614" i="28" s="1"/>
  <c r="R613" i="28"/>
  <c r="Q613" i="28"/>
  <c r="O613" i="28"/>
  <c r="L613" i="28"/>
  <c r="K613" i="28"/>
  <c r="M613" i="28" s="1"/>
  <c r="R612" i="28"/>
  <c r="Q612" i="28"/>
  <c r="O612" i="28"/>
  <c r="L612" i="28"/>
  <c r="K612" i="28"/>
  <c r="M612" i="28" s="1"/>
  <c r="R611" i="28"/>
  <c r="Q611" i="28"/>
  <c r="M611" i="28"/>
  <c r="L611" i="28"/>
  <c r="R610" i="28"/>
  <c r="Q610" i="28"/>
  <c r="O610" i="28"/>
  <c r="L610" i="28"/>
  <c r="K610" i="28"/>
  <c r="M610" i="28" s="1"/>
  <c r="R609" i="28"/>
  <c r="Q609" i="28"/>
  <c r="R608" i="28"/>
  <c r="Q608" i="28"/>
  <c r="N608" i="28"/>
  <c r="I608" i="28"/>
  <c r="R607" i="28"/>
  <c r="Q607" i="28"/>
  <c r="R606" i="28"/>
  <c r="Q606" i="28"/>
  <c r="R605" i="28"/>
  <c r="Q605" i="28"/>
  <c r="R604" i="28"/>
  <c r="Q604" i="28"/>
  <c r="R603" i="28"/>
  <c r="Q603" i="28"/>
  <c r="O603" i="28"/>
  <c r="L603" i="28"/>
  <c r="K603" i="28"/>
  <c r="M603" i="28" s="1"/>
  <c r="R602" i="28"/>
  <c r="Q602" i="28"/>
  <c r="L602" i="28"/>
  <c r="K602" i="28"/>
  <c r="N602" i="28" s="1"/>
  <c r="R601" i="28"/>
  <c r="Q601" i="28"/>
  <c r="R600" i="28"/>
  <c r="Q600" i="28"/>
  <c r="N600" i="28"/>
  <c r="O600" i="28" s="1"/>
  <c r="M600" i="28"/>
  <c r="L600" i="28"/>
  <c r="R599" i="28"/>
  <c r="Q599" i="28"/>
  <c r="R598" i="28"/>
  <c r="Q598" i="28"/>
  <c r="R597" i="28"/>
  <c r="Q597" i="28"/>
  <c r="R596" i="28"/>
  <c r="Q596" i="28"/>
  <c r="R595" i="28"/>
  <c r="Q595" i="28"/>
  <c r="R594" i="28"/>
  <c r="Q594" i="28"/>
  <c r="N594" i="28"/>
  <c r="O594" i="28" s="1"/>
  <c r="M594" i="28"/>
  <c r="L594" i="28"/>
  <c r="R593" i="28"/>
  <c r="Q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N585" i="28"/>
  <c r="O585" i="28" s="1"/>
  <c r="M585" i="28"/>
  <c r="L585" i="28"/>
  <c r="R584" i="28"/>
  <c r="Q584" i="28"/>
  <c r="R583" i="28"/>
  <c r="Q583" i="28"/>
  <c r="N583" i="28"/>
  <c r="M583" i="28"/>
  <c r="L583" i="28"/>
  <c r="R582" i="28"/>
  <c r="Q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L571" i="28"/>
  <c r="K571" i="28"/>
  <c r="N571" i="28" s="1"/>
  <c r="R570" i="28"/>
  <c r="Q570" i="28"/>
  <c r="R569" i="28"/>
  <c r="Q569" i="28"/>
  <c r="R568" i="28"/>
  <c r="Q568" i="28"/>
  <c r="R567" i="28"/>
  <c r="Q567" i="28"/>
  <c r="R566" i="28"/>
  <c r="Q566" i="28"/>
  <c r="L566" i="28"/>
  <c r="K566" i="28"/>
  <c r="M566" i="28" s="1"/>
  <c r="R565" i="28"/>
  <c r="Q565" i="28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7" i="15"/>
  <c r="J677" i="15"/>
  <c r="P677" i="15" s="1"/>
  <c r="R677" i="15"/>
  <c r="S677" i="15"/>
  <c r="L690" i="15"/>
  <c r="N690" i="15" s="1"/>
  <c r="R690" i="15"/>
  <c r="S690" i="15"/>
  <c r="M678" i="15"/>
  <c r="L678" i="15"/>
  <c r="O678" i="15" s="1"/>
  <c r="P678" i="15" s="1"/>
  <c r="R678" i="15"/>
  <c r="S678" i="15"/>
  <c r="O672" i="15"/>
  <c r="P672" i="15" s="1"/>
  <c r="M672" i="15"/>
  <c r="N672" i="15"/>
  <c r="R672" i="15"/>
  <c r="S672" i="15"/>
  <c r="N676" i="15"/>
  <c r="J676" i="15"/>
  <c r="P676" i="15" s="1"/>
  <c r="M675" i="15"/>
  <c r="P675" i="15"/>
  <c r="L675" i="15"/>
  <c r="N675" i="15" s="1"/>
  <c r="N674" i="15"/>
  <c r="J674" i="15"/>
  <c r="P674" i="15" s="1"/>
  <c r="R674" i="15"/>
  <c r="R675" i="15"/>
  <c r="R676" i="15"/>
  <c r="S674" i="15"/>
  <c r="S675" i="15"/>
  <c r="S676" i="15"/>
  <c r="O673" i="15"/>
  <c r="P67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R565" i="15"/>
  <c r="S565" i="15"/>
  <c r="L566" i="15"/>
  <c r="O566" i="15" s="1"/>
  <c r="P566" i="15" s="1"/>
  <c r="M566" i="15"/>
  <c r="R566" i="15"/>
  <c r="S566" i="15"/>
  <c r="R567" i="15"/>
  <c r="S567" i="15"/>
  <c r="R568" i="15"/>
  <c r="S568" i="15"/>
  <c r="R569" i="15"/>
  <c r="S569" i="15"/>
  <c r="R570" i="15"/>
  <c r="S570" i="15"/>
  <c r="L571" i="15"/>
  <c r="O571" i="15" s="1"/>
  <c r="P571" i="15" s="1"/>
  <c r="M571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R582" i="15"/>
  <c r="S582" i="15"/>
  <c r="M583" i="15"/>
  <c r="N583" i="15"/>
  <c r="O583" i="15"/>
  <c r="P583" i="15" s="1"/>
  <c r="R583" i="15"/>
  <c r="S583" i="15"/>
  <c r="R584" i="15"/>
  <c r="S584" i="15"/>
  <c r="M585" i="15"/>
  <c r="N585" i="15"/>
  <c r="O585" i="15"/>
  <c r="P585" i="15" s="1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R593" i="15"/>
  <c r="S593" i="15"/>
  <c r="M594" i="15"/>
  <c r="N594" i="15"/>
  <c r="O594" i="15"/>
  <c r="P594" i="15" s="1"/>
  <c r="R594" i="15"/>
  <c r="S594" i="15"/>
  <c r="R595" i="15"/>
  <c r="S595" i="15"/>
  <c r="R596" i="15"/>
  <c r="S596" i="15"/>
  <c r="R597" i="15"/>
  <c r="S597" i="15"/>
  <c r="R598" i="15"/>
  <c r="S598" i="15"/>
  <c r="R599" i="15"/>
  <c r="S599" i="15"/>
  <c r="M600" i="15"/>
  <c r="N600" i="15"/>
  <c r="O600" i="15"/>
  <c r="P600" i="15" s="1"/>
  <c r="R600" i="15"/>
  <c r="S600" i="15"/>
  <c r="R601" i="15"/>
  <c r="S601" i="15"/>
  <c r="L602" i="15"/>
  <c r="M602" i="15"/>
  <c r="R602" i="15"/>
  <c r="S602" i="15"/>
  <c r="L603" i="15"/>
  <c r="N603" i="15" s="1"/>
  <c r="M603" i="15"/>
  <c r="P603" i="15"/>
  <c r="R603" i="15"/>
  <c r="S603" i="15"/>
  <c r="R604" i="15"/>
  <c r="S604" i="15"/>
  <c r="R605" i="15"/>
  <c r="S605" i="15"/>
  <c r="R606" i="15"/>
  <c r="S606" i="15"/>
  <c r="R607" i="15"/>
  <c r="S607" i="15"/>
  <c r="J608" i="15"/>
  <c r="O608" i="15"/>
  <c r="R608" i="15"/>
  <c r="S608" i="15"/>
  <c r="R609" i="15"/>
  <c r="S609" i="15"/>
  <c r="L610" i="15"/>
  <c r="N610" i="15" s="1"/>
  <c r="M610" i="15"/>
  <c r="P610" i="15"/>
  <c r="R610" i="15"/>
  <c r="S610" i="15"/>
  <c r="M611" i="15"/>
  <c r="N611" i="15"/>
  <c r="R611" i="15"/>
  <c r="S611" i="15"/>
  <c r="L612" i="15"/>
  <c r="N612" i="15" s="1"/>
  <c r="M612" i="15"/>
  <c r="P612" i="15"/>
  <c r="R612" i="15"/>
  <c r="S612" i="15"/>
  <c r="L613" i="15"/>
  <c r="N613" i="15" s="1"/>
  <c r="M613" i="15"/>
  <c r="P613" i="15"/>
  <c r="R613" i="15"/>
  <c r="S613" i="15"/>
  <c r="J614" i="15"/>
  <c r="M614" i="15" s="1"/>
  <c r="O614" i="15"/>
  <c r="R614" i="15"/>
  <c r="S614" i="15"/>
  <c r="M615" i="15"/>
  <c r="N615" i="15"/>
  <c r="R615" i="15"/>
  <c r="S615" i="15"/>
  <c r="M616" i="15"/>
  <c r="N616" i="15"/>
  <c r="R616" i="15"/>
  <c r="S616" i="15"/>
  <c r="M617" i="15"/>
  <c r="N617" i="15"/>
  <c r="R617" i="15"/>
  <c r="S617" i="15"/>
  <c r="L618" i="15"/>
  <c r="N618" i="15" s="1"/>
  <c r="M618" i="15"/>
  <c r="P618" i="15"/>
  <c r="R618" i="15"/>
  <c r="S618" i="15"/>
  <c r="M619" i="15"/>
  <c r="N619" i="15"/>
  <c r="O619" i="15"/>
  <c r="P619" i="15" s="1"/>
  <c r="R619" i="15"/>
  <c r="S619" i="15"/>
  <c r="M620" i="15"/>
  <c r="N620" i="15"/>
  <c r="O620" i="15"/>
  <c r="P620" i="15" s="1"/>
  <c r="R620" i="15"/>
  <c r="S620" i="15"/>
  <c r="M621" i="15"/>
  <c r="N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L624" i="15"/>
  <c r="N624" i="15" s="1"/>
  <c r="M624" i="15"/>
  <c r="P624" i="15"/>
  <c r="R624" i="15"/>
  <c r="S624" i="15"/>
  <c r="R625" i="15"/>
  <c r="S625" i="15"/>
  <c r="J626" i="15"/>
  <c r="M626" i="15" s="1"/>
  <c r="O626" i="15"/>
  <c r="P626" i="15" s="1"/>
  <c r="R626" i="15"/>
  <c r="S626" i="15"/>
  <c r="M627" i="15"/>
  <c r="N627" i="15"/>
  <c r="R627" i="15"/>
  <c r="S627" i="15"/>
  <c r="M628" i="15"/>
  <c r="N628" i="15"/>
  <c r="R628" i="15"/>
  <c r="S628" i="15"/>
  <c r="M629" i="15"/>
  <c r="N629" i="15"/>
  <c r="R629" i="15"/>
  <c r="S629" i="15"/>
  <c r="J630" i="15"/>
  <c r="M630" i="15" s="1"/>
  <c r="O630" i="15"/>
  <c r="R630" i="15"/>
  <c r="S630" i="15"/>
  <c r="L631" i="15"/>
  <c r="N631" i="15" s="1"/>
  <c r="M631" i="15"/>
  <c r="P631" i="15"/>
  <c r="R631" i="15"/>
  <c r="S631" i="15"/>
  <c r="R632" i="15"/>
  <c r="S632" i="15"/>
  <c r="M633" i="15"/>
  <c r="N633" i="15"/>
  <c r="R633" i="15"/>
  <c r="S633" i="15"/>
  <c r="M634" i="15"/>
  <c r="N634" i="15"/>
  <c r="R634" i="15"/>
  <c r="S634" i="15"/>
  <c r="M635" i="15"/>
  <c r="O635" i="15"/>
  <c r="P635" i="15" s="1"/>
  <c r="R635" i="15"/>
  <c r="S635" i="15"/>
  <c r="M636" i="15"/>
  <c r="O636" i="15"/>
  <c r="P636" i="15" s="1"/>
  <c r="R636" i="15"/>
  <c r="S636" i="15"/>
  <c r="M637" i="15"/>
  <c r="N637" i="15"/>
  <c r="R637" i="15"/>
  <c r="S637" i="15"/>
  <c r="L638" i="15"/>
  <c r="N638" i="15" s="1"/>
  <c r="M638" i="15"/>
  <c r="P638" i="15"/>
  <c r="R638" i="15"/>
  <c r="S638" i="15"/>
  <c r="J639" i="15"/>
  <c r="M639" i="15" s="1"/>
  <c r="O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L650" i="15"/>
  <c r="N650" i="15" s="1"/>
  <c r="M650" i="15"/>
  <c r="P650" i="15"/>
  <c r="R650" i="15"/>
  <c r="S650" i="15"/>
  <c r="J651" i="15"/>
  <c r="M651" i="15" s="1"/>
  <c r="O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L657" i="15"/>
  <c r="N657" i="15" s="1"/>
  <c r="M657" i="15"/>
  <c r="P657" i="15"/>
  <c r="R657" i="15"/>
  <c r="S657" i="15"/>
  <c r="M658" i="15"/>
  <c r="O658" i="15"/>
  <c r="P658" i="15" s="1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L662" i="15"/>
  <c r="N662" i="15" s="1"/>
  <c r="M662" i="15"/>
  <c r="P662" i="15"/>
  <c r="R662" i="15"/>
  <c r="S662" i="15"/>
  <c r="J663" i="15"/>
  <c r="O663" i="15" s="1"/>
  <c r="R663" i="15"/>
  <c r="S663" i="15"/>
  <c r="L664" i="15"/>
  <c r="N664" i="15" s="1"/>
  <c r="M664" i="15"/>
  <c r="P664" i="15"/>
  <c r="R664" i="15"/>
  <c r="S664" i="15"/>
  <c r="L665" i="15"/>
  <c r="N665" i="15" s="1"/>
  <c r="M665" i="15"/>
  <c r="P665" i="15"/>
  <c r="R665" i="15"/>
  <c r="S665" i="15"/>
  <c r="L666" i="15"/>
  <c r="N666" i="15" s="1"/>
  <c r="M666" i="15"/>
  <c r="R666" i="15"/>
  <c r="S666" i="15"/>
  <c r="L667" i="15"/>
  <c r="N667" i="15" s="1"/>
  <c r="M667" i="15"/>
  <c r="P667" i="15"/>
  <c r="R667" i="15"/>
  <c r="S667" i="15"/>
  <c r="J668" i="15"/>
  <c r="P668" i="15" s="1"/>
  <c r="R668" i="15"/>
  <c r="S668" i="15"/>
  <c r="L669" i="15"/>
  <c r="N669" i="15" s="1"/>
  <c r="M669" i="15"/>
  <c r="P669" i="15"/>
  <c r="R669" i="15"/>
  <c r="S669" i="15"/>
  <c r="L670" i="15"/>
  <c r="N670" i="15" s="1"/>
  <c r="M670" i="15"/>
  <c r="P670" i="15"/>
  <c r="R670" i="15"/>
  <c r="S670" i="15"/>
  <c r="J671" i="15"/>
  <c r="M671" i="15"/>
  <c r="O671" i="15"/>
  <c r="R671" i="15"/>
  <c r="S671" i="15"/>
  <c r="M673" i="15"/>
  <c r="N673" i="15"/>
  <c r="R673" i="15"/>
  <c r="S673" i="15"/>
  <c r="P764" i="15" l="1"/>
  <c r="M663" i="15"/>
  <c r="O683" i="15"/>
  <c r="P683" i="15" s="1"/>
  <c r="Q706" i="15"/>
  <c r="P630" i="15"/>
  <c r="J682" i="15"/>
  <c r="P682" i="15" s="1"/>
  <c r="M712" i="15"/>
  <c r="O712" i="15"/>
  <c r="P712" i="15" s="1"/>
  <c r="M697" i="15"/>
  <c r="O697" i="15"/>
  <c r="P697" i="15" s="1"/>
  <c r="O690" i="15"/>
  <c r="P690" i="15" s="1"/>
  <c r="M757" i="15"/>
  <c r="O757" i="15"/>
  <c r="P757" i="15" s="1"/>
  <c r="P639" i="15"/>
  <c r="J679" i="15"/>
  <c r="P679" i="15" s="1"/>
  <c r="O694" i="15"/>
  <c r="P694" i="15" s="1"/>
  <c r="M694" i="15"/>
  <c r="N571" i="15"/>
  <c r="O686" i="15"/>
  <c r="P686" i="15" s="1"/>
  <c r="M689" i="15"/>
  <c r="M682" i="15"/>
  <c r="Q683" i="15"/>
  <c r="Q687" i="15" s="1"/>
  <c r="O705" i="15"/>
  <c r="P705" i="15" s="1"/>
  <c r="M705" i="15"/>
  <c r="M686" i="15"/>
  <c r="N566" i="28"/>
  <c r="O566" i="28" s="1"/>
  <c r="L381" i="28"/>
  <c r="K630" i="28"/>
  <c r="M630" i="28" s="1"/>
  <c r="L639" i="15"/>
  <c r="N639" i="15" s="1"/>
  <c r="N678" i="15"/>
  <c r="L614" i="15"/>
  <c r="N614" i="15" s="1"/>
  <c r="N473" i="15"/>
  <c r="P671" i="15"/>
  <c r="P651" i="15"/>
  <c r="P608" i="15"/>
  <c r="M668" i="15"/>
  <c r="L668" i="15"/>
  <c r="N668" i="15" s="1"/>
  <c r="N566" i="15"/>
  <c r="O542" i="15"/>
  <c r="P542" i="15" s="1"/>
  <c r="M381" i="15"/>
  <c r="O531" i="15"/>
  <c r="P531" i="15" s="1"/>
  <c r="L671" i="15"/>
  <c r="N671" i="15" s="1"/>
  <c r="L658" i="15"/>
  <c r="N658" i="15" s="1"/>
  <c r="P614" i="15"/>
  <c r="O519" i="15"/>
  <c r="P519" i="15" s="1"/>
  <c r="L608" i="15"/>
  <c r="N608" i="15" s="1"/>
  <c r="M681" i="15"/>
  <c r="O639" i="28"/>
  <c r="M678" i="28"/>
  <c r="K626" i="28"/>
  <c r="M626" i="28" s="1"/>
  <c r="N542" i="28"/>
  <c r="O542" i="28" s="1"/>
  <c r="M473" i="28"/>
  <c r="O608" i="28"/>
  <c r="K614" i="28"/>
  <c r="M614" i="28" s="1"/>
  <c r="O651" i="28"/>
  <c r="N666" i="28"/>
  <c r="O666" i="28" s="1"/>
  <c r="K639" i="28"/>
  <c r="M639" i="28" s="1"/>
  <c r="N663" i="28"/>
  <c r="K663" i="28" s="1"/>
  <c r="M663" i="28" s="1"/>
  <c r="O663" i="28" s="1"/>
  <c r="K668" i="28"/>
  <c r="M668" i="28" s="1"/>
  <c r="L668" i="28"/>
  <c r="L676" i="28"/>
  <c r="O571" i="28"/>
  <c r="O519" i="28"/>
  <c r="O602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O381" i="28"/>
  <c r="O531" i="28"/>
  <c r="L626" i="28"/>
  <c r="L630" i="28"/>
  <c r="L674" i="28"/>
  <c r="O678" i="28"/>
  <c r="L519" i="28"/>
  <c r="O614" i="28"/>
  <c r="K671" i="28"/>
  <c r="M671" i="28" s="1"/>
  <c r="L531" i="28"/>
  <c r="O626" i="28"/>
  <c r="O630" i="28"/>
  <c r="O449" i="28"/>
  <c r="O658" i="28"/>
  <c r="O583" i="28"/>
  <c r="M602" i="28"/>
  <c r="O671" i="28"/>
  <c r="O619" i="28"/>
  <c r="K608" i="28"/>
  <c r="M608" i="28" s="1"/>
  <c r="O635" i="28"/>
  <c r="L608" i="28"/>
  <c r="L677" i="28"/>
  <c r="M571" i="28"/>
  <c r="K636" i="28"/>
  <c r="M636" i="28" s="1"/>
  <c r="O672" i="28"/>
  <c r="L651" i="28"/>
  <c r="O510" i="28"/>
  <c r="O473" i="28"/>
  <c r="M677" i="15"/>
  <c r="M674" i="15"/>
  <c r="M676" i="15"/>
  <c r="L635" i="15"/>
  <c r="N635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L636" i="15"/>
  <c r="N636" i="15" s="1"/>
  <c r="L626" i="15"/>
  <c r="N626" i="15" s="1"/>
  <c r="N602" i="15"/>
  <c r="O602" i="15"/>
  <c r="P510" i="15"/>
  <c r="L651" i="15"/>
  <c r="N651" i="15" s="1"/>
  <c r="P449" i="15"/>
  <c r="L630" i="15"/>
  <c r="N630" i="15" s="1"/>
  <c r="L663" i="15"/>
  <c r="N663" i="15" s="1"/>
  <c r="P663" i="15" s="1"/>
  <c r="M608" i="15"/>
  <c r="O666" i="15"/>
  <c r="M679" i="15" l="1"/>
  <c r="P666" i="15"/>
  <c r="P602" i="15"/>
  <c r="P549" i="28" l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P676" i="28" s="1"/>
  <c r="P677" i="28" s="1"/>
  <c r="P678" i="28" s="1"/>
  <c r="P679" i="28" s="1"/>
  <c r="Q549" i="15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Q601" i="15" s="1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Q663" i="15" s="1"/>
  <c r="Q684" i="15"/>
  <c r="Q685" i="15" s="1"/>
  <c r="Q691" i="15"/>
  <c r="Q692" i="15" s="1"/>
  <c r="Q693" i="15" s="1"/>
  <c r="Q694" i="15" s="1"/>
  <c r="Q695" i="15" s="1"/>
  <c r="Q696" i="15" s="1"/>
  <c r="Q697" i="15" s="1"/>
  <c r="Q698" i="15" s="1"/>
  <c r="Q710" i="15"/>
  <c r="Q711" i="15" s="1"/>
  <c r="Q688" i="15"/>
  <c r="Q689" i="15" s="1"/>
  <c r="Q707" i="15"/>
  <c r="Q708" i="15" s="1"/>
  <c r="Q701" i="15"/>
  <c r="Q702" i="15" s="1"/>
  <c r="Q703" i="15" s="1"/>
  <c r="Q712" i="15" l="1"/>
  <c r="Q713" i="15" s="1"/>
  <c r="Q714" i="15" s="1"/>
  <c r="Q715" i="15" s="1"/>
  <c r="Q716" i="15" s="1"/>
  <c r="Q717" i="15" s="1"/>
  <c r="Q718" i="15" s="1"/>
  <c r="Q719" i="15" s="1"/>
  <c r="Q720" i="15" s="1"/>
  <c r="Q721" i="15" s="1"/>
  <c r="Q722" i="15" s="1"/>
  <c r="Q723" i="15" s="1"/>
  <c r="Q724" i="15" s="1"/>
  <c r="Q725" i="15" s="1"/>
  <c r="Q726" i="15" s="1"/>
  <c r="Q727" i="15" s="1"/>
  <c r="P680" i="28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  <c r="P696" i="28" s="1"/>
  <c r="P697" i="28" s="1"/>
  <c r="P698" i="28" s="1"/>
  <c r="P699" i="28" s="1"/>
  <c r="P700" i="28" s="1"/>
  <c r="P701" i="28" s="1"/>
  <c r="P702" i="28" s="1"/>
  <c r="P703" i="28" s="1"/>
  <c r="P704" i="28" s="1"/>
  <c r="P705" i="28" s="1"/>
  <c r="P706" i="28" s="1"/>
  <c r="P707" i="28" s="1"/>
  <c r="P708" i="28" s="1"/>
  <c r="P709" i="28" s="1"/>
  <c r="P710" i="28" s="1"/>
  <c r="P711" i="28" s="1"/>
  <c r="P712" i="28" s="1"/>
  <c r="P713" i="28" s="1"/>
  <c r="P714" i="28" s="1"/>
  <c r="P715" i="28" s="1"/>
  <c r="P716" i="28" s="1"/>
  <c r="P717" i="28" s="1"/>
  <c r="P718" i="28" s="1"/>
  <c r="P719" i="28" s="1"/>
  <c r="P720" i="28" s="1"/>
  <c r="P721" i="28" s="1"/>
  <c r="P722" i="28" s="1"/>
  <c r="P723" i="28" s="1"/>
  <c r="P724" i="28" s="1"/>
  <c r="P725" i="28" s="1"/>
  <c r="P726" i="28" s="1"/>
  <c r="P727" i="28" s="1"/>
  <c r="P728" i="28" s="1"/>
  <c r="P729" i="28" s="1"/>
  <c r="P730" i="28" s="1"/>
  <c r="P731" i="28" s="1"/>
  <c r="P732" i="28" s="1"/>
  <c r="P733" i="28" s="1"/>
  <c r="P734" i="28" s="1"/>
  <c r="P735" i="28" s="1"/>
  <c r="Q699" i="15"/>
  <c r="Q728" i="15" l="1"/>
  <c r="Q729" i="15" s="1"/>
  <c r="Q730" i="15" s="1"/>
  <c r="Q731" i="15" s="1"/>
  <c r="Q732" i="15" s="1"/>
  <c r="Q733" i="15" s="1"/>
  <c r="Q734" i="15" l="1"/>
  <c r="Q735" i="15" s="1"/>
  <c r="Q736" i="15" s="1"/>
  <c r="Q737" i="15" s="1"/>
  <c r="Q738" i="15" s="1"/>
  <c r="Q739" i="15" s="1"/>
  <c r="Q740" i="15" s="1"/>
  <c r="Q741" i="15" s="1"/>
  <c r="Q742" i="15" s="1"/>
  <c r="Q743" i="15" s="1"/>
  <c r="Q744" i="15" s="1"/>
  <c r="Q745" i="15" s="1"/>
  <c r="Q746" i="15" s="1"/>
  <c r="Q747" i="15" s="1"/>
  <c r="Q748" i="15" s="1"/>
  <c r="Q749" i="15" s="1"/>
  <c r="Q750" i="15" s="1"/>
  <c r="Q751" i="15" s="1"/>
  <c r="Q752" i="15" s="1"/>
  <c r="Q753" i="15" s="1"/>
  <c r="Q754" i="15" s="1"/>
  <c r="Q755" i="15" s="1"/>
  <c r="Q756" i="15" s="1"/>
  <c r="Q757" i="15" s="1"/>
  <c r="Q758" i="15" s="1"/>
  <c r="Q759" i="15" s="1"/>
  <c r="Q760" i="15" s="1"/>
  <c r="Q761" i="15" s="1"/>
  <c r="Q762" i="15" s="1"/>
  <c r="Q763" i="15" s="1"/>
  <c r="Q764" i="15" s="1"/>
  <c r="Q765" i="15" s="1"/>
  <c r="Q766" i="15" s="1"/>
  <c r="Q767" i="15" s="1"/>
  <c r="Q768" i="15" s="1"/>
  <c r="Q769" i="15" s="1"/>
  <c r="Q770" i="15" s="1"/>
  <c r="Q771" i="15" s="1"/>
  <c r="Q772" i="15" s="1"/>
  <c r="Q773" i="15" s="1"/>
  <c r="Q774" i="15" s="1"/>
  <c r="Q775" i="15" s="1"/>
  <c r="Q776" i="15" s="1"/>
  <c r="Q777" i="15" s="1"/>
  <c r="Q778" i="15" s="1"/>
  <c r="Q779" i="15" s="1"/>
  <c r="Q780" i="15" s="1"/>
  <c r="Q781" i="15" s="1"/>
  <c r="Q782" i="15" s="1"/>
  <c r="Q783" i="15" s="1"/>
  <c r="Q784" i="15" s="1"/>
  <c r="Q785" i="15" s="1"/>
  <c r="Q786" i="15" s="1"/>
  <c r="Q787" i="15" s="1"/>
  <c r="Q788" i="15" s="1"/>
  <c r="Q789" i="15" s="1"/>
  <c r="Q790" i="15" s="1"/>
  <c r="Q791" i="15" s="1"/>
  <c r="Q792" i="15" s="1"/>
  <c r="Q793" i="15" s="1"/>
  <c r="Q794" i="15" s="1"/>
  <c r="Q795" i="15" s="1"/>
  <c r="Q796" i="15" s="1"/>
  <c r="Q797" i="15" s="1"/>
  <c r="Q798" i="15" s="1"/>
  <c r="Q799" i="15" s="1"/>
  <c r="Q800" i="15" s="1"/>
  <c r="Q801" i="15" s="1"/>
  <c r="Q802" i="15" s="1"/>
  <c r="Q803" i="15" s="1"/>
  <c r="Q804" i="15" s="1"/>
  <c r="Q805" i="15" s="1"/>
  <c r="Q806" i="15" s="1"/>
  <c r="Q807" i="15" s="1"/>
  <c r="Q808" i="15" s="1"/>
  <c r="Q809" i="15" s="1"/>
  <c r="Q810" i="15" s="1"/>
  <c r="Q811" i="15" s="1"/>
  <c r="Q812" i="15" s="1"/>
  <c r="Q813" i="15" s="1"/>
  <c r="Q814" i="15" s="1"/>
  <c r="Q815" i="15" s="1"/>
  <c r="Q816" i="15" s="1"/>
  <c r="Q817" i="15" s="1"/>
  <c r="Q818" i="15" s="1"/>
  <c r="Q819" i="15" s="1"/>
  <c r="Q820" i="15" s="1"/>
  <c r="Q821" i="15" s="1"/>
  <c r="Q822" i="15" s="1"/>
  <c r="Q823" i="15" s="1"/>
  <c r="Q824" i="15" s="1"/>
  <c r="Q825" i="15" s="1"/>
  <c r="Q826" i="15" s="1"/>
  <c r="Q827" i="15" s="1"/>
  <c r="Q828" i="15" s="1"/>
  <c r="Q829" i="15" s="1"/>
  <c r="Q830" i="15" s="1"/>
  <c r="Q831" i="15" s="1"/>
  <c r="Q832" i="15" s="1"/>
  <c r="Q833" i="15" s="1"/>
  <c r="Q834" i="15" s="1"/>
  <c r="Q835" i="15" s="1"/>
  <c r="Q836" i="15" s="1"/>
  <c r="Q837" i="15" s="1"/>
  <c r="Q838" i="15" s="1"/>
  <c r="Q839" i="15" s="1"/>
  <c r="Q840" i="15" s="1"/>
  <c r="Q841" i="15" s="1"/>
  <c r="Q842" i="15" s="1"/>
  <c r="Q843" i="15" s="1"/>
  <c r="Q844" i="15" s="1"/>
  <c r="Q845" i="15" s="1"/>
  <c r="P736" i="28"/>
  <c r="P737" i="28" s="1"/>
  <c r="P738" i="28" s="1"/>
  <c r="P739" i="28" s="1"/>
  <c r="P740" i="28" s="1"/>
  <c r="P741" i="28" s="1"/>
  <c r="P742" i="28" s="1"/>
  <c r="P743" i="28" s="1"/>
  <c r="P744" i="28" s="1"/>
  <c r="P745" i="28" s="1"/>
  <c r="P746" i="28" s="1"/>
  <c r="P747" i="28" s="1"/>
  <c r="P748" i="28" s="1"/>
  <c r="P749" i="28" s="1"/>
  <c r="P750" i="28" s="1"/>
  <c r="P751" i="28" s="1"/>
  <c r="P752" i="28" s="1"/>
  <c r="P753" i="28" s="1"/>
  <c r="P754" i="28" s="1"/>
  <c r="P755" i="28" s="1"/>
  <c r="P756" i="28" s="1"/>
  <c r="P757" i="28" s="1"/>
  <c r="P758" i="28" s="1"/>
  <c r="P759" i="28" s="1"/>
  <c r="P760" i="28" s="1"/>
  <c r="P761" i="28" s="1"/>
  <c r="P762" i="28" s="1"/>
  <c r="P763" i="28" s="1"/>
  <c r="P764" i="28" s="1"/>
  <c r="P765" i="28" s="1"/>
  <c r="P766" i="28" s="1"/>
  <c r="P767" i="28" s="1"/>
  <c r="P768" i="28" s="1"/>
  <c r="P769" i="28" s="1"/>
  <c r="P770" i="28" s="1"/>
  <c r="P771" i="28" s="1"/>
  <c r="P772" i="28" s="1"/>
  <c r="P773" i="28" s="1"/>
  <c r="P774" i="28" s="1"/>
  <c r="P775" i="28" s="1"/>
  <c r="P776" i="28" s="1"/>
  <c r="P777" i="28" s="1"/>
  <c r="P778" i="28" s="1"/>
  <c r="P779" i="28" s="1"/>
  <c r="P780" i="28" s="1"/>
  <c r="P781" i="28" s="1"/>
  <c r="P782" i="28" s="1"/>
  <c r="P783" i="28" s="1"/>
  <c r="P784" i="28" s="1"/>
  <c r="P785" i="28" s="1"/>
  <c r="P786" i="28" s="1"/>
  <c r="P787" i="28" s="1"/>
  <c r="P788" i="28" s="1"/>
  <c r="P789" i="28" s="1"/>
  <c r="P790" i="28" s="1"/>
  <c r="P791" i="28" s="1"/>
  <c r="P792" i="28" s="1"/>
  <c r="P793" i="28" s="1"/>
  <c r="P794" i="28" s="1"/>
  <c r="P795" i="28" s="1"/>
  <c r="P796" i="28" s="1"/>
  <c r="P797" i="28" s="1"/>
  <c r="P798" i="28" s="1"/>
  <c r="P799" i="28" s="1"/>
  <c r="P800" i="28" s="1"/>
  <c r="P801" i="28" s="1"/>
  <c r="P802" i="28" s="1"/>
  <c r="P803" i="28" s="1"/>
  <c r="P804" i="28" s="1"/>
  <c r="P805" i="28" s="1"/>
  <c r="P806" i="28" s="1"/>
  <c r="P807" i="28" s="1"/>
  <c r="P808" i="28" s="1"/>
  <c r="P809" i="28" s="1"/>
  <c r="P810" i="28" s="1"/>
  <c r="P811" i="28" s="1"/>
  <c r="P812" i="28" s="1"/>
  <c r="P813" i="28" s="1"/>
  <c r="P814" i="28" s="1"/>
  <c r="P815" i="28" s="1"/>
  <c r="P816" i="28" s="1"/>
  <c r="P817" i="28" s="1"/>
  <c r="P818" i="28" s="1"/>
  <c r="P819" i="28" s="1"/>
  <c r="P820" i="28" s="1"/>
  <c r="P821" i="28" s="1"/>
  <c r="P822" i="28" s="1"/>
  <c r="P823" i="28" s="1"/>
  <c r="P824" i="28" s="1"/>
  <c r="P825" i="28" s="1"/>
</calcChain>
</file>

<file path=xl/sharedStrings.xml><?xml version="1.0" encoding="utf-8"?>
<sst xmlns="http://schemas.openxmlformats.org/spreadsheetml/2006/main" count="11445" uniqueCount="364">
  <si>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</si>
  <si>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</si>
  <si>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</si>
  <si>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</si>
  <si>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</si>
  <si>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</si>
  <si>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</si>
  <si>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</si>
  <si>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</si>
  <si>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</si>
  <si>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</si>
  <si>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</si>
  <si>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</si>
  <si>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</si>
  <si>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</si>
  <si>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</si>
  <si>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</si>
  <si>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</si>
  <si>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</si>
  <si>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</si>
  <si>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</si>
  <si>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</si>
  <si>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</si>
  <si>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</si>
  <si>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</si>
  <si>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</si>
  <si>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</si>
  <si>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</si>
  <si>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</si>
  <si>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</si>
  <si>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</si>
  <si>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</si>
  <si>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</si>
  <si>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</si>
  <si>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</si>
  <si>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</si>
  <si>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</si>
  <si>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</si>
  <si>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</si>
  <si>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</si>
  <si>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</si>
  <si>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</si>
  <si>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</si>
  <si>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</si>
  <si>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</si>
  <si>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</si>
  <si>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</si>
  <si>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</si>
  <si>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</si>
  <si>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</si>
  <si>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</si>
  <si>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</si>
  <si>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</si>
  <si>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</si>
  <si>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</si>
  <si>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</si>
  <si>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</si>
  <si>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</si>
  <si>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</si>
  <si>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</si>
  <si>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</si>
  <si>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</si>
  <si>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</si>
  <si>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</si>
  <si>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</si>
  <si>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</si>
  <si>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</si>
  <si>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</si>
  <si>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</si>
  <si>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</si>
  <si>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</si>
  <si>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</si>
  <si>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</si>
  <si>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</si>
  <si>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</si>
  <si>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</si>
  <si>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</si>
  <si>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</si>
  <si>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</si>
  <si>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</si>
  <si>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</si>
  <si>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</si>
  <si>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</si>
  <si>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</si>
  <si>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</si>
  <si>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</si>
  <si>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</si>
  <si>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</si>
  <si>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</si>
  <si>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</si>
  <si>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</si>
  <si>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</si>
  <si>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</si>
  <si>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</si>
  <si>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</si>
  <si>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</si>
  <si>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</si>
  <si>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</si>
  <si>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</si>
  <si>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</si>
  <si>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</si>
  <si>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</si>
  <si>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</si>
  <si>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</si>
  <si>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</si>
  <si>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</si>
  <si>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</si>
  <si>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</si>
  <si>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</si>
  <si>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</si>
  <si>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</si>
  <si>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</si>
  <si>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</si>
  <si>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</si>
  <si>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</si>
  <si>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</si>
  <si>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</si>
  <si>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</si>
  <si>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</si>
  <si>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</si>
  <si>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</si>
  <si>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</si>
  <si>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</si>
  <si>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</si>
  <si>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</si>
  <si>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</si>
  <si>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</si>
  <si>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</si>
  <si>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</si>
  <si>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</si>
  <si>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</si>
  <si>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</si>
  <si>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</si>
  <si>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</si>
  <si>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</si>
  <si>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</si>
  <si>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</si>
  <si>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</si>
  <si>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</si>
  <si>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</si>
  <si>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</si>
  <si>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</si>
  <si>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</si>
  <si>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</si>
  <si>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</si>
  <si>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</si>
  <si>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</si>
  <si>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</si>
  <si>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</si>
  <si>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</si>
  <si>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</si>
  <si>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</si>
  <si>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</si>
  <si>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</si>
  <si>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</si>
  <si>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</si>
  <si>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</si>
  <si>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</si>
  <si>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</si>
  <si>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</si>
  <si>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</si>
  <si>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</si>
  <si>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</si>
  <si>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</si>
  <si>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</si>
  <si>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</si>
  <si>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</si>
  <si>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</si>
  <si>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</si>
  <si>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</si>
  <si>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</si>
  <si>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</si>
  <si>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</si>
  <si>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</si>
  <si>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</si>
  <si>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</si>
  <si>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</si>
  <si>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</si>
  <si>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</si>
  <si>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</si>
  <si>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</si>
  <si>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</si>
  <si>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</si>
  <si>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</si>
  <si>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</si>
  <si>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</si>
  <si>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</si>
  <si>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</si>
  <si>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</si>
  <si>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</si>
  <si>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</si>
  <si>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</si>
  <si>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</si>
  <si>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</si>
  <si>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</si>
  <si>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</si>
  <si>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</si>
  <si>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</si>
  <si>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</si>
  <si>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</si>
  <si>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</si>
  <si>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</si>
  <si>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</si>
  <si>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</si>
  <si>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</si>
  <si>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</si>
  <si>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</si>
  <si>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</si>
  <si>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</si>
  <si>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</si>
  <si>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</si>
  <si>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</si>
  <si>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</si>
  <si>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</si>
  <si>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</si>
  <si>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</si>
  <si>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</si>
  <si>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</si>
  <si>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</si>
  <si>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</si>
  <si>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</si>
  <si>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</si>
  <si>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</si>
  <si>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</si>
  <si>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</si>
  <si>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</si>
  <si>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</si>
  <si>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</si>
  <si>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</si>
  <si>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</si>
  <si>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</si>
  <si>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</si>
  <si>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</si>
  <si>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</si>
  <si>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</si>
  <si>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</si>
  <si>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</si>
  <si>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</si>
  <si>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</si>
  <si>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</si>
  <si>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</si>
  <si>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</si>
  <si>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</si>
  <si>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</si>
  <si>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</si>
  <si>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</si>
  <si>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</si>
  <si>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</si>
  <si>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</si>
  <si>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</si>
  <si>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</si>
  <si>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</si>
  <si>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</si>
  <si>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</si>
  <si>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</si>
  <si>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</si>
  <si>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</si>
  <si>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</si>
  <si>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</si>
  <si>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</si>
  <si>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</si>
  <si>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</si>
  <si>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</si>
  <si>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</si>
  <si>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</si>
  <si>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</si>
  <si>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</si>
  <si>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</si>
  <si>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</si>
  <si>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</si>
  <si>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</si>
  <si>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</si>
  <si>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</si>
  <si>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</si>
  <si>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</si>
  <si>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</si>
  <si>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</si>
  <si>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</si>
  <si>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</si>
  <si>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</si>
  <si>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</si>
  <si>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</si>
  <si>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</si>
  <si>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</si>
  <si>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</si>
  <si>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</si>
  <si>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</si>
  <si>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</si>
  <si>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</si>
  <si>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</si>
  <si>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</si>
  <si>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</si>
  <si>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</si>
  <si>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</si>
  <si>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</si>
  <si>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</si>
  <si>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</si>
  <si>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</si>
  <si>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</si>
  <si>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</si>
  <si>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</si>
  <si>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</si>
  <si>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</si>
  <si>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</si>
  <si>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</si>
  <si>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</si>
  <si>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</si>
  <si>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</si>
  <si>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</si>
  <si>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</si>
  <si>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</si>
  <si>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</si>
  <si>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</si>
  <si>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</si>
  <si>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</si>
  <si>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</si>
  <si>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</si>
  <si>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</si>
  <si>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</si>
  <si>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</si>
  <si>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</si>
  <si>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</si>
  <si>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</si>
  <si>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</si>
  <si>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</si>
  <si>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</si>
  <si>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</si>
  <si>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</si>
  <si>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</si>
  <si>
    <t>EWJ</t>
  </si>
  <si>
    <t>PWSC</t>
  </si>
  <si>
    <t>ISRG</t>
  </si>
  <si>
    <t>KO</t>
  </si>
  <si>
    <t>SMMT</t>
  </si>
  <si>
    <t>VST</t>
  </si>
  <si>
    <t>DE</t>
  </si>
  <si>
    <t>NVDL</t>
  </si>
  <si>
    <t>MCHI</t>
  </si>
  <si>
    <t>CEG</t>
  </si>
  <si>
    <t>DOCU</t>
  </si>
  <si>
    <t>TMF</t>
  </si>
  <si>
    <t>CWAN</t>
  </si>
  <si>
    <t>MBLY</t>
  </si>
  <si>
    <t>Straddle</t>
  </si>
  <si>
    <t>Strangle</t>
  </si>
  <si>
    <t>SPX</t>
  </si>
  <si>
    <t>P.J Collaborative</t>
  </si>
  <si>
    <t>YM</t>
  </si>
  <si>
    <t>RKLB</t>
  </si>
  <si>
    <t>RDFN</t>
  </si>
  <si>
    <t>QUBT</t>
  </si>
  <si>
    <t>OKLO</t>
  </si>
  <si>
    <t>MSTU</t>
  </si>
  <si>
    <t>LTH</t>
  </si>
  <si>
    <t>ASAN</t>
  </si>
  <si>
    <t>HUBS</t>
  </si>
  <si>
    <t>SOFI</t>
  </si>
  <si>
    <t>VVV</t>
  </si>
  <si>
    <t>LIT</t>
  </si>
  <si>
    <t>GEHC</t>
  </si>
  <si>
    <t>AOSC</t>
  </si>
  <si>
    <t>EQT</t>
  </si>
  <si>
    <t>UUP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</si>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</sst>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3" xfId="0" applyBorder="1"/>
    <xf numFmtId="0" fontId="0" fillId="0" borderId="5" xfId="0" applyBorder="1"/>
    <xf numFmtId="14" fontId="0" fillId="0" borderId="3" xfId="1" applyNumberFormat="1" applyFont="1" applyBorder="1"/>
    <xf numFmtId="0" fontId="0" fillId="3" borderId="0" xfId="0" applyFill="1"/>
    <xf numFmtId="14" fontId="0" fillId="0" borderId="0" xfId="1" applyNumberFormat="1" applyFont="1" applyBorder="1"/>
    <xf numFmtId="2" fontId="0" fillId="3" borderId="0" xfId="1" applyNumberFormat="1" applyFont="1" applyFill="1" applyBorder="1"/>
    <xf numFmtId="2" fontId="0" fillId="0" borderId="3" xfId="1" applyNumberFormat="1" applyFont="1" applyBorder="1"/>
    <xf numFmtId="0" fontId="0" fillId="0" borderId="6" xfId="0" applyBorder="1"/>
    <xf numFmtId="44" fontId="0" fillId="0" borderId="0" xfId="1" applyFont="1" applyBorder="1"/>
    <xf numFmtId="2" fontId="0" fillId="0" borderId="0" xfId="1" applyNumberFormat="1" applyFont="1" applyBorder="1"/>
    <xf numFmtId="44" fontId="0" fillId="0" borderId="0" xfId="2" applyNumberFormat="1" applyFont="1" applyBorder="1"/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240942.59845814013</c:v>
                </c:pt>
                <c:pt idx="630">
                  <c:v>254404.10845814014</c:v>
                </c:pt>
                <c:pt idx="631">
                  <c:v>256019.10845814014</c:v>
                </c:pt>
                <c:pt idx="632">
                  <c:v>256475.10845814014</c:v>
                </c:pt>
                <c:pt idx="633">
                  <c:v>251975.58326376657</c:v>
                </c:pt>
                <c:pt idx="634">
                  <c:v>247179.01160139407</c:v>
                </c:pt>
                <c:pt idx="635">
                  <c:v>247523.64160139408</c:v>
                </c:pt>
                <c:pt idx="636">
                  <c:v>245216.17160139407</c:v>
                </c:pt>
                <c:pt idx="637">
                  <c:v>250215.08160139408</c:v>
                </c:pt>
                <c:pt idx="638">
                  <c:v>252701.50160139409</c:v>
                </c:pt>
                <c:pt idx="639">
                  <c:v>242810.00160139409</c:v>
                </c:pt>
                <c:pt idx="640">
                  <c:v>237596.25160139409</c:v>
                </c:pt>
                <c:pt idx="641">
                  <c:v>218218.97160139409</c:v>
                </c:pt>
                <c:pt idx="642">
                  <c:v>213194.69160139409</c:v>
                </c:pt>
                <c:pt idx="643">
                  <c:v>211184.69160139409</c:v>
                </c:pt>
                <c:pt idx="644">
                  <c:v>210645.7316013941</c:v>
                </c:pt>
                <c:pt idx="645">
                  <c:v>210653.05160139411</c:v>
                </c:pt>
                <c:pt idx="646">
                  <c:v>208091.27160139411</c:v>
                </c:pt>
                <c:pt idx="647">
                  <c:v>211319.30160139411</c:v>
                </c:pt>
                <c:pt idx="648">
                  <c:v>228160.72160139412</c:v>
                </c:pt>
                <c:pt idx="649">
                  <c:v>230983.20160139413</c:v>
                </c:pt>
                <c:pt idx="650">
                  <c:v>224708.46160139414</c:v>
                </c:pt>
                <c:pt idx="651">
                  <c:v>238771.38160139415</c:v>
                </c:pt>
                <c:pt idx="652">
                  <c:v>247998.97160139415</c:v>
                </c:pt>
                <c:pt idx="653">
                  <c:v>243038.25160139415</c:v>
                </c:pt>
                <c:pt idx="654">
                  <c:v>238050.82160139416</c:v>
                </c:pt>
                <c:pt idx="655">
                  <c:v>231515.07160139416</c:v>
                </c:pt>
                <c:pt idx="656">
                  <c:v>239526.83160139417</c:v>
                </c:pt>
                <c:pt idx="657">
                  <c:v>241667.51160139416</c:v>
                </c:pt>
                <c:pt idx="658">
                  <c:v>243696.81160139415</c:v>
                </c:pt>
                <c:pt idx="659">
                  <c:v>253155.37160139414</c:v>
                </c:pt>
                <c:pt idx="660">
                  <c:v>243351.97160139415</c:v>
                </c:pt>
                <c:pt idx="661">
                  <c:v>226971.34581368227</c:v>
                </c:pt>
                <c:pt idx="662">
                  <c:v>221744.99581368227</c:v>
                </c:pt>
                <c:pt idx="663">
                  <c:v>215703.09581368227</c:v>
                </c:pt>
                <c:pt idx="664">
                  <c:v>236451.75581368228</c:v>
                </c:pt>
                <c:pt idx="665">
                  <c:v>226576.63581368228</c:v>
                </c:pt>
                <c:pt idx="666">
                  <c:v>215492.63581368228</c:v>
                </c:pt>
                <c:pt idx="667">
                  <c:v>220162.89581368229</c:v>
                </c:pt>
                <c:pt idx="668">
                  <c:v>234182.82581368228</c:v>
                </c:pt>
                <c:pt idx="669">
                  <c:v>232391.42581368229</c:v>
                </c:pt>
                <c:pt idx="670">
                  <c:v>196277.91581368231</c:v>
                </c:pt>
                <c:pt idx="671">
                  <c:v>197310.97581368231</c:v>
                </c:pt>
                <c:pt idx="672">
                  <c:v>188309.97581368231</c:v>
                </c:pt>
                <c:pt idx="673">
                  <c:v>183143.97581368231</c:v>
                </c:pt>
                <c:pt idx="674">
                  <c:v>178017.97581368231</c:v>
                </c:pt>
                <c:pt idx="675">
                  <c:v>171667.97581368231</c:v>
                </c:pt>
                <c:pt idx="676">
                  <c:v>197056.48581368232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  <c:pt idx="677">
                  <c:v>45510</c:v>
                </c:pt>
                <c:pt idx="678">
                  <c:v>45511</c:v>
                </c:pt>
                <c:pt idx="679">
                  <c:v>45511</c:v>
                </c:pt>
                <c:pt idx="680">
                  <c:v>45512</c:v>
                </c:pt>
                <c:pt idx="681">
                  <c:v>45512</c:v>
                </c:pt>
                <c:pt idx="682">
                  <c:v>45513</c:v>
                </c:pt>
                <c:pt idx="683">
                  <c:v>45513</c:v>
                </c:pt>
                <c:pt idx="684">
                  <c:v>45518</c:v>
                </c:pt>
                <c:pt idx="685">
                  <c:v>45518</c:v>
                </c:pt>
                <c:pt idx="686">
                  <c:v>45518</c:v>
                </c:pt>
                <c:pt idx="687">
                  <c:v>45519</c:v>
                </c:pt>
                <c:pt idx="688">
                  <c:v>45520</c:v>
                </c:pt>
                <c:pt idx="689">
                  <c:v>45523</c:v>
                </c:pt>
                <c:pt idx="690">
                  <c:v>45524</c:v>
                </c:pt>
                <c:pt idx="691">
                  <c:v>45524</c:v>
                </c:pt>
                <c:pt idx="692">
                  <c:v>45524</c:v>
                </c:pt>
                <c:pt idx="693">
                  <c:v>45524</c:v>
                </c:pt>
                <c:pt idx="694">
                  <c:v>45524</c:v>
                </c:pt>
                <c:pt idx="695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45526</c:v>
                </c:pt>
                <c:pt idx="699">
                  <c:v>45527</c:v>
                </c:pt>
                <c:pt idx="700">
                  <c:v>45531</c:v>
                </c:pt>
                <c:pt idx="701">
                  <c:v>45531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250943.47845814013</c:v>
                </c:pt>
                <c:pt idx="630">
                  <c:v>264404.98845814011</c:v>
                </c:pt>
                <c:pt idx="631">
                  <c:v>266019.98845814011</c:v>
                </c:pt>
                <c:pt idx="632">
                  <c:v>266475.98845814011</c:v>
                </c:pt>
                <c:pt idx="633">
                  <c:v>261976.46326376655</c:v>
                </c:pt>
                <c:pt idx="634">
                  <c:v>257179.89160139405</c:v>
                </c:pt>
                <c:pt idx="635">
                  <c:v>257524.52160139405</c:v>
                </c:pt>
                <c:pt idx="636">
                  <c:v>255217.05160139405</c:v>
                </c:pt>
                <c:pt idx="637">
                  <c:v>260215.96160139405</c:v>
                </c:pt>
                <c:pt idx="638">
                  <c:v>262702.38160139404</c:v>
                </c:pt>
                <c:pt idx="639">
                  <c:v>252810.88160139404</c:v>
                </c:pt>
                <c:pt idx="640">
                  <c:v>247597.13160139404</c:v>
                </c:pt>
                <c:pt idx="641">
                  <c:v>228219.85160139404</c:v>
                </c:pt>
                <c:pt idx="642">
                  <c:v>223195.57160139404</c:v>
                </c:pt>
                <c:pt idx="643">
                  <c:v>221185.57160139404</c:v>
                </c:pt>
                <c:pt idx="644">
                  <c:v>220646.61160139405</c:v>
                </c:pt>
                <c:pt idx="645">
                  <c:v>220653.93160139406</c:v>
                </c:pt>
                <c:pt idx="646">
                  <c:v>218092.15160139406</c:v>
                </c:pt>
                <c:pt idx="647">
                  <c:v>221320.18160139406</c:v>
                </c:pt>
                <c:pt idx="648">
                  <c:v>238161.60160139407</c:v>
                </c:pt>
                <c:pt idx="649">
                  <c:v>240984.08160139408</c:v>
                </c:pt>
                <c:pt idx="650">
                  <c:v>234709.34160139409</c:v>
                </c:pt>
                <c:pt idx="651">
                  <c:v>248772.2616013941</c:v>
                </c:pt>
                <c:pt idx="652">
                  <c:v>257999.8516013941</c:v>
                </c:pt>
                <c:pt idx="653">
                  <c:v>253039.1316013941</c:v>
                </c:pt>
                <c:pt idx="654">
                  <c:v>248051.7016013941</c:v>
                </c:pt>
                <c:pt idx="655">
                  <c:v>241515.9516013941</c:v>
                </c:pt>
                <c:pt idx="656">
                  <c:v>249527.71160139411</c:v>
                </c:pt>
                <c:pt idx="657">
                  <c:v>251668.39160139411</c:v>
                </c:pt>
                <c:pt idx="658">
                  <c:v>253697.69160139409</c:v>
                </c:pt>
                <c:pt idx="659">
                  <c:v>263156.25160139409</c:v>
                </c:pt>
                <c:pt idx="660">
                  <c:v>253352.8516013941</c:v>
                </c:pt>
                <c:pt idx="661">
                  <c:v>236972.22581368222</c:v>
                </c:pt>
                <c:pt idx="681">
                  <c:v>4010.6100000000006</c:v>
                </c:pt>
                <c:pt idx="682">
                  <c:v>-1464.3899999999994</c:v>
                </c:pt>
                <c:pt idx="683">
                  <c:v>-4972.3899999999994</c:v>
                </c:pt>
                <c:pt idx="685">
                  <c:v>-1324.3999999999996</c:v>
                </c:pt>
                <c:pt idx="686">
                  <c:v>-1105.0699999999997</c:v>
                </c:pt>
                <c:pt idx="687">
                  <c:v>-7183.0499999999956</c:v>
                </c:pt>
                <c:pt idx="689">
                  <c:v>-2864.05</c:v>
                </c:pt>
                <c:pt idx="690">
                  <c:v>-4488.3100000000004</c:v>
                </c:pt>
                <c:pt idx="691">
                  <c:v>-6924.2300000000005</c:v>
                </c:pt>
                <c:pt idx="692">
                  <c:v>-9014.34</c:v>
                </c:pt>
                <c:pt idx="693">
                  <c:v>-5330.6200000000008</c:v>
                </c:pt>
                <c:pt idx="694">
                  <c:v>-6661.4600000000009</c:v>
                </c:pt>
                <c:pt idx="695">
                  <c:v>-16435.099999999897</c:v>
                </c:pt>
                <c:pt idx="696">
                  <c:v>-31467.599999999897</c:v>
                </c:pt>
                <c:pt idx="697">
                  <c:v>-33047.789999999899</c:v>
                </c:pt>
                <c:pt idx="699">
                  <c:v>3837.0599999999995</c:v>
                </c:pt>
                <c:pt idx="700">
                  <c:v>-1466.5200000000004</c:v>
                </c:pt>
                <c:pt idx="701">
                  <c:v>13467.280000000002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825" totalsRowShown="0" dataDxfId="14" dataCellStyle="Currency">
  <autoFilter ref="A1:T825" xr:uid="{0321047A-259E-4994-BC3F-CB9C1AF5C84F}"/>
  <sortState xmlns:xlrd2="http://schemas.microsoft.com/office/spreadsheetml/2017/richdata2" ref="A2:T807">
    <sortCondition ref="F1:F807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845" totalsRowShown="0" dataDxfId="29" dataCellStyle="Currency">
  <autoFilter ref="B1:U845" xr:uid="{0321047A-259E-4994-BC3F-CB9C1AF5C84F}"/>
  <sortState xmlns:xlrd2="http://schemas.microsoft.com/office/spreadsheetml/2017/richdata2" ref="B2:U815">
    <sortCondition ref="G1:G815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825"/>
  <sheetViews>
    <sheetView tabSelected="1" workbookViewId="0">
      <pane ySplit="1" topLeftCell="A790" activePane="bottomLeft" state="frozen"/>
      <selection pane="bottomLeft" activeCell="F824" sqref="F824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12.710937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 t="shared" ref="P3:P66" si="0"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 t="shared" si="0"/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 t="shared" si="0"/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 t="shared" si="0"/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 t="shared" si="0"/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 t="shared" si="0"/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 t="shared" si="0"/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 t="shared" si="0"/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 t="shared" si="0"/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 t="shared" si="0"/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 t="shared" si="0"/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 t="shared" si="0"/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 t="shared" si="0"/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 t="shared" si="0"/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 t="shared" si="0"/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 t="shared" si="0"/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 t="shared" si="0"/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 t="shared" si="0"/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 t="shared" si="0"/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 t="shared" si="0"/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 t="shared" si="0"/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 t="shared" si="0"/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 t="shared" si="0"/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 t="shared" si="0"/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 t="shared" si="0"/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 t="shared" si="0"/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 t="shared" si="0"/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 t="shared" si="0"/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 t="shared" si="0"/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 t="shared" si="0"/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 t="shared" si="0"/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 t="shared" si="0"/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 t="shared" si="0"/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 t="shared" si="0"/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 t="shared" si="0"/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 t="shared" si="0"/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 t="shared" si="0"/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 t="shared" si="0"/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 t="shared" si="0"/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 t="shared" si="0"/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 t="shared" si="0"/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 t="shared" si="0"/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 t="shared" si="0"/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 t="shared" si="0"/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 t="shared" si="0"/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 t="shared" si="0"/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 t="shared" si="0"/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 t="shared" si="0"/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 t="shared" si="0"/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 t="shared" si="0"/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 t="shared" si="0"/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 t="shared" si="0"/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 t="shared" si="0"/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 t="shared" si="0"/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 t="shared" si="0"/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 t="shared" si="0"/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 t="shared" si="0"/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 t="shared" si="0"/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 t="shared" si="0"/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 t="shared" si="0"/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 t="shared" si="0"/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 t="shared" si="0"/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 t="shared" si="0"/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 t="shared" si="0"/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 t="shared" ref="P67:P130" si="1"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 t="shared" si="1"/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 t="shared" si="1"/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 t="shared" si="1"/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 t="shared" si="1"/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 t="shared" si="1"/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 t="shared" si="1"/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 t="shared" si="1"/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 t="shared" si="1"/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 t="shared" si="1"/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 t="shared" si="1"/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 t="shared" si="1"/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 t="shared" si="1"/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 t="shared" si="1"/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 t="shared" si="1"/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 t="shared" si="1"/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 t="shared" si="1"/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 t="shared" si="1"/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 t="shared" si="1"/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 t="shared" si="1"/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 t="shared" si="1"/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 t="shared" si="1"/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 t="shared" si="1"/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 t="shared" si="1"/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 t="shared" si="1"/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 t="shared" si="1"/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 t="shared" si="1"/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 t="shared" si="1"/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 t="shared" si="1"/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 t="shared" si="1"/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 t="shared" si="1"/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 t="shared" si="1"/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 t="shared" si="1"/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 t="shared" si="1"/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 t="shared" si="1"/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 t="shared" si="1"/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 t="shared" si="1"/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 t="shared" si="1"/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 t="shared" si="1"/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 t="shared" si="1"/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 t="shared" si="1"/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 t="shared" si="1"/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 t="shared" si="1"/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 t="shared" si="1"/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 t="shared" si="1"/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 t="shared" si="1"/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 t="shared" si="1"/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 t="shared" si="1"/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 t="shared" si="1"/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 t="shared" si="1"/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 t="shared" si="1"/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 t="shared" si="1"/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 t="shared" si="1"/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 t="shared" si="1"/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 t="shared" si="1"/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 t="shared" si="1"/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 t="shared" si="1"/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 t="shared" si="1"/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 t="shared" si="1"/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 t="shared" si="1"/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 t="shared" si="1"/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 t="shared" si="1"/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 t="shared" si="1"/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 t="shared" si="1"/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 t="shared" ref="P131:P194" si="2"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 t="shared" si="2"/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 t="shared" si="2"/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 t="shared" si="2"/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 t="shared" si="2"/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 t="shared" si="2"/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 t="shared" si="2"/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 t="shared" si="2"/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 t="shared" si="2"/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 t="shared" si="2"/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 t="shared" si="2"/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 t="shared" si="2"/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 t="shared" si="2"/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 t="shared" si="2"/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 t="shared" si="2"/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 t="shared" si="2"/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 t="shared" si="2"/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 t="shared" si="2"/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 t="shared" si="2"/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 t="shared" si="2"/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 t="shared" si="2"/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 t="shared" si="2"/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 t="shared" si="2"/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 t="shared" si="2"/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 t="shared" si="2"/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 t="shared" si="2"/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 t="shared" si="2"/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 t="shared" si="2"/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 t="shared" si="2"/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 t="shared" si="2"/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 t="shared" si="2"/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 t="shared" si="2"/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 t="shared" si="2"/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 t="shared" si="2"/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 t="shared" si="2"/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 t="shared" si="2"/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 t="shared" si="2"/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 t="shared" si="2"/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 t="shared" si="2"/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 t="shared" si="2"/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 t="shared" si="2"/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 t="shared" si="2"/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 t="shared" si="2"/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 t="shared" si="2"/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 t="shared" si="2"/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 t="shared" si="2"/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 t="shared" si="2"/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 t="shared" si="2"/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 t="shared" si="2"/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 t="shared" si="2"/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 t="shared" si="2"/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 t="shared" si="2"/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 t="shared" si="2"/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 t="shared" si="2"/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 t="shared" si="2"/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 t="shared" si="2"/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 t="shared" si="2"/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 t="shared" si="2"/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 t="shared" si="2"/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 t="shared" si="2"/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 t="shared" si="2"/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 t="shared" si="2"/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 t="shared" si="2"/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 t="shared" si="2"/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 t="shared" ref="P195:P258" si="3"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 t="shared" si="3"/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 t="shared" si="3"/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 t="shared" si="3"/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 t="shared" si="3"/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 t="shared" si="3"/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 t="shared" si="3"/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 t="shared" si="3"/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 t="shared" si="3"/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 t="shared" si="3"/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 t="shared" si="3"/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 t="shared" si="3"/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 t="shared" si="3"/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 t="shared" si="3"/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 t="shared" si="3"/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 t="shared" si="3"/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 t="shared" si="3"/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 t="shared" si="3"/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 t="shared" si="3"/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 t="shared" si="3"/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 t="shared" si="3"/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 t="shared" si="3"/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 t="shared" si="3"/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 t="shared" si="3"/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 t="shared" si="3"/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 t="shared" si="3"/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 t="shared" si="3"/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 t="shared" si="3"/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 t="shared" si="3"/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 t="shared" si="3"/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 t="shared" si="3"/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 t="shared" si="3"/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 t="shared" si="3"/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 t="shared" si="3"/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 t="shared" si="3"/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 t="shared" si="3"/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 t="shared" si="3"/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 t="shared" si="3"/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 t="shared" si="3"/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 t="shared" si="3"/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 t="shared" si="3"/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 t="shared" si="3"/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 t="shared" si="3"/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 t="shared" si="3"/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 t="shared" si="3"/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 t="shared" si="3"/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 t="shared" si="3"/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 t="shared" si="3"/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 t="shared" si="3"/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 t="shared" si="3"/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 t="shared" si="3"/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 t="shared" si="3"/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 t="shared" si="3"/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 t="shared" si="3"/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 t="shared" si="3"/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 t="shared" si="3"/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 t="shared" si="3"/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 t="shared" si="3"/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 t="shared" si="3"/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 t="shared" si="3"/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 t="shared" si="3"/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 t="shared" si="3"/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 t="shared" si="3"/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 t="shared" si="3"/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 t="shared" ref="P259:P322" si="4"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 t="shared" si="4"/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 t="shared" si="4"/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 t="shared" si="4"/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 t="shared" si="4"/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 t="shared" si="4"/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 t="shared" si="4"/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 t="shared" si="4"/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 t="shared" si="4"/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 t="shared" si="4"/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 t="shared" si="4"/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 t="shared" si="4"/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 t="shared" si="4"/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 t="shared" si="4"/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 t="shared" si="4"/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 t="shared" si="4"/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 t="shared" si="4"/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 t="shared" si="4"/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 t="shared" si="4"/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 t="shared" si="4"/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 t="shared" si="4"/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 t="shared" si="4"/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 t="shared" si="4"/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 t="shared" si="4"/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 t="shared" si="4"/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 t="shared" si="4"/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 t="shared" si="4"/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 t="shared" si="4"/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 t="shared" si="4"/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 t="shared" si="4"/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 t="shared" si="4"/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 t="shared" si="4"/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 t="shared" si="4"/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 t="shared" si="4"/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 t="shared" si="4"/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 t="shared" si="4"/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 t="shared" si="4"/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 t="shared" si="4"/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 t="shared" si="4"/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 t="shared" si="4"/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 t="shared" si="4"/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 t="shared" si="4"/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 t="shared" si="4"/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 t="shared" si="4"/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 t="shared" si="4"/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 t="shared" si="4"/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 t="shared" si="4"/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 t="shared" si="4"/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 t="shared" si="4"/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 t="shared" si="4"/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 t="shared" si="4"/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 t="shared" si="4"/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 t="shared" si="4"/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 t="shared" si="4"/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 t="shared" si="4"/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 t="shared" si="4"/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 t="shared" si="4"/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 t="shared" si="4"/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 t="shared" si="4"/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 t="shared" si="4"/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 t="shared" si="4"/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 t="shared" si="4"/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 t="shared" si="4"/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 t="shared" si="4"/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 t="shared" ref="P323:P386" si="5"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 t="shared" si="5"/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 t="shared" si="5"/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 t="shared" si="5"/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 t="shared" si="5"/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 t="shared" si="5"/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 t="shared" si="5"/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 t="shared" si="5"/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 t="shared" si="5"/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 t="shared" si="5"/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 t="shared" si="5"/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 t="shared" si="5"/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 t="shared" si="5"/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 t="shared" si="5"/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 t="shared" si="5"/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 t="shared" si="5"/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 t="shared" si="5"/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 t="shared" si="5"/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 t="shared" si="5"/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 t="shared" si="5"/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 t="shared" si="5"/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 t="shared" si="5"/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 t="shared" si="5"/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 t="shared" si="5"/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 t="shared" si="5"/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 t="shared" si="5"/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 t="shared" si="5"/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 t="shared" si="5"/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 t="shared" si="5"/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 t="shared" si="5"/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 t="shared" si="5"/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 t="shared" si="5"/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 t="shared" si="5"/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 t="shared" si="5"/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 t="shared" si="5"/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 t="shared" si="5"/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 t="shared" si="5"/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 t="shared" si="5"/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 t="shared" si="5"/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 t="shared" si="5"/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 t="shared" si="5"/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 t="shared" si="5"/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 t="shared" si="5"/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 t="shared" si="5"/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 t="shared" si="5"/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 t="shared" si="5"/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 t="shared" si="5"/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 t="shared" si="5"/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 t="shared" si="5"/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 t="shared" si="5"/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 t="shared" si="5"/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 t="shared" si="5"/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 t="shared" si="5"/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 t="shared" si="5"/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 t="shared" si="5"/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 t="shared" si="5"/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 t="shared" si="5"/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 t="shared" si="5"/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 t="shared" si="5"/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 t="shared" si="5"/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 t="shared" si="5"/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 t="shared" si="5"/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 t="shared" si="5"/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 t="shared" si="5"/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 t="shared" ref="P387:P450" si="6"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 t="shared" si="6"/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 t="shared" si="6"/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 t="shared" si="6"/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 t="shared" si="6"/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 t="shared" si="6"/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 t="shared" si="6"/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 t="shared" si="6"/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 t="shared" si="6"/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 t="shared" si="6"/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 t="shared" si="6"/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 t="shared" si="6"/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 t="shared" si="6"/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 t="shared" si="6"/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 t="shared" si="6"/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 t="shared" si="6"/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 t="shared" si="6"/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 t="shared" si="6"/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 t="shared" si="6"/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 t="shared" si="6"/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 t="shared" si="6"/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 t="shared" si="6"/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 t="shared" si="6"/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 t="shared" si="6"/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 t="shared" si="6"/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 t="shared" si="6"/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 t="shared" si="6"/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 t="shared" si="6"/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 t="shared" si="6"/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 t="shared" si="6"/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 t="shared" si="6"/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 t="shared" si="6"/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 t="shared" si="6"/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 t="shared" si="6"/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 t="shared" si="6"/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 t="shared" si="6"/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 t="shared" si="6"/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 t="shared" si="6"/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 t="shared" si="6"/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 t="shared" si="6"/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 t="shared" si="6"/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 t="shared" si="6"/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 t="shared" si="6"/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 t="shared" si="6"/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 t="shared" si="6"/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 t="shared" si="6"/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 t="shared" si="6"/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 t="shared" si="6"/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 t="shared" si="6"/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 t="shared" si="6"/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 t="shared" si="6"/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 t="shared" si="6"/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 t="shared" si="6"/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 t="shared" si="6"/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 t="shared" si="6"/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 t="shared" si="6"/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 t="shared" si="6"/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 t="shared" si="6"/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 t="shared" si="6"/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 t="shared" si="6"/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 t="shared" si="6"/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 t="shared" si="6"/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 t="shared" si="6"/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 t="shared" si="6"/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 t="shared" ref="P451:P514" si="7"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 t="shared" si="7"/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 t="shared" si="7"/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 t="shared" si="7"/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 t="shared" si="7"/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 t="shared" si="7"/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 t="shared" si="7"/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 t="shared" si="7"/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 t="shared" si="7"/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 t="shared" si="7"/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 t="shared" si="7"/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 t="shared" si="7"/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 t="shared" si="7"/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 t="shared" si="7"/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 t="shared" si="7"/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 t="shared" si="7"/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 t="shared" si="7"/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 t="shared" si="7"/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 t="shared" si="7"/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 t="shared" si="7"/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 t="shared" si="7"/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 t="shared" si="7"/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 t="shared" si="7"/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 t="shared" si="7"/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 t="shared" si="7"/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 t="shared" si="7"/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 t="shared" si="7"/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 t="shared" si="7"/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 t="shared" si="7"/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 t="shared" si="7"/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 t="shared" si="7"/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 t="shared" si="7"/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 t="shared" si="7"/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 t="shared" si="7"/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 t="shared" si="7"/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 t="shared" si="7"/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 t="shared" si="7"/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 t="shared" si="7"/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 t="shared" si="7"/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 t="shared" si="7"/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 t="shared" si="7"/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 t="shared" si="7"/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 t="shared" si="7"/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 t="shared" si="7"/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 t="shared" si="7"/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 t="shared" si="7"/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 t="shared" si="7"/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 t="shared" si="7"/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 t="shared" si="7"/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 t="shared" si="7"/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 t="shared" si="7"/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 t="shared" si="7"/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 t="shared" si="7"/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 t="shared" si="7"/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 t="shared" si="7"/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 t="shared" si="7"/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 t="shared" si="7"/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 t="shared" si="7"/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 t="shared" si="7"/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 t="shared" si="7"/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 t="shared" si="7"/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 t="shared" si="7"/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 t="shared" si="7"/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 t="shared" si="7"/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 t="shared" ref="P515:P578" si="8"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 t="shared" si="8"/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 t="shared" si="8"/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 t="shared" si="8"/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 t="shared" si="8"/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 t="shared" si="8"/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 t="shared" si="8"/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 t="shared" si="8"/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 t="shared" si="8"/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 t="shared" si="8"/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 t="shared" si="8"/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 t="shared" si="8"/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 t="shared" si="8"/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 t="shared" si="8"/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 t="shared" si="8"/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 t="shared" si="8"/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 t="shared" si="8"/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 t="shared" si="8"/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 t="shared" si="8"/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 t="shared" si="8"/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 t="shared" si="8"/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 t="shared" si="8"/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 t="shared" si="8"/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 t="shared" si="8"/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 t="shared" si="8"/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 t="shared" si="8"/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 t="shared" si="8"/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 t="shared" si="8"/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 t="shared" si="8"/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 t="shared" si="8"/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 t="shared" si="8"/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 t="shared" si="8"/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 t="shared" si="8"/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 t="shared" si="8"/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11">
        <v>45271</v>
      </c>
      <c r="F549" s="7">
        <v>45399</v>
      </c>
      <c r="G549" t="s">
        <v>331</v>
      </c>
      <c r="H549">
        <v>870</v>
      </c>
      <c r="I549" s="5">
        <v>274833</v>
      </c>
      <c r="J549" s="13">
        <v>1</v>
      </c>
      <c r="K549" s="5">
        <v>325094</v>
      </c>
      <c r="L549" s="5">
        <v>315.89999999999998</v>
      </c>
      <c r="M549" s="5">
        <v>373.67126436781609</v>
      </c>
      <c r="N549" s="5">
        <v>50261</v>
      </c>
      <c r="O549" s="3">
        <v>0.18287832974933868</v>
      </c>
      <c r="P549" s="14">
        <f t="shared" si="8"/>
        <v>347986.45845814014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203</v>
      </c>
    </row>
    <row r="550" spans="1:20" x14ac:dyDescent="0.25">
      <c r="A550" t="s">
        <v>201</v>
      </c>
      <c r="B550" t="s">
        <v>303</v>
      </c>
      <c r="C550" t="s">
        <v>16</v>
      </c>
      <c r="D550" t="s">
        <v>7</v>
      </c>
      <c r="E550" s="5"/>
      <c r="F550" s="7">
        <v>45400</v>
      </c>
      <c r="G550" t="s">
        <v>11</v>
      </c>
      <c r="H550">
        <v>150</v>
      </c>
      <c r="I550" s="5">
        <v>128626.5</v>
      </c>
      <c r="K550" s="5">
        <v>122797.47</v>
      </c>
      <c r="L550" s="5">
        <v>857.51</v>
      </c>
      <c r="M550" s="5">
        <v>818.64980000000003</v>
      </c>
      <c r="N550" s="5">
        <v>-5829.0299999999988</v>
      </c>
      <c r="O550" s="3">
        <v>-4.5317489008874522E-2</v>
      </c>
      <c r="P550" s="9">
        <f t="shared" si="8"/>
        <v>342157.42845814012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306</v>
      </c>
      <c r="C551" t="s">
        <v>12</v>
      </c>
      <c r="D551" t="s">
        <v>7</v>
      </c>
      <c r="E551" s="5"/>
      <c r="F551" s="7">
        <v>45400</v>
      </c>
      <c r="G551" t="s">
        <v>85</v>
      </c>
      <c r="H551">
        <v>10</v>
      </c>
      <c r="I551" s="5">
        <v>64052</v>
      </c>
      <c r="K551" s="5">
        <v>59905.3</v>
      </c>
      <c r="L551" s="5">
        <v>64052</v>
      </c>
      <c r="M551" s="5">
        <v>5.9905300000000006</v>
      </c>
      <c r="N551" s="5">
        <v>-4146.6999999999971</v>
      </c>
      <c r="O551" s="3">
        <v>-6.4739586585898914E-2</v>
      </c>
      <c r="P551" s="9">
        <f t="shared" si="8"/>
        <v>338010.7284581401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303</v>
      </c>
      <c r="C552" t="s">
        <v>12</v>
      </c>
      <c r="D552" t="s">
        <v>7</v>
      </c>
      <c r="E552" s="5"/>
      <c r="F552" s="7">
        <v>45401</v>
      </c>
      <c r="G552" t="s">
        <v>44</v>
      </c>
      <c r="H552">
        <v>2</v>
      </c>
      <c r="I552" s="5">
        <v>394006.04</v>
      </c>
      <c r="K552" s="5">
        <v>376525</v>
      </c>
      <c r="L552" s="5">
        <v>39400.603999999999</v>
      </c>
      <c r="M552" s="5">
        <v>3765.25</v>
      </c>
      <c r="N552" s="5">
        <v>-17481.039999999979</v>
      </c>
      <c r="O552" s="3">
        <v>-4.4367441676782367E-2</v>
      </c>
      <c r="P552" s="9">
        <f t="shared" si="8"/>
        <v>320529.68845814012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12</v>
      </c>
      <c r="D553" t="s">
        <v>7</v>
      </c>
      <c r="E553" s="5"/>
      <c r="F553" s="7">
        <v>45404</v>
      </c>
      <c r="G553" t="s">
        <v>89</v>
      </c>
      <c r="H553">
        <v>4</v>
      </c>
      <c r="I553" s="5">
        <v>415923.8</v>
      </c>
      <c r="K553" s="5">
        <v>415890.8</v>
      </c>
      <c r="L553" s="5">
        <v>2079.6190000000001</v>
      </c>
      <c r="M553" s="5">
        <v>2079.4539999999997</v>
      </c>
      <c r="N553" s="5">
        <v>-33</v>
      </c>
      <c r="O553" s="3">
        <v>-7.9341456295600301E-5</v>
      </c>
      <c r="P553" s="9">
        <f t="shared" si="8"/>
        <v>320496.68845814012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302</v>
      </c>
      <c r="C554" t="s">
        <v>16</v>
      </c>
      <c r="D554" t="s">
        <v>7</v>
      </c>
      <c r="E554" s="5"/>
      <c r="F554" s="7">
        <v>45405</v>
      </c>
      <c r="G554" t="s">
        <v>182</v>
      </c>
      <c r="H554">
        <v>10000</v>
      </c>
      <c r="I554" s="5">
        <v>206728.24</v>
      </c>
      <c r="K554" s="5">
        <v>218874.94</v>
      </c>
      <c r="L554" s="5">
        <v>20.672823999999999</v>
      </c>
      <c r="M554" s="5">
        <v>21.887494</v>
      </c>
      <c r="N554" s="5">
        <v>12146.700000000012</v>
      </c>
      <c r="O554" s="3">
        <v>5.8756849088445834E-2</v>
      </c>
      <c r="P554" s="9">
        <f t="shared" si="8"/>
        <v>332643.38845814014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263</v>
      </c>
      <c r="H555">
        <v>5000</v>
      </c>
      <c r="I555" s="5">
        <v>64872.5</v>
      </c>
      <c r="K555" s="5">
        <v>61623.68</v>
      </c>
      <c r="L555" s="5">
        <v>12.974500000000001</v>
      </c>
      <c r="M555" s="5">
        <v>12.324736</v>
      </c>
      <c r="N555" s="5">
        <v>-3248.8199999999997</v>
      </c>
      <c r="O555" s="3">
        <v>-5.0080080157231491E-2</v>
      </c>
      <c r="P555" s="9">
        <f t="shared" si="8"/>
        <v>329394.56845814013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45407</v>
      </c>
      <c r="G556" t="s">
        <v>259</v>
      </c>
      <c r="H556">
        <v>3200</v>
      </c>
      <c r="I556" s="5">
        <v>79821.53</v>
      </c>
      <c r="K556" s="5">
        <v>91182.74</v>
      </c>
      <c r="L556" s="5">
        <v>24.944228124999999</v>
      </c>
      <c r="M556" s="5">
        <v>28.49460625</v>
      </c>
      <c r="N556" s="5">
        <v>11361.210000000006</v>
      </c>
      <c r="O556" s="3">
        <v>0.14233265135358852</v>
      </c>
      <c r="P556" s="9">
        <f t="shared" si="8"/>
        <v>340755.77845814015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260</v>
      </c>
      <c r="H557">
        <v>1400</v>
      </c>
      <c r="I557" s="5">
        <v>115675</v>
      </c>
      <c r="K557" s="5">
        <v>111118.24</v>
      </c>
      <c r="L557" s="5">
        <v>82.625</v>
      </c>
      <c r="M557" s="5">
        <v>79.370171428571439</v>
      </c>
      <c r="N557" s="5">
        <v>-4726</v>
      </c>
      <c r="O557" s="3">
        <v>-4.0855846120596499E-2</v>
      </c>
      <c r="P557" s="9">
        <f t="shared" si="8"/>
        <v>336029.77845814015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303</v>
      </c>
      <c r="C558" t="s">
        <v>16</v>
      </c>
      <c r="D558" t="s">
        <v>7</v>
      </c>
      <c r="E558" s="5"/>
      <c r="F558" s="7">
        <v>45408</v>
      </c>
      <c r="G558" t="s">
        <v>256</v>
      </c>
      <c r="H558">
        <v>1000</v>
      </c>
      <c r="I558" s="5">
        <v>110109.87</v>
      </c>
      <c r="K558" s="5">
        <v>109954.87</v>
      </c>
      <c r="L558" s="5">
        <v>110.10987</v>
      </c>
      <c r="M558" s="5">
        <v>109.95487</v>
      </c>
      <c r="N558" s="5">
        <v>-155</v>
      </c>
      <c r="O558" s="3">
        <v>-4.2920766321856527E-2</v>
      </c>
      <c r="P558" s="9">
        <f t="shared" si="8"/>
        <v>335874.77845814015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201</v>
      </c>
      <c r="B559" t="s">
        <v>306</v>
      </c>
      <c r="C559" t="s">
        <v>12</v>
      </c>
      <c r="D559" t="s">
        <v>7</v>
      </c>
      <c r="E559" s="5"/>
      <c r="F559" s="7">
        <v>45408</v>
      </c>
      <c r="G559" t="s">
        <v>86</v>
      </c>
      <c r="H559">
        <v>60</v>
      </c>
      <c r="I559" s="5">
        <v>281760</v>
      </c>
      <c r="K559" s="5">
        <v>273265.8</v>
      </c>
      <c r="L559" s="5">
        <v>4.6959999999999997</v>
      </c>
      <c r="M559" s="5">
        <v>4.55443</v>
      </c>
      <c r="N559" s="5">
        <v>-8494.2000000000116</v>
      </c>
      <c r="O559" s="3">
        <v>-3.0146933560477044E-2</v>
      </c>
      <c r="P559" s="9">
        <f t="shared" si="8"/>
        <v>327380.57845814014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197</v>
      </c>
      <c r="B560" t="s">
        <v>302</v>
      </c>
      <c r="C560" t="s">
        <v>102</v>
      </c>
      <c r="D560" t="s">
        <v>7</v>
      </c>
      <c r="E560" s="7">
        <v>45404</v>
      </c>
      <c r="F560" s="7">
        <v>45411</v>
      </c>
      <c r="G560" t="s">
        <v>15</v>
      </c>
      <c r="H560">
        <v>30</v>
      </c>
      <c r="I560" s="5">
        <v>6410.98</v>
      </c>
      <c r="J560" s="13">
        <v>100</v>
      </c>
      <c r="K560" s="5">
        <v>15997.11</v>
      </c>
      <c r="L560" s="5">
        <v>2.1369933333333333</v>
      </c>
      <c r="M560" s="5">
        <v>5.3323700000000001</v>
      </c>
      <c r="N560" s="5">
        <v>9586.130000000001</v>
      </c>
      <c r="O560" s="3">
        <v>1.4952674942052542</v>
      </c>
      <c r="P560" s="9">
        <f t="shared" si="8"/>
        <v>336966.70845814014</v>
      </c>
      <c r="Q560" s="5" t="str">
        <f>TEXT(Table13[[#This Row],[Closing Date]],"yyyy")</f>
        <v>2024</v>
      </c>
      <c r="R560" s="5" t="str">
        <f>TEXT(Table13[[#This Row],[Closing Date]],"mmmm")</f>
        <v>April</v>
      </c>
      <c r="S560" s="5" t="s">
        <v>240</v>
      </c>
      <c r="T560" s="5" t="s">
        <v>301</v>
      </c>
    </row>
    <row r="561" spans="1:20" x14ac:dyDescent="0.25">
      <c r="A561" t="s">
        <v>201</v>
      </c>
      <c r="B561" t="s">
        <v>303</v>
      </c>
      <c r="C561" t="s">
        <v>16</v>
      </c>
      <c r="D561" t="s">
        <v>7</v>
      </c>
      <c r="E561" s="5"/>
      <c r="F561" s="7">
        <v>45413</v>
      </c>
      <c r="G561" t="s">
        <v>160</v>
      </c>
      <c r="H561">
        <v>2300</v>
      </c>
      <c r="I561" s="5">
        <v>171361.5</v>
      </c>
      <c r="K561" s="5">
        <v>171206.5</v>
      </c>
      <c r="L561" s="5">
        <v>74.504999999999995</v>
      </c>
      <c r="M561" s="5">
        <v>74.437608695652173</v>
      </c>
      <c r="N561" s="5">
        <v>-5306.1000000000058</v>
      </c>
      <c r="O561" s="3">
        <v>-2.7579123665467449E-2</v>
      </c>
      <c r="P561" s="9">
        <f t="shared" si="8"/>
        <v>331660.60845814017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197</v>
      </c>
      <c r="B562" t="s">
        <v>303</v>
      </c>
      <c r="C562" t="s">
        <v>102</v>
      </c>
      <c r="D562" t="s">
        <v>7</v>
      </c>
      <c r="E562" s="11">
        <v>45410</v>
      </c>
      <c r="F562" s="7">
        <v>45413</v>
      </c>
      <c r="G562" t="s">
        <v>155</v>
      </c>
      <c r="H562">
        <v>9</v>
      </c>
      <c r="I562" s="5">
        <v>4756.5</v>
      </c>
      <c r="J562" s="13">
        <v>100</v>
      </c>
      <c r="K562" s="5">
        <v>6867.5</v>
      </c>
      <c r="L562" s="5">
        <v>5.2850000000000001</v>
      </c>
      <c r="M562" s="5">
        <v>7.6305555555555555</v>
      </c>
      <c r="N562" s="5">
        <v>2111</v>
      </c>
      <c r="O562" s="3">
        <v>0.44381372858194046</v>
      </c>
      <c r="P562" s="9">
        <f t="shared" si="8"/>
        <v>333771.60845814017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201</v>
      </c>
      <c r="B563" t="s">
        <v>303</v>
      </c>
      <c r="C563" t="s">
        <v>12</v>
      </c>
      <c r="D563" t="s">
        <v>7</v>
      </c>
      <c r="E563" s="5"/>
      <c r="F563" s="7">
        <v>45414</v>
      </c>
      <c r="G563" t="s">
        <v>269</v>
      </c>
      <c r="H563">
        <v>10</v>
      </c>
      <c r="I563" s="5">
        <v>352986.2</v>
      </c>
      <c r="K563" s="5">
        <v>367993.8</v>
      </c>
      <c r="L563" s="5">
        <v>17649.310000000001</v>
      </c>
      <c r="M563" s="5">
        <v>36.799379999999999</v>
      </c>
      <c r="N563" s="5">
        <v>15007.599999999977</v>
      </c>
      <c r="O563" s="3">
        <v>4.2516109694939845E-2</v>
      </c>
      <c r="P563" s="9">
        <f t="shared" si="8"/>
        <v>348779.20845814014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197</v>
      </c>
      <c r="B564" t="s">
        <v>303</v>
      </c>
      <c r="C564" t="s">
        <v>102</v>
      </c>
      <c r="D564" t="s">
        <v>7</v>
      </c>
      <c r="E564" s="11">
        <v>45410</v>
      </c>
      <c r="F564" s="7">
        <v>45415</v>
      </c>
      <c r="G564" t="s">
        <v>139</v>
      </c>
      <c r="H564">
        <v>10</v>
      </c>
      <c r="I564" s="5">
        <v>1997.0000000000002</v>
      </c>
      <c r="J564" s="13">
        <v>100</v>
      </c>
      <c r="K564" s="5">
        <v>0</v>
      </c>
      <c r="L564" s="5">
        <v>1.9970000000000001</v>
      </c>
      <c r="M564" s="5">
        <v>0</v>
      </c>
      <c r="N564" s="5">
        <v>-1997.0000000000002</v>
      </c>
      <c r="O564" s="3">
        <v>-1</v>
      </c>
      <c r="P564" s="9">
        <f t="shared" si="8"/>
        <v>346782.20845814014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201</v>
      </c>
      <c r="B565" t="s">
        <v>303</v>
      </c>
      <c r="C565" t="s">
        <v>16</v>
      </c>
      <c r="D565" t="s">
        <v>7</v>
      </c>
      <c r="E565" s="5"/>
      <c r="F565" s="7">
        <v>45419</v>
      </c>
      <c r="G565" t="s">
        <v>138</v>
      </c>
      <c r="H565">
        <v>530</v>
      </c>
      <c r="I565" s="5">
        <v>109606.65</v>
      </c>
      <c r="K565" s="5">
        <v>104637.90000000001</v>
      </c>
      <c r="L565" s="5">
        <v>206.80499999999998</v>
      </c>
      <c r="M565" s="5">
        <v>197.43</v>
      </c>
      <c r="N565" s="5">
        <v>-4968.7499999999854</v>
      </c>
      <c r="O565" s="3">
        <v>-4.5332559657648382E-2</v>
      </c>
      <c r="P565" s="9">
        <f t="shared" si="8"/>
        <v>341813.45845814014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301</v>
      </c>
    </row>
    <row r="566" spans="1:20" x14ac:dyDescent="0.25">
      <c r="A566" t="s">
        <v>197</v>
      </c>
      <c r="B566" t="s">
        <v>305</v>
      </c>
      <c r="C566" t="s">
        <v>102</v>
      </c>
      <c r="D566" t="s">
        <v>7</v>
      </c>
      <c r="E566" s="11">
        <v>45314</v>
      </c>
      <c r="F566" s="7">
        <v>45419</v>
      </c>
      <c r="G566" t="s">
        <v>292</v>
      </c>
      <c r="H566">
        <v>10</v>
      </c>
      <c r="I566" s="5">
        <v>25006.5</v>
      </c>
      <c r="J566" s="13">
        <v>100</v>
      </c>
      <c r="K566" s="5">
        <f>15997.27+16398.57+13230.59+11498.61</f>
        <v>57125.04</v>
      </c>
      <c r="L566" s="5">
        <f>Table13[[#This Row],[Open Value]]/Table13[[#This Row],[Shares]]/Table13[[#This Row],[Multiplier]]</f>
        <v>25.006500000000003</v>
      </c>
      <c r="M566" s="5">
        <f>Table13[[#This Row],[Close Value]]/Table13[[#This Row],[Shares]]/Table13[[#This Row],[Multiplier]]</f>
        <v>57.125039999999998</v>
      </c>
      <c r="N566" s="5">
        <f>Table13[[#This Row],[Close Value]]-Table13[[#This Row],[Open Value]]</f>
        <v>32118.54</v>
      </c>
      <c r="O566" s="3">
        <f>Table13[[#This Row],[PnL]]/Table13[[#This Row],[Open Value]]</f>
        <v>1.2844076540099574</v>
      </c>
      <c r="P566" s="9">
        <f t="shared" si="8"/>
        <v>373931.99845814012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203</v>
      </c>
    </row>
    <row r="567" spans="1:20" x14ac:dyDescent="0.25">
      <c r="A567" t="s">
        <v>197</v>
      </c>
      <c r="B567" t="s">
        <v>302</v>
      </c>
      <c r="C567" t="s">
        <v>98</v>
      </c>
      <c r="D567" t="s">
        <v>7</v>
      </c>
      <c r="E567" s="11">
        <v>45412</v>
      </c>
      <c r="F567" s="7">
        <v>45422</v>
      </c>
      <c r="G567" t="s">
        <v>266</v>
      </c>
      <c r="H567">
        <v>100</v>
      </c>
      <c r="I567" s="5">
        <v>8110.0000000000009</v>
      </c>
      <c r="J567" s="13">
        <v>100</v>
      </c>
      <c r="K567" s="5">
        <v>800</v>
      </c>
      <c r="L567" s="5">
        <v>0.81100000000000005</v>
      </c>
      <c r="M567" s="5">
        <v>0.08</v>
      </c>
      <c r="N567" s="5">
        <v>-7310.0000000000009</v>
      </c>
      <c r="O567" s="3">
        <v>-0.90135635018495686</v>
      </c>
      <c r="P567" s="9">
        <f t="shared" si="8"/>
        <v>366621.99845814012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45422</v>
      </c>
      <c r="G568" t="s">
        <v>266</v>
      </c>
      <c r="H568">
        <v>10000</v>
      </c>
      <c r="I568" s="5">
        <v>430000</v>
      </c>
      <c r="K568" s="5">
        <v>453604.79</v>
      </c>
      <c r="L568" s="5">
        <v>43</v>
      </c>
      <c r="M568" s="5">
        <v>45.360478999999998</v>
      </c>
      <c r="N568" s="5">
        <v>-14030</v>
      </c>
      <c r="O568" s="3">
        <v>-5.4894860465116227E-2</v>
      </c>
      <c r="P568" s="9">
        <f t="shared" si="8"/>
        <v>352591.99845814012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16</v>
      </c>
      <c r="D569" t="s">
        <v>7</v>
      </c>
      <c r="E569" s="5"/>
      <c r="F569" s="7">
        <v>45423</v>
      </c>
      <c r="G569" t="s">
        <v>272</v>
      </c>
      <c r="H569">
        <v>2700</v>
      </c>
      <c r="I569" s="5">
        <v>72913.5</v>
      </c>
      <c r="K569" s="5">
        <v>61986.05</v>
      </c>
      <c r="L569" s="5">
        <v>27.004999999999999</v>
      </c>
      <c r="M569" s="5">
        <v>22.957796296296298</v>
      </c>
      <c r="N569" s="5">
        <v>-10927.449999999997</v>
      </c>
      <c r="O569" s="3">
        <v>-0.14986868001124617</v>
      </c>
      <c r="P569" s="9">
        <f t="shared" si="8"/>
        <v>341664.54845814011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201</v>
      </c>
      <c r="B570" t="s">
        <v>303</v>
      </c>
      <c r="C570" t="s">
        <v>12</v>
      </c>
      <c r="D570" t="s">
        <v>7</v>
      </c>
      <c r="E570" s="5"/>
      <c r="F570" s="7">
        <v>45425</v>
      </c>
      <c r="G570" t="s">
        <v>88</v>
      </c>
      <c r="H570">
        <v>15</v>
      </c>
      <c r="I570" s="5">
        <v>335624</v>
      </c>
      <c r="K570" s="5">
        <v>315499</v>
      </c>
      <c r="L570" s="5">
        <v>19.977619047619047</v>
      </c>
      <c r="M570" s="5">
        <v>21.03326666666667</v>
      </c>
      <c r="N570" s="5">
        <v>-20123</v>
      </c>
      <c r="O570" s="3">
        <v>-5.99569756632422E-2</v>
      </c>
      <c r="P570" s="9">
        <f t="shared" si="8"/>
        <v>321541.54845814011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301</v>
      </c>
    </row>
    <row r="571" spans="1:20" x14ac:dyDescent="0.25">
      <c r="A571" t="s">
        <v>197</v>
      </c>
      <c r="B571" t="s">
        <v>306</v>
      </c>
      <c r="C571" t="s">
        <v>102</v>
      </c>
      <c r="D571" t="s">
        <v>7</v>
      </c>
      <c r="E571" s="11">
        <v>45330</v>
      </c>
      <c r="F571" s="7">
        <v>45426</v>
      </c>
      <c r="G571" t="s">
        <v>298</v>
      </c>
      <c r="H571">
        <v>210</v>
      </c>
      <c r="I571" s="5">
        <v>28878</v>
      </c>
      <c r="J571" s="13">
        <v>100</v>
      </c>
      <c r="K571" s="5">
        <f>16773.87+19483.59+30312.01</f>
        <v>66569.47</v>
      </c>
      <c r="L571" s="5">
        <f>Table13[[#This Row],[Open Value]]/Table13[[#This Row],[Shares]]/Table13[[#This Row],[Multiplier]]</f>
        <v>1.375142857142857</v>
      </c>
      <c r="M571" s="5">
        <f>Table13[[#This Row],[Close Value]]/Table13[[#This Row],[Shares]]/Table13[[#This Row],[Multiplier]]</f>
        <v>3.1699747619047622</v>
      </c>
      <c r="N571" s="5">
        <f>Table13[[#This Row],[Close Value]]-Table13[[#This Row],[Open Value]]</f>
        <v>37691.47</v>
      </c>
      <c r="O571" s="3">
        <f>Table13[[#This Row],[PnL]]/Table13[[#This Row],[Open Value]]</f>
        <v>1.3051966895214351</v>
      </c>
      <c r="P571" s="9">
        <f t="shared" si="8"/>
        <v>359233.01845814008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203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52</v>
      </c>
      <c r="H572">
        <v>5000</v>
      </c>
      <c r="I572" s="5">
        <v>134805.20000000001</v>
      </c>
      <c r="K572" s="5">
        <v>134895.20000000001</v>
      </c>
      <c r="L572" s="5">
        <v>26.961040000000001</v>
      </c>
      <c r="M572" s="5">
        <v>26.979040000000001</v>
      </c>
      <c r="N572" s="5">
        <v>90</v>
      </c>
      <c r="O572" s="3">
        <v>6.6763003207591398E-4</v>
      </c>
      <c r="P572" s="9">
        <f t="shared" si="8"/>
        <v>359323.01845814008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305</v>
      </c>
      <c r="C573" t="s">
        <v>16</v>
      </c>
      <c r="D573" t="s">
        <v>7</v>
      </c>
      <c r="E573" s="5"/>
      <c r="F573" s="7">
        <v>45428</v>
      </c>
      <c r="G573" t="s">
        <v>273</v>
      </c>
      <c r="H573">
        <v>2800</v>
      </c>
      <c r="I573" s="5">
        <v>32298</v>
      </c>
      <c r="K573" s="5">
        <v>27200.78</v>
      </c>
      <c r="L573" s="5">
        <v>11.535</v>
      </c>
      <c r="M573" s="5">
        <v>9.7145642857142853</v>
      </c>
      <c r="N573" s="5">
        <v>-5097.2200000000012</v>
      </c>
      <c r="O573" s="3">
        <v>-0.15781844077032636</v>
      </c>
      <c r="P573" s="9">
        <f t="shared" si="8"/>
        <v>354225.79845814011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303</v>
      </c>
      <c r="C574" t="s">
        <v>16</v>
      </c>
      <c r="D574" t="s">
        <v>7</v>
      </c>
      <c r="E574" s="5"/>
      <c r="F574" s="7">
        <v>45429</v>
      </c>
      <c r="G574" t="s">
        <v>155</v>
      </c>
      <c r="H574">
        <v>610</v>
      </c>
      <c r="I574" s="5">
        <v>185504.05</v>
      </c>
      <c r="K574" s="5">
        <v>197936.24</v>
      </c>
      <c r="L574" s="5">
        <v>304.10499999999996</v>
      </c>
      <c r="M574" s="5">
        <v>942.55352380952377</v>
      </c>
      <c r="N574" s="5">
        <v>12432.190000000002</v>
      </c>
      <c r="O574" s="3">
        <v>6.7018428977696193E-2</v>
      </c>
      <c r="P574" s="9">
        <f t="shared" si="8"/>
        <v>366657.98845814011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45429</v>
      </c>
      <c r="G575" t="s">
        <v>37</v>
      </c>
      <c r="H575">
        <v>820</v>
      </c>
      <c r="I575" s="5">
        <v>145729.4</v>
      </c>
      <c r="K575" s="5">
        <v>140579.98000000001</v>
      </c>
      <c r="L575" s="5">
        <v>177.71878048780488</v>
      </c>
      <c r="M575" s="5">
        <v>171.43900000000002</v>
      </c>
      <c r="N575" s="5">
        <v>-5149.4199999999837</v>
      </c>
      <c r="O575" s="3">
        <v>-3.5335491671550034E-2</v>
      </c>
      <c r="P575" s="9">
        <f t="shared" si="8"/>
        <v>361508.56845814013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45430</v>
      </c>
      <c r="G576" t="s">
        <v>142</v>
      </c>
      <c r="H576">
        <v>800</v>
      </c>
      <c r="I576" s="5">
        <v>98573.94</v>
      </c>
      <c r="K576" s="5">
        <v>93249.78</v>
      </c>
      <c r="L576" s="5">
        <v>123.21742500000001</v>
      </c>
      <c r="M576" s="5">
        <v>116.562225</v>
      </c>
      <c r="N576" s="5">
        <v>-5324.1600000000035</v>
      </c>
      <c r="O576" s="3">
        <v>-5.4011841263522625E-2</v>
      </c>
      <c r="P576" s="9">
        <f t="shared" si="8"/>
        <v>356184.4084581401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305</v>
      </c>
      <c r="C577" t="s">
        <v>16</v>
      </c>
      <c r="D577" t="s">
        <v>7</v>
      </c>
      <c r="E577" s="5"/>
      <c r="F577" s="7">
        <v>45432</v>
      </c>
      <c r="G577" t="s">
        <v>96</v>
      </c>
      <c r="H577">
        <v>1300</v>
      </c>
      <c r="I577" s="5">
        <v>240506.5</v>
      </c>
      <c r="K577" s="5">
        <v>233279.78</v>
      </c>
      <c r="L577" s="5">
        <v>185.005</v>
      </c>
      <c r="M577" s="5">
        <v>179.44598461538462</v>
      </c>
      <c r="N577" s="5">
        <v>-7226.7200000000012</v>
      </c>
      <c r="O577" s="3">
        <v>-3.0047919702793899E-2</v>
      </c>
      <c r="P577" s="9">
        <f t="shared" si="8"/>
        <v>348957.68845814012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146</v>
      </c>
      <c r="H578">
        <v>2500</v>
      </c>
      <c r="I578" s="5">
        <v>209862.5</v>
      </c>
      <c r="K578" s="5">
        <v>199162.76</v>
      </c>
      <c r="L578" s="5">
        <v>83.944999999999993</v>
      </c>
      <c r="M578" s="5">
        <v>79.665103999999999</v>
      </c>
      <c r="N578" s="5">
        <v>-10699.739999999991</v>
      </c>
      <c r="O578" s="3">
        <v>-5.0984525582226416E-2</v>
      </c>
      <c r="P578" s="9">
        <f t="shared" si="8"/>
        <v>338257.94845814013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23</v>
      </c>
      <c r="H579">
        <v>3500</v>
      </c>
      <c r="I579" s="5">
        <v>77717.5</v>
      </c>
      <c r="K579" s="5">
        <v>72920.5</v>
      </c>
      <c r="L579" s="5">
        <v>22.204999999999998</v>
      </c>
      <c r="M579" s="5">
        <v>20.834428571428571</v>
      </c>
      <c r="N579" s="5">
        <v>-4797</v>
      </c>
      <c r="O579" s="3">
        <v>-6.1723550036992952E-2</v>
      </c>
      <c r="P579" s="9">
        <f t="shared" ref="P579:P642" si="9">N579+P578</f>
        <v>333460.94845814013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16</v>
      </c>
      <c r="D580" t="s">
        <v>7</v>
      </c>
      <c r="E580" s="5"/>
      <c r="F580" s="7">
        <v>45432</v>
      </c>
      <c r="G580" t="s">
        <v>72</v>
      </c>
      <c r="H580">
        <v>100</v>
      </c>
      <c r="I580" s="5">
        <v>89990.200000000012</v>
      </c>
      <c r="K580" s="5">
        <v>83797.650000000009</v>
      </c>
      <c r="L580" s="5">
        <v>899.90200000000016</v>
      </c>
      <c r="M580" s="5">
        <v>837.9765000000001</v>
      </c>
      <c r="N580" s="5">
        <v>-6192.5500000000029</v>
      </c>
      <c r="O580" s="3">
        <v>-6.8813604148007246E-2</v>
      </c>
      <c r="P580" s="9">
        <f t="shared" si="9"/>
        <v>327268.39845814015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12</v>
      </c>
      <c r="D581" t="s">
        <v>7</v>
      </c>
      <c r="E581" s="5"/>
      <c r="F581" s="7">
        <v>45433</v>
      </c>
      <c r="G581" t="s">
        <v>270</v>
      </c>
      <c r="H581">
        <v>5</v>
      </c>
      <c r="I581" s="5">
        <v>157514.85</v>
      </c>
      <c r="K581" s="5">
        <v>174985.15</v>
      </c>
      <c r="L581" s="5">
        <v>630.05939999999998</v>
      </c>
      <c r="M581" s="5">
        <v>34.997030000000002</v>
      </c>
      <c r="N581" s="5">
        <v>17470.299999999988</v>
      </c>
      <c r="O581" s="3">
        <v>0.11091208225764103</v>
      </c>
      <c r="P581" s="9">
        <f t="shared" si="9"/>
        <v>344738.69845814013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303</v>
      </c>
      <c r="C582" t="s">
        <v>16</v>
      </c>
      <c r="D582" t="s">
        <v>7</v>
      </c>
      <c r="E582" s="5"/>
      <c r="F582" s="7">
        <v>45433</v>
      </c>
      <c r="G582" t="s">
        <v>274</v>
      </c>
      <c r="H582">
        <v>5000</v>
      </c>
      <c r="I582" s="5">
        <v>204145</v>
      </c>
      <c r="K582" s="5">
        <v>196498.3</v>
      </c>
      <c r="L582" s="5">
        <v>40.829000000000001</v>
      </c>
      <c r="M582" s="5">
        <v>39.299659999999996</v>
      </c>
      <c r="N582" s="5">
        <v>-7646.7000000000116</v>
      </c>
      <c r="O582" s="3">
        <v>-3.7457199539543032E-2</v>
      </c>
      <c r="P582" s="9">
        <f t="shared" si="9"/>
        <v>337091.99845814012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301</v>
      </c>
    </row>
    <row r="583" spans="1:20" x14ac:dyDescent="0.25">
      <c r="A583" t="s">
        <v>201</v>
      </c>
      <c r="B583" t="s">
        <v>305</v>
      </c>
      <c r="C583" t="s">
        <v>16</v>
      </c>
      <c r="D583" t="s">
        <v>7</v>
      </c>
      <c r="E583" s="11">
        <v>45427</v>
      </c>
      <c r="F583" s="7">
        <v>45434</v>
      </c>
      <c r="G583" t="s">
        <v>300</v>
      </c>
      <c r="H583">
        <v>1200</v>
      </c>
      <c r="I583" s="5">
        <v>141911.88</v>
      </c>
      <c r="J583" s="13">
        <v>1</v>
      </c>
      <c r="K583" s="5">
        <v>137973.35999999999</v>
      </c>
      <c r="L583" s="5">
        <f>Table13[[#This Row],[Open Value]]/Table13[[#This Row],[Shares]]/Table13[[#This Row],[Multiplier]]</f>
        <v>118.2599</v>
      </c>
      <c r="M583" s="5">
        <f>Table13[[#This Row],[Close Value]]/Table13[[#This Row],[Shares]]/Table13[[#This Row],[Multiplier]]</f>
        <v>114.97779999999999</v>
      </c>
      <c r="N583" s="5">
        <f>Table13[[#This Row],[Close Value]]-Table13[[#This Row],[Open Value]]</f>
        <v>-3938.5200000000186</v>
      </c>
      <c r="O583" s="3">
        <f>Table13[[#This Row],[PnL]]/Table13[[#This Row],[Open Value]]</f>
        <v>-2.7753279006662575E-2</v>
      </c>
      <c r="P583" s="9">
        <f t="shared" si="9"/>
        <v>333153.4784581401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203</v>
      </c>
    </row>
    <row r="584" spans="1:20" x14ac:dyDescent="0.25">
      <c r="A584" t="s">
        <v>197</v>
      </c>
      <c r="B584" t="s">
        <v>306</v>
      </c>
      <c r="C584" t="s">
        <v>102</v>
      </c>
      <c r="D584" t="s">
        <v>7</v>
      </c>
      <c r="E584" s="11">
        <v>45428</v>
      </c>
      <c r="F584" s="7">
        <v>45435</v>
      </c>
      <c r="G584" t="s">
        <v>136</v>
      </c>
      <c r="H584">
        <v>5</v>
      </c>
      <c r="I584" s="5">
        <v>8698.48</v>
      </c>
      <c r="J584" s="13">
        <v>100</v>
      </c>
      <c r="K584" s="5">
        <v>6487</v>
      </c>
      <c r="L584" s="5">
        <v>17.39696</v>
      </c>
      <c r="M584" s="5">
        <v>12.974</v>
      </c>
      <c r="N584" s="5">
        <v>-2211.4799999999996</v>
      </c>
      <c r="O584" s="3">
        <v>-0.25423752195785931</v>
      </c>
      <c r="P584" s="9">
        <f t="shared" si="9"/>
        <v>330941.99845814012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 t="s">
        <v>240</v>
      </c>
      <c r="T584" s="5" t="s">
        <v>301</v>
      </c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45371</v>
      </c>
      <c r="F585" s="7">
        <v>45435</v>
      </c>
      <c r="G585" t="s">
        <v>209</v>
      </c>
      <c r="H585">
        <v>100</v>
      </c>
      <c r="I585" s="5">
        <v>9992.23</v>
      </c>
      <c r="J585" s="13">
        <v>100</v>
      </c>
      <c r="K585" s="5">
        <v>0</v>
      </c>
      <c r="L585" s="5">
        <f>Table13[[#This Row],[Open Value]]/Table13[[#This Row],[Shares]]/Table13[[#This Row],[Multiplier]]</f>
        <v>0.99922299999999997</v>
      </c>
      <c r="M585" s="5">
        <f>Table13[[#This Row],[Close Value]]/Table13[[#This Row],[Shares]]/Table13[[#This Row],[Multiplier]]</f>
        <v>0</v>
      </c>
      <c r="N585" s="5">
        <f>79.57-1870.97</f>
        <v>-1791.4</v>
      </c>
      <c r="O585" s="3">
        <f>Table13[[#This Row],[PnL]]/Table13[[#This Row],[Open Value]]</f>
        <v>-0.17927930001611253</v>
      </c>
      <c r="P585" s="9">
        <f t="shared" si="9"/>
        <v>329150.5984581401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197</v>
      </c>
      <c r="B586" t="s">
        <v>302</v>
      </c>
      <c r="C586" t="s">
        <v>102</v>
      </c>
      <c r="D586" t="s">
        <v>7</v>
      </c>
      <c r="E586" s="11">
        <v>45432</v>
      </c>
      <c r="F586" s="7">
        <v>45436</v>
      </c>
      <c r="G586" t="s">
        <v>37</v>
      </c>
      <c r="H586">
        <v>10</v>
      </c>
      <c r="I586" s="5">
        <v>2607</v>
      </c>
      <c r="J586" s="13">
        <v>100</v>
      </c>
      <c r="K586" s="5">
        <v>5535.96</v>
      </c>
      <c r="L586" s="5">
        <v>2.6069999999999998</v>
      </c>
      <c r="M586" s="5">
        <v>7.9085142857142854</v>
      </c>
      <c r="N586" s="5">
        <v>2928.96</v>
      </c>
      <c r="O586" s="3">
        <v>2.0335689626828866</v>
      </c>
      <c r="P586" s="9">
        <f t="shared" si="9"/>
        <v>332079.55845814012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85</v>
      </c>
      <c r="H587">
        <v>13</v>
      </c>
      <c r="I587" s="5">
        <v>84173.51</v>
      </c>
      <c r="K587" s="5">
        <v>88161</v>
      </c>
      <c r="L587" s="5">
        <v>64748.853846153841</v>
      </c>
      <c r="M587" s="5">
        <v>6.7816153846153844</v>
      </c>
      <c r="N587" s="5">
        <v>3987.4900000000052</v>
      </c>
      <c r="O587" s="3">
        <v>4.7372267118241898E-2</v>
      </c>
      <c r="P587" s="9">
        <f t="shared" si="9"/>
        <v>336067.04845814011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12</v>
      </c>
      <c r="D588" t="s">
        <v>7</v>
      </c>
      <c r="E588" s="5"/>
      <c r="F588" s="7">
        <v>45440</v>
      </c>
      <c r="G588" t="s">
        <v>271</v>
      </c>
      <c r="H588">
        <v>350</v>
      </c>
      <c r="I588" s="5">
        <v>100234</v>
      </c>
      <c r="K588" s="5">
        <v>111571.65</v>
      </c>
      <c r="L588" s="5">
        <v>0.25569897959183674</v>
      </c>
      <c r="M588" s="5">
        <v>0.31877614285714284</v>
      </c>
      <c r="N588" s="5">
        <v>11337.649999999994</v>
      </c>
      <c r="O588" s="3">
        <v>0.11311181834507247</v>
      </c>
      <c r="P588" s="9">
        <f t="shared" si="9"/>
        <v>347404.69845814013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218</v>
      </c>
      <c r="H589">
        <v>3800</v>
      </c>
      <c r="I589" s="5">
        <v>70699</v>
      </c>
      <c r="K589" s="5">
        <v>63360.93</v>
      </c>
      <c r="L589" s="5">
        <v>18.605</v>
      </c>
      <c r="M589" s="5">
        <v>16.67392894736842</v>
      </c>
      <c r="N589" s="5">
        <v>-7338.07</v>
      </c>
      <c r="O589" s="3">
        <v>-0.10379312295789191</v>
      </c>
      <c r="P589" s="9">
        <f t="shared" si="9"/>
        <v>340066.62845814013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16</v>
      </c>
      <c r="D590" t="s">
        <v>7</v>
      </c>
      <c r="E590" s="5"/>
      <c r="F590" s="7">
        <v>45440</v>
      </c>
      <c r="G590" t="s">
        <v>23</v>
      </c>
      <c r="H590">
        <v>2700</v>
      </c>
      <c r="I590" s="5">
        <v>61030.689999999995</v>
      </c>
      <c r="K590" s="5">
        <v>55792.92</v>
      </c>
      <c r="L590" s="5">
        <v>22.603959259259259</v>
      </c>
      <c r="M590" s="5">
        <v>20.664044444444443</v>
      </c>
      <c r="N590" s="5">
        <v>-5237.7699999999968</v>
      </c>
      <c r="O590" s="3">
        <v>-8.5821903701236171E-2</v>
      </c>
      <c r="P590" s="9">
        <f t="shared" si="9"/>
        <v>334828.85845814011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45440</v>
      </c>
      <c r="G591" t="s">
        <v>271</v>
      </c>
      <c r="H591">
        <v>300</v>
      </c>
      <c r="I591" s="5">
        <v>116851</v>
      </c>
      <c r="K591" s="5">
        <v>106275.2</v>
      </c>
      <c r="L591" s="5">
        <v>3895.0333333333333</v>
      </c>
      <c r="M591" s="5">
        <v>0.35425066666666666</v>
      </c>
      <c r="N591" s="5">
        <v>-10575.800000000003</v>
      </c>
      <c r="O591" s="3">
        <v>-9.050671367810291E-2</v>
      </c>
      <c r="P591" s="9">
        <f t="shared" si="9"/>
        <v>324253.05845814012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12</v>
      </c>
      <c r="D592" t="s">
        <v>7</v>
      </c>
      <c r="E592" s="5"/>
      <c r="F592" s="7">
        <v>45442</v>
      </c>
      <c r="G592" t="s">
        <v>13</v>
      </c>
      <c r="H592">
        <v>7</v>
      </c>
      <c r="I592" s="5">
        <v>539086.59</v>
      </c>
      <c r="K592" s="5">
        <v>529533.40999999992</v>
      </c>
      <c r="L592" s="5">
        <v>77.01236999999999</v>
      </c>
      <c r="M592" s="5">
        <v>75.647629999999978</v>
      </c>
      <c r="N592" s="5">
        <v>-9553.1800000000512</v>
      </c>
      <c r="O592" s="3">
        <v>-1.7721049228844762E-2</v>
      </c>
      <c r="P592" s="9">
        <f t="shared" si="9"/>
        <v>314699.87845814007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303</v>
      </c>
      <c r="C593" t="s">
        <v>16</v>
      </c>
      <c r="D593" t="s">
        <v>7</v>
      </c>
      <c r="E593" s="5"/>
      <c r="F593" s="7">
        <v>45442</v>
      </c>
      <c r="G593" t="s">
        <v>146</v>
      </c>
      <c r="H593">
        <v>1500</v>
      </c>
      <c r="I593" s="5">
        <v>125954</v>
      </c>
      <c r="K593" s="5">
        <v>116454.26</v>
      </c>
      <c r="L593" s="5">
        <v>83.969333333333338</v>
      </c>
      <c r="M593" s="5">
        <v>77.636173333333332</v>
      </c>
      <c r="N593" s="5">
        <v>-9499.7400000000052</v>
      </c>
      <c r="O593" s="3">
        <v>-7.5422297029074145E-2</v>
      </c>
      <c r="P593" s="9">
        <f t="shared" si="9"/>
        <v>305200.13845814008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301</v>
      </c>
    </row>
    <row r="594" spans="1:20" x14ac:dyDescent="0.25">
      <c r="A594" t="s">
        <v>201</v>
      </c>
      <c r="B594" t="s">
        <v>305</v>
      </c>
      <c r="C594" t="s">
        <v>16</v>
      </c>
      <c r="D594" t="s">
        <v>7</v>
      </c>
      <c r="E594" s="11">
        <v>45432</v>
      </c>
      <c r="F594" s="7">
        <v>45443</v>
      </c>
      <c r="G594" t="s">
        <v>96</v>
      </c>
      <c r="H594">
        <v>650</v>
      </c>
      <c r="I594" s="5">
        <v>121296.37</v>
      </c>
      <c r="J594" s="13">
        <v>1</v>
      </c>
      <c r="K594" s="5">
        <v>116285.32</v>
      </c>
      <c r="L594" s="5">
        <f>Table13[[#This Row],[Open Value]]/Table13[[#This Row],[Shares]]/Table13[[#This Row],[Multiplier]]</f>
        <v>186.60980000000001</v>
      </c>
      <c r="M594" s="5">
        <f>Table13[[#This Row],[Close Value]]/Table13[[#This Row],[Shares]]/Table13[[#This Row],[Multiplier]]</f>
        <v>178.90049230769233</v>
      </c>
      <c r="N594" s="5">
        <f>Table13[[#This Row],[Close Value]]-Table13[[#This Row],[Open Value]]</f>
        <v>-5011.0499999999884</v>
      </c>
      <c r="O594" s="3">
        <f>Table13[[#This Row],[PnL]]/Table13[[#This Row],[Open Value]]</f>
        <v>-4.1312448179611549E-2</v>
      </c>
      <c r="P594" s="9">
        <f t="shared" si="9"/>
        <v>300189.08845814009</v>
      </c>
      <c r="Q594" s="5" t="str">
        <f>TEXT(Table13[[#This Row],[Closing Date]],"yyyy")</f>
        <v>2024</v>
      </c>
      <c r="R594" s="5" t="str">
        <f>TEXT(Table13[[#This Row],[Closing Date]],"mmmm")</f>
        <v>May</v>
      </c>
      <c r="S594" s="5" t="s">
        <v>240</v>
      </c>
      <c r="T594" s="5" t="s">
        <v>203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45446</v>
      </c>
      <c r="G595" t="s">
        <v>87</v>
      </c>
      <c r="H595">
        <v>5</v>
      </c>
      <c r="I595" s="5">
        <v>304000</v>
      </c>
      <c r="K595" s="5">
        <v>299295.3</v>
      </c>
      <c r="L595" s="5">
        <v>1216</v>
      </c>
      <c r="M595" s="5">
        <v>59.859059999999999</v>
      </c>
      <c r="N595" s="5">
        <v>-4704.7000000000116</v>
      </c>
      <c r="O595" s="3">
        <v>-1.5475986842105301E-2</v>
      </c>
      <c r="P595" s="9">
        <f t="shared" si="9"/>
        <v>295484.38845814008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201</v>
      </c>
      <c r="B596" t="s">
        <v>303</v>
      </c>
      <c r="C596" t="s">
        <v>12</v>
      </c>
      <c r="D596" t="s">
        <v>7</v>
      </c>
      <c r="E596" s="5"/>
      <c r="F596" s="7">
        <v>45448</v>
      </c>
      <c r="G596" t="s">
        <v>270</v>
      </c>
      <c r="H596">
        <v>4</v>
      </c>
      <c r="I596" s="5">
        <v>139150</v>
      </c>
      <c r="K596" s="5">
        <v>130050</v>
      </c>
      <c r="L596" s="5">
        <v>695.75</v>
      </c>
      <c r="M596" s="5">
        <v>32.512500000000003</v>
      </c>
      <c r="N596" s="5">
        <v>-9100</v>
      </c>
      <c r="O596" s="3">
        <v>-6.5397053539346023E-2</v>
      </c>
      <c r="P596" s="9">
        <f t="shared" si="9"/>
        <v>286384.38845814008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197</v>
      </c>
      <c r="B597" t="s">
        <v>302</v>
      </c>
      <c r="C597" t="s">
        <v>102</v>
      </c>
      <c r="D597" t="s">
        <v>7</v>
      </c>
      <c r="E597" s="11">
        <v>45440</v>
      </c>
      <c r="F597" s="7">
        <v>45450</v>
      </c>
      <c r="G597" t="s">
        <v>105</v>
      </c>
      <c r="H597">
        <v>10</v>
      </c>
      <c r="I597" s="5">
        <v>3296.97</v>
      </c>
      <c r="J597" s="13">
        <v>100</v>
      </c>
      <c r="K597" s="5">
        <v>0</v>
      </c>
      <c r="L597" s="5">
        <v>3.29697</v>
      </c>
      <c r="M597" s="5">
        <v>0</v>
      </c>
      <c r="N597" s="5">
        <v>-3296.97</v>
      </c>
      <c r="O597" s="3">
        <v>-1</v>
      </c>
      <c r="P597" s="9">
        <f t="shared" si="9"/>
        <v>283087.41845814011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201</v>
      </c>
      <c r="B598" t="s">
        <v>303</v>
      </c>
      <c r="C598" t="s">
        <v>16</v>
      </c>
      <c r="D598" t="s">
        <v>7</v>
      </c>
      <c r="E598" s="5"/>
      <c r="F598" s="7">
        <v>45450</v>
      </c>
      <c r="G598" t="s">
        <v>139</v>
      </c>
      <c r="H598">
        <v>1000</v>
      </c>
      <c r="I598" s="5">
        <v>138552.85</v>
      </c>
      <c r="K598" s="5">
        <v>128582.36</v>
      </c>
      <c r="L598" s="5">
        <v>138.55285000000001</v>
      </c>
      <c r="M598" s="5">
        <v>128.58235999999999</v>
      </c>
      <c r="N598" s="5">
        <v>-9970.4900000000052</v>
      </c>
      <c r="O598" s="3">
        <v>-7.1961637743287163E-2</v>
      </c>
      <c r="P598" s="9">
        <f t="shared" si="9"/>
        <v>273116.92845814012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197</v>
      </c>
      <c r="B599" t="s">
        <v>302</v>
      </c>
      <c r="C599" t="s">
        <v>97</v>
      </c>
      <c r="D599" t="s">
        <v>7</v>
      </c>
      <c r="E599" s="11">
        <v>45433</v>
      </c>
      <c r="F599" s="7">
        <v>45450</v>
      </c>
      <c r="G599" t="s">
        <v>162</v>
      </c>
      <c r="H599">
        <v>4</v>
      </c>
      <c r="I599" s="5">
        <v>3202.79</v>
      </c>
      <c r="J599" s="13">
        <v>100</v>
      </c>
      <c r="K599" s="5">
        <v>9321</v>
      </c>
      <c r="L599" s="5">
        <v>8.0069750000000006</v>
      </c>
      <c r="M599" s="5">
        <v>23.302499999999998</v>
      </c>
      <c r="N599" s="5">
        <v>6118.21</v>
      </c>
      <c r="O599" s="3">
        <v>1.9102751038937922</v>
      </c>
      <c r="P599" s="9">
        <f t="shared" si="9"/>
        <v>279235.13845814014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301</v>
      </c>
    </row>
    <row r="600" spans="1:20" x14ac:dyDescent="0.25">
      <c r="A600" t="s">
        <v>201</v>
      </c>
      <c r="B600" t="s">
        <v>306</v>
      </c>
      <c r="C600" t="s">
        <v>16</v>
      </c>
      <c r="D600" t="s">
        <v>7</v>
      </c>
      <c r="E600" s="11">
        <v>45385</v>
      </c>
      <c r="F600" s="7">
        <v>45450</v>
      </c>
      <c r="G600" t="s">
        <v>192</v>
      </c>
      <c r="H600">
        <v>9000</v>
      </c>
      <c r="I600" s="5">
        <v>195120</v>
      </c>
      <c r="J600" s="13">
        <v>1</v>
      </c>
      <c r="K600" s="5">
        <v>169908.09</v>
      </c>
      <c r="L600" s="5">
        <f>Table13[[#This Row],[Open Value]]/Table13[[#This Row],[Shares]]/Table13[[#This Row],[Multiplier]]</f>
        <v>21.68</v>
      </c>
      <c r="M600" s="5">
        <f>Table13[[#This Row],[Close Value]]/Table13[[#This Row],[Shares]]/Table13[[#This Row],[Multiplier]]</f>
        <v>18.878676666666667</v>
      </c>
      <c r="N600" s="5">
        <f>Table13[[#This Row],[Close Value]]-Table13[[#This Row],[Open Value]]</f>
        <v>-25211.910000000003</v>
      </c>
      <c r="O600" s="3">
        <f>Table13[[#This Row],[PnL]]/Table13[[#This Row],[Open Value]]</f>
        <v>-0.12921233087330875</v>
      </c>
      <c r="P600" s="9">
        <f t="shared" si="9"/>
        <v>254023.22845814013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203</v>
      </c>
    </row>
    <row r="601" spans="1:20" x14ac:dyDescent="0.25">
      <c r="A601" t="s">
        <v>201</v>
      </c>
      <c r="B601" t="s">
        <v>303</v>
      </c>
      <c r="C601" t="s">
        <v>16</v>
      </c>
      <c r="D601" t="s">
        <v>7</v>
      </c>
      <c r="E601" s="5"/>
      <c r="F601" s="7">
        <v>45453</v>
      </c>
      <c r="G601" t="s">
        <v>275</v>
      </c>
      <c r="H601">
        <v>1100</v>
      </c>
      <c r="I601" s="5">
        <v>25724</v>
      </c>
      <c r="K601" s="5">
        <v>36888.239999999998</v>
      </c>
      <c r="L601" s="5">
        <v>23.385454545454547</v>
      </c>
      <c r="M601" s="5">
        <v>46.110299999999995</v>
      </c>
      <c r="N601" s="5">
        <v>11164.239999999998</v>
      </c>
      <c r="O601" s="3">
        <v>0.43400093298087383</v>
      </c>
      <c r="P601" s="9">
        <f t="shared" si="9"/>
        <v>265187.46845814015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301</v>
      </c>
    </row>
    <row r="602" spans="1:20" x14ac:dyDescent="0.25">
      <c r="A602" t="s">
        <v>201</v>
      </c>
      <c r="B602" t="s">
        <v>305</v>
      </c>
      <c r="C602" t="s">
        <v>16</v>
      </c>
      <c r="D602" t="s">
        <v>7</v>
      </c>
      <c r="E602" s="11">
        <v>45364</v>
      </c>
      <c r="F602" s="7">
        <v>45454</v>
      </c>
      <c r="G602" t="s">
        <v>295</v>
      </c>
      <c r="H602">
        <v>1000</v>
      </c>
      <c r="I602" s="5">
        <v>93000</v>
      </c>
      <c r="J602" s="13">
        <v>1</v>
      </c>
      <c r="K602" s="5">
        <f>23.73+54949.56+53433.52</f>
        <v>108406.81</v>
      </c>
      <c r="L602" s="5">
        <f>Table13[[#This Row],[Open Value]]/Table13[[#This Row],[Shares]]/Table13[[#This Row],[Multiplier]]</f>
        <v>93</v>
      </c>
      <c r="M602" s="5">
        <f>Table13[[#This Row],[Close Value]]/Table13[[#This Row],[Shares]]/Table13[[#This Row],[Multiplier]]</f>
        <v>108.40680999999999</v>
      </c>
      <c r="N602" s="5">
        <f>Table13[[#This Row],[Close Value]]-Table13[[#This Row],[Open Value]]</f>
        <v>15406.809999999998</v>
      </c>
      <c r="O602" s="3">
        <f>Table13[[#This Row],[PnL]]/Table13[[#This Row],[Open Value]]</f>
        <v>0.16566462365591395</v>
      </c>
      <c r="P602" s="9">
        <f t="shared" si="9"/>
        <v>280594.27845814015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203</v>
      </c>
    </row>
    <row r="603" spans="1:20" x14ac:dyDescent="0.25">
      <c r="A603" t="s">
        <v>197</v>
      </c>
      <c r="B603" t="s">
        <v>302</v>
      </c>
      <c r="C603" t="s">
        <v>102</v>
      </c>
      <c r="D603" t="s">
        <v>7</v>
      </c>
      <c r="E603" s="11">
        <v>45443</v>
      </c>
      <c r="F603" s="7">
        <v>45455</v>
      </c>
      <c r="G603" t="s">
        <v>10</v>
      </c>
      <c r="H603">
        <v>7</v>
      </c>
      <c r="I603" s="5">
        <v>3853.13</v>
      </c>
      <c r="J603" s="13">
        <v>100</v>
      </c>
      <c r="K603" s="5">
        <f>Table13[[#This Row],[Open Value]]+Table13[[#This Row],[PnL]]</f>
        <v>5502.24</v>
      </c>
      <c r="L603" s="5">
        <f>Table13[[#This Row],[Open Value]]/Table13[[#This Row],[Shares]]</f>
        <v>550.44714285714292</v>
      </c>
      <c r="M603" s="5">
        <f>Table13[[#This Row],[Close Value]]/Table13[[#This Row],[Shares]]/Table13[[#This Row],[Multiplier]]</f>
        <v>7.8603428571428573</v>
      </c>
      <c r="N603" s="5">
        <v>1649.11</v>
      </c>
      <c r="O603" s="3">
        <f>Table13[[#This Row],[PnL]]/Table13[[#This Row],[Open Value]]</f>
        <v>0.42799230755256112</v>
      </c>
      <c r="P603" s="9">
        <f t="shared" si="9"/>
        <v>282243.38845814014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263</v>
      </c>
      <c r="H604">
        <v>6000</v>
      </c>
      <c r="I604" s="5">
        <v>78450</v>
      </c>
      <c r="K604" s="5">
        <v>73169.95</v>
      </c>
      <c r="L604" s="5">
        <v>13.074999999999999</v>
      </c>
      <c r="M604" s="5">
        <v>12.194991666666667</v>
      </c>
      <c r="N604" s="5">
        <v>-5280.0500000000029</v>
      </c>
      <c r="O604" s="3">
        <v>-6.7304652644996854E-2</v>
      </c>
      <c r="P604" s="9">
        <f t="shared" si="9"/>
        <v>276963.33845814015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201</v>
      </c>
      <c r="B605" t="s">
        <v>303</v>
      </c>
      <c r="C605" t="s">
        <v>16</v>
      </c>
      <c r="D605" t="s">
        <v>7</v>
      </c>
      <c r="E605" s="5"/>
      <c r="F605" s="7">
        <v>45456</v>
      </c>
      <c r="G605" t="s">
        <v>281</v>
      </c>
      <c r="H605">
        <v>2600</v>
      </c>
      <c r="I605" s="5">
        <v>42913</v>
      </c>
      <c r="K605" s="5">
        <v>40075.11</v>
      </c>
      <c r="L605" s="5">
        <v>16.504999999999999</v>
      </c>
      <c r="M605" s="5">
        <v>15.413503846153846</v>
      </c>
      <c r="N605" s="5">
        <v>-2837.8899999999994</v>
      </c>
      <c r="O605" s="3">
        <v>-6.6131242280893884E-2</v>
      </c>
      <c r="P605" s="9">
        <f t="shared" si="9"/>
        <v>274125.44845814013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197</v>
      </c>
      <c r="B606" t="s">
        <v>302</v>
      </c>
      <c r="C606" t="s">
        <v>97</v>
      </c>
      <c r="D606" t="s">
        <v>7</v>
      </c>
      <c r="E606" s="11">
        <v>45448</v>
      </c>
      <c r="F606" s="7">
        <v>45457</v>
      </c>
      <c r="G606" t="s">
        <v>277</v>
      </c>
      <c r="H606">
        <v>15</v>
      </c>
      <c r="I606" s="5">
        <v>3555</v>
      </c>
      <c r="J606" s="13">
        <v>100</v>
      </c>
      <c r="K606" s="5">
        <v>2435</v>
      </c>
      <c r="L606" s="5">
        <v>2.37</v>
      </c>
      <c r="M606" s="5">
        <v>1.6233333333333335</v>
      </c>
      <c r="N606" s="5">
        <v>-1120</v>
      </c>
      <c r="O606" s="3">
        <v>-0.31504922644163147</v>
      </c>
      <c r="P606" s="9">
        <f t="shared" si="9"/>
        <v>273005.44845814013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201</v>
      </c>
      <c r="B607" t="s">
        <v>302</v>
      </c>
      <c r="C607" t="s">
        <v>16</v>
      </c>
      <c r="D607" t="s">
        <v>7</v>
      </c>
      <c r="E607" s="11">
        <v>45457</v>
      </c>
      <c r="F607" s="7">
        <v>45457</v>
      </c>
      <c r="G607" t="s">
        <v>170</v>
      </c>
      <c r="H607">
        <v>3000</v>
      </c>
      <c r="I607" s="5">
        <v>106233</v>
      </c>
      <c r="K607" s="5">
        <v>103655.87</v>
      </c>
      <c r="L607" s="5">
        <v>35.411000000000001</v>
      </c>
      <c r="M607" s="5">
        <v>34.551956666666662</v>
      </c>
      <c r="N607" s="5">
        <v>-2577.1300000000047</v>
      </c>
      <c r="O607" s="3">
        <v>-2.4259222652094969E-2</v>
      </c>
      <c r="P607" s="9">
        <f t="shared" si="9"/>
        <v>270428.31845814013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197</v>
      </c>
      <c r="B608" t="s">
        <v>303</v>
      </c>
      <c r="C608" t="s">
        <v>97</v>
      </c>
      <c r="D608" t="s">
        <v>7</v>
      </c>
      <c r="E608" s="11">
        <v>45448</v>
      </c>
      <c r="F608" s="7">
        <v>45457</v>
      </c>
      <c r="G608" t="s">
        <v>277</v>
      </c>
      <c r="H608">
        <v>15</v>
      </c>
      <c r="I608" s="5">
        <f>-275.4+3849.55</f>
        <v>3574.15</v>
      </c>
      <c r="J608" s="13">
        <v>100</v>
      </c>
      <c r="K608" s="5">
        <f>Table13[[#This Row],[Open Value]]+Table13[[#This Row],[PnL]]</f>
        <v>2427.91</v>
      </c>
      <c r="L608" s="5">
        <f>Table13[[#This Row],[Open Value]]/Table13[[#This Row],[Shares]]</f>
        <v>238.27666666666667</v>
      </c>
      <c r="M608" s="5">
        <f>Table13[[#This Row],[Close Value]]/Table13[[#This Row],[Shares]]/Table13[[#This Row],[Multiplier]]</f>
        <v>1.6186066666666665</v>
      </c>
      <c r="N608" s="5">
        <f>-1218.14+71.9</f>
        <v>-1146.24</v>
      </c>
      <c r="O608" s="3">
        <f>Table13[[#This Row],[PnL]]/Table13[[#This Row],[Open Value]]</f>
        <v>-0.32070282444777082</v>
      </c>
      <c r="P608" s="9">
        <f t="shared" si="9"/>
        <v>269282.07845814014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16</v>
      </c>
      <c r="D609" t="s">
        <v>7</v>
      </c>
      <c r="E609" s="11">
        <v>45449</v>
      </c>
      <c r="F609" s="7">
        <v>45460</v>
      </c>
      <c r="G609" t="s">
        <v>280</v>
      </c>
      <c r="H609">
        <v>575</v>
      </c>
      <c r="I609" s="5">
        <v>101214.38</v>
      </c>
      <c r="K609" s="5">
        <v>105561.07</v>
      </c>
      <c r="L609" s="5">
        <v>176.02500869565219</v>
      </c>
      <c r="M609" s="5">
        <v>183.5844695652174</v>
      </c>
      <c r="N609" s="5">
        <v>4346.6900000000023</v>
      </c>
      <c r="O609" s="3">
        <v>4.2945379895623546E-2</v>
      </c>
      <c r="P609" s="9">
        <f t="shared" si="9"/>
        <v>273628.76845814014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201</v>
      </c>
      <c r="B610" t="s">
        <v>303</v>
      </c>
      <c r="C610" t="s">
        <v>12</v>
      </c>
      <c r="D610" t="s">
        <v>7</v>
      </c>
      <c r="E610" s="11">
        <v>45437</v>
      </c>
      <c r="F610" s="7">
        <v>45460</v>
      </c>
      <c r="G610" t="s">
        <v>286</v>
      </c>
      <c r="H610">
        <v>2</v>
      </c>
      <c r="I610" s="5">
        <v>154280.94</v>
      </c>
      <c r="J610" s="13">
        <v>375</v>
      </c>
      <c r="K610" s="5">
        <f>Table13[[#This Row],[Open Value]]+Table13[[#This Row],[PnL]]</f>
        <v>170356.56</v>
      </c>
      <c r="L610" s="5">
        <f>Table13[[#This Row],[Open Value]]/Table13[[#This Row],[Shares]]/Table13[[#This Row],[Multiplier]]</f>
        <v>205.70792</v>
      </c>
      <c r="M610" s="5">
        <f>Table13[[#This Row],[Close Value]]/Table13[[#This Row],[Shares]]/Table13[[#This Row],[Multiplier]]</f>
        <v>227.14207999999999</v>
      </c>
      <c r="N610" s="5">
        <v>16075.62</v>
      </c>
      <c r="O610" s="3">
        <f>Table13[[#This Row],[PnL]]/Table13[[#This Row],[Open Value]]</f>
        <v>0.10419705765339517</v>
      </c>
      <c r="P610" s="9">
        <f t="shared" si="9"/>
        <v>289704.38845814014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197</v>
      </c>
      <c r="B611" t="s">
        <v>303</v>
      </c>
      <c r="C611" t="s">
        <v>102</v>
      </c>
      <c r="D611" t="s">
        <v>7</v>
      </c>
      <c r="E611" s="11">
        <v>45436</v>
      </c>
      <c r="F611" s="7">
        <v>45461</v>
      </c>
      <c r="G611" t="s">
        <v>9</v>
      </c>
      <c r="H611">
        <v>40</v>
      </c>
      <c r="I611" s="5">
        <v>10064</v>
      </c>
      <c r="J611" s="13">
        <v>100</v>
      </c>
      <c r="K611" s="5">
        <v>10584</v>
      </c>
      <c r="L611" s="5">
        <f>Table13[[#This Row],[Open Value]]/Table13[[#This Row],[Shares]]/Table13[[#This Row],[Multiplier]]</f>
        <v>2.516</v>
      </c>
      <c r="M611" s="5">
        <f>Table13[[#This Row],[Close Value]]/Table13[[#This Row],[Shares]]/Table13[[#This Row],[Multiplier]]</f>
        <v>2.6460000000000004</v>
      </c>
      <c r="N611" s="5">
        <v>520</v>
      </c>
      <c r="O611" s="3">
        <v>5.1669316375198865E-2</v>
      </c>
      <c r="P611" s="9">
        <f t="shared" si="9"/>
        <v>290224.38845814014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12</v>
      </c>
      <c r="D612" t="s">
        <v>7</v>
      </c>
      <c r="E612" s="11">
        <v>45448</v>
      </c>
      <c r="F612" s="7">
        <v>45461</v>
      </c>
      <c r="G612" t="s">
        <v>85</v>
      </c>
      <c r="H612">
        <v>7</v>
      </c>
      <c r="I612" s="5">
        <v>50530.89</v>
      </c>
      <c r="J612" s="13">
        <v>0.1</v>
      </c>
      <c r="K612" s="5">
        <f>Table13[[#This Row],[Open Value]]+Table13[[#This Row],[PnL]]</f>
        <v>45325.89</v>
      </c>
      <c r="L612" s="5">
        <f>Table13[[#This Row],[Open Value]]/Table13[[#This Row],[Shares]]/Table13[[#This Row],[Multiplier]]</f>
        <v>72186.985714285707</v>
      </c>
      <c r="M612" s="5">
        <f>Table13[[#This Row],[Close Value]]/Table13[[#This Row],[Shares]]/Table13[[#This Row],[Multiplier]]</f>
        <v>64751.271428571425</v>
      </c>
      <c r="N612" s="5">
        <v>-5205</v>
      </c>
      <c r="O612" s="3">
        <f>Table13[[#This Row],[PnL]]/Table13[[#This Row],[Open Value]]</f>
        <v>-0.1030062997109293</v>
      </c>
      <c r="P612" s="9">
        <f t="shared" si="9"/>
        <v>285019.38845814014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201</v>
      </c>
      <c r="B613" t="s">
        <v>303</v>
      </c>
      <c r="C613" t="s">
        <v>16</v>
      </c>
      <c r="D613" t="s">
        <v>7</v>
      </c>
      <c r="E613" s="11">
        <v>45449</v>
      </c>
      <c r="F613" s="7">
        <v>45463</v>
      </c>
      <c r="G613" t="s">
        <v>224</v>
      </c>
      <c r="H613">
        <v>5000</v>
      </c>
      <c r="I613" s="5">
        <v>75421</v>
      </c>
      <c r="J613" s="13">
        <v>1</v>
      </c>
      <c r="K613" s="5">
        <f>Table13[[#This Row],[Open Value]]+Table13[[#This Row],[PnL]]</f>
        <v>78684.73</v>
      </c>
      <c r="L613" s="5">
        <f>Table13[[#This Row],[Open Value]]/Table13[[#This Row],[Shares]]/Table13[[#This Row],[Multiplier]]</f>
        <v>15.084199999999999</v>
      </c>
      <c r="M613" s="5">
        <f>Table13[[#This Row],[Close Value]]/Table13[[#This Row],[Shares]]/Table13[[#This Row],[Multiplier]]</f>
        <v>15.736946</v>
      </c>
      <c r="N613" s="5">
        <v>3263.73</v>
      </c>
      <c r="O613" s="3">
        <f>Table13[[#This Row],[PnL]]/Table13[[#This Row],[Open Value]]</f>
        <v>4.3273491467893554E-2</v>
      </c>
      <c r="P613" s="9">
        <f t="shared" si="9"/>
        <v>288283.11845814012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97</v>
      </c>
      <c r="D614" t="s">
        <v>7</v>
      </c>
      <c r="E614" s="11">
        <v>45453</v>
      </c>
      <c r="F614" s="7">
        <v>45463</v>
      </c>
      <c r="G614" t="s">
        <v>130</v>
      </c>
      <c r="H614">
        <v>40</v>
      </c>
      <c r="I614" s="5">
        <f>4682.68-1037.17</f>
        <v>3645.51</v>
      </c>
      <c r="J614" s="13">
        <v>100</v>
      </c>
      <c r="K614" s="5">
        <f>Table13[[#This Row],[Open Value]]+Table13[[#This Row],[PnL]]</f>
        <v>1333.0100000000002</v>
      </c>
      <c r="L614" s="5">
        <f>Table13[[#This Row],[Open Value]]/Table13[[#This Row],[Shares]]/Table13[[#This Row],[Multiplier]]</f>
        <v>0.91137750000000006</v>
      </c>
      <c r="M614" s="5">
        <f>Table13[[#This Row],[Close Value]]/Table13[[#This Row],[Shares]]/Table13[[#This Row],[Multiplier]]</f>
        <v>0.33325250000000006</v>
      </c>
      <c r="N614" s="5">
        <f>-3025.76+713.26</f>
        <v>-2312.5</v>
      </c>
      <c r="O614" s="3">
        <f>Table13[[#This Row],[PnL]]/Table13[[#This Row],[Open Value]]</f>
        <v>-0.63434197135654546</v>
      </c>
      <c r="P614" s="9">
        <f t="shared" si="9"/>
        <v>285970.61845814012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197</v>
      </c>
      <c r="B615" t="s">
        <v>302</v>
      </c>
      <c r="C615" t="s">
        <v>99</v>
      </c>
      <c r="D615" t="s">
        <v>7</v>
      </c>
      <c r="E615" s="11">
        <v>45453</v>
      </c>
      <c r="F615" s="7">
        <v>45464</v>
      </c>
      <c r="G615" t="s">
        <v>133</v>
      </c>
      <c r="H615">
        <v>10</v>
      </c>
      <c r="I615" s="5">
        <v>3326.92</v>
      </c>
      <c r="J615" s="13">
        <v>100</v>
      </c>
      <c r="K615" s="5">
        <v>0</v>
      </c>
      <c r="L615" s="5">
        <f>Table13[[#This Row],[Open Value]]/Table13[[#This Row],[Shares]]/Table13[[#This Row],[Multiplier]]</f>
        <v>3.3269199999999999</v>
      </c>
      <c r="M615" s="5">
        <f>Table13[[#This Row],[Close Value]]/Table13[[#This Row],[Shares]]/Table13[[#This Row],[Multiplier]]</f>
        <v>0</v>
      </c>
      <c r="N615" s="5">
        <v>-3326.92</v>
      </c>
      <c r="O615" s="3">
        <v>-1</v>
      </c>
      <c r="P615" s="9">
        <f t="shared" si="9"/>
        <v>282643.69845814013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11</v>
      </c>
      <c r="H616">
        <v>125</v>
      </c>
      <c r="I616" s="5">
        <v>112327.5</v>
      </c>
      <c r="J616" s="13">
        <v>1</v>
      </c>
      <c r="K616" s="5">
        <v>140081.62</v>
      </c>
      <c r="L616" s="5">
        <f>Table13[[#This Row],[Open Value]]/Table13[[#This Row],[Shares]]/Table13[[#This Row],[Multiplier]]</f>
        <v>898.62</v>
      </c>
      <c r="M616" s="5">
        <f>Table13[[#This Row],[Close Value]]/Table13[[#This Row],[Shares]]/Table13[[#This Row],[Multiplier]]</f>
        <v>1120.6529599999999</v>
      </c>
      <c r="N616" s="5">
        <v>27401</v>
      </c>
      <c r="O616" s="3">
        <v>0.24708214818276911</v>
      </c>
      <c r="P616" s="9">
        <f t="shared" si="9"/>
        <v>310044.69845814013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303</v>
      </c>
      <c r="C617" t="s">
        <v>16</v>
      </c>
      <c r="D617" t="s">
        <v>7</v>
      </c>
      <c r="E617" s="5"/>
      <c r="F617" s="7">
        <v>45464</v>
      </c>
      <c r="G617" t="s">
        <v>72</v>
      </c>
      <c r="H617">
        <v>200</v>
      </c>
      <c r="I617" s="5">
        <v>42913</v>
      </c>
      <c r="J617" s="13">
        <v>1</v>
      </c>
      <c r="K617" s="5">
        <v>40260.79</v>
      </c>
      <c r="L617" s="5">
        <f>Table13[[#This Row],[Open Value]]/Table13[[#This Row],[Shares]]/Table13[[#This Row],[Multiplier]]</f>
        <v>214.565</v>
      </c>
      <c r="M617" s="5">
        <f>Table13[[#This Row],[Close Value]]/Table13[[#This Row],[Shares]]/Table13[[#This Row],[Multiplier]]</f>
        <v>201.30395000000001</v>
      </c>
      <c r="N617" s="5">
        <v>-2652.2099999999991</v>
      </c>
      <c r="O617" s="3">
        <v>-2.5000000000000001E-2</v>
      </c>
      <c r="P617" s="9">
        <f t="shared" si="9"/>
        <v>307392.48845814011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201</v>
      </c>
      <c r="B618" t="s">
        <v>302</v>
      </c>
      <c r="C618" t="s">
        <v>12</v>
      </c>
      <c r="D618" t="s">
        <v>7</v>
      </c>
      <c r="E618" s="11">
        <v>45464</v>
      </c>
      <c r="F618" s="7">
        <v>45467</v>
      </c>
      <c r="G618" t="s">
        <v>268</v>
      </c>
      <c r="H618">
        <v>3</v>
      </c>
      <c r="I618" s="5">
        <v>335182.40999999997</v>
      </c>
      <c r="J618" s="13">
        <v>25000</v>
      </c>
      <c r="K618" s="5">
        <f>Table13[[#This Row],[Open Value]]+Table13[[#This Row],[PnL]]</f>
        <v>332355.08999999997</v>
      </c>
      <c r="L618" s="5">
        <f>Table13[[#This Row],[Open Value]]/Table13[[#This Row],[Shares]]/Table13[[#This Row],[Multiplier]]</f>
        <v>4.4690987999999994</v>
      </c>
      <c r="M618" s="5">
        <f>Table13[[#This Row],[Close Value]]/Table13[[#This Row],[Shares]]/Table13[[#This Row],[Multiplier]]</f>
        <v>4.4314011999999989</v>
      </c>
      <c r="N618" s="5">
        <v>-2827.32</v>
      </c>
      <c r="O618" s="3">
        <f>Table13[[#This Row],[PnL]]/Table13[[#This Row],[Open Value]]</f>
        <v>-8.4351681820057332E-3</v>
      </c>
      <c r="P618" s="9">
        <f t="shared" si="9"/>
        <v>304565.16845814011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301</v>
      </c>
    </row>
    <row r="619" spans="1:20" x14ac:dyDescent="0.25">
      <c r="A619" t="s">
        <v>197</v>
      </c>
      <c r="B619" t="s">
        <v>305</v>
      </c>
      <c r="C619" t="s">
        <v>102</v>
      </c>
      <c r="D619" t="s">
        <v>7</v>
      </c>
      <c r="E619" s="11">
        <v>45359</v>
      </c>
      <c r="F619" s="7">
        <v>45467</v>
      </c>
      <c r="G619" t="s">
        <v>15</v>
      </c>
      <c r="H619">
        <v>50</v>
      </c>
      <c r="I619" s="5">
        <v>30282.5</v>
      </c>
      <c r="J619" s="13">
        <v>100</v>
      </c>
      <c r="K619" s="5">
        <v>0</v>
      </c>
      <c r="L619" s="5">
        <f>Table13[[#This Row],[Open Value]]/Table13[[#This Row],[Shares]]/Table13[[#This Row],[Multiplier]]</f>
        <v>6.0564999999999998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-30282.5</v>
      </c>
      <c r="O619" s="3">
        <f>Table13[[#This Row],[PnL]]/Table13[[#This Row],[Open Value]]</f>
        <v>-1</v>
      </c>
      <c r="P619" s="9">
        <f t="shared" si="9"/>
        <v>274282.66845814011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197</v>
      </c>
      <c r="B620" t="s">
        <v>303</v>
      </c>
      <c r="C620" t="s">
        <v>102</v>
      </c>
      <c r="D620" t="s">
        <v>7</v>
      </c>
      <c r="E620" s="11">
        <v>45356</v>
      </c>
      <c r="F620" s="7">
        <v>45467</v>
      </c>
      <c r="G620" t="s">
        <v>293</v>
      </c>
      <c r="H620">
        <v>400</v>
      </c>
      <c r="I620" s="5">
        <v>30260</v>
      </c>
      <c r="J620" s="13">
        <v>100</v>
      </c>
      <c r="K620" s="5">
        <v>0</v>
      </c>
      <c r="L620" s="5">
        <f>Table13[[#This Row],[Open Value]]/Table13[[#This Row],[Shares]]/Table13[[#This Row],[Multiplier]]</f>
        <v>0.75650000000000006</v>
      </c>
      <c r="M620" s="5">
        <f>Table13[[#This Row],[Close Value]]/Table13[[#This Row],[Shares]]/Table13[[#This Row],[Multiplier]]</f>
        <v>0</v>
      </c>
      <c r="N620" s="5">
        <f>Table13[[#This Row],[Close Value]]-Table13[[#This Row],[Open Value]]</f>
        <v>-30260</v>
      </c>
      <c r="O620" s="3">
        <f>Table13[[#This Row],[PnL]]/Table13[[#This Row],[Open Value]]</f>
        <v>-1</v>
      </c>
      <c r="P620" s="9">
        <f t="shared" si="9"/>
        <v>244022.66845814011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203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5"/>
      <c r="F621" s="7">
        <v>45468</v>
      </c>
      <c r="G621" t="s">
        <v>195</v>
      </c>
      <c r="H621">
        <v>1450</v>
      </c>
      <c r="I621" s="5">
        <v>71920</v>
      </c>
      <c r="J621" s="13">
        <v>1</v>
      </c>
      <c r="K621" s="5">
        <v>72664.66</v>
      </c>
      <c r="L621" s="5">
        <f>Table13[[#This Row],[Open Value]]/Table13[[#This Row],[Shares]]/Table13[[#This Row],[Multiplier]]</f>
        <v>49.6</v>
      </c>
      <c r="M621" s="5">
        <f>Table13[[#This Row],[Close Value]]/Table13[[#This Row],[Shares]]/Table13[[#This Row],[Multiplier]]</f>
        <v>50.113558620689659</v>
      </c>
      <c r="N621" s="5">
        <v>744.66000000000349</v>
      </c>
      <c r="O621" s="3">
        <v>1.0354004449388257E-2</v>
      </c>
      <c r="P621" s="9">
        <f t="shared" si="9"/>
        <v>244767.32845814011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303</v>
      </c>
      <c r="C622" t="s">
        <v>16</v>
      </c>
      <c r="D622" t="s">
        <v>7</v>
      </c>
      <c r="E622" s="11">
        <v>45461</v>
      </c>
      <c r="F622" s="7">
        <v>45468</v>
      </c>
      <c r="G622" t="s">
        <v>284</v>
      </c>
      <c r="H622">
        <v>6500</v>
      </c>
      <c r="I622" s="5">
        <v>275625.15999999997</v>
      </c>
      <c r="J622" s="13">
        <v>1</v>
      </c>
      <c r="K622" s="5">
        <f>Table13[[#This Row],[Open Value]]+Table13[[#This Row],[PnL]]</f>
        <v>270801.52999999997</v>
      </c>
      <c r="L622" s="5">
        <f>Table13[[#This Row],[Open Value]]/Table13[[#This Row],[Shares]]/Table13[[#This Row],[Multiplier]]</f>
        <v>42.403870769230764</v>
      </c>
      <c r="M622" s="5">
        <f>Table13[[#This Row],[Close Value]]/Table13[[#This Row],[Shares]]/Table13[[#This Row],[Multiplier]]</f>
        <v>41.661773846153842</v>
      </c>
      <c r="N622" s="5">
        <v>-4823.63</v>
      </c>
      <c r="O622" s="3">
        <f>Table13[[#This Row],[PnL]]/Table13[[#This Row],[Open Value]]</f>
        <v>-1.7500688253568725E-2</v>
      </c>
      <c r="P622" s="9">
        <f t="shared" si="9"/>
        <v>239943.6984581401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302</v>
      </c>
      <c r="C623" t="s">
        <v>12</v>
      </c>
      <c r="D623" t="s">
        <v>7</v>
      </c>
      <c r="E623" s="11">
        <v>45467</v>
      </c>
      <c r="F623" s="7">
        <v>45468</v>
      </c>
      <c r="G623" t="s">
        <v>268</v>
      </c>
      <c r="H623">
        <v>3</v>
      </c>
      <c r="I623" s="5">
        <v>331762.5</v>
      </c>
      <c r="J623" s="13">
        <v>25000</v>
      </c>
      <c r="K623" s="5">
        <f>Table13[[#This Row],[Open Value]]+Table13[[#This Row],[PnL]]</f>
        <v>326835.18</v>
      </c>
      <c r="L623" s="5">
        <f>Table13[[#This Row],[Open Value]]/Table13[[#This Row],[Shares]]/Table13[[#This Row],[Multiplier]]</f>
        <v>4.4234999999999998</v>
      </c>
      <c r="M623" s="5">
        <f>Table13[[#This Row],[Close Value]]/Table13[[#This Row],[Shares]]/Table13[[#This Row],[Multiplier]]</f>
        <v>4.3578023999999997</v>
      </c>
      <c r="N623" s="5">
        <v>-4927.32</v>
      </c>
      <c r="O623" s="3">
        <f>Table13[[#This Row],[PnL]]/Table13[[#This Row],[Open Value]]</f>
        <v>-1.48519498134961E-2</v>
      </c>
      <c r="P623" s="9">
        <f t="shared" si="9"/>
        <v>235016.3784581401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201</v>
      </c>
      <c r="B624" t="s">
        <v>303</v>
      </c>
      <c r="C624" t="s">
        <v>12</v>
      </c>
      <c r="D624" t="s">
        <v>7</v>
      </c>
      <c r="E624" s="11">
        <v>45448</v>
      </c>
      <c r="F624" s="7">
        <v>45469</v>
      </c>
      <c r="G624" t="s">
        <v>88</v>
      </c>
      <c r="H624">
        <v>10</v>
      </c>
      <c r="I624" s="5">
        <v>210544.9</v>
      </c>
      <c r="J624" s="13">
        <v>1120</v>
      </c>
      <c r="K624" s="5">
        <f>Table13[[#This Row],[Open Value]]+Table13[[#This Row],[PnL]]</f>
        <v>213106.3</v>
      </c>
      <c r="L624" s="5">
        <f>Table13[[#This Row],[Open Value]]/Table13[[#This Row],[Shares]]/Table13[[#This Row],[Multiplier]]</f>
        <v>18.798651785714284</v>
      </c>
      <c r="M624" s="5">
        <f>Table13[[#This Row],[Close Value]]/Table13[[#This Row],[Shares]]/Table13[[#This Row],[Multiplier]]</f>
        <v>19.027348214285713</v>
      </c>
      <c r="N624" s="5">
        <v>2561.4</v>
      </c>
      <c r="O624" s="3">
        <f>Table13[[#This Row],[PnL]]/Table13[[#This Row],[Open Value]]</f>
        <v>1.2165576083771206E-2</v>
      </c>
      <c r="P624" s="9">
        <f t="shared" si="9"/>
        <v>237577.77845814009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97</v>
      </c>
      <c r="D625" t="s">
        <v>7</v>
      </c>
      <c r="E625" s="11">
        <v>45457</v>
      </c>
      <c r="F625" s="7">
        <v>45470</v>
      </c>
      <c r="G625" t="s">
        <v>186</v>
      </c>
      <c r="H625">
        <v>8</v>
      </c>
      <c r="I625" s="5">
        <v>2824</v>
      </c>
      <c r="J625" s="13">
        <v>100</v>
      </c>
      <c r="K625" s="5">
        <v>3020.57</v>
      </c>
      <c r="L625" s="5">
        <v>3.53</v>
      </c>
      <c r="M625" s="5">
        <v>3.7757125</v>
      </c>
      <c r="N625" s="5">
        <v>196.57000000000016</v>
      </c>
      <c r="O625" s="3">
        <v>6.9606940509915075E-2</v>
      </c>
      <c r="P625" s="9">
        <f t="shared" si="9"/>
        <v>237774.3484581401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98</v>
      </c>
      <c r="D626" t="s">
        <v>7</v>
      </c>
      <c r="E626" s="11">
        <v>45464</v>
      </c>
      <c r="F626" s="7">
        <v>45470</v>
      </c>
      <c r="G626" t="s">
        <v>251</v>
      </c>
      <c r="H626">
        <v>2</v>
      </c>
      <c r="I626" s="5">
        <f>3803.05-300.94</f>
        <v>3502.11</v>
      </c>
      <c r="J626" s="13">
        <v>100</v>
      </c>
      <c r="K626" s="5">
        <f>Table13[[#This Row],[Open Value]]+Table13[[#This Row],[PnL]]</f>
        <v>1705.15</v>
      </c>
      <c r="L626" s="5">
        <f>Table13[[#This Row],[Open Value]]/Table13[[#This Row],[Shares]]/Table13[[#This Row],[Multiplier]]</f>
        <v>17.510550000000002</v>
      </c>
      <c r="M626" s="5">
        <f>Table13[[#This Row],[Close Value]]/Table13[[#This Row],[Shares]]/Table13[[#This Row],[Multiplier]]</f>
        <v>8.5257500000000004</v>
      </c>
      <c r="N626" s="5">
        <f>201.54-1998.5</f>
        <v>-1796.96</v>
      </c>
      <c r="O626" s="3">
        <f>Table13[[#This Row],[PnL]]/Table13[[#This Row],[Open Value]]</f>
        <v>-0.51310781214753387</v>
      </c>
      <c r="P626" s="9">
        <f t="shared" si="9"/>
        <v>235977.38845814011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97</v>
      </c>
      <c r="D627" t="s">
        <v>7</v>
      </c>
      <c r="E627" s="11">
        <v>45464</v>
      </c>
      <c r="F627" s="7">
        <v>45471</v>
      </c>
      <c r="G627" t="s">
        <v>278</v>
      </c>
      <c r="H627">
        <v>10</v>
      </c>
      <c r="I627" s="5">
        <v>3150</v>
      </c>
      <c r="J627" s="13">
        <v>100</v>
      </c>
      <c r="K627" s="5">
        <v>3616.48</v>
      </c>
      <c r="L627" s="5">
        <f>Table13[[#This Row],[Open Value]]/Table13[[#This Row],[Shares]]/Table13[[#This Row],[Multiplier]]</f>
        <v>3.15</v>
      </c>
      <c r="M627" s="5">
        <f>Table13[[#This Row],[Close Value]]/Table13[[#This Row],[Shares]]/Table13[[#This Row],[Multiplier]]</f>
        <v>3.6164800000000001</v>
      </c>
      <c r="N627" s="5">
        <v>466.48</v>
      </c>
      <c r="O627" s="3">
        <v>0.14808888888888896</v>
      </c>
      <c r="P627" s="9">
        <f t="shared" si="9"/>
        <v>236443.86845814012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45455</v>
      </c>
      <c r="F628" s="7">
        <v>45471</v>
      </c>
      <c r="G628" t="s">
        <v>10</v>
      </c>
      <c r="H628">
        <v>20</v>
      </c>
      <c r="I628" s="5">
        <v>2460</v>
      </c>
      <c r="J628" s="13">
        <v>100</v>
      </c>
      <c r="K628" s="5">
        <v>0</v>
      </c>
      <c r="L628" s="5">
        <f>Table13[[#This Row],[Open Value]]/Table13[[#This Row],[Shares]]/Table13[[#This Row],[Multiplier]]</f>
        <v>1.23</v>
      </c>
      <c r="M628" s="5">
        <f>Table13[[#This Row],[Close Value]]/Table13[[#This Row],[Shares]]/Table13[[#This Row],[Multiplier]]</f>
        <v>0</v>
      </c>
      <c r="N628" s="5">
        <v>-2460</v>
      </c>
      <c r="O628" s="3">
        <v>-1</v>
      </c>
      <c r="P628" s="9">
        <f t="shared" si="9"/>
        <v>233983.86845814012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98</v>
      </c>
      <c r="D629" t="s">
        <v>7</v>
      </c>
      <c r="E629" s="11">
        <v>45467</v>
      </c>
      <c r="F629" s="7">
        <v>45471</v>
      </c>
      <c r="G629" t="s">
        <v>53</v>
      </c>
      <c r="H629">
        <v>125</v>
      </c>
      <c r="I629" s="5">
        <v>2896</v>
      </c>
      <c r="J629" s="13">
        <v>100</v>
      </c>
      <c r="K629" s="5">
        <v>5933.25</v>
      </c>
      <c r="L629" s="5">
        <f>Table13[[#This Row],[Open Value]]/Table13[[#This Row],[Shares]]/Table13[[#This Row],[Multiplier]]</f>
        <v>0.23168</v>
      </c>
      <c r="M629" s="5">
        <f>Table13[[#This Row],[Close Value]]/Table13[[#This Row],[Shares]]/Table13[[#This Row],[Multiplier]]</f>
        <v>0.47466000000000003</v>
      </c>
      <c r="N629" s="5">
        <v>3037.25</v>
      </c>
      <c r="O629" s="3">
        <v>1.0487741712707184</v>
      </c>
      <c r="P629" s="9">
        <f t="shared" si="9"/>
        <v>237021.11845814012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97</v>
      </c>
      <c r="D630" t="s">
        <v>7</v>
      </c>
      <c r="E630" s="11">
        <v>45464</v>
      </c>
      <c r="F630" s="7">
        <v>45471</v>
      </c>
      <c r="G630" t="s">
        <v>278</v>
      </c>
      <c r="H630">
        <v>10</v>
      </c>
      <c r="I630" s="5">
        <f>3371.47-212.5</f>
        <v>3158.97</v>
      </c>
      <c r="J630" s="13">
        <v>100</v>
      </c>
      <c r="K630" s="5">
        <f>Table13[[#This Row],[Open Value]]+Table13[[#This Row],[PnL]]</f>
        <v>3625.45</v>
      </c>
      <c r="L630" s="5">
        <f>Table13[[#This Row],[Open Value]]/Table13[[#This Row],[Shares]]/Table13[[#This Row],[Multiplier]]</f>
        <v>3.1589700000000001</v>
      </c>
      <c r="M630" s="5">
        <f>Table13[[#This Row],[Close Value]]/Table13[[#This Row],[Shares]]/Table13[[#This Row],[Multiplier]]</f>
        <v>3.6254499999999994</v>
      </c>
      <c r="N630" s="5">
        <f>350.42+116.06</f>
        <v>466.48</v>
      </c>
      <c r="O630" s="3">
        <f>Table13[[#This Row],[PnL]]/Table13[[#This Row],[Open Value]]</f>
        <v>0.14766838558137621</v>
      </c>
      <c r="P630" s="9">
        <f t="shared" si="9"/>
        <v>237487.59845814013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45455</v>
      </c>
      <c r="F631" s="7">
        <v>45471</v>
      </c>
      <c r="G631" t="s">
        <v>10</v>
      </c>
      <c r="H631">
        <v>5</v>
      </c>
      <c r="I631" s="5">
        <v>9575</v>
      </c>
      <c r="J631" s="13">
        <v>100</v>
      </c>
      <c r="K631" s="5">
        <f>Table13[[#This Row],[Open Value]]+Table13[[#This Row],[PnL]]</f>
        <v>13030</v>
      </c>
      <c r="L631" s="5">
        <f>Table13[[#This Row],[Open Value]]/Table13[[#This Row],[Shares]]/Table13[[#This Row],[Multiplier]]</f>
        <v>19.149999999999999</v>
      </c>
      <c r="M631" s="5">
        <f>Table13[[#This Row],[Close Value]]/Table13[[#This Row],[Shares]]/Table13[[#This Row],[Multiplier]]</f>
        <v>26.06</v>
      </c>
      <c r="N631" s="5">
        <v>3455</v>
      </c>
      <c r="O631" s="3">
        <f>Table13[[#This Row],[PnL]]/Table13[[#This Row],[Open Value]]</f>
        <v>0.36083550913838119</v>
      </c>
      <c r="P631" s="9">
        <f t="shared" si="9"/>
        <v>240942.59845814013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102</v>
      </c>
      <c r="D632" t="s">
        <v>7</v>
      </c>
      <c r="E632" s="11">
        <v>45397</v>
      </c>
      <c r="F632" s="7">
        <v>45473</v>
      </c>
      <c r="G632" t="s">
        <v>10</v>
      </c>
      <c r="H632">
        <v>8</v>
      </c>
      <c r="I632" s="5">
        <v>14405.49</v>
      </c>
      <c r="J632" s="13">
        <v>100</v>
      </c>
      <c r="K632" s="5">
        <v>27867</v>
      </c>
      <c r="L632" s="5">
        <v>18.0068625</v>
      </c>
      <c r="M632" s="5">
        <v>34.833750000000002</v>
      </c>
      <c r="N632" s="5">
        <v>13461.51</v>
      </c>
      <c r="O632" s="3">
        <v>0.93447081633460582</v>
      </c>
      <c r="P632" s="9">
        <f t="shared" si="9"/>
        <v>254404.10845814014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98</v>
      </c>
      <c r="D633" t="s">
        <v>7</v>
      </c>
      <c r="E633" s="11">
        <v>45448</v>
      </c>
      <c r="F633" s="7">
        <v>45473</v>
      </c>
      <c r="G633" t="s">
        <v>276</v>
      </c>
      <c r="H633">
        <v>30</v>
      </c>
      <c r="I633" s="5">
        <v>3621</v>
      </c>
      <c r="J633" s="13">
        <v>100</v>
      </c>
      <c r="K633" s="5">
        <v>5236</v>
      </c>
      <c r="L633" s="5">
        <f>Table13[[#This Row],[Open Value]]/Table13[[#This Row],[Shares]]/Table13[[#This Row],[Multiplier]]</f>
        <v>1.2070000000000001</v>
      </c>
      <c r="M633" s="5">
        <f>Table13[[#This Row],[Close Value]]/Table13[[#This Row],[Shares]]/Table13[[#This Row],[Multiplier]]</f>
        <v>1.7453333333333334</v>
      </c>
      <c r="N633" s="5">
        <v>1615</v>
      </c>
      <c r="O633" s="3">
        <v>0.4460093896713615</v>
      </c>
      <c r="P633" s="9">
        <f t="shared" si="9"/>
        <v>256019.10845814014</v>
      </c>
      <c r="Q633" s="5" t="str">
        <f>TEXT(Table13[[#This Row],[Closing Date]],"yyyy")</f>
        <v>2024</v>
      </c>
      <c r="R633" s="5" t="str">
        <f>TEXT(Table13[[#This Row],[Closing Date]],"mmmm")</f>
        <v>June</v>
      </c>
      <c r="S633" s="5" t="s">
        <v>240</v>
      </c>
      <c r="T633" s="5" t="s">
        <v>301</v>
      </c>
    </row>
    <row r="634" spans="1:20" x14ac:dyDescent="0.25">
      <c r="A634" t="s">
        <v>197</v>
      </c>
      <c r="B634" t="s">
        <v>302</v>
      </c>
      <c r="C634" t="s">
        <v>97</v>
      </c>
      <c r="D634" t="s">
        <v>7</v>
      </c>
      <c r="E634" s="11">
        <v>45474</v>
      </c>
      <c r="F634" s="7">
        <v>45474</v>
      </c>
      <c r="G634" t="s">
        <v>11</v>
      </c>
      <c r="H634">
        <v>12</v>
      </c>
      <c r="I634" s="5">
        <v>3788</v>
      </c>
      <c r="J634" s="13">
        <v>100</v>
      </c>
      <c r="K634" s="5">
        <v>4244</v>
      </c>
      <c r="L634" s="5">
        <f>Table13[[#This Row],[Open Value]]/Table13[[#This Row],[Shares]]/Table13[[#This Row],[Multiplier]]</f>
        <v>3.1566666666666667</v>
      </c>
      <c r="M634" s="5">
        <f>Table13[[#This Row],[Close Value]]/Table13[[#This Row],[Shares]]/Table13[[#This Row],[Multiplier]]</f>
        <v>3.5366666666666671</v>
      </c>
      <c r="N634" s="5">
        <v>456</v>
      </c>
      <c r="O634" s="3">
        <v>0.12038014783526937</v>
      </c>
      <c r="P634" s="9">
        <f t="shared" si="9"/>
        <v>256475.10845814014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45461</v>
      </c>
      <c r="F635" s="7">
        <v>45474</v>
      </c>
      <c r="G635" t="s">
        <v>287</v>
      </c>
      <c r="H635">
        <v>250000</v>
      </c>
      <c r="I635" s="5">
        <v>2058270</v>
      </c>
      <c r="J635" s="13">
        <v>1</v>
      </c>
      <c r="K635" s="5">
        <f>Table13[[#This Row],[Open Value]]+Table13[[#This Row],[PnL]]</f>
        <v>2053770.4748056266</v>
      </c>
      <c r="L635" s="5">
        <f>Table13[[#This Row],[Open Value]]/Table13[[#This Row],[Shares]]/Table13[[#This Row],[Multiplier]]</f>
        <v>8.2330799999999993</v>
      </c>
      <c r="M635" s="5">
        <f>Table13[[#This Row],[Close Value]]/Table13[[#This Row],[Shares]]/Table13[[#This Row],[Multiplier]]</f>
        <v>8.2150818992225059</v>
      </c>
      <c r="N635" s="5">
        <f>(2021880-Table13[[#This Row],[Open Value]])/8.08752</f>
        <v>-4499.5251943735539</v>
      </c>
      <c r="O635" s="3">
        <f>Table13[[#This Row],[PnL]]/Table13[[#This Row],[Open Value]]</f>
        <v>-2.1860714067510841E-3</v>
      </c>
      <c r="P635" s="9">
        <f t="shared" si="9"/>
        <v>251975.58326376657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201</v>
      </c>
      <c r="B636" t="s">
        <v>303</v>
      </c>
      <c r="C636" t="s">
        <v>4</v>
      </c>
      <c r="D636" t="s">
        <v>7</v>
      </c>
      <c r="E636" s="11">
        <v>45463</v>
      </c>
      <c r="F636" s="7">
        <v>45474</v>
      </c>
      <c r="G636" t="s">
        <v>288</v>
      </c>
      <c r="H636">
        <v>400000</v>
      </c>
      <c r="I636" s="5">
        <v>148146800</v>
      </c>
      <c r="J636" s="13">
        <v>1</v>
      </c>
      <c r="K636" s="5">
        <f>Table13[[#This Row],[Open Value]]+Table13[[#This Row],[PnL]]</f>
        <v>148142003.42833763</v>
      </c>
      <c r="L636" s="5">
        <f>Table13[[#This Row],[Open Value]]/Table13[[#This Row],[Shares]]/Table13[[#This Row],[Multiplier]]</f>
        <v>370.36700000000002</v>
      </c>
      <c r="M636" s="5">
        <f>Table13[[#This Row],[Close Value]]/Table13[[#This Row],[Shares]]/Table13[[#This Row],[Multiplier]]</f>
        <v>370.35500857084406</v>
      </c>
      <c r="N636" s="5">
        <f>(146400400-Table13[[#This Row],[Open Value]])/366.001-25</f>
        <v>-4796.5716623725075</v>
      </c>
      <c r="O636" s="3">
        <f>Table13[[#This Row],[PnL]]/Table13[[#This Row],[Open Value]]</f>
        <v>-3.237715335310994E-5</v>
      </c>
      <c r="P636" s="9">
        <f t="shared" si="9"/>
        <v>247179.01160139407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97</v>
      </c>
      <c r="D637" t="s">
        <v>7</v>
      </c>
      <c r="E637" s="11">
        <v>45468</v>
      </c>
      <c r="F637" s="7">
        <v>45476</v>
      </c>
      <c r="G637" t="s">
        <v>279</v>
      </c>
      <c r="H637">
        <v>10</v>
      </c>
      <c r="I637" s="5">
        <v>4050</v>
      </c>
      <c r="J637" s="13">
        <v>100</v>
      </c>
      <c r="K637" s="5">
        <v>4394.63</v>
      </c>
      <c r="L637" s="5">
        <f>Table13[[#This Row],[Open Value]]/Table13[[#This Row],[Shares]]/Table13[[#This Row],[Multiplier]]</f>
        <v>4.05</v>
      </c>
      <c r="M637" s="5">
        <f>Table13[[#This Row],[Close Value]]/Table13[[#This Row],[Shares]]/Table13[[#This Row],[Multiplier]]</f>
        <v>4.3946300000000003</v>
      </c>
      <c r="N637" s="5">
        <v>344.63000000000011</v>
      </c>
      <c r="O637" s="3">
        <v>8.5093827160493934E-2</v>
      </c>
      <c r="P637" s="9">
        <f t="shared" si="9"/>
        <v>247523.64160139408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99</v>
      </c>
      <c r="D638" t="s">
        <v>7</v>
      </c>
      <c r="E638" s="11">
        <v>45470</v>
      </c>
      <c r="F638" s="7">
        <v>45478</v>
      </c>
      <c r="G638" t="s">
        <v>266</v>
      </c>
      <c r="H638">
        <v>40</v>
      </c>
      <c r="I638" s="5">
        <v>2307.4699999999998</v>
      </c>
      <c r="J638" s="13">
        <v>100</v>
      </c>
      <c r="K638" s="5">
        <f>Table13[[#This Row],[Open Value]]+Table13[[#This Row],[PnL]]</f>
        <v>0</v>
      </c>
      <c r="L638" s="5">
        <f>Table13[[#This Row],[Open Value]]/Table13[[#This Row],[Shares]]/Table13[[#This Row],[Multiplier]]</f>
        <v>0.57686749999999998</v>
      </c>
      <c r="M638" s="5">
        <f>Table13[[#This Row],[Close Value]]/Table13[[#This Row],[Shares]]/Table13[[#This Row],[Multiplier]]</f>
        <v>0</v>
      </c>
      <c r="N638" s="5">
        <v>-2307.4699999999998</v>
      </c>
      <c r="O638" s="3">
        <f>Table13[[#This Row],[PnL]]/Table13[[#This Row],[Open Value]]</f>
        <v>-1</v>
      </c>
      <c r="P638" s="9">
        <f t="shared" si="9"/>
        <v>245216.17160139407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97</v>
      </c>
      <c r="D639" t="s">
        <v>7</v>
      </c>
      <c r="E639" s="11">
        <v>45474</v>
      </c>
      <c r="F639" s="7">
        <v>45478</v>
      </c>
      <c r="G639" t="s">
        <v>162</v>
      </c>
      <c r="H639">
        <v>6</v>
      </c>
      <c r="I639" s="5">
        <f>-93.9+3548.08</f>
        <v>3454.18</v>
      </c>
      <c r="J639" s="13">
        <v>100</v>
      </c>
      <c r="K639" s="5">
        <f>Table13[[#This Row],[Open Value]]+Table13[[#This Row],[PnL]]</f>
        <v>8453.09</v>
      </c>
      <c r="L639" s="5">
        <f>Table13[[#This Row],[Open Value]]/Table13[[#This Row],[Shares]]/Table13[[#This Row],[Multiplier]]</f>
        <v>5.7569666666666661</v>
      </c>
      <c r="M639" s="5">
        <f>Table13[[#This Row],[Close Value]]/Table13[[#This Row],[Shares]]/Table13[[#This Row],[Multiplier]]</f>
        <v>14.088483333333334</v>
      </c>
      <c r="N639" s="5">
        <f>4947.54+51.37</f>
        <v>4998.91</v>
      </c>
      <c r="O639" s="3">
        <f>Table13[[#This Row],[PnL]]/Table13[[#This Row],[Open Value]]</f>
        <v>1.4472059938972492</v>
      </c>
      <c r="P639" s="9">
        <f t="shared" si="9"/>
        <v>250215.08160139408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197</v>
      </c>
      <c r="B640" t="s">
        <v>302</v>
      </c>
      <c r="C640" t="s">
        <v>99</v>
      </c>
      <c r="D640" t="s">
        <v>7</v>
      </c>
      <c r="E640" s="11">
        <v>45463</v>
      </c>
      <c r="F640" s="7">
        <v>45483</v>
      </c>
      <c r="G640" t="s">
        <v>130</v>
      </c>
      <c r="H640">
        <v>25</v>
      </c>
      <c r="I640" s="5">
        <v>3642.17</v>
      </c>
      <c r="J640" s="13">
        <v>100</v>
      </c>
      <c r="K640" s="5">
        <f>Table13[[#This Row],[Open Value]]+Table13[[#This Row],[PnL]]</f>
        <v>6128.59</v>
      </c>
      <c r="L640" s="5">
        <f>Table13[[#This Row],[Open Value]]/Table13[[#This Row],[Shares]]/Table13[[#This Row],[Multiplier]]</f>
        <v>1.4568680000000001</v>
      </c>
      <c r="M640" s="5">
        <f>Table13[[#This Row],[Close Value]]/Table13[[#This Row],[Shares]]/Table13[[#This Row],[Multiplier]]</f>
        <v>2.4514359999999997</v>
      </c>
      <c r="N640" s="5">
        <v>2486.42</v>
      </c>
      <c r="O640" s="3">
        <f>Table13[[#This Row],[PnL]]/Table13[[#This Row],[Open Value]]</f>
        <v>0.68267543799438246</v>
      </c>
      <c r="P640" s="9">
        <f t="shared" si="9"/>
        <v>252701.50160139409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12</v>
      </c>
      <c r="D641" t="s">
        <v>7</v>
      </c>
      <c r="E641" s="11">
        <v>45482</v>
      </c>
      <c r="F641" s="7">
        <v>45484</v>
      </c>
      <c r="G641" t="s">
        <v>86</v>
      </c>
      <c r="H641">
        <v>75</v>
      </c>
      <c r="I641" s="5">
        <v>323292.75</v>
      </c>
      <c r="J641" s="13">
        <v>1000</v>
      </c>
      <c r="K641" s="5">
        <f>Table13[[#This Row],[Open Value]]+Table13[[#This Row],[PnL]]</f>
        <v>313401.25</v>
      </c>
      <c r="L641" s="5">
        <f>Table13[[#This Row],[Open Value]]/Table13[[#This Row],[Shares]]/Table13[[#This Row],[Multiplier]]</f>
        <v>4.3105699999999993</v>
      </c>
      <c r="M641" s="5">
        <f>Table13[[#This Row],[Close Value]]/Table13[[#This Row],[Shares]]/Table13[[#This Row],[Multiplier]]</f>
        <v>4.1786833333333337</v>
      </c>
      <c r="N641" s="5">
        <v>-9891.5</v>
      </c>
      <c r="O641" s="3">
        <f>Table13[[#This Row],[PnL]]/Table13[[#This Row],[Open Value]]</f>
        <v>-3.0596108325967718E-2</v>
      </c>
      <c r="P641" s="9">
        <f t="shared" si="9"/>
        <v>242810.00160139409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45447</v>
      </c>
      <c r="F642" s="7">
        <v>45485</v>
      </c>
      <c r="G642" t="s">
        <v>139</v>
      </c>
      <c r="H642">
        <v>650</v>
      </c>
      <c r="I642" s="5">
        <v>94680.27</v>
      </c>
      <c r="J642" s="13">
        <v>1</v>
      </c>
      <c r="K642" s="5">
        <f>Table13[[#This Row],[Open Value]]+Table13[[#This Row],[PnL]]</f>
        <v>89466.52</v>
      </c>
      <c r="L642" s="5">
        <f>Table13[[#This Row],[Open Value]]/Table13[[#This Row],[Shares]]/Table13[[#This Row],[Multiplier]]</f>
        <v>145.66195384615386</v>
      </c>
      <c r="M642" s="5">
        <f>Table13[[#This Row],[Close Value]]/Table13[[#This Row],[Shares]]/Table13[[#This Row],[Multiplier]]</f>
        <v>137.64080000000001</v>
      </c>
      <c r="N642" s="5">
        <v>-5213.75</v>
      </c>
      <c r="O642" s="3">
        <f>Table13[[#This Row],[PnL]]/Table13[[#This Row],[Open Value]]</f>
        <v>-5.5066910983671676E-2</v>
      </c>
      <c r="P642" s="9">
        <f t="shared" si="9"/>
        <v>237596.25160139409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45454</v>
      </c>
      <c r="F643" s="7">
        <v>45485</v>
      </c>
      <c r="G643" t="s">
        <v>162</v>
      </c>
      <c r="H643">
        <v>800</v>
      </c>
      <c r="I643" s="5">
        <v>425352</v>
      </c>
      <c r="J643" s="13">
        <v>1</v>
      </c>
      <c r="K643" s="5">
        <f>Table13[[#This Row],[Open Value]]+Table13[[#This Row],[PnL]]</f>
        <v>405974.72</v>
      </c>
      <c r="L643" s="5">
        <f>Table13[[#This Row],[Open Value]]/Table13[[#This Row],[Shares]]/Table13[[#This Row],[Multiplier]]</f>
        <v>531.69000000000005</v>
      </c>
      <c r="M643" s="5">
        <f>Table13[[#This Row],[Close Value]]/Table13[[#This Row],[Shares]]/Table13[[#This Row],[Multiplier]]</f>
        <v>507.46839999999997</v>
      </c>
      <c r="N643" s="5">
        <v>-19377.28</v>
      </c>
      <c r="O643" s="3">
        <f>Table13[[#This Row],[PnL]]/Table13[[#This Row],[Open Value]]</f>
        <v>-4.5555869021422252E-2</v>
      </c>
      <c r="P643" s="9">
        <f t="shared" ref="P643:P706" si="10">N643+P642</f>
        <v>218218.97160139409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201</v>
      </c>
      <c r="B644" t="s">
        <v>303</v>
      </c>
      <c r="C644" t="s">
        <v>16</v>
      </c>
      <c r="D644" t="s">
        <v>7</v>
      </c>
      <c r="E644" s="11">
        <v>45481</v>
      </c>
      <c r="F644" s="7">
        <v>45485</v>
      </c>
      <c r="G644" t="s">
        <v>285</v>
      </c>
      <c r="H644">
        <v>700</v>
      </c>
      <c r="I644" s="5">
        <v>52318</v>
      </c>
      <c r="J644" s="13">
        <v>1</v>
      </c>
      <c r="K644" s="5">
        <f>Table13[[#This Row],[Open Value]]+Table13[[#This Row],[PnL]]</f>
        <v>47293.72</v>
      </c>
      <c r="L644" s="5">
        <f>Table13[[#This Row],[Open Value]]/Table13[[#This Row],[Shares]]/Table13[[#This Row],[Multiplier]]</f>
        <v>74.739999999999995</v>
      </c>
      <c r="M644" s="5">
        <f>Table13[[#This Row],[Close Value]]/Table13[[#This Row],[Shares]]/Table13[[#This Row],[Multiplier]]</f>
        <v>67.562457142857141</v>
      </c>
      <c r="N644" s="5">
        <v>-5024.28</v>
      </c>
      <c r="O644" s="3">
        <f>Table13[[#This Row],[PnL]]/Table13[[#This Row],[Open Value]]</f>
        <v>-9.6033487518636024E-2</v>
      </c>
      <c r="P644" s="9">
        <f t="shared" si="10"/>
        <v>213194.69160139409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197</v>
      </c>
      <c r="B645" t="s">
        <v>302</v>
      </c>
      <c r="C645" t="s">
        <v>98</v>
      </c>
      <c r="D645" t="s">
        <v>7</v>
      </c>
      <c r="E645" s="11">
        <v>45471</v>
      </c>
      <c r="F645" s="7">
        <v>45485</v>
      </c>
      <c r="G645" t="s">
        <v>37</v>
      </c>
      <c r="H645">
        <v>5</v>
      </c>
      <c r="I645" s="5">
        <v>2010</v>
      </c>
      <c r="J645" s="13">
        <v>100</v>
      </c>
      <c r="K645" s="5">
        <f>Table13[[#This Row],[Open Value]]+Table13[[#This Row],[PnL]]</f>
        <v>0</v>
      </c>
      <c r="L645" s="5">
        <f>Table13[[#This Row],[Open Value]]/Table13[[#This Row],[Shares]]/Table13[[#This Row],[Multiplier]]</f>
        <v>4.0199999999999996</v>
      </c>
      <c r="M645" s="5">
        <f>Table13[[#This Row],[Close Value]]/Table13[[#This Row],[Shares]]/Table13[[#This Row],[Multiplier]]</f>
        <v>0</v>
      </c>
      <c r="N645" s="5">
        <v>-2010</v>
      </c>
      <c r="O645" s="3">
        <f>Table13[[#This Row],[PnL]]/Table13[[#This Row],[Open Value]]</f>
        <v>-1</v>
      </c>
      <c r="P645" s="9">
        <f t="shared" si="10"/>
        <v>211184.69160139409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45461</v>
      </c>
      <c r="F646" s="7">
        <v>45489</v>
      </c>
      <c r="G646" t="s">
        <v>13</v>
      </c>
      <c r="H646">
        <v>4</v>
      </c>
      <c r="I646" s="5">
        <v>311169.48</v>
      </c>
      <c r="J646" s="13">
        <v>1000</v>
      </c>
      <c r="K646" s="5">
        <f>Table13[[#This Row],[Open Value]]+Table13[[#This Row],[PnL]]</f>
        <v>310630.51999999996</v>
      </c>
      <c r="L646" s="5">
        <f>Table13[[#This Row],[Open Value]]/Table13[[#This Row],[Shares]]/Table13[[#This Row],[Multiplier]]</f>
        <v>77.792369999999991</v>
      </c>
      <c r="M646" s="5">
        <f>Table13[[#This Row],[Close Value]]/Table13[[#This Row],[Shares]]/Table13[[#This Row],[Multiplier]]</f>
        <v>77.657629999999983</v>
      </c>
      <c r="N646" s="5">
        <v>-538.96</v>
      </c>
      <c r="O646" s="3">
        <f>Table13[[#This Row],[PnL]]/Table13[[#This Row],[Open Value]]</f>
        <v>-1.7320464719097774E-3</v>
      </c>
      <c r="P646" s="9">
        <f t="shared" si="10"/>
        <v>210645.7316013941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303</v>
      </c>
      <c r="C647" t="s">
        <v>12</v>
      </c>
      <c r="D647" t="s">
        <v>7</v>
      </c>
      <c r="E647" s="11">
        <v>45463</v>
      </c>
      <c r="F647" s="7">
        <v>45489</v>
      </c>
      <c r="G647" t="s">
        <v>91</v>
      </c>
      <c r="H647">
        <v>2</v>
      </c>
      <c r="I647" s="5">
        <v>207980.34</v>
      </c>
      <c r="J647" s="13">
        <v>42000</v>
      </c>
      <c r="K647" s="5">
        <f>Table13[[#This Row],[Open Value]]+Table13[[#This Row],[PnL]]</f>
        <v>207987.66</v>
      </c>
      <c r="L647" s="5">
        <f>Table13[[#This Row],[Open Value]]/Table13[[#This Row],[Shares]]/Table13[[#This Row],[Multiplier]]</f>
        <v>2.4759564285714286</v>
      </c>
      <c r="M647" s="5">
        <f>Table13[[#This Row],[Close Value]]/Table13[[#This Row],[Shares]]/Table13[[#This Row],[Multiplier]]</f>
        <v>2.4760435714285713</v>
      </c>
      <c r="N647" s="5">
        <v>7.32</v>
      </c>
      <c r="O647" s="3">
        <f>Table13[[#This Row],[PnL]]/Table13[[#This Row],[Open Value]]</f>
        <v>3.5195634356593517E-5</v>
      </c>
      <c r="P647" s="9">
        <f t="shared" si="10"/>
        <v>210653.05160139411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302</v>
      </c>
      <c r="C648" t="s">
        <v>16</v>
      </c>
      <c r="D648" t="s">
        <v>7</v>
      </c>
      <c r="E648" s="11">
        <v>45490</v>
      </c>
      <c r="F648" s="7">
        <v>45490</v>
      </c>
      <c r="G648" t="s">
        <v>283</v>
      </c>
      <c r="H648">
        <v>500</v>
      </c>
      <c r="I648" s="5">
        <v>63767.5</v>
      </c>
      <c r="J648" s="13">
        <v>1</v>
      </c>
      <c r="K648" s="5">
        <f>Table13[[#This Row],[Open Value]]+Table13[[#This Row],[PnL]]</f>
        <v>61205.72</v>
      </c>
      <c r="L648" s="5">
        <f>Table13[[#This Row],[Open Value]]/Table13[[#This Row],[Shares]]/Table13[[#This Row],[Multiplier]]</f>
        <v>127.535</v>
      </c>
      <c r="M648" s="5">
        <f>Table13[[#This Row],[Close Value]]/Table13[[#This Row],[Shares]]/Table13[[#This Row],[Multiplier]]</f>
        <v>122.41144</v>
      </c>
      <c r="N648" s="5">
        <v>-2561.7800000000002</v>
      </c>
      <c r="O648" s="3">
        <f>Table13[[#This Row],[PnL]]/Table13[[#This Row],[Open Value]]</f>
        <v>-4.0173756223781713E-2</v>
      </c>
      <c r="P648" s="9">
        <f t="shared" si="10"/>
        <v>208091.27160139411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42931</v>
      </c>
      <c r="F649" s="7">
        <v>45490</v>
      </c>
      <c r="G649" t="s">
        <v>256</v>
      </c>
      <c r="H649">
        <v>2050</v>
      </c>
      <c r="I649" s="5">
        <v>312500</v>
      </c>
      <c r="J649" s="13">
        <v>1</v>
      </c>
      <c r="K649" s="5">
        <f>Table13[[#This Row],[Open Value]]+Table13[[#This Row],[PnL]]</f>
        <v>315728.03000000003</v>
      </c>
      <c r="L649" s="5">
        <f>Table13[[#This Row],[Open Value]]/Table13[[#This Row],[Shares]]/Table13[[#This Row],[Multiplier]]</f>
        <v>152.4390243902439</v>
      </c>
      <c r="M649" s="5">
        <f>Table13[[#This Row],[Close Value]]/Table13[[#This Row],[Shares]]/Table13[[#This Row],[Multiplier]]</f>
        <v>154.01367317073172</v>
      </c>
      <c r="N649" s="5">
        <v>3228.03</v>
      </c>
      <c r="O649" s="3">
        <f>Table13[[#This Row],[PnL]]/Table13[[#This Row],[Open Value]]</f>
        <v>1.0329696000000001E-2</v>
      </c>
      <c r="P649" s="9">
        <f t="shared" si="10"/>
        <v>211319.30160139411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201</v>
      </c>
      <c r="B650" t="s">
        <v>303</v>
      </c>
      <c r="C650" t="s">
        <v>16</v>
      </c>
      <c r="D650" t="s">
        <v>7</v>
      </c>
      <c r="E650" s="11">
        <v>45474</v>
      </c>
      <c r="F650" s="7">
        <v>45490</v>
      </c>
      <c r="G650" t="s">
        <v>153</v>
      </c>
      <c r="H650">
        <v>3000</v>
      </c>
      <c r="I650" s="5">
        <v>165000</v>
      </c>
      <c r="J650" s="13">
        <v>1</v>
      </c>
      <c r="K650" s="5">
        <f>Table13[[#This Row],[Open Value]]+Table13[[#This Row],[PnL]]</f>
        <v>181841.41999999998</v>
      </c>
      <c r="L650" s="5">
        <f>Table13[[#This Row],[Open Value]]/Table13[[#This Row],[Shares]]/Table13[[#This Row],[Multiplier]]</f>
        <v>55</v>
      </c>
      <c r="M650" s="5">
        <f>Table13[[#This Row],[Close Value]]/Table13[[#This Row],[Shares]]/Table13[[#This Row],[Multiplier]]</f>
        <v>60.613806666666662</v>
      </c>
      <c r="N650" s="5">
        <v>16841.419999999998</v>
      </c>
      <c r="O650" s="3">
        <f>Table13[[#This Row],[PnL]]/Table13[[#This Row],[Open Value]]</f>
        <v>0.10206921212121212</v>
      </c>
      <c r="P650" s="9">
        <f t="shared" si="10"/>
        <v>228160.72160139412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97</v>
      </c>
      <c r="D651" t="s">
        <v>7</v>
      </c>
      <c r="E651" s="11">
        <v>45467</v>
      </c>
      <c r="F651" s="7">
        <v>45490</v>
      </c>
      <c r="G651" t="s">
        <v>186</v>
      </c>
      <c r="H651">
        <v>6</v>
      </c>
      <c r="I651" s="5">
        <f>3399.14-92.84</f>
        <v>3306.2999999999997</v>
      </c>
      <c r="J651" s="13">
        <v>100</v>
      </c>
      <c r="K651" s="5">
        <f>Table13[[#This Row],[Open Value]]+Table13[[#This Row],[PnL]]</f>
        <v>6128.78</v>
      </c>
      <c r="L651" s="5">
        <f>Table13[[#This Row],[Open Value]]/Table13[[#This Row],[Shares]]/Table13[[#This Row],[Multiplier]]</f>
        <v>5.5104999999999995</v>
      </c>
      <c r="M651" s="5">
        <f>Table13[[#This Row],[Close Value]]/Table13[[#This Row],[Shares]]/Table13[[#This Row],[Multiplier]]</f>
        <v>10.214633333333332</v>
      </c>
      <c r="N651" s="5">
        <f>2822.48</f>
        <v>2822.48</v>
      </c>
      <c r="O651" s="3">
        <f>Table13[[#This Row],[PnL]]/Table13[[#This Row],[Open Value]]</f>
        <v>0.85366724132716332</v>
      </c>
      <c r="P651" s="9">
        <f t="shared" si="10"/>
        <v>230983.20160139413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197</v>
      </c>
      <c r="B652" t="s">
        <v>302</v>
      </c>
      <c r="C652" t="s">
        <v>102</v>
      </c>
      <c r="D652" t="s">
        <v>7</v>
      </c>
      <c r="E652" s="11">
        <v>45485</v>
      </c>
      <c r="F652" s="7">
        <v>45490</v>
      </c>
      <c r="G652" t="s">
        <v>9</v>
      </c>
      <c r="H652">
        <v>400</v>
      </c>
      <c r="I652" s="5">
        <v>6274.74</v>
      </c>
      <c r="J652" s="13">
        <v>100</v>
      </c>
      <c r="K652" s="5">
        <f>Table13[[#This Row],[Open Value]]+Table13[[#This Row],[PnL]]</f>
        <v>0</v>
      </c>
      <c r="L652" s="5">
        <f>Table13[[#This Row],[Open Value]]/Table13[[#This Row],[Shares]]/Table13[[#This Row],[Multiplier]]</f>
        <v>0.15686849999999999</v>
      </c>
      <c r="M652" s="5">
        <f>Table13[[#This Row],[Close Value]]/Table13[[#This Row],[Shares]]/Table13[[#This Row],[Multiplier]]</f>
        <v>0</v>
      </c>
      <c r="N652" s="5">
        <v>-6274.74</v>
      </c>
      <c r="O652" s="3">
        <f>Table13[[#This Row],[PnL]]/Table13[[#This Row],[Open Value]]</f>
        <v>-1</v>
      </c>
      <c r="P652" s="9">
        <f t="shared" si="10"/>
        <v>224708.46160139414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305</v>
      </c>
      <c r="C653" t="s">
        <v>12</v>
      </c>
      <c r="D653" t="s">
        <v>7</v>
      </c>
      <c r="E653" s="11">
        <v>45468</v>
      </c>
      <c r="F653" s="7">
        <v>45490</v>
      </c>
      <c r="G653" t="s">
        <v>44</v>
      </c>
      <c r="H653">
        <v>2</v>
      </c>
      <c r="I653" s="5">
        <v>393656.04</v>
      </c>
      <c r="J653" s="13">
        <v>25</v>
      </c>
      <c r="K653" s="5">
        <f>Table13[[#This Row],[Open Value]]+Table13[[#This Row],[PnL]]</f>
        <v>407718.95999999996</v>
      </c>
      <c r="L653" s="5">
        <f>Table13[[#This Row],[Open Value]]/Table13[[#This Row],[Shares]]/Table13[[#This Row],[Multiplier]]</f>
        <v>7873.1207999999997</v>
      </c>
      <c r="M653" s="5">
        <f>Table13[[#This Row],[Close Value]]/Table13[[#This Row],[Shares]]/Table13[[#This Row],[Multiplier]]</f>
        <v>8154.3791999999994</v>
      </c>
      <c r="N653" s="5">
        <v>14062.92</v>
      </c>
      <c r="O653" s="3">
        <f>Table13[[#This Row],[PnL]]/Table13[[#This Row],[Open Value]]</f>
        <v>3.5723877118715115E-2</v>
      </c>
      <c r="P653" s="9">
        <f t="shared" si="10"/>
        <v>238771.38160139415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303</v>
      </c>
      <c r="C654" t="s">
        <v>16</v>
      </c>
      <c r="D654" t="s">
        <v>7</v>
      </c>
      <c r="E654" s="11">
        <v>45460</v>
      </c>
      <c r="F654" s="7">
        <v>45491</v>
      </c>
      <c r="G654" t="s">
        <v>14</v>
      </c>
      <c r="H654">
        <v>1600</v>
      </c>
      <c r="I654" s="5">
        <v>283648</v>
      </c>
      <c r="J654" s="13">
        <v>1</v>
      </c>
      <c r="K654" s="5">
        <f>Table13[[#This Row],[Open Value]]+Table13[[#This Row],[PnL]]</f>
        <v>292875.59000000003</v>
      </c>
      <c r="L654" s="5">
        <f>Table13[[#This Row],[Open Value]]/Table13[[#This Row],[Shares]]/Table13[[#This Row],[Multiplier]]</f>
        <v>177.28</v>
      </c>
      <c r="M654" s="5">
        <f>Table13[[#This Row],[Close Value]]/Table13[[#This Row],[Shares]]/Table13[[#This Row],[Multiplier]]</f>
        <v>183.04724375000001</v>
      </c>
      <c r="N654" s="5">
        <v>9227.59</v>
      </c>
      <c r="O654" s="3">
        <f>Table13[[#This Row],[PnL]]/Table13[[#This Row],[Open Value]]</f>
        <v>3.2531835232400726E-2</v>
      </c>
      <c r="P654" s="9">
        <f t="shared" si="10"/>
        <v>247998.97160139415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302</v>
      </c>
      <c r="C655" t="s">
        <v>16</v>
      </c>
      <c r="D655" t="s">
        <v>5</v>
      </c>
      <c r="E655" s="11">
        <v>45489</v>
      </c>
      <c r="F655" s="7">
        <v>45492</v>
      </c>
      <c r="G655" t="s">
        <v>10</v>
      </c>
      <c r="H655">
        <v>1000</v>
      </c>
      <c r="I655" s="5">
        <v>550000</v>
      </c>
      <c r="J655" s="13">
        <v>1</v>
      </c>
      <c r="K655" s="5">
        <f>Table13[[#This Row],[Open Value]]+Table13[[#This Row],[PnL]]</f>
        <v>545039.28</v>
      </c>
      <c r="L655" s="5">
        <f>Table13[[#This Row],[Open Value]]/Table13[[#This Row],[Shares]]/Table13[[#This Row],[Multiplier]]</f>
        <v>550</v>
      </c>
      <c r="M655" s="5">
        <f>Table13[[#This Row],[Close Value]]/Table13[[#This Row],[Shares]]/Table13[[#This Row],[Multiplier]]</f>
        <v>545.03928000000008</v>
      </c>
      <c r="N655" s="5">
        <v>-4960.72</v>
      </c>
      <c r="O655" s="3">
        <f>Table13[[#This Row],[PnL]]/Table13[[#This Row],[Open Value]]</f>
        <v>-9.01949090909091E-3</v>
      </c>
      <c r="P655" s="9">
        <f t="shared" si="10"/>
        <v>243038.25160139415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201</v>
      </c>
      <c r="B656" t="s">
        <v>303</v>
      </c>
      <c r="C656" t="s">
        <v>16</v>
      </c>
      <c r="D656" t="s">
        <v>7</v>
      </c>
      <c r="E656" s="11">
        <v>45489</v>
      </c>
      <c r="F656" s="7">
        <v>45492</v>
      </c>
      <c r="G656" t="s">
        <v>37</v>
      </c>
      <c r="H656">
        <v>325</v>
      </c>
      <c r="I656" s="5">
        <v>82933.460000000006</v>
      </c>
      <c r="J656" s="13">
        <v>1</v>
      </c>
      <c r="K656" s="5">
        <f>Table13[[#This Row],[Open Value]]+Table13[[#This Row],[PnL]]</f>
        <v>77946.03</v>
      </c>
      <c r="L656" s="5">
        <f>Table13[[#This Row],[Open Value]]/Table13[[#This Row],[Shares]]/Table13[[#This Row],[Multiplier]]</f>
        <v>255.17987692307693</v>
      </c>
      <c r="M656" s="5">
        <f>Table13[[#This Row],[Close Value]]/Table13[[#This Row],[Shares]]/Table13[[#This Row],[Multiplier]]</f>
        <v>239.83393846153845</v>
      </c>
      <c r="N656" s="5">
        <v>-4987.43</v>
      </c>
      <c r="O656" s="3">
        <f>Table13[[#This Row],[PnL]]/Table13[[#This Row],[Open Value]]</f>
        <v>-6.013772969317812E-2</v>
      </c>
      <c r="P656" s="9">
        <f t="shared" si="10"/>
        <v>238050.82160139416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303</v>
      </c>
      <c r="C657" t="s">
        <v>97</v>
      </c>
      <c r="D657" t="s">
        <v>7</v>
      </c>
      <c r="E657" s="11">
        <v>45463</v>
      </c>
      <c r="F657" s="7">
        <v>45492</v>
      </c>
      <c r="G657" t="s">
        <v>76</v>
      </c>
      <c r="H657">
        <v>80</v>
      </c>
      <c r="I657" s="5">
        <v>6535.75</v>
      </c>
      <c r="J657" s="13">
        <v>100</v>
      </c>
      <c r="K657" s="5">
        <f>Table13[[#This Row],[Open Value]]+Table13[[#This Row],[PnL]]</f>
        <v>0</v>
      </c>
      <c r="L657" s="5">
        <f>Table13[[#This Row],[Open Value]]/Table13[[#This Row],[Shares]]/Table13[[#This Row],[Multiplier]]</f>
        <v>0.81696875000000002</v>
      </c>
      <c r="M657" s="5">
        <f>Table13[[#This Row],[Close Value]]/Table13[[#This Row],[Shares]]/Table13[[#This Row],[Multiplier]]</f>
        <v>0</v>
      </c>
      <c r="N657" s="5">
        <v>-6535.75</v>
      </c>
      <c r="O657" s="3">
        <f>Table13[[#This Row],[PnL]]/Table13[[#This Row],[Open Value]]</f>
        <v>-1</v>
      </c>
      <c r="P657" s="9">
        <f t="shared" si="10"/>
        <v>231515.07160139416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197</v>
      </c>
      <c r="B658" t="s">
        <v>302</v>
      </c>
      <c r="C658" t="s">
        <v>99</v>
      </c>
      <c r="D658" t="s">
        <v>7</v>
      </c>
      <c r="E658" s="11">
        <v>45488</v>
      </c>
      <c r="F658" s="7">
        <v>45492</v>
      </c>
      <c r="G658" t="s">
        <v>10</v>
      </c>
      <c r="H658">
        <v>100</v>
      </c>
      <c r="I658" s="5">
        <v>2902.68</v>
      </c>
      <c r="J658" s="13">
        <v>100</v>
      </c>
      <c r="K658" s="5">
        <f>Table13[[#This Row],[Open Value]]+Table13[[#This Row],[PnL]]</f>
        <v>10914.44</v>
      </c>
      <c r="L658" s="5">
        <f>Table13[[#This Row],[Open Value]]/Table13[[#This Row],[Shares]]/Table13[[#This Row],[Multiplier]]</f>
        <v>0.29026799999999997</v>
      </c>
      <c r="M658" s="5">
        <f>Table13[[#This Row],[Close Value]]/Table13[[#This Row],[Shares]]/Table13[[#This Row],[Multiplier]]</f>
        <v>1.0914440000000001</v>
      </c>
      <c r="N658" s="5">
        <f>6211.76+1800</f>
        <v>8011.76</v>
      </c>
      <c r="O658" s="3">
        <f>Table13[[#This Row],[PnL]]/Table13[[#This Row],[Open Value]]</f>
        <v>2.7601251257458626</v>
      </c>
      <c r="P658" s="9">
        <f t="shared" si="10"/>
        <v>239526.83160139417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85</v>
      </c>
      <c r="H659">
        <v>8</v>
      </c>
      <c r="I659" s="5">
        <v>48753.16</v>
      </c>
      <c r="J659" s="13">
        <v>0.1</v>
      </c>
      <c r="K659" s="5">
        <f>Table13[[#This Row],[Open Value]]+Table13[[#This Row],[PnL]]</f>
        <v>50893.840000000004</v>
      </c>
      <c r="L659" s="5">
        <f>Table13[[#This Row],[Open Value]]/Table13[[#This Row],[Shares]]/Table13[[#This Row],[Multiplier]]</f>
        <v>60941.450000000004</v>
      </c>
      <c r="M659" s="5">
        <f>Table13[[#This Row],[Close Value]]/Table13[[#This Row],[Shares]]/Table13[[#This Row],[Multiplier]]</f>
        <v>63617.3</v>
      </c>
      <c r="N659" s="5">
        <v>2140.6799999999998</v>
      </c>
      <c r="O659" s="3">
        <f>Table13[[#This Row],[PnL]]/Table13[[#This Row],[Open Value]]</f>
        <v>4.3908538441405638E-2</v>
      </c>
      <c r="P659" s="9">
        <f t="shared" si="10"/>
        <v>241667.51160139416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201</v>
      </c>
      <c r="B660" t="s">
        <v>303</v>
      </c>
      <c r="C660" t="s">
        <v>12</v>
      </c>
      <c r="D660" t="s">
        <v>7</v>
      </c>
      <c r="E660" s="11">
        <v>45487</v>
      </c>
      <c r="F660" s="7">
        <v>45492</v>
      </c>
      <c r="G660" t="s">
        <v>271</v>
      </c>
      <c r="H660">
        <v>130</v>
      </c>
      <c r="I660" s="5">
        <v>42291.6</v>
      </c>
      <c r="J660" s="13">
        <v>0.1</v>
      </c>
      <c r="K660" s="5">
        <f>Table13[[#This Row],[Open Value]]+Table13[[#This Row],[PnL]]</f>
        <v>44320.9</v>
      </c>
      <c r="L660" s="5">
        <f>Table13[[#This Row],[Open Value]]/Table13[[#This Row],[Shares]]/Table13[[#This Row],[Multiplier]]</f>
        <v>3253.2</v>
      </c>
      <c r="M660" s="5">
        <f>Table13[[#This Row],[Close Value]]/Table13[[#This Row],[Shares]]/Table13[[#This Row],[Multiplier]]</f>
        <v>3409.2999999999997</v>
      </c>
      <c r="N660" s="5">
        <v>2029.3</v>
      </c>
      <c r="O660" s="3">
        <f>Table13[[#This Row],[PnL]]/Table13[[#This Row],[Open Value]]</f>
        <v>4.7983523914914547E-2</v>
      </c>
      <c r="P660" s="9">
        <f t="shared" si="10"/>
        <v>243696.81160139415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197</v>
      </c>
      <c r="B661" t="s">
        <v>302</v>
      </c>
      <c r="C661" t="s">
        <v>99</v>
      </c>
      <c r="D661" t="s">
        <v>7</v>
      </c>
      <c r="E661" s="11">
        <v>45488</v>
      </c>
      <c r="F661" s="7">
        <v>45495</v>
      </c>
      <c r="G661" t="s">
        <v>10</v>
      </c>
      <c r="H661">
        <v>85</v>
      </c>
      <c r="I661" s="5">
        <v>2609.23</v>
      </c>
      <c r="J661" s="13">
        <v>100</v>
      </c>
      <c r="K661" s="5">
        <f>Table13[[#This Row],[Open Value]]+Table13[[#This Row],[PnL]]</f>
        <v>12067.789999999999</v>
      </c>
      <c r="L661" s="5">
        <f>Table13[[#This Row],[Open Value]]/Table13[[#This Row],[Shares]]/Table13[[#This Row],[Multiplier]]</f>
        <v>0.30696823529411765</v>
      </c>
      <c r="M661" s="5">
        <f>Table13[[#This Row],[Close Value]]/Table13[[#This Row],[Shares]]/Table13[[#This Row],[Multiplier]]</f>
        <v>1.41974</v>
      </c>
      <c r="N661" s="5">
        <v>9458.56</v>
      </c>
      <c r="O661" s="3">
        <f>Table13[[#This Row],[PnL]]/Table13[[#This Row],[Open Value]]</f>
        <v>3.6250388045515343</v>
      </c>
      <c r="P661" s="9">
        <f t="shared" si="10"/>
        <v>253155.37160139414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12</v>
      </c>
      <c r="D662" t="s">
        <v>7</v>
      </c>
      <c r="E662" s="11">
        <v>45469</v>
      </c>
      <c r="F662" s="7">
        <v>45495</v>
      </c>
      <c r="G662" t="s">
        <v>88</v>
      </c>
      <c r="H662">
        <v>10</v>
      </c>
      <c r="I662" s="5">
        <v>217421.7</v>
      </c>
      <c r="J662" s="13">
        <v>1120</v>
      </c>
      <c r="K662" s="5">
        <f>Table13[[#This Row],[Open Value]]+Table13[[#This Row],[PnL]]</f>
        <v>207618.30000000002</v>
      </c>
      <c r="L662" s="5">
        <f>Table13[[#This Row],[Open Value]]/Table13[[#This Row],[Shares]]/Table13[[#This Row],[Multiplier]]</f>
        <v>19.412651785714289</v>
      </c>
      <c r="M662" s="5">
        <f>Table13[[#This Row],[Close Value]]/Table13[[#This Row],[Shares]]/Table13[[#This Row],[Multiplier]]</f>
        <v>18.537348214285714</v>
      </c>
      <c r="N662" s="5">
        <v>-9803.4</v>
      </c>
      <c r="O662" s="3">
        <f>Table13[[#This Row],[PnL]]/Table13[[#This Row],[Open Value]]</f>
        <v>-4.508933560909513E-2</v>
      </c>
      <c r="P662" s="9">
        <f t="shared" si="10"/>
        <v>243351.97160139415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4</v>
      </c>
      <c r="D663" t="s">
        <v>7</v>
      </c>
      <c r="E663" s="11">
        <v>45484</v>
      </c>
      <c r="F663" s="7">
        <v>45495</v>
      </c>
      <c r="G663" t="s">
        <v>289</v>
      </c>
      <c r="H663">
        <v>1000000</v>
      </c>
      <c r="I663" s="5">
        <f>103499949+101874610+50</f>
        <v>205374609</v>
      </c>
      <c r="J663" s="13">
        <v>1</v>
      </c>
      <c r="K663" s="5">
        <f>Table13[[#This Row],[Open Value]]+Table13[[#This Row],[PnL]]</f>
        <v>205358228.37421229</v>
      </c>
      <c r="L663" s="5">
        <f>Table13[[#This Row],[Open Value]]/Table13[[#This Row],[Shares]]/Table13[[#This Row],[Multiplier]]</f>
        <v>205.37460899999999</v>
      </c>
      <c r="M663" s="5">
        <f>Table13[[#This Row],[Close Value]]/Table13[[#This Row],[Shares]]/Table13[[#This Row],[Multiplier]]</f>
        <v>205.3582283742123</v>
      </c>
      <c r="N663" s="5">
        <f>(202072616-Table13[[#This Row],[Open Value]])/202.072616-40</f>
        <v>-16380.625787711879</v>
      </c>
      <c r="O663" s="3">
        <f>Table13[[#This Row],[PnL]]/Table13[[#This Row],[Open Value]]*Table13[[#This Row],[Close Price]]</f>
        <v>-1.6379319273228402E-2</v>
      </c>
      <c r="P663" s="9">
        <f t="shared" si="10"/>
        <v>226971.34581368227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16</v>
      </c>
      <c r="D664" t="s">
        <v>7</v>
      </c>
      <c r="E664" s="11">
        <v>45496</v>
      </c>
      <c r="F664" s="7">
        <v>45497</v>
      </c>
      <c r="G664" t="s">
        <v>206</v>
      </c>
      <c r="H664">
        <v>1000</v>
      </c>
      <c r="I664" s="5">
        <v>155605</v>
      </c>
      <c r="J664" s="13">
        <v>1</v>
      </c>
      <c r="K664" s="5">
        <f>Table13[[#This Row],[Open Value]]+Table13[[#This Row],[PnL]]</f>
        <v>150378.65</v>
      </c>
      <c r="L664" s="5">
        <f>Table13[[#This Row],[Open Value]]/Table13[[#This Row],[Shares]]/Table13[[#This Row],[Multiplier]]</f>
        <v>155.60499999999999</v>
      </c>
      <c r="M664" s="5">
        <f>Table13[[#This Row],[Close Value]]/Table13[[#This Row],[Shares]]/Table13[[#This Row],[Multiplier]]</f>
        <v>150.37864999999999</v>
      </c>
      <c r="N664" s="5">
        <v>-5226.3500000000004</v>
      </c>
      <c r="O664" s="3">
        <f>Table13[[#This Row],[PnL]]/Table13[[#This Row],[Open Value]]</f>
        <v>-3.35872883262106E-2</v>
      </c>
      <c r="P664" s="9">
        <f t="shared" si="10"/>
        <v>221744.99581368227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303</v>
      </c>
      <c r="C665" t="s">
        <v>12</v>
      </c>
      <c r="D665" t="s">
        <v>7</v>
      </c>
      <c r="E665" s="11">
        <v>45492</v>
      </c>
      <c r="F665" s="7">
        <v>45497</v>
      </c>
      <c r="G665" t="s">
        <v>271</v>
      </c>
      <c r="H665">
        <v>260</v>
      </c>
      <c r="I665" s="5">
        <v>85169</v>
      </c>
      <c r="J665" s="13">
        <v>0.1</v>
      </c>
      <c r="K665" s="5">
        <f>Table13[[#This Row],[Open Value]]+Table13[[#This Row],[PnL]]</f>
        <v>79127.100000000006</v>
      </c>
      <c r="L665" s="5">
        <f>Table13[[#This Row],[Open Value]]/Table13[[#This Row],[Shares]]/Table13[[#This Row],[Multiplier]]</f>
        <v>3275.7307692307691</v>
      </c>
      <c r="M665" s="5">
        <f>Table13[[#This Row],[Close Value]]/Table13[[#This Row],[Shares]]/Table13[[#This Row],[Multiplier]]</f>
        <v>3043.3500000000004</v>
      </c>
      <c r="N665" s="5">
        <v>-6041.9</v>
      </c>
      <c r="O665" s="3">
        <f>Table13[[#This Row],[PnL]]/Table13[[#This Row],[Open Value]]</f>
        <v>-7.0940130798764808E-2</v>
      </c>
      <c r="P665" s="9">
        <f t="shared" si="10"/>
        <v>215703.09581368227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301</v>
      </c>
    </row>
    <row r="666" spans="1:20" x14ac:dyDescent="0.25">
      <c r="A666" t="s">
        <v>201</v>
      </c>
      <c r="B666" t="s">
        <v>305</v>
      </c>
      <c r="C666" t="s">
        <v>16</v>
      </c>
      <c r="D666" t="s">
        <v>7</v>
      </c>
      <c r="E666" s="11">
        <v>45355</v>
      </c>
      <c r="F666" s="7">
        <v>45497</v>
      </c>
      <c r="G666" t="s">
        <v>14</v>
      </c>
      <c r="H666">
        <v>1000</v>
      </c>
      <c r="I666" s="5">
        <v>133799.41</v>
      </c>
      <c r="J666" s="13">
        <v>1</v>
      </c>
      <c r="K666" s="5">
        <f>59839.52+59799.52+40+34869.03</f>
        <v>154548.07</v>
      </c>
      <c r="L666" s="5">
        <f>Table13[[#This Row],[Open Value]]/Table13[[#This Row],[Shares]]/Table13[[#This Row],[Multiplier]]</f>
        <v>133.79940999999999</v>
      </c>
      <c r="M666" s="5">
        <f>Table13[[#This Row],[Close Value]]/Table13[[#This Row],[Shares]]/Table13[[#This Row],[Multiplier]]</f>
        <v>154.54807</v>
      </c>
      <c r="N666" s="5">
        <f>Table13[[#This Row],[Close Value]]-Table13[[#This Row],[Open Value]]</f>
        <v>20748.660000000003</v>
      </c>
      <c r="O666" s="3">
        <f>Table13[[#This Row],[PnL]]/Table13[[#This Row],[Open Value]]</f>
        <v>0.15507288111360135</v>
      </c>
      <c r="P666" s="9">
        <f t="shared" si="10"/>
        <v>236451.75581368228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203</v>
      </c>
    </row>
    <row r="667" spans="1:20" x14ac:dyDescent="0.25">
      <c r="A667" t="s">
        <v>201</v>
      </c>
      <c r="B667" t="s">
        <v>302</v>
      </c>
      <c r="C667" t="s">
        <v>16</v>
      </c>
      <c r="D667" t="s">
        <v>7</v>
      </c>
      <c r="E667" s="11">
        <v>45488</v>
      </c>
      <c r="F667" s="7">
        <v>45498</v>
      </c>
      <c r="G667" t="s">
        <v>211</v>
      </c>
      <c r="H667">
        <v>2500</v>
      </c>
      <c r="I667" s="5">
        <v>75137.5</v>
      </c>
      <c r="J667" s="13">
        <v>1</v>
      </c>
      <c r="K667" s="5">
        <f>Table13[[#This Row],[Open Value]]+Table13[[#This Row],[PnL]]</f>
        <v>65262.38</v>
      </c>
      <c r="L667" s="5">
        <f>Table13[[#This Row],[Open Value]]/Table13[[#This Row],[Shares]]/Table13[[#This Row],[Multiplier]]</f>
        <v>30.055</v>
      </c>
      <c r="M667" s="5">
        <f>Table13[[#This Row],[Close Value]]/Table13[[#This Row],[Shares]]/Table13[[#This Row],[Multiplier]]</f>
        <v>26.104951999999997</v>
      </c>
      <c r="N667" s="5">
        <v>-9875.1200000000008</v>
      </c>
      <c r="O667" s="3">
        <f>Table13[[#This Row],[PnL]]/Table13[[#This Row],[Open Value]]</f>
        <v>-0.13142731658625853</v>
      </c>
      <c r="P667" s="9">
        <f t="shared" si="10"/>
        <v>226576.63581368228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201</v>
      </c>
      <c r="B668" t="s">
        <v>303</v>
      </c>
      <c r="C668" t="s">
        <v>16</v>
      </c>
      <c r="D668" t="s">
        <v>7</v>
      </c>
      <c r="E668" s="11">
        <v>45449</v>
      </c>
      <c r="F668" s="7">
        <v>45498</v>
      </c>
      <c r="G668" t="s">
        <v>218</v>
      </c>
      <c r="H668">
        <v>5000</v>
      </c>
      <c r="I668" s="5">
        <f>33831+75680</f>
        <v>109511</v>
      </c>
      <c r="J668" s="13">
        <v>1</v>
      </c>
      <c r="K668" s="5">
        <f>Table13[[#This Row],[Open Value]]+Table13[[#This Row],[PnL]]</f>
        <v>98427</v>
      </c>
      <c r="L668" s="5">
        <f>Table13[[#This Row],[Open Value]]/Table13[[#This Row],[Shares]]/Table13[[#This Row],[Multiplier]]</f>
        <v>21.902200000000001</v>
      </c>
      <c r="M668" s="5">
        <f>Table13[[#This Row],[Close Value]]/Table13[[#This Row],[Shares]]/Table13[[#This Row],[Multiplier]]</f>
        <v>19.685400000000001</v>
      </c>
      <c r="N668" s="5">
        <v>-11084</v>
      </c>
      <c r="O668" s="3">
        <f>Table13[[#This Row],[PnL]]/Table13[[#This Row],[Open Value]]</f>
        <v>-0.10121357671832053</v>
      </c>
      <c r="P668" s="9">
        <f t="shared" si="10"/>
        <v>215492.63581368228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302</v>
      </c>
      <c r="C669" t="s">
        <v>102</v>
      </c>
      <c r="D669" t="s">
        <v>7</v>
      </c>
      <c r="E669" s="11">
        <v>45449</v>
      </c>
      <c r="F669" s="7">
        <v>45498</v>
      </c>
      <c r="G669" t="s">
        <v>186</v>
      </c>
      <c r="H669">
        <v>3</v>
      </c>
      <c r="I669" s="5">
        <v>3452.06</v>
      </c>
      <c r="J669" s="13">
        <v>100</v>
      </c>
      <c r="K669" s="5">
        <f>Table13[[#This Row],[Open Value]]+Table13[[#This Row],[PnL]]</f>
        <v>8122.32</v>
      </c>
      <c r="L669" s="5">
        <f>Table13[[#This Row],[Open Value]]/Table13[[#This Row],[Shares]]/Table13[[#This Row],[Multiplier]]</f>
        <v>11.506866666666667</v>
      </c>
      <c r="M669" s="5">
        <f>Table13[[#This Row],[Close Value]]/Table13[[#This Row],[Shares]]/Table13[[#This Row],[Multiplier]]</f>
        <v>27.074400000000001</v>
      </c>
      <c r="N669" s="5">
        <v>4670.26</v>
      </c>
      <c r="O669" s="3">
        <f>Table13[[#This Row],[PnL]]/Table13[[#This Row],[Open Value]]</f>
        <v>1.3528907377044432</v>
      </c>
      <c r="P669" s="9">
        <f t="shared" si="10"/>
        <v>220162.89581368229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303</v>
      </c>
      <c r="C670" t="s">
        <v>99</v>
      </c>
      <c r="D670" t="s">
        <v>7</v>
      </c>
      <c r="E670" s="11">
        <v>45463</v>
      </c>
      <c r="F670" s="7">
        <v>45498</v>
      </c>
      <c r="G670" t="s">
        <v>51</v>
      </c>
      <c r="H670">
        <v>5</v>
      </c>
      <c r="I670" s="5">
        <v>7002.23</v>
      </c>
      <c r="J670" s="13">
        <v>100</v>
      </c>
      <c r="K670" s="5">
        <f>Table13[[#This Row],[Open Value]]+Table13[[#This Row],[PnL]]</f>
        <v>21022.16</v>
      </c>
      <c r="L670" s="5">
        <f>Table13[[#This Row],[Open Value]]/Table13[[#This Row],[Shares]]/Table13[[#This Row],[Multiplier]]</f>
        <v>14.00446</v>
      </c>
      <c r="M670" s="5">
        <f>Table13[[#This Row],[Close Value]]/Table13[[#This Row],[Shares]]/Table13[[#This Row],[Multiplier]]</f>
        <v>42.044319999999999</v>
      </c>
      <c r="N670" s="5">
        <v>14019.93</v>
      </c>
      <c r="O670" s="3">
        <f>Table13[[#This Row],[PnL]]/Table13[[#This Row],[Open Value]]</f>
        <v>2.0022092961813596</v>
      </c>
      <c r="P670" s="9">
        <f t="shared" si="10"/>
        <v>234182.82581368228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197</v>
      </c>
      <c r="B671" t="s">
        <v>302</v>
      </c>
      <c r="C671" t="s">
        <v>98</v>
      </c>
      <c r="D671" t="s">
        <v>7</v>
      </c>
      <c r="E671" s="11">
        <v>45455</v>
      </c>
      <c r="F671" s="7">
        <v>45498</v>
      </c>
      <c r="G671" t="s">
        <v>29</v>
      </c>
      <c r="H671">
        <v>85</v>
      </c>
      <c r="I671" s="5">
        <f>3766.23-551.26</f>
        <v>3214.9700000000003</v>
      </c>
      <c r="J671" s="13">
        <v>100</v>
      </c>
      <c r="K671" s="5">
        <f>Table13[[#This Row],[Open Value]]+Table13[[#This Row],[PnL]]</f>
        <v>1423.5700000000002</v>
      </c>
      <c r="L671" s="5">
        <f>Table13[[#This Row],[Open Value]]/Table13[[#This Row],[Shares]]/Table13[[#This Row],[Multiplier]]</f>
        <v>0.37823176470588238</v>
      </c>
      <c r="M671" s="5">
        <f>Table13[[#This Row],[Close Value]]/Table13[[#This Row],[Shares]]/Table13[[#This Row],[Multiplier]]</f>
        <v>0.16747882352941179</v>
      </c>
      <c r="N671" s="5">
        <f>79.57-1870.97</f>
        <v>-1791.4</v>
      </c>
      <c r="O671" s="3">
        <f>Table13[[#This Row],[PnL]]/Table13[[#This Row],[Open Value]]</f>
        <v>-0.55720582151621945</v>
      </c>
      <c r="P671" s="9">
        <f t="shared" si="10"/>
        <v>232391.42581368229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301</v>
      </c>
    </row>
    <row r="672" spans="1:20" x14ac:dyDescent="0.25">
      <c r="A672" t="s">
        <v>201</v>
      </c>
      <c r="B672" t="s">
        <v>303</v>
      </c>
      <c r="C672" t="s">
        <v>16</v>
      </c>
      <c r="D672" t="s">
        <v>7</v>
      </c>
      <c r="E672" s="11">
        <v>45491</v>
      </c>
      <c r="F672" s="7">
        <v>45503</v>
      </c>
      <c r="G672" t="s">
        <v>155</v>
      </c>
      <c r="H672">
        <v>350</v>
      </c>
      <c r="I672" s="5">
        <v>122500</v>
      </c>
      <c r="J672" s="13">
        <v>1</v>
      </c>
      <c r="K672" s="5">
        <v>86386.49</v>
      </c>
      <c r="L672" s="5">
        <f>Table13[[#This Row],[Open Value]]/Table13[[#This Row],[Shares]]/Table13[[#This Row],[Multiplier]]</f>
        <v>350</v>
      </c>
      <c r="M672" s="5">
        <f>Table13[[#This Row],[Close Value]]/Table13[[#This Row],[Shares]]/Table13[[#This Row],[Multiplier]]</f>
        <v>246.81854285714286</v>
      </c>
      <c r="N672" s="5">
        <f>Table13[[#This Row],[Close Value]]-Table13[[#This Row],[Open Value]]</f>
        <v>-36113.509999999995</v>
      </c>
      <c r="O672" s="3">
        <f>Table13[[#This Row],[PnL]]/Table13[[#This Row],[Open Value]]</f>
        <v>-0.29480416326530606</v>
      </c>
      <c r="P672" s="14">
        <f t="shared" si="10"/>
        <v>196277.91581368231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203</v>
      </c>
    </row>
    <row r="673" spans="1:20" x14ac:dyDescent="0.25">
      <c r="A673" t="s">
        <v>201</v>
      </c>
      <c r="B673" t="s">
        <v>306</v>
      </c>
      <c r="C673" t="s">
        <v>12</v>
      </c>
      <c r="D673" t="s">
        <v>7</v>
      </c>
      <c r="E673" s="11">
        <v>45460</v>
      </c>
      <c r="F673" s="7">
        <v>45504</v>
      </c>
      <c r="G673" t="s">
        <v>286</v>
      </c>
      <c r="H673">
        <v>2</v>
      </c>
      <c r="I673" s="5">
        <v>169811</v>
      </c>
      <c r="J673" s="13">
        <v>375</v>
      </c>
      <c r="K673" s="5">
        <v>170844.06</v>
      </c>
      <c r="L673" s="5">
        <f>Table13[[#This Row],[Open Value]]/Table13[[#This Row],[Shares]]/Table13[[#This Row],[Multiplier]]</f>
        <v>226.41466666666668</v>
      </c>
      <c r="M673" s="5">
        <f>Table13[[#This Row],[Close Value]]/Table13[[#This Row],[Shares]]/Table13[[#This Row],[Multiplier]]</f>
        <v>227.79208</v>
      </c>
      <c r="N673" s="5">
        <f>Table13[[#This Row],[Close Value]]-Table13[[#This Row],[Open Value]]</f>
        <v>1033.0599999999977</v>
      </c>
      <c r="O673" s="3">
        <f>Table13[[#This Row],[PnL]]/Table13[[#This Row],[Open Value]]</f>
        <v>6.0835870467755189E-3</v>
      </c>
      <c r="P673" s="14">
        <f t="shared" si="10"/>
        <v>197310.97581368231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5</v>
      </c>
      <c r="E674" s="11">
        <v>45503</v>
      </c>
      <c r="F674" s="7">
        <v>45504</v>
      </c>
      <c r="G674" t="s">
        <v>307</v>
      </c>
      <c r="H674">
        <v>200</v>
      </c>
      <c r="I674" s="5">
        <f>Table13[[#This Row],[Close Value]]+Table13[[#This Row],[PnL]]</f>
        <v>153800.97</v>
      </c>
      <c r="J674" s="13">
        <v>1</v>
      </c>
      <c r="K674" s="5">
        <v>162801.97</v>
      </c>
      <c r="L674" s="5">
        <f>Table13[[#This Row],[Open Value]]/Table13[[#This Row],[Shares]]/Table13[[#This Row],[Multiplier]]</f>
        <v>769.00485000000003</v>
      </c>
      <c r="M674" s="5">
        <f>Table13[[#This Row],[Close Value]]/Table13[[#This Row],[Shares]]/Table13[[#This Row],[Multiplier]]</f>
        <v>814.00985000000003</v>
      </c>
      <c r="N674" s="5">
        <v>-9001</v>
      </c>
      <c r="O674" s="3">
        <f>Table13[[#This Row],[PnL]]/Table13[[#This Row],[Open Value]]</f>
        <v>-5.8523688114580814E-2</v>
      </c>
      <c r="P674" s="14">
        <f t="shared" si="10"/>
        <v>188309.97581368231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16</v>
      </c>
      <c r="D675" t="s">
        <v>7</v>
      </c>
      <c r="E675" s="11">
        <v>45504</v>
      </c>
      <c r="F675" s="7">
        <v>45504</v>
      </c>
      <c r="G675" t="s">
        <v>231</v>
      </c>
      <c r="H675">
        <v>8333</v>
      </c>
      <c r="I675" s="5">
        <v>111245.55</v>
      </c>
      <c r="J675" s="13">
        <v>1</v>
      </c>
      <c r="K675" s="5">
        <f>106167.07-87.66</f>
        <v>106079.41</v>
      </c>
      <c r="L675" s="5">
        <f>Table13[[#This Row],[Open Value]]/Table13[[#This Row],[Shares]]/Table13[[#This Row],[Multiplier]]</f>
        <v>13.35</v>
      </c>
      <c r="M675" s="5">
        <f>Table13[[#This Row],[Close Value]]/Table13[[#This Row],[Shares]]/Table13[[#This Row],[Multiplier]]</f>
        <v>12.730038401536062</v>
      </c>
      <c r="N675" s="5">
        <v>-5166</v>
      </c>
      <c r="O675" s="3">
        <f>Table13[[#This Row],[PnL]]/Table13[[#This Row],[Open Value]]</f>
        <v>-4.643781256868252E-2</v>
      </c>
      <c r="P675" s="14">
        <f t="shared" si="10"/>
        <v>183143.97581368231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5</v>
      </c>
      <c r="E676" s="11">
        <v>45497</v>
      </c>
      <c r="F676" s="7">
        <v>45504</v>
      </c>
      <c r="G676" t="s">
        <v>267</v>
      </c>
      <c r="H676">
        <v>15</v>
      </c>
      <c r="I676" s="5">
        <f>Table13[[#This Row],[Close Value]]+Table13[[#This Row],[PnL]]</f>
        <v>3607280.8</v>
      </c>
      <c r="J676" s="13">
        <v>2500</v>
      </c>
      <c r="K676" s="5">
        <v>3612406.8</v>
      </c>
      <c r="L676" s="5">
        <f>Table13[[#This Row],[Open Value]]/Table13[[#This Row],[Shares]]/Table13[[#This Row],[Multiplier]]</f>
        <v>96.194154666666662</v>
      </c>
      <c r="M676" s="5">
        <f>Table13[[#This Row],[Close Value]]/Table13[[#This Row],[Shares]]/Table13[[#This Row],[Multiplier]]</f>
        <v>96.330848000000003</v>
      </c>
      <c r="N676" s="5">
        <v>-5126</v>
      </c>
      <c r="O676" s="3">
        <f>Table13[[#This Row],[PnL]]/Table13[[#This Row],[Open Value]]</f>
        <v>-1.4210149650673162E-3</v>
      </c>
      <c r="P676" s="14">
        <f t="shared" si="10"/>
        <v>178017.97581368231</v>
      </c>
      <c r="Q676" s="5" t="str">
        <f>TEXT(Table13[[#This Row],[Closing Date]],"yyyy")</f>
        <v>2024</v>
      </c>
      <c r="R676" s="5" t="str">
        <f>TEXT(Table13[[#This Row],[Closing Date]],"mmmm")</f>
        <v>July</v>
      </c>
      <c r="S676" s="5" t="s">
        <v>240</v>
      </c>
      <c r="T676" s="5" t="s">
        <v>301</v>
      </c>
    </row>
    <row r="677" spans="1:20" x14ac:dyDescent="0.25">
      <c r="A677" t="s">
        <v>201</v>
      </c>
      <c r="B677" t="s">
        <v>303</v>
      </c>
      <c r="C677" t="s">
        <v>12</v>
      </c>
      <c r="D677" t="s">
        <v>7</v>
      </c>
      <c r="E677" s="11">
        <v>45488</v>
      </c>
      <c r="F677" s="7">
        <v>45506</v>
      </c>
      <c r="G677" t="s">
        <v>85</v>
      </c>
      <c r="H677">
        <v>16</v>
      </c>
      <c r="I677" s="5">
        <f>Table13[[#This Row],[Close Value]]-Table13[[#This Row],[PnL]]</f>
        <v>106288.18</v>
      </c>
      <c r="J677" s="13">
        <v>0.1</v>
      </c>
      <c r="K677" s="5">
        <v>99938.18</v>
      </c>
      <c r="L677" s="5">
        <f>Table13[[#This Row],[Open Value]]/Table13[[#This Row],[Shares]]/Table13[[#This Row],[Multiplier]]</f>
        <v>66430.112499999988</v>
      </c>
      <c r="M677" s="5">
        <f>Table13[[#This Row],[Close Value]]/Table13[[#This Row],[Shares]]/Table13[[#This Row],[Multiplier]]</f>
        <v>62461.362499999996</v>
      </c>
      <c r="N677" s="5">
        <v>-6350</v>
      </c>
      <c r="O677" s="3">
        <f>Table13[[#This Row],[PnL]]/Table13[[#This Row],[Open Value]]</f>
        <v>-5.9743237677039915E-2</v>
      </c>
      <c r="P677" s="14">
        <f t="shared" si="10"/>
        <v>171667.97581368231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197</v>
      </c>
      <c r="B678" t="s">
        <v>302</v>
      </c>
      <c r="C678" t="s">
        <v>97</v>
      </c>
      <c r="D678" t="s">
        <v>7</v>
      </c>
      <c r="E678" s="11">
        <v>45487</v>
      </c>
      <c r="F678" s="7">
        <v>45509</v>
      </c>
      <c r="G678" t="s">
        <v>308</v>
      </c>
      <c r="H678">
        <v>200</v>
      </c>
      <c r="I678" s="5">
        <v>8012</v>
      </c>
      <c r="J678" s="13">
        <v>100</v>
      </c>
      <c r="K678" s="5">
        <f>33800-399.49</f>
        <v>33400.51</v>
      </c>
      <c r="L678" s="5">
        <f>Table13[[#This Row],[Open Value]]/Table13[[#This Row],[Shares]]/Table13[[#This Row],[Multiplier]]</f>
        <v>0.40060000000000001</v>
      </c>
      <c r="M678" s="5">
        <f>Table13[[#This Row],[Close Value]]/Table13[[#This Row],[Shares]]/Table13[[#This Row],[Multiplier]]</f>
        <v>1.6700255000000002</v>
      </c>
      <c r="N678" s="5">
        <f>Table13[[#This Row],[Close Value]]-Table13[[#This Row],[Open Value]]</f>
        <v>25388.510000000002</v>
      </c>
      <c r="O678" s="3">
        <f>Table13[[#This Row],[PnL]]/Table13[[#This Row],[Open Value]]</f>
        <v>3.1688105341987023</v>
      </c>
      <c r="P678" s="14">
        <f t="shared" si="10"/>
        <v>197056.48581368232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12</v>
      </c>
      <c r="D679" t="s">
        <v>7</v>
      </c>
      <c r="E679" s="11">
        <v>45499</v>
      </c>
      <c r="F679" s="7">
        <v>45509</v>
      </c>
      <c r="G679" t="s">
        <v>311</v>
      </c>
      <c r="H679">
        <v>2</v>
      </c>
      <c r="I679" s="5">
        <f>Table13[[#This Row],[Close Value]]-Table13[[#This Row],[PnL]]</f>
        <v>167529.60000000001</v>
      </c>
      <c r="J679" s="13">
        <v>10</v>
      </c>
      <c r="K679" s="5">
        <v>161956.6</v>
      </c>
      <c r="L679" s="5">
        <f>Table13[[#This Row],[Open Value]]/Table13[[#This Row],[Shares]]/Table13[[#This Row],[Multiplier]]</f>
        <v>8376.48</v>
      </c>
      <c r="M679" s="5">
        <f>Table13[[#This Row],[Close Value]]/Table13[[#This Row],[Shares]]/Table13[[#This Row],[Multiplier]]</f>
        <v>8097.83</v>
      </c>
      <c r="N679" s="5">
        <v>-5573</v>
      </c>
      <c r="O679" s="3">
        <v>-4.6892574814251541E-2</v>
      </c>
      <c r="P679" s="14">
        <f t="shared" si="10"/>
        <v>191483.48581368232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303</v>
      </c>
      <c r="C680" t="s">
        <v>16</v>
      </c>
      <c r="D680" t="s">
        <v>7</v>
      </c>
      <c r="E680" s="11">
        <v>45432</v>
      </c>
      <c r="F680" s="7">
        <v>45509</v>
      </c>
      <c r="G680" t="s">
        <v>258</v>
      </c>
      <c r="H680">
        <v>5000</v>
      </c>
      <c r="I680" s="5">
        <v>94338.93</v>
      </c>
      <c r="J680" s="13">
        <v>1</v>
      </c>
      <c r="K680" s="5">
        <v>92758.739999999991</v>
      </c>
      <c r="L680" s="5">
        <v>18.867785999999999</v>
      </c>
      <c r="M680" s="5">
        <v>18.551748</v>
      </c>
      <c r="N680" s="5">
        <v>-1580.1900000000023</v>
      </c>
      <c r="O680" s="3">
        <v>-1.6750136979505729E-2</v>
      </c>
      <c r="P680" s="14">
        <f t="shared" si="10"/>
        <v>189903.29581368231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203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45505</v>
      </c>
      <c r="F681" s="7">
        <v>45510</v>
      </c>
      <c r="G681" t="s">
        <v>307</v>
      </c>
      <c r="H681">
        <v>200</v>
      </c>
      <c r="I681" s="5">
        <v>129001.68</v>
      </c>
      <c r="J681" s="13">
        <v>1</v>
      </c>
      <c r="K681" s="5">
        <v>142294.68</v>
      </c>
      <c r="L681" s="5">
        <v>645.00839999999994</v>
      </c>
      <c r="M681" s="5">
        <v>711.47339999999997</v>
      </c>
      <c r="N681" s="5">
        <v>13293</v>
      </c>
      <c r="O681" s="3">
        <v>0.10304516964430231</v>
      </c>
      <c r="P681" s="14">
        <f t="shared" si="10"/>
        <v>203196.29581368231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201</v>
      </c>
      <c r="B682" t="s">
        <v>302</v>
      </c>
      <c r="C682" t="s">
        <v>12</v>
      </c>
      <c r="D682" t="s">
        <v>7</v>
      </c>
      <c r="E682" s="11">
        <v>45509</v>
      </c>
      <c r="F682" s="7">
        <v>45511</v>
      </c>
      <c r="G682" t="s">
        <v>82</v>
      </c>
      <c r="H682">
        <v>1</v>
      </c>
      <c r="I682" s="5">
        <v>260227.25</v>
      </c>
      <c r="J682" s="13">
        <v>50</v>
      </c>
      <c r="K682" s="5">
        <v>267897.75</v>
      </c>
      <c r="L682" s="5">
        <v>5204.5450000000001</v>
      </c>
      <c r="M682" s="5">
        <v>5357.9549999999999</v>
      </c>
      <c r="N682" s="5">
        <v>7670.5</v>
      </c>
      <c r="O682" s="3">
        <v>2.9476159779577273E-2</v>
      </c>
      <c r="P682" s="14">
        <f t="shared" si="10"/>
        <v>210866.79581368231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201</v>
      </c>
      <c r="B683" t="s">
        <v>303</v>
      </c>
      <c r="C683" t="s">
        <v>16</v>
      </c>
      <c r="D683" t="s">
        <v>5</v>
      </c>
      <c r="E683" s="11">
        <v>45510</v>
      </c>
      <c r="F683" s="7">
        <v>45511</v>
      </c>
      <c r="G683" t="s">
        <v>310</v>
      </c>
      <c r="H683">
        <v>1850</v>
      </c>
      <c r="I683" s="5">
        <v>116777.55</v>
      </c>
      <c r="J683" s="13">
        <v>1</v>
      </c>
      <c r="K683" s="5">
        <v>122253.55</v>
      </c>
      <c r="L683" s="5">
        <v>63.123000000000005</v>
      </c>
      <c r="M683" s="5">
        <v>66.082999999999998</v>
      </c>
      <c r="N683" s="5">
        <v>-5476</v>
      </c>
      <c r="O683" s="3">
        <v>-4.6892574814251541E-2</v>
      </c>
      <c r="P683" s="14">
        <f t="shared" si="10"/>
        <v>205390.79581368231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197</v>
      </c>
      <c r="B684" t="s">
        <v>302</v>
      </c>
      <c r="C684" t="s">
        <v>97</v>
      </c>
      <c r="D684" t="s">
        <v>7</v>
      </c>
      <c r="E684" s="11">
        <v>45485</v>
      </c>
      <c r="F684" s="7">
        <v>45512</v>
      </c>
      <c r="G684" t="s">
        <v>277</v>
      </c>
      <c r="H684">
        <v>4</v>
      </c>
      <c r="I684" s="5">
        <v>5610</v>
      </c>
      <c r="J684" s="13">
        <v>100</v>
      </c>
      <c r="K684" s="5">
        <v>9620.61</v>
      </c>
      <c r="L684" s="5">
        <v>14.025</v>
      </c>
      <c r="M684" s="5">
        <v>24.051525000000002</v>
      </c>
      <c r="N684" s="5">
        <v>4010.6100000000006</v>
      </c>
      <c r="O684" s="3">
        <v>0.7149037433155081</v>
      </c>
      <c r="P684" s="14">
        <f t="shared" si="10"/>
        <v>209401.4058136823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98</v>
      </c>
      <c r="D685" t="s">
        <v>7</v>
      </c>
      <c r="E685" s="11">
        <v>45505</v>
      </c>
      <c r="F685" s="7">
        <v>45513</v>
      </c>
      <c r="G685" t="s">
        <v>309</v>
      </c>
      <c r="H685">
        <v>20</v>
      </c>
      <c r="I685" s="5">
        <v>3224.7800000000007</v>
      </c>
      <c r="J685" s="13">
        <v>100</v>
      </c>
      <c r="K685" s="5">
        <v>10727.78</v>
      </c>
      <c r="L685" s="5">
        <v>1.6123900000000004</v>
      </c>
      <c r="M685" s="5">
        <v>5.3638900000000005</v>
      </c>
      <c r="N685" s="5">
        <v>7503</v>
      </c>
      <c r="O685" s="3">
        <v>2.3266703465042573</v>
      </c>
      <c r="P685" s="14">
        <f t="shared" si="10"/>
        <v>216904.4058136823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45501</v>
      </c>
      <c r="F686" s="7">
        <v>45513</v>
      </c>
      <c r="G686" t="s">
        <v>10</v>
      </c>
      <c r="H686">
        <v>400</v>
      </c>
      <c r="I686" s="5">
        <v>5475</v>
      </c>
      <c r="J686" s="13">
        <v>100</v>
      </c>
      <c r="K686" s="5">
        <v>0</v>
      </c>
      <c r="L686" s="5">
        <v>0.136875</v>
      </c>
      <c r="M686" s="5">
        <v>0</v>
      </c>
      <c r="N686" s="5">
        <v>-5475</v>
      </c>
      <c r="O686" s="3">
        <v>-1</v>
      </c>
      <c r="P686" s="14">
        <f t="shared" si="10"/>
        <v>211429.4058136823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102</v>
      </c>
      <c r="D687" t="s">
        <v>7</v>
      </c>
      <c r="E687" s="11">
        <v>45500</v>
      </c>
      <c r="F687" s="7">
        <v>45513</v>
      </c>
      <c r="G687" t="s">
        <v>10</v>
      </c>
      <c r="H687">
        <v>300</v>
      </c>
      <c r="I687" s="5">
        <v>3508</v>
      </c>
      <c r="J687" s="13">
        <v>100</v>
      </c>
      <c r="K687" s="5">
        <v>0</v>
      </c>
      <c r="L687" s="5">
        <v>0.11693333333333333</v>
      </c>
      <c r="M687" s="5">
        <v>0</v>
      </c>
      <c r="N687" s="5">
        <v>-3508</v>
      </c>
      <c r="O687" s="3">
        <v>-1</v>
      </c>
      <c r="P687" s="14">
        <f t="shared" si="10"/>
        <v>207921.4058136823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197</v>
      </c>
      <c r="B688" t="s">
        <v>302</v>
      </c>
      <c r="C688" t="s">
        <v>97</v>
      </c>
      <c r="D688" t="s">
        <v>7</v>
      </c>
      <c r="E688" s="11">
        <v>45503</v>
      </c>
      <c r="F688" s="7">
        <v>45518</v>
      </c>
      <c r="G688" t="s">
        <v>256</v>
      </c>
      <c r="H688">
        <v>15</v>
      </c>
      <c r="I688" s="5">
        <v>7316</v>
      </c>
      <c r="J688" s="13">
        <v>100</v>
      </c>
      <c r="K688" s="5">
        <v>5991.6</v>
      </c>
      <c r="L688" s="5">
        <v>4.8773333333333335</v>
      </c>
      <c r="M688" s="5">
        <v>3.9944000000000002</v>
      </c>
      <c r="N688" s="5">
        <v>-1324.3999999999996</v>
      </c>
      <c r="O688" s="3">
        <v>-0.18102788408966644</v>
      </c>
      <c r="P688" s="14">
        <f t="shared" si="10"/>
        <v>206597.00581368231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45459</v>
      </c>
      <c r="F689" s="7">
        <v>45518</v>
      </c>
      <c r="G689" t="s">
        <v>320</v>
      </c>
      <c r="H689">
        <v>15</v>
      </c>
      <c r="I689" s="5">
        <v>4810</v>
      </c>
      <c r="J689" s="13">
        <v>100</v>
      </c>
      <c r="K689" s="5">
        <v>5029.33</v>
      </c>
      <c r="L689" s="5">
        <v>3.206666666666667</v>
      </c>
      <c r="M689" s="5">
        <v>3.3528866666666666</v>
      </c>
      <c r="N689" s="5">
        <v>219.32999999999993</v>
      </c>
      <c r="O689" s="3">
        <v>4.5598752598752582E-2</v>
      </c>
      <c r="P689" s="14">
        <f t="shared" si="10"/>
        <v>206816.33581368229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201</v>
      </c>
      <c r="B690" t="s">
        <v>302</v>
      </c>
      <c r="C690" t="s">
        <v>12</v>
      </c>
      <c r="D690" t="s">
        <v>7</v>
      </c>
      <c r="E690" s="11">
        <v>45498</v>
      </c>
      <c r="F690" s="7">
        <v>45518</v>
      </c>
      <c r="G690" t="s">
        <v>82</v>
      </c>
      <c r="H690">
        <v>1</v>
      </c>
      <c r="I690" s="5">
        <v>272500</v>
      </c>
      <c r="J690" s="13">
        <v>50</v>
      </c>
      <c r="K690" s="5">
        <v>275779</v>
      </c>
      <c r="L690" s="5">
        <v>5450</v>
      </c>
      <c r="M690" s="5">
        <v>5515.58</v>
      </c>
      <c r="N690" s="5">
        <v>3279</v>
      </c>
      <c r="O690" s="3">
        <v>1.203302752293578E-2</v>
      </c>
      <c r="P690" s="14">
        <f t="shared" si="10"/>
        <v>210095.33581368229</v>
      </c>
      <c r="Q690" s="5" t="str">
        <f>TEXT(Table13[[#This Row],[Closing Date]],"yyyy")</f>
        <v>2024</v>
      </c>
      <c r="R690" s="5" t="str">
        <f>TEXT(Table13[[#This Row],[Closing Date]],"mmmm")</f>
        <v>August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99</v>
      </c>
      <c r="D691" t="s">
        <v>7</v>
      </c>
      <c r="E691" s="11">
        <v>45516</v>
      </c>
      <c r="F691" s="7">
        <v>45519</v>
      </c>
      <c r="G691" t="s">
        <v>136</v>
      </c>
      <c r="H691">
        <v>200</v>
      </c>
      <c r="I691" s="5">
        <v>2537.88</v>
      </c>
      <c r="J691" s="13">
        <v>100</v>
      </c>
      <c r="K691" s="5">
        <v>0</v>
      </c>
      <c r="L691" s="5">
        <f>Table13[[#This Row],[Open Value]]/Table13[[#This Row],[Shares]]/Table13[[#This Row],[Multiplier]]</f>
        <v>0.12689400000000001</v>
      </c>
      <c r="M691" s="5">
        <f>Table13[[#This Row],[Close Value]]/Table13[[#This Row],[Shares]]/Table13[[#This Row],[Multiplier]]</f>
        <v>0</v>
      </c>
      <c r="N691" s="5">
        <f>Table13[[#This Row],[Close Value]]-Table13[[#This Row],[Open Value]]</f>
        <v>-2537.88</v>
      </c>
      <c r="O691" s="3">
        <f>Table13[[#This Row],[PnL]]/Table13[[#This Row],[Open Value]]</f>
        <v>-1</v>
      </c>
      <c r="P691" s="14">
        <f t="shared" si="10"/>
        <v>207557.45581368229</v>
      </c>
      <c r="Q691" s="5" t="str">
        <f>TEXT(Table13[[#This Row],[Closing Date]],"yyyy")</f>
        <v>2024</v>
      </c>
      <c r="R691" s="5" t="str">
        <f>TEXT(Table13[[#This Row],[Closing Date]],"mmmm")</f>
        <v>August</v>
      </c>
      <c r="S691" s="5" t="s">
        <v>240</v>
      </c>
      <c r="T691" s="5" t="s">
        <v>301</v>
      </c>
    </row>
    <row r="692" spans="1:20" x14ac:dyDescent="0.25">
      <c r="A692" t="s">
        <v>201</v>
      </c>
      <c r="B692" t="s">
        <v>303</v>
      </c>
      <c r="C692" t="s">
        <v>16</v>
      </c>
      <c r="D692" t="s">
        <v>7</v>
      </c>
      <c r="E692" s="11">
        <v>45517</v>
      </c>
      <c r="F692" s="7">
        <v>45519</v>
      </c>
      <c r="G692" t="s">
        <v>231</v>
      </c>
      <c r="H692">
        <v>5000</v>
      </c>
      <c r="I692" s="5">
        <v>83500</v>
      </c>
      <c r="J692" s="13">
        <v>1</v>
      </c>
      <c r="K692" s="5">
        <v>77422.02</v>
      </c>
      <c r="L692" s="5">
        <v>16.7</v>
      </c>
      <c r="M692" s="5">
        <v>15.484404000000001</v>
      </c>
      <c r="N692" s="5">
        <v>-6077.9799999999959</v>
      </c>
      <c r="O692" s="3">
        <v>-7.2790179640718516E-2</v>
      </c>
      <c r="P692" s="14">
        <f t="shared" si="10"/>
        <v>201479.47581368231</v>
      </c>
      <c r="Q692" s="5" t="str">
        <f>TEXT(Table13[[#This Row],[Closing Date]],"yyyy")</f>
        <v>2024</v>
      </c>
      <c r="R692" s="5" t="str">
        <f>TEXT(Table13[[#This Row],[Closing Date]],"mmmm")</f>
        <v>August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102</v>
      </c>
      <c r="D693" t="s">
        <v>7</v>
      </c>
      <c r="E693" s="11">
        <v>45505</v>
      </c>
      <c r="F693" s="7">
        <v>45520</v>
      </c>
      <c r="G693" t="s">
        <v>35</v>
      </c>
      <c r="H693">
        <v>200</v>
      </c>
      <c r="I693" s="5">
        <v>4937.5600000000013</v>
      </c>
      <c r="J693" s="13">
        <v>100</v>
      </c>
      <c r="K693" s="5">
        <v>9004.7800000000007</v>
      </c>
      <c r="L693" s="5">
        <v>0.24687800000000007</v>
      </c>
      <c r="M693" s="5">
        <v>0.45023900000000006</v>
      </c>
      <c r="N693" s="5">
        <v>4067.2199999999993</v>
      </c>
      <c r="O693" s="3">
        <v>0.82373074960101711</v>
      </c>
      <c r="P693" s="14">
        <f t="shared" si="10"/>
        <v>205546.69581368231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197</v>
      </c>
      <c r="B694" t="s">
        <v>302</v>
      </c>
      <c r="C694" t="s">
        <v>102</v>
      </c>
      <c r="D694" t="s">
        <v>7</v>
      </c>
      <c r="E694" s="11">
        <v>45510</v>
      </c>
      <c r="F694" s="7">
        <v>45523</v>
      </c>
      <c r="G694" t="s">
        <v>266</v>
      </c>
      <c r="H694">
        <v>300</v>
      </c>
      <c r="I694" s="5">
        <v>2864.05</v>
      </c>
      <c r="J694" s="13">
        <v>100</v>
      </c>
      <c r="K694" s="5">
        <v>0</v>
      </c>
      <c r="L694" s="5">
        <v>9.5468333333333336E-2</v>
      </c>
      <c r="M694" s="5">
        <v>0</v>
      </c>
      <c r="N694" s="5">
        <v>-2864.05</v>
      </c>
      <c r="O694" s="3">
        <v>-1</v>
      </c>
      <c r="P694" s="14">
        <f t="shared" si="10"/>
        <v>202682.64581368232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45505</v>
      </c>
      <c r="F695" s="7">
        <v>45524</v>
      </c>
      <c r="G695" t="s">
        <v>133</v>
      </c>
      <c r="H695">
        <v>20</v>
      </c>
      <c r="I695" s="5">
        <v>6492</v>
      </c>
      <c r="J695" s="13">
        <v>100</v>
      </c>
      <c r="K695" s="5">
        <v>10175.719999999999</v>
      </c>
      <c r="L695" s="5">
        <v>3.2460000000000004</v>
      </c>
      <c r="M695" s="5">
        <v>5.0878599999999992</v>
      </c>
      <c r="N695" s="5">
        <v>3683.7199999999993</v>
      </c>
      <c r="O695" s="3">
        <v>0.56742452248921738</v>
      </c>
      <c r="P695" s="14">
        <f t="shared" si="10"/>
        <v>206366.36581368232</v>
      </c>
      <c r="Q695" s="5" t="s">
        <v>324</v>
      </c>
      <c r="R695" s="5" t="s">
        <v>325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302</v>
      </c>
      <c r="C696" t="s">
        <v>97</v>
      </c>
      <c r="D696" t="s">
        <v>7</v>
      </c>
      <c r="E696" s="11">
        <v>45492</v>
      </c>
      <c r="F696" s="7">
        <v>45524</v>
      </c>
      <c r="G696" t="s">
        <v>206</v>
      </c>
      <c r="H696">
        <v>3</v>
      </c>
      <c r="I696" s="5">
        <v>3600</v>
      </c>
      <c r="J696" s="13">
        <v>100</v>
      </c>
      <c r="K696" s="5">
        <v>1975.74</v>
      </c>
      <c r="L696" s="5">
        <v>12</v>
      </c>
      <c r="M696" s="5">
        <v>6.5858000000000008</v>
      </c>
      <c r="N696" s="5">
        <v>-1624.26</v>
      </c>
      <c r="O696" s="3">
        <v>-0.45118333333333333</v>
      </c>
      <c r="P696" s="14">
        <f t="shared" si="10"/>
        <v>204742.10581368231</v>
      </c>
      <c r="Q696" s="5" t="s">
        <v>324</v>
      </c>
      <c r="R696" s="5" t="s">
        <v>325</v>
      </c>
      <c r="S696" s="5" t="s">
        <v>240</v>
      </c>
      <c r="T696" s="5" t="s">
        <v>301</v>
      </c>
    </row>
    <row r="697" spans="1:20" x14ac:dyDescent="0.25">
      <c r="A697" t="s">
        <v>197</v>
      </c>
      <c r="B697" t="s">
        <v>302</v>
      </c>
      <c r="C697" t="s">
        <v>102</v>
      </c>
      <c r="D697" t="s">
        <v>7</v>
      </c>
      <c r="E697" s="11">
        <v>45499</v>
      </c>
      <c r="F697" s="7">
        <v>45524</v>
      </c>
      <c r="G697" t="s">
        <v>206</v>
      </c>
      <c r="H697">
        <v>4</v>
      </c>
      <c r="I697" s="5">
        <v>2804</v>
      </c>
      <c r="J697" s="13">
        <v>100</v>
      </c>
      <c r="K697" s="5">
        <v>1473.16</v>
      </c>
      <c r="L697" s="5">
        <v>7.01</v>
      </c>
      <c r="M697" s="5">
        <v>3.6829000000000001</v>
      </c>
      <c r="N697" s="5">
        <v>-1330.84</v>
      </c>
      <c r="O697" s="3">
        <v>-0.47462196861626244</v>
      </c>
      <c r="P697" s="14">
        <f t="shared" si="10"/>
        <v>203411.26581368232</v>
      </c>
      <c r="Q697" s="5" t="s">
        <v>324</v>
      </c>
      <c r="R697" s="5" t="s">
        <v>325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97</v>
      </c>
      <c r="D698" t="s">
        <v>7</v>
      </c>
      <c r="E698" s="11">
        <v>45488</v>
      </c>
      <c r="F698" s="7">
        <v>45524</v>
      </c>
      <c r="G698" t="s">
        <v>159</v>
      </c>
      <c r="H698">
        <v>2</v>
      </c>
      <c r="I698" s="5">
        <v>7004</v>
      </c>
      <c r="J698" s="13">
        <v>100</v>
      </c>
      <c r="K698" s="5">
        <v>4568.08</v>
      </c>
      <c r="L698" s="5">
        <v>35.020000000000003</v>
      </c>
      <c r="M698" s="5">
        <v>22.840399999999999</v>
      </c>
      <c r="N698" s="5">
        <v>-2435.92</v>
      </c>
      <c r="O698" s="3">
        <v>-0.3477898343803541</v>
      </c>
      <c r="P698" s="14">
        <f t="shared" si="10"/>
        <v>200975.3458136823</v>
      </c>
      <c r="Q698" s="5" t="str">
        <f>TEXT(Table13[[#This Row],[Closing Date]],"yyyy")</f>
        <v>2024</v>
      </c>
      <c r="R698" s="5" t="str">
        <f>TEXT(Table13[[#This Row],[Closing Date]],"mmmm")</f>
        <v>August</v>
      </c>
      <c r="S698" s="5" t="s">
        <v>240</v>
      </c>
      <c r="T698" s="5" t="s">
        <v>301</v>
      </c>
    </row>
    <row r="699" spans="1:20" x14ac:dyDescent="0.25">
      <c r="A699" t="s">
        <v>201</v>
      </c>
      <c r="B699" t="s">
        <v>303</v>
      </c>
      <c r="C699" t="s">
        <v>12</v>
      </c>
      <c r="D699" t="s">
        <v>7</v>
      </c>
      <c r="E699" s="11">
        <v>45519</v>
      </c>
      <c r="F699" s="7">
        <v>45524</v>
      </c>
      <c r="G699" t="s">
        <v>50</v>
      </c>
      <c r="H699">
        <v>12</v>
      </c>
      <c r="I699" s="5">
        <v>1228107</v>
      </c>
      <c r="J699" s="13">
        <v>1000</v>
      </c>
      <c r="K699" s="5">
        <v>1218333.3600000001</v>
      </c>
      <c r="L699" s="5">
        <v>102.34225000000001</v>
      </c>
      <c r="M699" s="5">
        <v>101.52778000000001</v>
      </c>
      <c r="N699" s="5">
        <v>-9773.6399999998976</v>
      </c>
      <c r="O699" s="3">
        <v>-7.9582967933574979E-3</v>
      </c>
      <c r="P699" s="14">
        <f t="shared" si="10"/>
        <v>191201.70581368241</v>
      </c>
      <c r="Q699" s="5" t="str">
        <f>TEXT(Table13[[#This Row],[Closing Date]],"yyyy")</f>
        <v>2024</v>
      </c>
      <c r="R699" s="5" t="str">
        <f>TEXT(Table13[[#This Row],[Closing Date]],"mmmm")</f>
        <v>August</v>
      </c>
      <c r="S699" s="5" t="s">
        <v>240</v>
      </c>
      <c r="T699" s="5" t="s">
        <v>301</v>
      </c>
    </row>
    <row r="700" spans="1:20" x14ac:dyDescent="0.25">
      <c r="A700" t="s">
        <v>197</v>
      </c>
      <c r="B700" t="s">
        <v>302</v>
      </c>
      <c r="C700" t="s">
        <v>102</v>
      </c>
      <c r="D700" t="s">
        <v>7</v>
      </c>
      <c r="E700" s="11">
        <v>45498</v>
      </c>
      <c r="F700" s="7">
        <v>45524</v>
      </c>
      <c r="G700" t="s">
        <v>37</v>
      </c>
      <c r="H700">
        <v>100</v>
      </c>
      <c r="I700" s="5">
        <v>7245</v>
      </c>
      <c r="J700" s="13">
        <v>100</v>
      </c>
      <c r="K700" s="5">
        <v>5154.8900000000003</v>
      </c>
      <c r="L700" s="5">
        <v>0.72450000000000003</v>
      </c>
      <c r="M700" s="5">
        <v>0.51548900000000009</v>
      </c>
      <c r="N700" s="5">
        <v>-2090.1099999999997</v>
      </c>
      <c r="O700" s="3">
        <v>-0.28848999309868872</v>
      </c>
      <c r="P700" s="14">
        <f t="shared" si="10"/>
        <v>189111.59581368242</v>
      </c>
      <c r="Q700" s="5" t="str">
        <f>TEXT(Table13[[#This Row],[Closing Date]],"yyyy")</f>
        <v>2024</v>
      </c>
      <c r="R700" s="5" t="str">
        <f>TEXT(Table13[[#This Row],[Closing Date]],"mmmm")</f>
        <v>August</v>
      </c>
      <c r="S700" s="5" t="s">
        <v>240</v>
      </c>
      <c r="T700" s="5" t="s">
        <v>301</v>
      </c>
    </row>
    <row r="701" spans="1:20" x14ac:dyDescent="0.25">
      <c r="A701" t="s">
        <v>197</v>
      </c>
      <c r="B701" t="s">
        <v>303</v>
      </c>
      <c r="C701" t="s">
        <v>102</v>
      </c>
      <c r="D701" t="s">
        <v>7</v>
      </c>
      <c r="E701" s="11">
        <v>45324</v>
      </c>
      <c r="F701" s="7">
        <v>45524</v>
      </c>
      <c r="G701" t="s">
        <v>330</v>
      </c>
      <c r="H701">
        <v>50</v>
      </c>
      <c r="I701" s="5">
        <v>15032.5</v>
      </c>
      <c r="J701" s="13">
        <v>100</v>
      </c>
      <c r="K701" s="5">
        <v>0</v>
      </c>
      <c r="L701" s="5">
        <v>3.0065</v>
      </c>
      <c r="M701" s="5">
        <v>0</v>
      </c>
      <c r="N701" s="5">
        <v>-15032.5</v>
      </c>
      <c r="O701" s="3">
        <v>-1</v>
      </c>
      <c r="P701" s="14">
        <f t="shared" si="10"/>
        <v>174079.09581368242</v>
      </c>
      <c r="Q701" s="5" t="str">
        <f>TEXT(Table13[[#This Row],[Closing Date]],"yyyy")</f>
        <v>2024</v>
      </c>
      <c r="R701" s="5" t="str">
        <f>TEXT(Table13[[#This Row],[Closing Date]],"mmmm")</f>
        <v>August</v>
      </c>
      <c r="S701" s="5" t="s">
        <v>240</v>
      </c>
      <c r="T701" s="5" t="s">
        <v>203</v>
      </c>
    </row>
    <row r="702" spans="1:20" x14ac:dyDescent="0.25">
      <c r="A702" t="s">
        <v>197</v>
      </c>
      <c r="B702" t="s">
        <v>302</v>
      </c>
      <c r="C702" t="s">
        <v>97</v>
      </c>
      <c r="D702" t="s">
        <v>7</v>
      </c>
      <c r="E702" s="11">
        <v>45510</v>
      </c>
      <c r="F702" s="7">
        <v>45526</v>
      </c>
      <c r="G702" t="s">
        <v>41</v>
      </c>
      <c r="H702">
        <v>20</v>
      </c>
      <c r="I702" s="5">
        <v>7022.41</v>
      </c>
      <c r="J702" s="13">
        <v>100</v>
      </c>
      <c r="K702" s="5">
        <v>8817.73</v>
      </c>
      <c r="L702" s="5">
        <v>3.5112049999999999</v>
      </c>
      <c r="M702" s="5">
        <v>4.4088649999999996</v>
      </c>
      <c r="N702" s="5">
        <v>1795.3199999999997</v>
      </c>
      <c r="O702" s="3">
        <v>0.25565582186172547</v>
      </c>
      <c r="P702" s="14">
        <f t="shared" si="10"/>
        <v>175874.41581368243</v>
      </c>
      <c r="Q702" s="5" t="str">
        <f>TEXT(Table13[[#This Row],[Closing Date]],"yyyy")</f>
        <v>2024</v>
      </c>
      <c r="R702" s="5" t="str">
        <f>TEXT(Table13[[#This Row],[Closing Date]],"mmmm")</f>
        <v>August</v>
      </c>
      <c r="S702" s="5" t="s">
        <v>240</v>
      </c>
      <c r="T702" s="5" t="s">
        <v>301</v>
      </c>
    </row>
    <row r="703" spans="1:20" x14ac:dyDescent="0.25">
      <c r="A703" t="s">
        <v>197</v>
      </c>
      <c r="B703" t="s">
        <v>302</v>
      </c>
      <c r="C703" t="s">
        <v>102</v>
      </c>
      <c r="D703" t="s">
        <v>7</v>
      </c>
      <c r="E703" s="11">
        <v>45458</v>
      </c>
      <c r="F703" s="7">
        <v>45527</v>
      </c>
      <c r="G703" t="s">
        <v>156</v>
      </c>
      <c r="H703">
        <v>9</v>
      </c>
      <c r="I703" s="5">
        <v>3608</v>
      </c>
      <c r="J703" s="13">
        <v>100</v>
      </c>
      <c r="K703" s="5">
        <v>5987.54</v>
      </c>
      <c r="L703" s="5">
        <v>4.0088888888888894</v>
      </c>
      <c r="M703" s="5">
        <v>6.6528222222222224</v>
      </c>
      <c r="N703" s="5">
        <v>2379.54</v>
      </c>
      <c r="O703" s="3">
        <v>0.6595177383592018</v>
      </c>
      <c r="P703" s="14">
        <f t="shared" si="10"/>
        <v>178253.95581368243</v>
      </c>
      <c r="Q703" s="5" t="str">
        <f>TEXT(Table13[[#This Row],[Closing Date]],"yyyy")</f>
        <v>2024</v>
      </c>
      <c r="R703" s="5" t="str">
        <f>TEXT(Table13[[#This Row],[Closing Date]],"mmmm")</f>
        <v>August</v>
      </c>
      <c r="S703" s="5" t="s">
        <v>240</v>
      </c>
      <c r="T703" s="5" t="s">
        <v>301</v>
      </c>
    </row>
    <row r="704" spans="1:20" x14ac:dyDescent="0.25">
      <c r="A704" t="s">
        <v>197</v>
      </c>
      <c r="B704" t="s">
        <v>302</v>
      </c>
      <c r="C704" t="s">
        <v>102</v>
      </c>
      <c r="D704" t="s">
        <v>7</v>
      </c>
      <c r="E704" s="11">
        <v>45511</v>
      </c>
      <c r="F704" s="7">
        <v>45527</v>
      </c>
      <c r="G704" t="s">
        <v>133</v>
      </c>
      <c r="H704">
        <v>2</v>
      </c>
      <c r="I704" s="5">
        <v>8880.99</v>
      </c>
      <c r="J704" s="13">
        <v>100</v>
      </c>
      <c r="K704" s="5">
        <v>12718.05</v>
      </c>
      <c r="L704" s="5">
        <v>44.404949999999999</v>
      </c>
      <c r="M704" s="5">
        <v>63.590249999999997</v>
      </c>
      <c r="N704" s="5">
        <v>3837.0599999999995</v>
      </c>
      <c r="O704" s="3">
        <v>0.43205318325997433</v>
      </c>
      <c r="P704" s="14">
        <f t="shared" si="10"/>
        <v>182091.01581368243</v>
      </c>
      <c r="Q704" s="5" t="str">
        <f>TEXT(Table13[[#This Row],[Closing Date]],"yyyy")</f>
        <v>2024</v>
      </c>
      <c r="R704" s="5" t="str">
        <f>TEXT(Table13[[#This Row],[Closing Date]],"mmmm")</f>
        <v>August</v>
      </c>
      <c r="S704" s="5" t="s">
        <v>240</v>
      </c>
      <c r="T704" s="5" t="s">
        <v>301</v>
      </c>
    </row>
    <row r="705" spans="1:20" x14ac:dyDescent="0.25">
      <c r="A705" t="s">
        <v>201</v>
      </c>
      <c r="B705" t="s">
        <v>303</v>
      </c>
      <c r="C705" t="s">
        <v>12</v>
      </c>
      <c r="D705" t="s">
        <v>7</v>
      </c>
      <c r="E705" s="11">
        <v>45510</v>
      </c>
      <c r="F705" s="7">
        <v>45530</v>
      </c>
      <c r="G705" t="s">
        <v>90</v>
      </c>
      <c r="H705">
        <v>2</v>
      </c>
      <c r="I705" s="5">
        <v>720534.4</v>
      </c>
      <c r="J705" s="13">
        <v>5</v>
      </c>
      <c r="K705" s="5">
        <v>761410.6</v>
      </c>
      <c r="L705" s="5">
        <v>72053.440000000002</v>
      </c>
      <c r="M705" s="5">
        <v>76141.06</v>
      </c>
      <c r="N705" s="5">
        <v>40876.199999999953</v>
      </c>
      <c r="O705" s="3">
        <v>5.6730393441312379E-2</v>
      </c>
      <c r="P705" s="14">
        <f t="shared" si="10"/>
        <v>222967.21581368239</v>
      </c>
      <c r="Q705" s="5" t="str">
        <f>TEXT(Table13[[#This Row],[Closing Date]],"yyyy")</f>
        <v>2024</v>
      </c>
      <c r="R705" s="5" t="str">
        <f>TEXT(Table13[[#This Row],[Closing Date]],"mmmm")</f>
        <v>August</v>
      </c>
      <c r="S705" s="5" t="s">
        <v>240</v>
      </c>
      <c r="T705" s="5" t="s">
        <v>301</v>
      </c>
    </row>
    <row r="706" spans="1:20" x14ac:dyDescent="0.25">
      <c r="A706" t="s">
        <v>197</v>
      </c>
      <c r="B706" t="s">
        <v>305</v>
      </c>
      <c r="C706" t="s">
        <v>102</v>
      </c>
      <c r="D706" t="s">
        <v>7</v>
      </c>
      <c r="E706" s="11">
        <v>45407</v>
      </c>
      <c r="F706" s="7">
        <v>45531</v>
      </c>
      <c r="G706" t="s">
        <v>329</v>
      </c>
      <c r="H706">
        <v>50</v>
      </c>
      <c r="I706" s="5">
        <v>28032.5</v>
      </c>
      <c r="J706" s="13">
        <v>100</v>
      </c>
      <c r="K706" s="5">
        <v>42966.3</v>
      </c>
      <c r="L706" s="5">
        <v>5.6064999999999996</v>
      </c>
      <c r="M706" s="5">
        <v>8.5932600000000008</v>
      </c>
      <c r="N706" s="5">
        <v>14933.800000000003</v>
      </c>
      <c r="O706" s="3">
        <v>0.53273165076250795</v>
      </c>
      <c r="P706" s="14">
        <f t="shared" si="10"/>
        <v>237901.0158136824</v>
      </c>
      <c r="Q706" s="5" t="str">
        <f>TEXT(Table13[[#This Row],[Closing Date]],"yyyy")</f>
        <v>2024</v>
      </c>
      <c r="R706" s="5" t="str">
        <f>TEXT(Table13[[#This Row],[Closing Date]],"mmmm")</f>
        <v>August</v>
      </c>
      <c r="S706" s="5" t="s">
        <v>240</v>
      </c>
      <c r="T706" s="5" t="s">
        <v>203</v>
      </c>
    </row>
    <row r="707" spans="1:20" x14ac:dyDescent="0.25">
      <c r="A707" t="s">
        <v>197</v>
      </c>
      <c r="B707" t="s">
        <v>302</v>
      </c>
      <c r="C707" t="s">
        <v>99</v>
      </c>
      <c r="D707" t="s">
        <v>7</v>
      </c>
      <c r="E707" s="11">
        <v>45524</v>
      </c>
      <c r="F707" s="7">
        <v>45531</v>
      </c>
      <c r="G707" t="s">
        <v>133</v>
      </c>
      <c r="H707">
        <v>300</v>
      </c>
      <c r="I707" s="5">
        <v>5303.58</v>
      </c>
      <c r="J707" s="13">
        <v>100</v>
      </c>
      <c r="K707" s="5">
        <v>0</v>
      </c>
      <c r="L707" s="5">
        <v>0.176786</v>
      </c>
      <c r="M707" s="5">
        <v>0</v>
      </c>
      <c r="N707" s="5">
        <v>-5303.58</v>
      </c>
      <c r="O707" s="3">
        <v>-1</v>
      </c>
      <c r="P707" s="14">
        <f t="shared" ref="P707:P770" si="11">N707+P706</f>
        <v>232597.43581368242</v>
      </c>
      <c r="Q707" s="5" t="str">
        <f>TEXT(Table13[[#This Row],[Closing Date]],"yyyy")</f>
        <v>2024</v>
      </c>
      <c r="R707" s="5" t="str">
        <f>TEXT(Table13[[#This Row],[Closing Date]],"mmmm")</f>
        <v>August</v>
      </c>
      <c r="S707" s="5" t="s">
        <v>240</v>
      </c>
      <c r="T707" s="5" t="s">
        <v>301</v>
      </c>
    </row>
    <row r="708" spans="1:20" x14ac:dyDescent="0.25">
      <c r="A708" t="s">
        <v>201</v>
      </c>
      <c r="B708" t="s">
        <v>303</v>
      </c>
      <c r="C708" t="s">
        <v>16</v>
      </c>
      <c r="D708" t="s">
        <v>7</v>
      </c>
      <c r="E708" s="11">
        <v>45511</v>
      </c>
      <c r="F708" s="7">
        <v>45532</v>
      </c>
      <c r="G708" t="s">
        <v>312</v>
      </c>
      <c r="H708">
        <v>1600</v>
      </c>
      <c r="I708" s="5">
        <v>32896</v>
      </c>
      <c r="J708" s="13">
        <v>1</v>
      </c>
      <c r="K708" s="5">
        <v>47816.84</v>
      </c>
      <c r="L708" s="5">
        <v>20.56</v>
      </c>
      <c r="M708" s="5">
        <v>29.885524999999998</v>
      </c>
      <c r="N708" s="5">
        <v>14920.839999999997</v>
      </c>
      <c r="O708" s="3">
        <v>0.45357611867704267</v>
      </c>
      <c r="P708" s="14">
        <f t="shared" si="11"/>
        <v>247518.27581368241</v>
      </c>
      <c r="Q708" s="5" t="str">
        <f>TEXT(Table13[[#This Row],[Closing Date]],"yyyy")</f>
        <v>2024</v>
      </c>
      <c r="R708" s="5" t="str">
        <f>TEXT(Table13[[#This Row],[Closing Date]],"mmmm")</f>
        <v>August</v>
      </c>
      <c r="S708" s="5" t="s">
        <v>240</v>
      </c>
      <c r="T708" s="5" t="s">
        <v>301</v>
      </c>
    </row>
    <row r="709" spans="1:20" x14ac:dyDescent="0.25">
      <c r="A709" t="s">
        <v>201</v>
      </c>
      <c r="B709" t="s">
        <v>303</v>
      </c>
      <c r="C709" t="s">
        <v>16</v>
      </c>
      <c r="D709" t="s">
        <v>7</v>
      </c>
      <c r="E709" s="11">
        <v>45530</v>
      </c>
      <c r="F709" s="7">
        <v>45532</v>
      </c>
      <c r="G709" t="s">
        <v>328</v>
      </c>
      <c r="H709">
        <v>900</v>
      </c>
      <c r="I709" s="5">
        <v>130334</v>
      </c>
      <c r="J709" s="13">
        <v>1</v>
      </c>
      <c r="K709" s="5">
        <v>120317.42</v>
      </c>
      <c r="L709" s="5">
        <v>144.81555555555556</v>
      </c>
      <c r="M709" s="5">
        <v>133.68602222222222</v>
      </c>
      <c r="N709" s="5">
        <v>-10016.580000000002</v>
      </c>
      <c r="O709" s="3">
        <v>-7.6853161876409851E-2</v>
      </c>
      <c r="P709" s="14">
        <f t="shared" si="11"/>
        <v>237501.6958136824</v>
      </c>
      <c r="Q709" s="5" t="str">
        <f>TEXT(Table13[[#This Row],[Closing Date]],"yyyy")</f>
        <v>2024</v>
      </c>
      <c r="R709" s="5" t="str">
        <f>TEXT(Table13[[#This Row],[Closing Date]],"mmmm")</f>
        <v>August</v>
      </c>
      <c r="S709" s="5" t="s">
        <v>240</v>
      </c>
      <c r="T709" s="5" t="s">
        <v>301</v>
      </c>
    </row>
    <row r="710" spans="1:20" x14ac:dyDescent="0.25">
      <c r="A710" t="s">
        <v>201</v>
      </c>
      <c r="B710" t="s">
        <v>303</v>
      </c>
      <c r="C710" t="s">
        <v>12</v>
      </c>
      <c r="D710" t="s">
        <v>7</v>
      </c>
      <c r="E710" s="11">
        <v>45498</v>
      </c>
      <c r="F710" s="7">
        <v>45532</v>
      </c>
      <c r="G710" t="s">
        <v>82</v>
      </c>
      <c r="H710">
        <v>1</v>
      </c>
      <c r="I710" s="5">
        <v>273025</v>
      </c>
      <c r="J710" s="13">
        <v>50</v>
      </c>
      <c r="K710" s="5">
        <v>275779</v>
      </c>
      <c r="L710" s="5">
        <f>Table13[[#This Row],[Open Value]]/Table13[[#This Row],[Multiplier]]</f>
        <v>5460.5</v>
      </c>
      <c r="M710" s="5">
        <v>5515.58</v>
      </c>
      <c r="N710" s="5">
        <v>2029</v>
      </c>
      <c r="O710" s="3">
        <v>7.4118721461187212E-3</v>
      </c>
      <c r="P710" s="14">
        <f t="shared" si="11"/>
        <v>239530.6958136824</v>
      </c>
      <c r="Q710" s="5" t="str">
        <f>TEXT(Table13[[#This Row],[Closing Date]],"yyyy")</f>
        <v>2024</v>
      </c>
      <c r="R710" s="5" t="str">
        <f>TEXT(Table13[[#This Row],[Closing Date]],"mmmm")</f>
        <v>August</v>
      </c>
      <c r="S710" s="5" t="s">
        <v>240</v>
      </c>
      <c r="T710" s="5" t="s">
        <v>301</v>
      </c>
    </row>
    <row r="711" spans="1:20" x14ac:dyDescent="0.25">
      <c r="A711" t="s">
        <v>201</v>
      </c>
      <c r="B711" t="s">
        <v>303</v>
      </c>
      <c r="C711" t="s">
        <v>16</v>
      </c>
      <c r="D711" t="s">
        <v>7</v>
      </c>
      <c r="E711" s="11">
        <v>45530</v>
      </c>
      <c r="F711" s="7">
        <v>45538</v>
      </c>
      <c r="G711" t="s">
        <v>327</v>
      </c>
      <c r="H711">
        <v>320</v>
      </c>
      <c r="I711" s="5">
        <v>110913.60000000001</v>
      </c>
      <c r="J711" s="13">
        <v>1</v>
      </c>
      <c r="K711" s="5">
        <v>105842.76</v>
      </c>
      <c r="L711" s="5">
        <v>346.60500000000002</v>
      </c>
      <c r="M711" s="5">
        <v>330.75862499999999</v>
      </c>
      <c r="N711" s="5">
        <v>-5070.8400000000111</v>
      </c>
      <c r="O711" s="3">
        <v>-4.571882979183807E-2</v>
      </c>
      <c r="P711" s="14">
        <f t="shared" si="11"/>
        <v>234459.85581368237</v>
      </c>
      <c r="Q711" s="5" t="str">
        <f>TEXT(Table13[[#This Row],[Closing Date]],"yyyy")</f>
        <v>2024</v>
      </c>
      <c r="R711" s="5" t="str">
        <f>TEXT(Table13[[#This Row],[Closing Date]],"mmmm")</f>
        <v>September</v>
      </c>
      <c r="S711" s="5" t="s">
        <v>240</v>
      </c>
      <c r="T711" s="5" t="s">
        <v>301</v>
      </c>
    </row>
    <row r="712" spans="1:20" x14ac:dyDescent="0.25">
      <c r="A712" t="s">
        <v>201</v>
      </c>
      <c r="B712" t="s">
        <v>303</v>
      </c>
      <c r="C712" t="s">
        <v>16</v>
      </c>
      <c r="D712" t="s">
        <v>7</v>
      </c>
      <c r="E712" s="11">
        <v>45510</v>
      </c>
      <c r="F712" s="7">
        <v>45538</v>
      </c>
      <c r="G712" t="s">
        <v>153</v>
      </c>
      <c r="H712">
        <v>2500</v>
      </c>
      <c r="I712" s="5">
        <v>85401.5</v>
      </c>
      <c r="J712" s="13">
        <v>1</v>
      </c>
      <c r="K712" s="5">
        <v>88532.73</v>
      </c>
      <c r="L712" s="5">
        <v>34.160600000000002</v>
      </c>
      <c r="M712" s="5">
        <v>35.413091999999999</v>
      </c>
      <c r="N712" s="5">
        <v>3131.2299999999959</v>
      </c>
      <c r="O712" s="3">
        <v>3.6664812678934164E-2</v>
      </c>
      <c r="P712" s="14">
        <f t="shared" si="11"/>
        <v>237591.08581368235</v>
      </c>
      <c r="Q712" s="5" t="str">
        <f>TEXT(Table13[[#This Row],[Closing Date]],"yyyy")</f>
        <v>2024</v>
      </c>
      <c r="R712" s="5" t="str">
        <f>TEXT(Table13[[#This Row],[Closing Date]],"mmmm")</f>
        <v>September</v>
      </c>
      <c r="S712" s="5" t="s">
        <v>240</v>
      </c>
      <c r="T712" s="5" t="s">
        <v>301</v>
      </c>
    </row>
    <row r="713" spans="1:20" x14ac:dyDescent="0.25">
      <c r="A713" t="s">
        <v>201</v>
      </c>
      <c r="B713" t="s">
        <v>303</v>
      </c>
      <c r="C713" t="s">
        <v>16</v>
      </c>
      <c r="D713" t="s">
        <v>7</v>
      </c>
      <c r="E713" s="11">
        <v>45526</v>
      </c>
      <c r="F713" s="7">
        <v>45538</v>
      </c>
      <c r="G713" t="s">
        <v>256</v>
      </c>
      <c r="H713">
        <v>1500</v>
      </c>
      <c r="I713" s="5">
        <v>157140</v>
      </c>
      <c r="J713" s="13">
        <v>1</v>
      </c>
      <c r="K713" s="5">
        <v>139016</v>
      </c>
      <c r="L713" s="5">
        <v>104.76</v>
      </c>
      <c r="M713" s="5">
        <v>92.677333333333337</v>
      </c>
      <c r="N713" s="5">
        <v>-18124</v>
      </c>
      <c r="O713" s="3">
        <v>-0.11533664248440881</v>
      </c>
      <c r="P713" s="14">
        <f t="shared" si="11"/>
        <v>219467.08581368235</v>
      </c>
      <c r="Q713" s="5" t="str">
        <f>TEXT(Table13[[#This Row],[Closing Date]],"yyyy")</f>
        <v>2024</v>
      </c>
      <c r="R713" s="5" t="str">
        <f>TEXT(Table13[[#This Row],[Closing Date]],"mmmm")</f>
        <v>September</v>
      </c>
      <c r="S713" s="5" t="s">
        <v>240</v>
      </c>
      <c r="T713" s="5" t="s">
        <v>203</v>
      </c>
    </row>
    <row r="714" spans="1:20" x14ac:dyDescent="0.25">
      <c r="A714" t="s">
        <v>201</v>
      </c>
      <c r="B714" t="s">
        <v>303</v>
      </c>
      <c r="C714" t="s">
        <v>16</v>
      </c>
      <c r="D714" t="s">
        <v>7</v>
      </c>
      <c r="E714" s="11">
        <v>45539</v>
      </c>
      <c r="F714" s="7">
        <v>45541</v>
      </c>
      <c r="G714" t="s">
        <v>312</v>
      </c>
      <c r="H714">
        <v>3500</v>
      </c>
      <c r="I714" s="5">
        <v>103250</v>
      </c>
      <c r="J714" s="13">
        <v>1</v>
      </c>
      <c r="K714" s="5">
        <v>101349.67000000001</v>
      </c>
      <c r="L714" s="5">
        <v>29.5</v>
      </c>
      <c r="M714" s="5">
        <v>28.957048571428576</v>
      </c>
      <c r="N714" s="5">
        <v>-1900.3299999999872</v>
      </c>
      <c r="O714" s="3">
        <v>-1.840513317191271E-2</v>
      </c>
      <c r="P714" s="14">
        <f t="shared" si="11"/>
        <v>217566.75581368236</v>
      </c>
      <c r="Q714" s="5" t="str">
        <f>TEXT(Table13[[#This Row],[Closing Date]],"yyyy")</f>
        <v>2024</v>
      </c>
      <c r="R714" s="5" t="str">
        <f>TEXT(Table13[[#This Row],[Closing Date]],"mmmm")</f>
        <v>September</v>
      </c>
      <c r="S714" s="5" t="s">
        <v>240</v>
      </c>
      <c r="T714" s="5" t="s">
        <v>301</v>
      </c>
    </row>
    <row r="715" spans="1:20" x14ac:dyDescent="0.25">
      <c r="A715" t="s">
        <v>201</v>
      </c>
      <c r="B715" t="s">
        <v>303</v>
      </c>
      <c r="C715" t="s">
        <v>12</v>
      </c>
      <c r="D715" t="s">
        <v>7</v>
      </c>
      <c r="E715" s="11">
        <v>45519</v>
      </c>
      <c r="F715" s="7">
        <v>45549</v>
      </c>
      <c r="G715" t="s">
        <v>92</v>
      </c>
      <c r="H715">
        <v>2</v>
      </c>
      <c r="I715" s="5">
        <v>506985</v>
      </c>
      <c r="J715" s="13">
        <v>1000</v>
      </c>
      <c r="K715" s="5">
        <v>519995.06</v>
      </c>
      <c r="L715" s="5">
        <v>253.49250000000001</v>
      </c>
      <c r="M715" s="5">
        <v>259.99752999999998</v>
      </c>
      <c r="N715" s="5">
        <v>13010.059999999998</v>
      </c>
      <c r="O715" s="3">
        <v>2.5661627069834408E-2</v>
      </c>
      <c r="P715" s="14">
        <f t="shared" si="11"/>
        <v>230576.81581368236</v>
      </c>
      <c r="Q715" s="5" t="str">
        <f>TEXT(Table13[[#This Row],[Closing Date]],"yyyy")</f>
        <v>2024</v>
      </c>
      <c r="R715" s="5" t="str">
        <f>TEXT(Table13[[#This Row],[Closing Date]],"mmmm")</f>
        <v>September</v>
      </c>
      <c r="S715" s="5" t="s">
        <v>240</v>
      </c>
      <c r="T715" s="5" t="s">
        <v>301</v>
      </c>
    </row>
    <row r="716" spans="1:20" x14ac:dyDescent="0.25">
      <c r="A716" t="s">
        <v>201</v>
      </c>
      <c r="B716" t="s">
        <v>305</v>
      </c>
      <c r="C716" t="s">
        <v>12</v>
      </c>
      <c r="D716" t="s">
        <v>7</v>
      </c>
      <c r="E716" s="11">
        <v>45525</v>
      </c>
      <c r="F716" s="7">
        <v>45550</v>
      </c>
      <c r="G716" t="s">
        <v>326</v>
      </c>
      <c r="H716">
        <v>80</v>
      </c>
      <c r="I716" s="5">
        <v>133642</v>
      </c>
      <c r="J716" s="13">
        <v>100</v>
      </c>
      <c r="K716" s="5">
        <v>154115.5</v>
      </c>
      <c r="L716" s="5">
        <v>16.705249999999999</v>
      </c>
      <c r="M716" s="5">
        <v>19.2644375</v>
      </c>
      <c r="N716" s="5">
        <v>20473.5</v>
      </c>
      <c r="O716" s="3">
        <v>0.15319659987129794</v>
      </c>
      <c r="P716" s="14">
        <f t="shared" si="11"/>
        <v>251050.31581368236</v>
      </c>
      <c r="Q716" s="5" t="str">
        <f>TEXT(Table13[[#This Row],[Closing Date]],"yyyy")</f>
        <v>2024</v>
      </c>
      <c r="R716" s="5" t="str">
        <f>TEXT(Table13[[#This Row],[Closing Date]],"mmmm")</f>
        <v>September</v>
      </c>
      <c r="S716" s="5" t="s">
        <v>240</v>
      </c>
      <c r="T716" s="5" t="s">
        <v>301</v>
      </c>
    </row>
    <row r="717" spans="1:20" x14ac:dyDescent="0.25">
      <c r="A717" t="s">
        <v>197</v>
      </c>
      <c r="B717" t="s">
        <v>302</v>
      </c>
      <c r="C717" t="s">
        <v>99</v>
      </c>
      <c r="D717" t="s">
        <v>7</v>
      </c>
      <c r="E717" s="11">
        <v>45547</v>
      </c>
      <c r="F717" s="7">
        <v>45555</v>
      </c>
      <c r="G717" t="s">
        <v>15</v>
      </c>
      <c r="H717">
        <v>100</v>
      </c>
      <c r="I717" s="5">
        <v>1168.6199999999999</v>
      </c>
      <c r="J717" s="13">
        <v>100</v>
      </c>
      <c r="K717" s="5">
        <v>0</v>
      </c>
      <c r="L717" s="5">
        <v>0.11686199999999999</v>
      </c>
      <c r="M717" s="5">
        <v>0</v>
      </c>
      <c r="N717" s="5">
        <v>-1168.6199999999999</v>
      </c>
      <c r="O717" s="3">
        <v>-1</v>
      </c>
      <c r="P717" s="14">
        <f t="shared" si="11"/>
        <v>249881.69581368237</v>
      </c>
      <c r="Q717" s="5" t="str">
        <f>TEXT(Table13[[#This Row],[Closing Date]],"yyyy")</f>
        <v>2024</v>
      </c>
      <c r="R717" s="5" t="str">
        <f>TEXT(Table13[[#This Row],[Closing Date]],"mmmm")</f>
        <v>September</v>
      </c>
      <c r="S717" s="5" t="s">
        <v>240</v>
      </c>
      <c r="T717" s="5" t="s">
        <v>301</v>
      </c>
    </row>
    <row r="718" spans="1:20" x14ac:dyDescent="0.25">
      <c r="A718" t="s">
        <v>197</v>
      </c>
      <c r="B718" t="s">
        <v>302</v>
      </c>
      <c r="C718" t="s">
        <v>99</v>
      </c>
      <c r="D718" t="s">
        <v>7</v>
      </c>
      <c r="E718" s="11">
        <v>45547</v>
      </c>
      <c r="F718" s="7">
        <v>45555</v>
      </c>
      <c r="G718" t="s">
        <v>15</v>
      </c>
      <c r="H718">
        <v>100</v>
      </c>
      <c r="I718" s="5">
        <v>3809.39</v>
      </c>
      <c r="J718" s="13">
        <v>100</v>
      </c>
      <c r="K718" s="5">
        <v>1</v>
      </c>
      <c r="L718" s="5">
        <v>0.38093899999999997</v>
      </c>
      <c r="M718" s="5">
        <v>1E-4</v>
      </c>
      <c r="N718" s="5">
        <v>-3808.39</v>
      </c>
      <c r="O718" s="3">
        <v>-0.99973749077936358</v>
      </c>
      <c r="P718" s="14">
        <f t="shared" si="11"/>
        <v>246073.30581368235</v>
      </c>
      <c r="Q718" s="5" t="str">
        <f>TEXT(Table13[[#This Row],[Closing Date]],"yyyy")</f>
        <v>2024</v>
      </c>
      <c r="R718" s="5" t="str">
        <f>TEXT(Table13[[#This Row],[Closing Date]],"mmmm")</f>
        <v>September</v>
      </c>
      <c r="S718" s="5" t="s">
        <v>240</v>
      </c>
      <c r="T718" s="5" t="s">
        <v>301</v>
      </c>
    </row>
    <row r="719" spans="1:20" x14ac:dyDescent="0.25">
      <c r="A719" t="s">
        <v>197</v>
      </c>
      <c r="B719" t="s">
        <v>302</v>
      </c>
      <c r="C719" t="s">
        <v>99</v>
      </c>
      <c r="D719" t="s">
        <v>7</v>
      </c>
      <c r="E719" s="11">
        <v>45534</v>
      </c>
      <c r="F719" s="7">
        <v>45555</v>
      </c>
      <c r="G719" t="s">
        <v>206</v>
      </c>
      <c r="H719">
        <v>50</v>
      </c>
      <c r="I719" s="5">
        <v>4022.34</v>
      </c>
      <c r="J719" s="13">
        <v>100</v>
      </c>
      <c r="K719" s="5">
        <v>5672.23</v>
      </c>
      <c r="L719" s="5">
        <v>0.80446799999999996</v>
      </c>
      <c r="M719" s="5">
        <v>1.1344459999999998</v>
      </c>
      <c r="N719" s="5">
        <v>1649.8899999999994</v>
      </c>
      <c r="O719" s="3">
        <v>0.41018163556536724</v>
      </c>
      <c r="P719" s="14">
        <f t="shared" si="11"/>
        <v>247723.19581368234</v>
      </c>
      <c r="Q719" s="5" t="str">
        <f>TEXT(Table13[[#This Row],[Closing Date]],"yyyy")</f>
        <v>2024</v>
      </c>
      <c r="R719" s="5" t="str">
        <f>TEXT(Table13[[#This Row],[Closing Date]],"mmmm")</f>
        <v>September</v>
      </c>
      <c r="S719" s="5" t="s">
        <v>240</v>
      </c>
      <c r="T719" s="5" t="s">
        <v>301</v>
      </c>
    </row>
    <row r="720" spans="1:20" x14ac:dyDescent="0.25">
      <c r="A720" t="s">
        <v>197</v>
      </c>
      <c r="B720" t="s">
        <v>302</v>
      </c>
      <c r="C720" t="s">
        <v>97</v>
      </c>
      <c r="D720" t="s">
        <v>7</v>
      </c>
      <c r="E720" s="11">
        <v>45457</v>
      </c>
      <c r="F720" s="7">
        <v>45555</v>
      </c>
      <c r="G720" t="s">
        <v>96</v>
      </c>
      <c r="H720">
        <v>4</v>
      </c>
      <c r="I720" s="5">
        <v>3406</v>
      </c>
      <c r="J720" s="13">
        <v>100</v>
      </c>
      <c r="K720" s="5">
        <v>88.04</v>
      </c>
      <c r="L720" s="5">
        <v>8.5150000000000006</v>
      </c>
      <c r="M720" s="5">
        <v>0.22010000000000002</v>
      </c>
      <c r="N720" s="5">
        <v>-3317.96</v>
      </c>
      <c r="O720" s="3">
        <v>-0.9741514973576042</v>
      </c>
      <c r="P720" s="14">
        <f t="shared" si="11"/>
        <v>244405.23581368235</v>
      </c>
      <c r="Q720" s="5" t="str">
        <f>TEXT(Table13[[#This Row],[Closing Date]],"yyyy")</f>
        <v>2024</v>
      </c>
      <c r="R720" s="5" t="str">
        <f>TEXT(Table13[[#This Row],[Closing Date]],"mmmm")</f>
        <v>September</v>
      </c>
      <c r="S720" s="5" t="s">
        <v>240</v>
      </c>
      <c r="T720" s="5" t="s">
        <v>301</v>
      </c>
    </row>
    <row r="721" spans="1:20" x14ac:dyDescent="0.25">
      <c r="A721" t="s">
        <v>197</v>
      </c>
      <c r="B721" t="s">
        <v>302</v>
      </c>
      <c r="C721" t="s">
        <v>99</v>
      </c>
      <c r="D721" t="s">
        <v>7</v>
      </c>
      <c r="E721" s="11">
        <v>45562</v>
      </c>
      <c r="F721" s="7">
        <v>45555</v>
      </c>
      <c r="G721" t="s">
        <v>177</v>
      </c>
      <c r="H721">
        <v>200</v>
      </c>
      <c r="I721" s="5">
        <v>5000</v>
      </c>
      <c r="J721" s="13">
        <v>100</v>
      </c>
      <c r="K721" s="5">
        <f>Table13[[#This Row],[Open Value]]-1182</f>
        <v>3818</v>
      </c>
      <c r="L721" s="5">
        <f>Table13[[#This Row],[Open Value]]/Table13[[#This Row],[Shares]]/Table13[[#This Row],[Multiplier]]</f>
        <v>0.25</v>
      </c>
      <c r="M721" s="5">
        <f>Table13[[#This Row],[Close Value]]/Table13[[#This Row],[Shares]]/Table13[[#This Row],[Multiplier]]</f>
        <v>0.19089999999999999</v>
      </c>
      <c r="N721" s="5">
        <f>Table13[[#This Row],[Close Value]]-Table13[[#This Row],[Open Value]]</f>
        <v>-1182</v>
      </c>
      <c r="O721" s="3">
        <f>Table13[[#This Row],[PnL]]/Table13[[#This Row],[Open Value]]</f>
        <v>-0.2364</v>
      </c>
      <c r="P721" s="14">
        <f t="shared" si="11"/>
        <v>243223.23581368235</v>
      </c>
      <c r="Q721" s="5" t="str">
        <f>TEXT(Table13[[#This Row],[Closing Date]],"yyyy")</f>
        <v>2024</v>
      </c>
      <c r="R721" s="5" t="str">
        <f>TEXT(Table13[[#This Row],[Closing Date]],"mmmm")</f>
        <v>September</v>
      </c>
      <c r="S721" s="5" t="s">
        <v>240</v>
      </c>
      <c r="T721" s="5" t="s">
        <v>301</v>
      </c>
    </row>
    <row r="722" spans="1:20" x14ac:dyDescent="0.25">
      <c r="A722" t="s">
        <v>197</v>
      </c>
      <c r="B722" t="s">
        <v>302</v>
      </c>
      <c r="C722" t="s">
        <v>99</v>
      </c>
      <c r="D722" t="s">
        <v>7</v>
      </c>
      <c r="E722" s="11">
        <v>45516</v>
      </c>
      <c r="F722" s="7">
        <v>45555</v>
      </c>
      <c r="G722" t="s">
        <v>322</v>
      </c>
      <c r="H722">
        <v>40</v>
      </c>
      <c r="I722" s="5">
        <v>2187.4699999999998</v>
      </c>
      <c r="J722" s="13">
        <v>100</v>
      </c>
      <c r="K722" s="5">
        <v>0</v>
      </c>
      <c r="L722" s="5">
        <v>0.54686749999999995</v>
      </c>
      <c r="M722" s="5">
        <v>0</v>
      </c>
      <c r="N722" s="5">
        <v>-2187.4699999999998</v>
      </c>
      <c r="O722" s="3">
        <v>-1</v>
      </c>
      <c r="P722" s="14">
        <f t="shared" si="11"/>
        <v>241035.76581368234</v>
      </c>
      <c r="Q722" s="5" t="str">
        <f>TEXT(Table13[[#This Row],[Closing Date]],"yyyy")</f>
        <v>2024</v>
      </c>
      <c r="R722" s="5" t="str">
        <f>TEXT(Table13[[#This Row],[Closing Date]],"mmmm")</f>
        <v>September</v>
      </c>
      <c r="S722" s="5" t="s">
        <v>240</v>
      </c>
      <c r="T722" s="5" t="s">
        <v>301</v>
      </c>
    </row>
    <row r="723" spans="1:20" x14ac:dyDescent="0.25">
      <c r="A723" t="s">
        <v>201</v>
      </c>
      <c r="B723" t="s">
        <v>303</v>
      </c>
      <c r="C723" t="s">
        <v>16</v>
      </c>
      <c r="D723" t="s">
        <v>7</v>
      </c>
      <c r="E723" s="11">
        <v>45559</v>
      </c>
      <c r="F723" s="7">
        <v>45560</v>
      </c>
      <c r="G723" t="s">
        <v>168</v>
      </c>
      <c r="H723">
        <v>3333</v>
      </c>
      <c r="I723" s="5">
        <v>91052</v>
      </c>
      <c r="J723" s="13">
        <v>1</v>
      </c>
      <c r="K723" s="5">
        <v>91685.53</v>
      </c>
      <c r="L723" s="5">
        <v>27.318331833183318</v>
      </c>
      <c r="M723" s="5">
        <v>27.508409840984097</v>
      </c>
      <c r="N723" s="5">
        <v>633.52999999999884</v>
      </c>
      <c r="O723" s="3">
        <v>6.957892193471849E-3</v>
      </c>
      <c r="P723" s="14">
        <f t="shared" si="11"/>
        <v>241669.29581368234</v>
      </c>
      <c r="Q723" s="5" t="str">
        <f>TEXT(Table13[[#This Row],[Closing Date]],"yyyy")</f>
        <v>2024</v>
      </c>
      <c r="R723" s="5" t="str">
        <f>TEXT(Table13[[#This Row],[Closing Date]],"mmmm")</f>
        <v>September</v>
      </c>
      <c r="S723" s="5" t="s">
        <v>240</v>
      </c>
      <c r="T723" s="5" t="s">
        <v>301</v>
      </c>
    </row>
    <row r="724" spans="1:20" x14ac:dyDescent="0.25">
      <c r="A724" t="s">
        <v>201</v>
      </c>
      <c r="B724" t="s">
        <v>303</v>
      </c>
      <c r="C724" t="s">
        <v>16</v>
      </c>
      <c r="D724" t="s">
        <v>7</v>
      </c>
      <c r="E724" s="11">
        <v>45560</v>
      </c>
      <c r="F724" s="7">
        <v>45562</v>
      </c>
      <c r="G724" t="s">
        <v>333</v>
      </c>
      <c r="H724">
        <v>5000</v>
      </c>
      <c r="I724" s="5">
        <v>115504.31</v>
      </c>
      <c r="J724" s="13">
        <v>1</v>
      </c>
      <c r="K724" s="5">
        <v>103940.31</v>
      </c>
      <c r="L724" s="5">
        <v>23.100861999999999</v>
      </c>
      <c r="M724" s="5">
        <v>20.788062</v>
      </c>
      <c r="N724" s="5">
        <v>-11564</v>
      </c>
      <c r="O724" s="3">
        <v>-0.100117476135739</v>
      </c>
      <c r="P724" s="14">
        <f t="shared" si="11"/>
        <v>230105.29581368234</v>
      </c>
      <c r="Q724" s="5" t="str">
        <f>TEXT(Table13[[#This Row],[Closing Date]],"yyyy")</f>
        <v>2024</v>
      </c>
      <c r="R724" s="5" t="str">
        <f>TEXT(Table13[[#This Row],[Closing Date]],"mmmm")</f>
        <v>September</v>
      </c>
      <c r="S724" s="5" t="s">
        <v>240</v>
      </c>
      <c r="T724" s="5" t="s">
        <v>301</v>
      </c>
    </row>
    <row r="725" spans="1:20" x14ac:dyDescent="0.25">
      <c r="A725" t="s">
        <v>197</v>
      </c>
      <c r="B725" t="s">
        <v>302</v>
      </c>
      <c r="C725" t="s">
        <v>99</v>
      </c>
      <c r="D725" t="s">
        <v>7</v>
      </c>
      <c r="E725" s="11">
        <v>45555</v>
      </c>
      <c r="F725" s="7">
        <v>45562</v>
      </c>
      <c r="G725" t="s">
        <v>105</v>
      </c>
      <c r="H725">
        <v>200</v>
      </c>
      <c r="I725" s="5">
        <v>5514.67</v>
      </c>
      <c r="J725" s="13">
        <v>100</v>
      </c>
      <c r="K725" s="5">
        <v>0</v>
      </c>
      <c r="L725" s="5">
        <v>0.27573350000000002</v>
      </c>
      <c r="M725" s="5">
        <v>0</v>
      </c>
      <c r="N725" s="5">
        <v>-5514.67</v>
      </c>
      <c r="O725" s="3">
        <v>-1</v>
      </c>
      <c r="P725" s="14">
        <f t="shared" si="11"/>
        <v>224590.62581368233</v>
      </c>
      <c r="Q725" s="5" t="str">
        <f>TEXT(Table13[[#This Row],[Closing Date]],"yyyy")</f>
        <v>2024</v>
      </c>
      <c r="R725" s="5" t="str">
        <f>TEXT(Table13[[#This Row],[Closing Date]],"mmmm")</f>
        <v>September</v>
      </c>
      <c r="S725" s="5" t="s">
        <v>240</v>
      </c>
      <c r="T725" s="5" t="s">
        <v>301</v>
      </c>
    </row>
    <row r="726" spans="1:20" x14ac:dyDescent="0.25">
      <c r="A726" t="s">
        <v>197</v>
      </c>
      <c r="B726" t="s">
        <v>302</v>
      </c>
      <c r="C726" t="s">
        <v>99</v>
      </c>
      <c r="D726" t="s">
        <v>7</v>
      </c>
      <c r="E726" s="11">
        <v>45540</v>
      </c>
      <c r="F726" s="7">
        <v>45562</v>
      </c>
      <c r="G726" t="s">
        <v>105</v>
      </c>
      <c r="H726">
        <v>12</v>
      </c>
      <c r="I726" s="5">
        <v>5100</v>
      </c>
      <c r="J726" s="13">
        <v>100</v>
      </c>
      <c r="K726" s="5">
        <v>2240</v>
      </c>
      <c r="L726" s="5">
        <v>4.25</v>
      </c>
      <c r="M726" s="5">
        <v>1.8666666666666665</v>
      </c>
      <c r="N726" s="5">
        <v>-2860</v>
      </c>
      <c r="O726" s="3">
        <v>-0.5607843137254902</v>
      </c>
      <c r="P726" s="14">
        <f t="shared" si="11"/>
        <v>221730.62581368233</v>
      </c>
      <c r="Q726" s="5" t="str">
        <f>TEXT(Table13[[#This Row],[Closing Date]],"yyyy")</f>
        <v>2024</v>
      </c>
      <c r="R726" s="5" t="str">
        <f>TEXT(Table13[[#This Row],[Closing Date]],"mmmm")</f>
        <v>September</v>
      </c>
      <c r="S726" s="5" t="s">
        <v>240</v>
      </c>
      <c r="T726" s="5" t="s">
        <v>301</v>
      </c>
    </row>
    <row r="727" spans="1:20" x14ac:dyDescent="0.25">
      <c r="A727" t="s">
        <v>201</v>
      </c>
      <c r="B727" t="s">
        <v>303</v>
      </c>
      <c r="C727" t="s">
        <v>12</v>
      </c>
      <c r="D727" t="s">
        <v>7</v>
      </c>
      <c r="E727" s="11">
        <v>45562</v>
      </c>
      <c r="F727" s="7">
        <v>45566</v>
      </c>
      <c r="G727" t="s">
        <v>89</v>
      </c>
      <c r="H727">
        <v>3</v>
      </c>
      <c r="I727" s="5">
        <v>339156.6</v>
      </c>
      <c r="J727" s="13">
        <v>50</v>
      </c>
      <c r="K727" s="5">
        <v>333353.40000000002</v>
      </c>
      <c r="L727" s="5">
        <v>2261.0439999999999</v>
      </c>
      <c r="M727" s="5">
        <v>2222.3560000000002</v>
      </c>
      <c r="N727" s="5">
        <v>-5803.1999999999534</v>
      </c>
      <c r="O727" s="3">
        <v>-1.7110679845239497E-2</v>
      </c>
      <c r="P727" s="14">
        <f t="shared" si="11"/>
        <v>215927.42581368238</v>
      </c>
      <c r="Q727" s="5" t="str">
        <f>TEXT(Table13[[#This Row],[Closing Date]],"yyyy")</f>
        <v>2024</v>
      </c>
      <c r="R727" s="5" t="str">
        <f>TEXT(Table13[[#This Row],[Closing Date]],"mmmm")</f>
        <v>October</v>
      </c>
      <c r="S727" s="5" t="s">
        <v>240</v>
      </c>
      <c r="T727" s="5" t="s">
        <v>301</v>
      </c>
    </row>
    <row r="728" spans="1:20" x14ac:dyDescent="0.25">
      <c r="A728" t="s">
        <v>197</v>
      </c>
      <c r="B728" t="s">
        <v>302</v>
      </c>
      <c r="C728" t="s">
        <v>99</v>
      </c>
      <c r="D728" t="s">
        <v>7</v>
      </c>
      <c r="E728" s="11">
        <v>45560</v>
      </c>
      <c r="F728" s="7">
        <v>45566</v>
      </c>
      <c r="G728" t="s">
        <v>10</v>
      </c>
      <c r="H728">
        <v>150</v>
      </c>
      <c r="I728" s="5">
        <v>4902.5</v>
      </c>
      <c r="J728" s="13">
        <v>100</v>
      </c>
      <c r="K728" s="5">
        <v>0</v>
      </c>
      <c r="L728" s="5">
        <v>0.32683333333333331</v>
      </c>
      <c r="M728" s="5">
        <v>0</v>
      </c>
      <c r="N728" s="5">
        <v>-4902.5</v>
      </c>
      <c r="O728" s="3">
        <v>-1</v>
      </c>
      <c r="P728" s="14">
        <f t="shared" si="11"/>
        <v>211024.92581368238</v>
      </c>
      <c r="Q728" s="5" t="str">
        <f>TEXT(Table13[[#This Row],[Closing Date]],"yyyy")</f>
        <v>2024</v>
      </c>
      <c r="R728" s="5" t="str">
        <f>TEXT(Table13[[#This Row],[Closing Date]],"mmmm")</f>
        <v>October</v>
      </c>
      <c r="S728" s="5" t="s">
        <v>240</v>
      </c>
      <c r="T728" s="5" t="s">
        <v>301</v>
      </c>
    </row>
    <row r="729" spans="1:20" x14ac:dyDescent="0.25">
      <c r="A729" t="s">
        <v>201</v>
      </c>
      <c r="B729" t="s">
        <v>303</v>
      </c>
      <c r="C729" t="s">
        <v>16</v>
      </c>
      <c r="D729" t="s">
        <v>7</v>
      </c>
      <c r="E729" s="11">
        <v>45560</v>
      </c>
      <c r="F729" s="7">
        <v>45567</v>
      </c>
      <c r="G729" t="s">
        <v>217</v>
      </c>
      <c r="H729">
        <v>610</v>
      </c>
      <c r="I729" s="5">
        <v>87428.5</v>
      </c>
      <c r="J729" s="13">
        <v>1</v>
      </c>
      <c r="K729" s="5">
        <v>82164.62</v>
      </c>
      <c r="L729" s="5">
        <v>143.32540983606557</v>
      </c>
      <c r="M729" s="5">
        <v>134.69609836065572</v>
      </c>
      <c r="N729" s="5">
        <v>-5263.8800000000047</v>
      </c>
      <c r="O729" s="3">
        <v>-6.0207826967178947E-2</v>
      </c>
      <c r="P729" s="14">
        <f t="shared" si="11"/>
        <v>205761.04581368237</v>
      </c>
      <c r="Q729" s="5" t="str">
        <f>TEXT(Table13[[#This Row],[Closing Date]],"yyyy")</f>
        <v>2024</v>
      </c>
      <c r="R729" s="5" t="str">
        <f>TEXT(Table13[[#This Row],[Closing Date]],"mmmm")</f>
        <v>October</v>
      </c>
      <c r="S729" s="5" t="s">
        <v>240</v>
      </c>
      <c r="T729" s="5" t="s">
        <v>301</v>
      </c>
    </row>
    <row r="730" spans="1:20" x14ac:dyDescent="0.25">
      <c r="A730" t="s">
        <v>197</v>
      </c>
      <c r="B730" t="s">
        <v>305</v>
      </c>
      <c r="C730" t="s">
        <v>16</v>
      </c>
      <c r="D730" t="s">
        <v>7</v>
      </c>
      <c r="E730" s="11">
        <v>46444</v>
      </c>
      <c r="F730" s="7">
        <v>45572</v>
      </c>
      <c r="G730" t="s">
        <v>210</v>
      </c>
      <c r="H730">
        <v>16</v>
      </c>
      <c r="I730" s="5">
        <v>29290.400000000001</v>
      </c>
      <c r="J730" s="13">
        <v>100</v>
      </c>
      <c r="K730" s="5">
        <v>71827.600000000006</v>
      </c>
      <c r="L730" s="5">
        <v>18.3065</v>
      </c>
      <c r="M730" s="5">
        <v>44.892250000000004</v>
      </c>
      <c r="N730" s="5">
        <v>42537.200000000004</v>
      </c>
      <c r="O730" s="3">
        <v>1.4522573949143747</v>
      </c>
      <c r="P730" s="14">
        <f t="shared" si="11"/>
        <v>248298.24581368238</v>
      </c>
      <c r="Q730" s="5" t="str">
        <f>TEXT(Table13[[#This Row],[Closing Date]],"yyyy")</f>
        <v>2024</v>
      </c>
      <c r="R730" s="5" t="str">
        <f>TEXT(Table13[[#This Row],[Closing Date]],"mmmm")</f>
        <v>October</v>
      </c>
      <c r="S730" s="5" t="s">
        <v>240</v>
      </c>
      <c r="T730" s="5" t="s">
        <v>203</v>
      </c>
    </row>
    <row r="731" spans="1:20" x14ac:dyDescent="0.25">
      <c r="A731" t="s">
        <v>197</v>
      </c>
      <c r="B731" t="s">
        <v>303</v>
      </c>
      <c r="C731" t="s">
        <v>102</v>
      </c>
      <c r="D731" t="s">
        <v>7</v>
      </c>
      <c r="E731" s="11">
        <v>45539</v>
      </c>
      <c r="F731" s="7">
        <v>45574</v>
      </c>
      <c r="G731" t="s">
        <v>37</v>
      </c>
      <c r="H731">
        <v>6</v>
      </c>
      <c r="I731" s="5">
        <v>5104.13</v>
      </c>
      <c r="J731" s="13">
        <v>100</v>
      </c>
      <c r="K731" s="5">
        <v>5443.61</v>
      </c>
      <c r="L731" s="5">
        <v>8.5068833333333345</v>
      </c>
      <c r="M731" s="5">
        <v>9.0726833333333339</v>
      </c>
      <c r="N731" s="5">
        <v>339.47999999999956</v>
      </c>
      <c r="O731" s="3">
        <v>6.6510845139132344E-2</v>
      </c>
      <c r="P731" s="14">
        <f t="shared" si="11"/>
        <v>248637.72581368239</v>
      </c>
      <c r="Q731" s="5" t="str">
        <f>TEXT(Table13[[#This Row],[Closing Date]],"yyyy")</f>
        <v>2024</v>
      </c>
      <c r="R731" s="5" t="str">
        <f>TEXT(Table13[[#This Row],[Closing Date]],"mmmm")</f>
        <v>October</v>
      </c>
      <c r="S731" s="5" t="s">
        <v>240</v>
      </c>
      <c r="T731" s="5" t="s">
        <v>301</v>
      </c>
    </row>
    <row r="732" spans="1:20" x14ac:dyDescent="0.25">
      <c r="A732" t="s">
        <v>201</v>
      </c>
      <c r="B732" t="s">
        <v>302</v>
      </c>
      <c r="C732" t="s">
        <v>12</v>
      </c>
      <c r="D732" t="s">
        <v>5</v>
      </c>
      <c r="E732" s="11">
        <v>45546</v>
      </c>
      <c r="F732" s="7">
        <v>45575</v>
      </c>
      <c r="G732" t="s">
        <v>82</v>
      </c>
      <c r="H732">
        <v>2</v>
      </c>
      <c r="I732" s="5">
        <v>553795.5</v>
      </c>
      <c r="J732" s="13">
        <v>50</v>
      </c>
      <c r="K732" s="5">
        <v>530707.5</v>
      </c>
      <c r="L732" s="5">
        <v>5537.9549999999999</v>
      </c>
      <c r="M732" s="5">
        <v>5307.0749999999998</v>
      </c>
      <c r="N732" s="5">
        <v>-23088</v>
      </c>
      <c r="O732" s="3">
        <v>-4.1690479608447524E-2</v>
      </c>
      <c r="P732" s="14">
        <f t="shared" si="11"/>
        <v>225549.72581368239</v>
      </c>
      <c r="Q732" s="5" t="str">
        <f>TEXT(Table13[[#This Row],[Closing Date]],"yyyy")</f>
        <v>2024</v>
      </c>
      <c r="R732" s="5" t="str">
        <f>TEXT(Table13[[#This Row],[Closing Date]],"mmmm")</f>
        <v>October</v>
      </c>
      <c r="S732" s="5" t="s">
        <v>240</v>
      </c>
      <c r="T732" s="5" t="s">
        <v>301</v>
      </c>
    </row>
    <row r="733" spans="1:20" x14ac:dyDescent="0.25">
      <c r="A733" t="s">
        <v>197</v>
      </c>
      <c r="B733" t="s">
        <v>302</v>
      </c>
      <c r="C733" t="s">
        <v>98</v>
      </c>
      <c r="D733" t="s">
        <v>7</v>
      </c>
      <c r="E733" s="11">
        <v>45551</v>
      </c>
      <c r="F733" s="7">
        <v>45576</v>
      </c>
      <c r="G733" t="s">
        <v>332</v>
      </c>
      <c r="H733">
        <v>100</v>
      </c>
      <c r="I733" s="5">
        <v>4841.49</v>
      </c>
      <c r="J733" s="13">
        <v>100</v>
      </c>
      <c r="K733" s="5">
        <v>13438.529999999999</v>
      </c>
      <c r="L733" s="5">
        <v>0.48414899999999994</v>
      </c>
      <c r="M733" s="5">
        <v>1.343853</v>
      </c>
      <c r="N733" s="5">
        <v>8597.0399999999991</v>
      </c>
      <c r="O733" s="3">
        <v>1.7757012820433378</v>
      </c>
      <c r="P733" s="14">
        <f t="shared" si="11"/>
        <v>234146.7658136824</v>
      </c>
      <c r="Q733" s="5" t="str">
        <f>TEXT(Table13[[#This Row],[Closing Date]],"yyyy")</f>
        <v>2024</v>
      </c>
      <c r="R733" s="5" t="str">
        <f>TEXT(Table13[[#This Row],[Closing Date]],"mmmm")</f>
        <v>October</v>
      </c>
      <c r="S733" s="5" t="s">
        <v>240</v>
      </c>
      <c r="T733" s="5" t="s">
        <v>301</v>
      </c>
    </row>
    <row r="734" spans="1:20" x14ac:dyDescent="0.25">
      <c r="A734" t="s">
        <v>197</v>
      </c>
      <c r="B734" t="s">
        <v>303</v>
      </c>
      <c r="C734" t="s">
        <v>102</v>
      </c>
      <c r="D734" t="s">
        <v>7</v>
      </c>
      <c r="E734" s="11">
        <v>45307</v>
      </c>
      <c r="F734" s="7">
        <v>45580</v>
      </c>
      <c r="G734" t="s">
        <v>339</v>
      </c>
      <c r="H734">
        <v>120</v>
      </c>
      <c r="I734" s="5">
        <v>30078</v>
      </c>
      <c r="J734" s="13">
        <v>100</v>
      </c>
      <c r="K734" s="5">
        <v>46720.7</v>
      </c>
      <c r="L734" s="5">
        <v>2.5065</v>
      </c>
      <c r="M734" s="5">
        <v>3.8933916666666666</v>
      </c>
      <c r="N734" s="5">
        <v>16642.699999999997</v>
      </c>
      <c r="O734" s="3">
        <v>0.55331803976328209</v>
      </c>
      <c r="P734" s="14">
        <f t="shared" si="11"/>
        <v>250789.46581368241</v>
      </c>
      <c r="Q734" s="5" t="str">
        <f>TEXT(Table13[[#This Row],[Closing Date]],"yyyy")</f>
        <v>2024</v>
      </c>
      <c r="R734" s="5" t="str">
        <f>TEXT(Table13[[#This Row],[Closing Date]],"mmmm")</f>
        <v>October</v>
      </c>
      <c r="S734" s="5" t="s">
        <v>240</v>
      </c>
      <c r="T734" s="5" t="s">
        <v>203</v>
      </c>
    </row>
    <row r="735" spans="1:20" x14ac:dyDescent="0.25">
      <c r="A735" t="s">
        <v>201</v>
      </c>
      <c r="B735" t="s">
        <v>303</v>
      </c>
      <c r="C735" t="s">
        <v>12</v>
      </c>
      <c r="D735" t="s">
        <v>5</v>
      </c>
      <c r="E735" s="11">
        <v>45556</v>
      </c>
      <c r="F735" s="7">
        <v>45582</v>
      </c>
      <c r="G735" t="s">
        <v>92</v>
      </c>
      <c r="H735">
        <v>2</v>
      </c>
      <c r="I735" s="5">
        <v>530814.93999999994</v>
      </c>
      <c r="J735" s="13">
        <v>1000</v>
      </c>
      <c r="K735" s="5">
        <v>541864.93999999994</v>
      </c>
      <c r="L735" s="5">
        <v>265.40746999999999</v>
      </c>
      <c r="M735" s="5">
        <v>270.93246999999997</v>
      </c>
      <c r="N735" s="5">
        <v>-11050</v>
      </c>
      <c r="O735" s="3">
        <v>-2.0817047839685902E-2</v>
      </c>
      <c r="P735" s="14">
        <f t="shared" si="11"/>
        <v>239739.46581368241</v>
      </c>
      <c r="Q735" s="5" t="str">
        <f>TEXT(Table13[[#This Row],[Closing Date]],"yyyy")</f>
        <v>2024</v>
      </c>
      <c r="R735" s="5" t="str">
        <f>TEXT(Table13[[#This Row],[Closing Date]],"mmmm")</f>
        <v>October</v>
      </c>
      <c r="S735" s="5" t="s">
        <v>240</v>
      </c>
      <c r="T735" s="5" t="s">
        <v>301</v>
      </c>
    </row>
    <row r="736" spans="1:20" x14ac:dyDescent="0.25">
      <c r="A736" t="s">
        <v>197</v>
      </c>
      <c r="B736" t="s">
        <v>303</v>
      </c>
      <c r="C736" t="s">
        <v>102</v>
      </c>
      <c r="D736" t="s">
        <v>7</v>
      </c>
      <c r="E736" s="11">
        <v>45459</v>
      </c>
      <c r="F736" s="7">
        <v>45583</v>
      </c>
      <c r="G736" t="s">
        <v>9</v>
      </c>
      <c r="H736">
        <v>20</v>
      </c>
      <c r="I736" s="5">
        <v>10302.69</v>
      </c>
      <c r="J736" s="13">
        <v>100</v>
      </c>
      <c r="K736" s="5">
        <v>0</v>
      </c>
      <c r="L736" s="5">
        <v>5.1513450000000001</v>
      </c>
      <c r="M736" s="5">
        <v>0</v>
      </c>
      <c r="N736" s="5">
        <v>-10302.69</v>
      </c>
      <c r="O736" s="3">
        <v>-1</v>
      </c>
      <c r="P736" s="14">
        <f t="shared" si="11"/>
        <v>229436.77581368241</v>
      </c>
      <c r="Q736" s="5" t="str">
        <f>TEXT(Table13[[#This Row],[Closing Date]],"yyyy")</f>
        <v>2024</v>
      </c>
      <c r="R736" s="5" t="str">
        <f>TEXT(Table13[[#This Row],[Closing Date]],"mmmm")</f>
        <v>October</v>
      </c>
      <c r="S736" s="5" t="s">
        <v>240</v>
      </c>
      <c r="T736" s="5" t="s">
        <v>301</v>
      </c>
    </row>
    <row r="737" spans="1:20" x14ac:dyDescent="0.25">
      <c r="A737" t="s">
        <v>201</v>
      </c>
      <c r="B737" t="s">
        <v>303</v>
      </c>
      <c r="C737" t="s">
        <v>16</v>
      </c>
      <c r="D737" t="s">
        <v>7</v>
      </c>
      <c r="E737" s="11">
        <v>45580</v>
      </c>
      <c r="F737" s="7">
        <v>45590</v>
      </c>
      <c r="G737" t="s">
        <v>168</v>
      </c>
      <c r="H737">
        <v>3200</v>
      </c>
      <c r="I737" s="5">
        <v>70522.28</v>
      </c>
      <c r="J737" s="13">
        <v>1</v>
      </c>
      <c r="K737" s="5">
        <v>65522.28</v>
      </c>
      <c r="L737" s="5">
        <v>22.0382125</v>
      </c>
      <c r="M737" s="5">
        <v>20.4757125</v>
      </c>
      <c r="N737" s="5">
        <v>-5000</v>
      </c>
      <c r="O737" s="3">
        <v>-7.0899579537133509E-2</v>
      </c>
      <c r="P737" s="14">
        <f t="shared" si="11"/>
        <v>224436.77581368241</v>
      </c>
      <c r="Q737" s="5" t="str">
        <f>TEXT(Table13[[#This Row],[Closing Date]],"yyyy")</f>
        <v>2024</v>
      </c>
      <c r="R737" s="5" t="str">
        <f>TEXT(Table13[[#This Row],[Closing Date]],"mmmm")</f>
        <v>October</v>
      </c>
      <c r="S737" s="5" t="s">
        <v>240</v>
      </c>
      <c r="T737" s="5" t="s">
        <v>301</v>
      </c>
    </row>
    <row r="738" spans="1:20" x14ac:dyDescent="0.25">
      <c r="A738" t="s">
        <v>197</v>
      </c>
      <c r="B738" t="s">
        <v>302</v>
      </c>
      <c r="C738" t="s">
        <v>99</v>
      </c>
      <c r="D738" t="s">
        <v>7</v>
      </c>
      <c r="E738" s="11">
        <v>45581</v>
      </c>
      <c r="F738" s="7">
        <v>45590</v>
      </c>
      <c r="G738" t="s">
        <v>10</v>
      </c>
      <c r="H738">
        <v>100</v>
      </c>
      <c r="I738" s="5">
        <v>2070.3000000000002</v>
      </c>
      <c r="J738" s="13">
        <v>100</v>
      </c>
      <c r="K738" s="5">
        <v>171.3</v>
      </c>
      <c r="L738" s="5">
        <v>0.20703000000000002</v>
      </c>
      <c r="M738" s="5">
        <v>1.7129999999999999E-2</v>
      </c>
      <c r="N738" s="5">
        <v>-1899.0000000000002</v>
      </c>
      <c r="O738" s="3">
        <v>-0.9172583683524127</v>
      </c>
      <c r="P738" s="14">
        <f t="shared" si="11"/>
        <v>222537.77581368241</v>
      </c>
      <c r="Q738" s="5" t="str">
        <f>TEXT(Table13[[#This Row],[Closing Date]],"yyyy")</f>
        <v>2024</v>
      </c>
      <c r="R738" s="5" t="str">
        <f>TEXT(Table13[[#This Row],[Closing Date]],"mmmm")</f>
        <v>October</v>
      </c>
      <c r="S738" s="5" t="s">
        <v>240</v>
      </c>
      <c r="T738" s="5" t="s">
        <v>301</v>
      </c>
    </row>
    <row r="739" spans="1:20" x14ac:dyDescent="0.25">
      <c r="A739" t="s">
        <v>197</v>
      </c>
      <c r="B739" t="s">
        <v>302</v>
      </c>
      <c r="C739" t="s">
        <v>99</v>
      </c>
      <c r="D739" t="s">
        <v>7</v>
      </c>
      <c r="E739" s="11">
        <v>45581</v>
      </c>
      <c r="F739" s="7">
        <v>45590</v>
      </c>
      <c r="G739" t="s">
        <v>10</v>
      </c>
      <c r="H739">
        <v>55</v>
      </c>
      <c r="I739" s="5">
        <v>3533.23</v>
      </c>
      <c r="J739" s="13">
        <v>100</v>
      </c>
      <c r="K739" s="5">
        <v>4039.23</v>
      </c>
      <c r="L739" s="5">
        <v>0.6424054545454545</v>
      </c>
      <c r="M739" s="5">
        <v>0.73440545454545458</v>
      </c>
      <c r="N739" s="5">
        <v>506</v>
      </c>
      <c r="O739" s="3">
        <v>0.14321173543754581</v>
      </c>
      <c r="P739" s="14">
        <f t="shared" si="11"/>
        <v>223043.77581368241</v>
      </c>
      <c r="Q739" s="5" t="str">
        <f>TEXT(Table13[[#This Row],[Closing Date]],"yyyy")</f>
        <v>2024</v>
      </c>
      <c r="R739" s="5" t="str">
        <f>TEXT(Table13[[#This Row],[Closing Date]],"mmmm")</f>
        <v>October</v>
      </c>
      <c r="S739" s="5" t="s">
        <v>240</v>
      </c>
      <c r="T739" s="5" t="s">
        <v>301</v>
      </c>
    </row>
    <row r="740" spans="1:20" x14ac:dyDescent="0.25">
      <c r="A740" t="s">
        <v>197</v>
      </c>
      <c r="B740" t="s">
        <v>302</v>
      </c>
      <c r="C740" t="s">
        <v>99</v>
      </c>
      <c r="D740" t="s">
        <v>7</v>
      </c>
      <c r="E740" s="11">
        <v>45524</v>
      </c>
      <c r="F740" s="7">
        <v>45590</v>
      </c>
      <c r="G740" t="s">
        <v>136</v>
      </c>
      <c r="H740">
        <v>100</v>
      </c>
      <c r="I740" s="5">
        <v>5469.94</v>
      </c>
      <c r="J740" s="13">
        <v>100</v>
      </c>
      <c r="K740" s="5">
        <v>6929.91</v>
      </c>
      <c r="L740" s="5">
        <v>0.54699399999999998</v>
      </c>
      <c r="M740" s="5">
        <v>0.69299099999999991</v>
      </c>
      <c r="N740" s="5">
        <v>1459.9700000000003</v>
      </c>
      <c r="O740" s="3">
        <v>0.2669078637060005</v>
      </c>
      <c r="P740" s="14">
        <f t="shared" si="11"/>
        <v>224503.74581368241</v>
      </c>
      <c r="Q740" s="5" t="str">
        <f>TEXT(Table13[[#This Row],[Closing Date]],"yyyy")</f>
        <v>2024</v>
      </c>
      <c r="R740" s="5" t="str">
        <f>TEXT(Table13[[#This Row],[Closing Date]],"mmmm")</f>
        <v>October</v>
      </c>
      <c r="S740" s="5" t="s">
        <v>240</v>
      </c>
      <c r="T740" s="5" t="s">
        <v>301</v>
      </c>
    </row>
    <row r="741" spans="1:20" x14ac:dyDescent="0.25">
      <c r="A741" t="s">
        <v>197</v>
      </c>
      <c r="B741" t="s">
        <v>302</v>
      </c>
      <c r="C741" t="s">
        <v>99</v>
      </c>
      <c r="D741" t="s">
        <v>7</v>
      </c>
      <c r="E741" s="11">
        <v>45581</v>
      </c>
      <c r="F741" s="7">
        <v>45590</v>
      </c>
      <c r="G741" t="s">
        <v>10</v>
      </c>
      <c r="H741">
        <v>100</v>
      </c>
      <c r="I741" s="5">
        <v>2700</v>
      </c>
      <c r="J741" s="13">
        <v>100</v>
      </c>
      <c r="K741" s="5">
        <v>0</v>
      </c>
      <c r="L741" s="5">
        <v>0.27</v>
      </c>
      <c r="M741" s="5">
        <v>0</v>
      </c>
      <c r="N741" s="5">
        <v>-2700</v>
      </c>
      <c r="O741" s="3">
        <v>-1</v>
      </c>
      <c r="P741" s="14">
        <f t="shared" si="11"/>
        <v>221803.74581368241</v>
      </c>
      <c r="Q741" s="5" t="str">
        <f>TEXT(Table13[[#This Row],[Closing Date]],"yyyy")</f>
        <v>2024</v>
      </c>
      <c r="R741" s="5" t="str">
        <f>TEXT(Table13[[#This Row],[Closing Date]],"mmmm")</f>
        <v>October</v>
      </c>
      <c r="S741" s="5" t="s">
        <v>240</v>
      </c>
      <c r="T741" s="5" t="s">
        <v>301</v>
      </c>
    </row>
    <row r="742" spans="1:20" x14ac:dyDescent="0.25">
      <c r="A742" t="s">
        <v>201</v>
      </c>
      <c r="B742" t="s">
        <v>302</v>
      </c>
      <c r="C742" t="s">
        <v>16</v>
      </c>
      <c r="D742" t="s">
        <v>7</v>
      </c>
      <c r="E742" s="11">
        <v>45580</v>
      </c>
      <c r="F742" s="7">
        <v>45593</v>
      </c>
      <c r="G742" t="s">
        <v>151</v>
      </c>
      <c r="H742">
        <v>1000</v>
      </c>
      <c r="I742" s="5">
        <v>85645</v>
      </c>
      <c r="J742" s="13">
        <v>1</v>
      </c>
      <c r="K742" s="5">
        <v>77848.429999999993</v>
      </c>
      <c r="L742" s="5">
        <v>85.644999999999996</v>
      </c>
      <c r="M742" s="5">
        <v>77.848429999999993</v>
      </c>
      <c r="N742" s="5">
        <v>-7796.570000000007</v>
      </c>
      <c r="O742" s="3">
        <v>-9.1033568801447917E-2</v>
      </c>
      <c r="P742" s="14">
        <f t="shared" si="11"/>
        <v>214007.17581368241</v>
      </c>
      <c r="Q742" s="5" t="str">
        <f>TEXT(Table13[[#This Row],[Closing Date]],"yyyy")</f>
        <v>2024</v>
      </c>
      <c r="R742" s="5" t="str">
        <f>TEXT(Table13[[#This Row],[Closing Date]],"mmmm")</f>
        <v>October</v>
      </c>
      <c r="S742" s="5" t="s">
        <v>240</v>
      </c>
      <c r="T742" s="5" t="s">
        <v>301</v>
      </c>
    </row>
    <row r="743" spans="1:20" x14ac:dyDescent="0.25">
      <c r="A743" t="s">
        <v>201</v>
      </c>
      <c r="B743" t="s">
        <v>303</v>
      </c>
      <c r="C743" t="s">
        <v>12</v>
      </c>
      <c r="D743" t="s">
        <v>7</v>
      </c>
      <c r="E743" s="11">
        <v>45567</v>
      </c>
      <c r="F743" s="7">
        <v>45595</v>
      </c>
      <c r="G743" t="s">
        <v>86</v>
      </c>
      <c r="H743">
        <v>50</v>
      </c>
      <c r="I743" s="5">
        <v>189134</v>
      </c>
      <c r="J743" s="13">
        <v>1000</v>
      </c>
      <c r="K743" s="5">
        <v>212590</v>
      </c>
      <c r="L743" s="5">
        <v>3.78268</v>
      </c>
      <c r="M743" s="5">
        <v>4.2518000000000002</v>
      </c>
      <c r="N743" s="5">
        <v>23456</v>
      </c>
      <c r="O743" s="3">
        <v>0.12401789207651717</v>
      </c>
      <c r="P743" s="14">
        <f t="shared" si="11"/>
        <v>237463.17581368241</v>
      </c>
      <c r="Q743" s="5" t="str">
        <f>TEXT(Table13[[#This Row],[Closing Date]],"yyyy")</f>
        <v>2024</v>
      </c>
      <c r="R743" s="5" t="str">
        <f>TEXT(Table13[[#This Row],[Closing Date]],"mmmm")</f>
        <v>October</v>
      </c>
      <c r="S743" s="5" t="s">
        <v>240</v>
      </c>
      <c r="T743" s="5" t="s">
        <v>301</v>
      </c>
    </row>
    <row r="744" spans="1:20" x14ac:dyDescent="0.25">
      <c r="A744" t="s">
        <v>201</v>
      </c>
      <c r="B744" t="s">
        <v>303</v>
      </c>
      <c r="C744" t="s">
        <v>16</v>
      </c>
      <c r="D744" t="s">
        <v>7</v>
      </c>
      <c r="E744" s="11">
        <v>45560</v>
      </c>
      <c r="F744" s="7">
        <v>45596</v>
      </c>
      <c r="G744" t="s">
        <v>153</v>
      </c>
      <c r="H744">
        <v>1500</v>
      </c>
      <c r="I744" s="5">
        <v>53017.5</v>
      </c>
      <c r="J744" s="13">
        <v>1</v>
      </c>
      <c r="K744" s="5">
        <v>47990.84</v>
      </c>
      <c r="L744" s="5">
        <v>35.344999999999999</v>
      </c>
      <c r="M744" s="5">
        <v>31.993893333333332</v>
      </c>
      <c r="N744" s="5">
        <v>-5026.6600000000035</v>
      </c>
      <c r="O744" s="3">
        <v>-9.4811335879662437E-2</v>
      </c>
      <c r="P744" s="14">
        <f t="shared" si="11"/>
        <v>232436.5158136824</v>
      </c>
      <c r="Q744" s="5" t="str">
        <f>TEXT(Table13[[#This Row],[Closing Date]],"yyyy")</f>
        <v>2024</v>
      </c>
      <c r="R744" s="5" t="str">
        <f>TEXT(Table13[[#This Row],[Closing Date]],"mmmm")</f>
        <v>October</v>
      </c>
      <c r="S744" s="5" t="s">
        <v>240</v>
      </c>
      <c r="T744" s="5" t="s">
        <v>301</v>
      </c>
    </row>
    <row r="745" spans="1:20" x14ac:dyDescent="0.25">
      <c r="A745" t="s">
        <v>197</v>
      </c>
      <c r="B745" t="s">
        <v>302</v>
      </c>
      <c r="C745" t="s">
        <v>102</v>
      </c>
      <c r="D745" t="s">
        <v>7</v>
      </c>
      <c r="E745" s="11">
        <v>45580</v>
      </c>
      <c r="F745" s="7">
        <v>45597</v>
      </c>
      <c r="G745" t="s">
        <v>23</v>
      </c>
      <c r="H745">
        <v>100</v>
      </c>
      <c r="I745" s="5">
        <v>5870.3</v>
      </c>
      <c r="J745" s="13">
        <v>100</v>
      </c>
      <c r="K745" s="5">
        <v>15261.380000000001</v>
      </c>
      <c r="L745" s="5">
        <v>0.58703000000000005</v>
      </c>
      <c r="M745" s="5">
        <v>1.526138</v>
      </c>
      <c r="N745" s="5">
        <v>9391.0800000000017</v>
      </c>
      <c r="O745" s="3">
        <v>1.5997615113367292</v>
      </c>
      <c r="P745" s="14">
        <f t="shared" si="11"/>
        <v>241827.59581368242</v>
      </c>
      <c r="Q745" s="5" t="str">
        <f>TEXT(Table13[[#This Row],[Closing Date]],"yyyy")</f>
        <v>2024</v>
      </c>
      <c r="R745" s="5" t="str">
        <f>TEXT(Table13[[#This Row],[Closing Date]],"mmmm")</f>
        <v>November</v>
      </c>
      <c r="S745" s="5" t="s">
        <v>240</v>
      </c>
      <c r="T745" s="5" t="s">
        <v>301</v>
      </c>
    </row>
    <row r="746" spans="1:20" x14ac:dyDescent="0.25">
      <c r="A746" t="s">
        <v>197</v>
      </c>
      <c r="B746" t="s">
        <v>302</v>
      </c>
      <c r="C746" t="s">
        <v>97</v>
      </c>
      <c r="D746" t="s">
        <v>7</v>
      </c>
      <c r="E746" s="11">
        <v>45589</v>
      </c>
      <c r="F746" s="7">
        <v>45597</v>
      </c>
      <c r="G746" t="s">
        <v>335</v>
      </c>
      <c r="H746">
        <v>20</v>
      </c>
      <c r="I746" s="5">
        <v>6016.57</v>
      </c>
      <c r="J746" s="13">
        <v>100</v>
      </c>
      <c r="K746" s="5">
        <v>0</v>
      </c>
      <c r="L746" s="5">
        <v>3.0082849999999994</v>
      </c>
      <c r="M746" s="5">
        <v>0</v>
      </c>
      <c r="N746" s="5">
        <v>-6016.57</v>
      </c>
      <c r="O746" s="3">
        <v>-1</v>
      </c>
      <c r="P746" s="14">
        <f t="shared" si="11"/>
        <v>235811.02581368241</v>
      </c>
      <c r="Q746" s="5" t="str">
        <f>TEXT(Table13[[#This Row],[Closing Date]],"yyyy")</f>
        <v>2024</v>
      </c>
      <c r="R746" s="5" t="str">
        <f>TEXT(Table13[[#This Row],[Closing Date]],"mmmm")</f>
        <v>November</v>
      </c>
      <c r="S746" s="5" t="s">
        <v>240</v>
      </c>
      <c r="T746" s="5" t="s">
        <v>301</v>
      </c>
    </row>
    <row r="747" spans="1:20" x14ac:dyDescent="0.25">
      <c r="A747" t="s">
        <v>197</v>
      </c>
      <c r="B747" t="s">
        <v>302</v>
      </c>
      <c r="C747" t="s">
        <v>99</v>
      </c>
      <c r="D747" t="s">
        <v>7</v>
      </c>
      <c r="E747" s="11">
        <v>45597</v>
      </c>
      <c r="F747" s="7">
        <v>45597</v>
      </c>
      <c r="G747" t="s">
        <v>10</v>
      </c>
      <c r="H747">
        <v>80</v>
      </c>
      <c r="I747" s="5">
        <v>3950</v>
      </c>
      <c r="J747" s="13">
        <v>100</v>
      </c>
      <c r="K747" s="5">
        <v>363</v>
      </c>
      <c r="L747" s="5">
        <v>0.49375000000000002</v>
      </c>
      <c r="M747" s="5">
        <v>4.5374999999999999E-2</v>
      </c>
      <c r="N747" s="5">
        <v>-3587</v>
      </c>
      <c r="O747" s="3">
        <v>-0.90810126582278483</v>
      </c>
      <c r="P747" s="14">
        <f t="shared" si="11"/>
        <v>232224.02581368241</v>
      </c>
      <c r="Q747" s="5" t="str">
        <f>TEXT(Table13[[#This Row],[Closing Date]],"yyyy")</f>
        <v>2024</v>
      </c>
      <c r="R747" s="5" t="str">
        <f>TEXT(Table13[[#This Row],[Closing Date]],"mmmm")</f>
        <v>November</v>
      </c>
      <c r="S747" s="5" t="s">
        <v>240</v>
      </c>
      <c r="T747" s="5" t="s">
        <v>301</v>
      </c>
    </row>
    <row r="748" spans="1:20" x14ac:dyDescent="0.25">
      <c r="A748" t="s">
        <v>201</v>
      </c>
      <c r="B748" t="s">
        <v>303</v>
      </c>
      <c r="C748" t="s">
        <v>16</v>
      </c>
      <c r="D748" t="s">
        <v>7</v>
      </c>
      <c r="E748" s="11">
        <v>45560</v>
      </c>
      <c r="F748" s="7">
        <v>45597</v>
      </c>
      <c r="G748" t="s">
        <v>312</v>
      </c>
      <c r="H748">
        <v>1000</v>
      </c>
      <c r="I748" s="5">
        <v>26653.1</v>
      </c>
      <c r="J748" s="13">
        <v>1</v>
      </c>
      <c r="K748" s="5">
        <v>23916.62</v>
      </c>
      <c r="L748" s="5">
        <v>26.653099999999998</v>
      </c>
      <c r="M748" s="5">
        <v>23.916619999999998</v>
      </c>
      <c r="N748" s="5">
        <v>-2736.4799999999996</v>
      </c>
      <c r="O748" s="3">
        <v>-0.1026702334812836</v>
      </c>
      <c r="P748" s="14">
        <f t="shared" si="11"/>
        <v>229487.5458136824</v>
      </c>
      <c r="Q748" s="5" t="str">
        <f>TEXT(Table13[[#This Row],[Closing Date]],"yyyy")</f>
        <v>2024</v>
      </c>
      <c r="R748" s="5" t="str">
        <f>TEXT(Table13[[#This Row],[Closing Date]],"mmmm")</f>
        <v>November</v>
      </c>
      <c r="S748" s="5" t="s">
        <v>240</v>
      </c>
      <c r="T748" s="5" t="s">
        <v>301</v>
      </c>
    </row>
    <row r="749" spans="1:20" x14ac:dyDescent="0.25">
      <c r="A749" t="s">
        <v>201</v>
      </c>
      <c r="B749" t="s">
        <v>305</v>
      </c>
      <c r="C749" t="s">
        <v>16</v>
      </c>
      <c r="D749" t="s">
        <v>7</v>
      </c>
      <c r="E749" s="11">
        <v>45593</v>
      </c>
      <c r="F749" s="7">
        <v>45597</v>
      </c>
      <c r="G749" t="s">
        <v>335</v>
      </c>
      <c r="H749">
        <v>245</v>
      </c>
      <c r="I749" s="5">
        <v>100940</v>
      </c>
      <c r="J749" s="13">
        <v>1</v>
      </c>
      <c r="K749" s="5">
        <v>98119.77</v>
      </c>
      <c r="L749" s="5">
        <v>412</v>
      </c>
      <c r="M749" s="5">
        <v>400.48885714285717</v>
      </c>
      <c r="N749" s="5">
        <v>-2820.2299999999959</v>
      </c>
      <c r="O749" s="3">
        <v>-2.7939667128987478E-2</v>
      </c>
      <c r="P749" s="14">
        <f t="shared" si="11"/>
        <v>226667.31581368239</v>
      </c>
      <c r="Q749" s="5" t="str">
        <f>TEXT(Table13[[#This Row],[Closing Date]],"yyyy")</f>
        <v>2024</v>
      </c>
      <c r="R749" s="5" t="str">
        <f>TEXT(Table13[[#This Row],[Closing Date]],"mmmm")</f>
        <v>November</v>
      </c>
      <c r="S749" s="5" t="s">
        <v>240</v>
      </c>
      <c r="T749" s="5" t="s">
        <v>203</v>
      </c>
    </row>
    <row r="750" spans="1:20" x14ac:dyDescent="0.25">
      <c r="A750" t="s">
        <v>197</v>
      </c>
      <c r="B750" t="s">
        <v>302</v>
      </c>
      <c r="C750" t="s">
        <v>99</v>
      </c>
      <c r="D750" t="s">
        <v>7</v>
      </c>
      <c r="E750" s="11">
        <v>45602</v>
      </c>
      <c r="F750" s="7">
        <v>45604</v>
      </c>
      <c r="G750" t="s">
        <v>17</v>
      </c>
      <c r="H750">
        <v>300</v>
      </c>
      <c r="I750" s="5">
        <v>10910.16</v>
      </c>
      <c r="J750" s="13">
        <v>100</v>
      </c>
      <c r="K750" s="5">
        <v>0</v>
      </c>
      <c r="L750" s="5">
        <v>0.363672</v>
      </c>
      <c r="M750" s="5">
        <v>0</v>
      </c>
      <c r="N750" s="5">
        <v>-10910.16</v>
      </c>
      <c r="O750" s="3">
        <v>-1</v>
      </c>
      <c r="P750" s="14">
        <f t="shared" si="11"/>
        <v>215757.15581368239</v>
      </c>
      <c r="Q750" s="5" t="str">
        <f>TEXT(Table13[[#This Row],[Closing Date]],"yyyy")</f>
        <v>2024</v>
      </c>
      <c r="R750" s="5" t="str">
        <f>TEXT(Table13[[#This Row],[Closing Date]],"mmmm")</f>
        <v>November</v>
      </c>
      <c r="S750" s="5" t="s">
        <v>240</v>
      </c>
      <c r="T750" s="5" t="s">
        <v>301</v>
      </c>
    </row>
    <row r="751" spans="1:20" x14ac:dyDescent="0.25">
      <c r="A751" t="s">
        <v>201</v>
      </c>
      <c r="B751" t="s">
        <v>303</v>
      </c>
      <c r="C751" t="s">
        <v>16</v>
      </c>
      <c r="D751" t="s">
        <v>7</v>
      </c>
      <c r="E751" s="11">
        <v>45588</v>
      </c>
      <c r="F751" s="7">
        <v>45610</v>
      </c>
      <c r="G751" t="s">
        <v>192</v>
      </c>
      <c r="H751">
        <v>3000</v>
      </c>
      <c r="I751" s="5">
        <v>58050</v>
      </c>
      <c r="J751" s="13">
        <v>1</v>
      </c>
      <c r="K751" s="5">
        <v>54376.49</v>
      </c>
      <c r="L751" s="5">
        <v>19.350000000000001</v>
      </c>
      <c r="M751" s="5">
        <v>18.125496666666667</v>
      </c>
      <c r="N751" s="5">
        <v>-3673.510000000002</v>
      </c>
      <c r="O751" s="3">
        <v>-6.3281826012058603E-2</v>
      </c>
      <c r="P751" s="14">
        <f t="shared" si="11"/>
        <v>212083.64581368238</v>
      </c>
      <c r="Q751" s="5" t="str">
        <f>TEXT(Table13[[#This Row],[Closing Date]],"yyyy")</f>
        <v>2024</v>
      </c>
      <c r="R751" s="5" t="str">
        <f>TEXT(Table13[[#This Row],[Closing Date]],"mmmm")</f>
        <v>November</v>
      </c>
      <c r="S751" s="5" t="s">
        <v>240</v>
      </c>
      <c r="T751" s="5" t="s">
        <v>203</v>
      </c>
    </row>
    <row r="752" spans="1:20" x14ac:dyDescent="0.25">
      <c r="A752" t="s">
        <v>197</v>
      </c>
      <c r="B752" t="s">
        <v>302</v>
      </c>
      <c r="C752" t="s">
        <v>99</v>
      </c>
      <c r="D752" t="s">
        <v>7</v>
      </c>
      <c r="E752" s="11">
        <v>45604</v>
      </c>
      <c r="F752" s="7">
        <v>45611</v>
      </c>
      <c r="G752" t="s">
        <v>10</v>
      </c>
      <c r="H752">
        <v>5</v>
      </c>
      <c r="I752" s="5">
        <v>1653.46</v>
      </c>
      <c r="J752" s="13">
        <v>100</v>
      </c>
      <c r="K752" s="5">
        <v>2789.42</v>
      </c>
      <c r="L752" s="5">
        <v>3.3069199999999999</v>
      </c>
      <c r="M752" s="5">
        <v>5.5788400000000005</v>
      </c>
      <c r="N752" s="5">
        <v>1135.96</v>
      </c>
      <c r="O752" s="3">
        <v>0.68701994605252015</v>
      </c>
      <c r="P752" s="14">
        <f t="shared" si="11"/>
        <v>213219.60581368237</v>
      </c>
      <c r="Q752" s="5" t="str">
        <f>TEXT(Table13[[#This Row],[Closing Date]],"yyyy")</f>
        <v>2024</v>
      </c>
      <c r="R752" s="5" t="str">
        <f>TEXT(Table13[[#This Row],[Closing Date]],"mmmm")</f>
        <v>November</v>
      </c>
      <c r="S752" s="5" t="s">
        <v>240</v>
      </c>
      <c r="T752" s="5" t="s">
        <v>301</v>
      </c>
    </row>
    <row r="753" spans="1:20" x14ac:dyDescent="0.25">
      <c r="A753" t="s">
        <v>197</v>
      </c>
      <c r="B753" t="s">
        <v>302</v>
      </c>
      <c r="C753" t="s">
        <v>98</v>
      </c>
      <c r="D753" t="s">
        <v>7</v>
      </c>
      <c r="E753" s="11">
        <v>45607</v>
      </c>
      <c r="F753" s="7">
        <v>45614</v>
      </c>
      <c r="G753" t="s">
        <v>29</v>
      </c>
      <c r="H753">
        <v>150</v>
      </c>
      <c r="I753" s="5">
        <v>9327.42</v>
      </c>
      <c r="J753" s="13">
        <v>100</v>
      </c>
      <c r="K753" s="5">
        <v>16046.939999999999</v>
      </c>
      <c r="L753" s="5">
        <v>0.62182800000000005</v>
      </c>
      <c r="M753" s="5">
        <v>1.069796</v>
      </c>
      <c r="N753" s="5">
        <v>6719.5199999999986</v>
      </c>
      <c r="O753" s="3">
        <v>0.72040499945322489</v>
      </c>
      <c r="P753" s="14">
        <f t="shared" si="11"/>
        <v>219939.12581368236</v>
      </c>
      <c r="Q753" s="5" t="str">
        <f>TEXT(Table13[[#This Row],[Closing Date]],"yyyy")</f>
        <v>2024</v>
      </c>
      <c r="R753" s="5" t="str">
        <f>TEXT(Table13[[#This Row],[Closing Date]],"mmmm")</f>
        <v>November</v>
      </c>
      <c r="S753" s="5" t="s">
        <v>240</v>
      </c>
      <c r="T753" s="5" t="s">
        <v>301</v>
      </c>
    </row>
    <row r="754" spans="1:20" x14ac:dyDescent="0.25">
      <c r="A754" t="s">
        <v>201</v>
      </c>
      <c r="B754" t="s">
        <v>303</v>
      </c>
      <c r="C754" t="s">
        <v>16</v>
      </c>
      <c r="D754" t="s">
        <v>7</v>
      </c>
      <c r="E754" s="11">
        <v>45609</v>
      </c>
      <c r="F754" s="7">
        <v>45614</v>
      </c>
      <c r="G754" t="s">
        <v>312</v>
      </c>
      <c r="H754">
        <v>1700</v>
      </c>
      <c r="I754" s="5">
        <v>55123</v>
      </c>
      <c r="J754" s="13">
        <v>1</v>
      </c>
      <c r="K754" s="5">
        <v>41021</v>
      </c>
      <c r="L754" s="5">
        <v>32.425294117647056</v>
      </c>
      <c r="M754" s="5">
        <v>24.13</v>
      </c>
      <c r="N754" s="5">
        <v>-14102</v>
      </c>
      <c r="O754" s="3">
        <v>-0.25582787584130035</v>
      </c>
      <c r="P754" s="14">
        <f t="shared" si="11"/>
        <v>205837.12581368236</v>
      </c>
      <c r="Q754" s="5" t="str">
        <f>TEXT(Table13[[#This Row],[Closing Date]],"yyyy")</f>
        <v>2024</v>
      </c>
      <c r="R754" s="5" t="str">
        <f>TEXT(Table13[[#This Row],[Closing Date]],"mmmm")</f>
        <v>November</v>
      </c>
      <c r="S754" s="5" t="s">
        <v>240</v>
      </c>
      <c r="T754" s="5" t="s">
        <v>301</v>
      </c>
    </row>
    <row r="755" spans="1:20" x14ac:dyDescent="0.25">
      <c r="A755" t="s">
        <v>201</v>
      </c>
      <c r="B755" t="s">
        <v>303</v>
      </c>
      <c r="C755" t="s">
        <v>12</v>
      </c>
      <c r="D755" t="s">
        <v>7</v>
      </c>
      <c r="E755" s="11">
        <v>45609</v>
      </c>
      <c r="F755" s="7">
        <v>45614</v>
      </c>
      <c r="G755" t="s">
        <v>86</v>
      </c>
      <c r="H755">
        <v>50</v>
      </c>
      <c r="I755" s="5">
        <v>219278.5</v>
      </c>
      <c r="J755" s="13">
        <v>1000</v>
      </c>
      <c r="K755" s="5">
        <v>218721.5</v>
      </c>
      <c r="L755" s="5">
        <v>4.3855699999999995</v>
      </c>
      <c r="M755" s="5">
        <v>4.3744300000000003</v>
      </c>
      <c r="N755" s="5">
        <v>-557</v>
      </c>
      <c r="O755" s="3">
        <v>-2.5401487149902978E-3</v>
      </c>
      <c r="P755" s="14">
        <f t="shared" si="11"/>
        <v>205280.12581368236</v>
      </c>
      <c r="Q755" s="5" t="str">
        <f>TEXT(Table13[[#This Row],[Closing Date]],"yyyy")</f>
        <v>2024</v>
      </c>
      <c r="R755" s="5" t="str">
        <f>TEXT(Table13[[#This Row],[Closing Date]],"mmmm")</f>
        <v>November</v>
      </c>
      <c r="S755" s="5" t="s">
        <v>240</v>
      </c>
      <c r="T755" s="5" t="s">
        <v>301</v>
      </c>
    </row>
    <row r="756" spans="1:20" x14ac:dyDescent="0.25">
      <c r="A756" t="s">
        <v>201</v>
      </c>
      <c r="B756" t="s">
        <v>303</v>
      </c>
      <c r="C756" t="s">
        <v>12</v>
      </c>
      <c r="D756" t="s">
        <v>7</v>
      </c>
      <c r="E756" s="11">
        <v>45580</v>
      </c>
      <c r="F756" s="7">
        <v>45615</v>
      </c>
      <c r="G756" t="s">
        <v>44</v>
      </c>
      <c r="H756">
        <v>1</v>
      </c>
      <c r="I756" s="5">
        <v>201000</v>
      </c>
      <c r="J756" s="13">
        <v>5</v>
      </c>
      <c r="K756" s="5">
        <v>192047</v>
      </c>
      <c r="L756" s="5">
        <v>40200</v>
      </c>
      <c r="M756" s="5">
        <v>38409.4</v>
      </c>
      <c r="N756" s="5">
        <v>-8953</v>
      </c>
      <c r="O756" s="3">
        <v>-4.4542288557213927E-2</v>
      </c>
      <c r="P756" s="14">
        <f t="shared" si="11"/>
        <v>196327.12581368236</v>
      </c>
      <c r="Q756" s="5" t="str">
        <f>TEXT(Table13[[#This Row],[Closing Date]],"yyyy")</f>
        <v>2024</v>
      </c>
      <c r="R756" s="5" t="str">
        <f>TEXT(Table13[[#This Row],[Closing Date]],"mmmm")</f>
        <v>November</v>
      </c>
      <c r="S756" s="5" t="s">
        <v>240</v>
      </c>
      <c r="T756" s="5" t="s">
        <v>301</v>
      </c>
    </row>
    <row r="757" spans="1:20" x14ac:dyDescent="0.25">
      <c r="A757" t="s">
        <v>201</v>
      </c>
      <c r="B757" t="s">
        <v>303</v>
      </c>
      <c r="C757" t="s">
        <v>12</v>
      </c>
      <c r="D757" t="s">
        <v>7</v>
      </c>
      <c r="E757" s="11">
        <v>45609</v>
      </c>
      <c r="F757" s="7">
        <v>45615</v>
      </c>
      <c r="G757" t="s">
        <v>86</v>
      </c>
      <c r="H757">
        <v>50</v>
      </c>
      <c r="I757" s="5">
        <v>219278.5</v>
      </c>
      <c r="J757" s="13">
        <v>1000</v>
      </c>
      <c r="K757" s="5">
        <v>218721.5</v>
      </c>
      <c r="L757" s="5">
        <v>4.3855699999999995</v>
      </c>
      <c r="M757" s="5">
        <v>4.3744300000000003</v>
      </c>
      <c r="N757" s="5">
        <v>-557</v>
      </c>
      <c r="O757" s="3">
        <v>-2.5401487149902978E-3</v>
      </c>
      <c r="P757" s="14">
        <f t="shared" si="11"/>
        <v>195770.12581368236</v>
      </c>
      <c r="Q757" s="5" t="str">
        <f>TEXT(Table13[[#This Row],[Closing Date]],"yyyy")</f>
        <v>2024</v>
      </c>
      <c r="R757" s="5" t="str">
        <f>TEXT(Table13[[#This Row],[Closing Date]],"mmmm")</f>
        <v>November</v>
      </c>
      <c r="S757" s="5" t="s">
        <v>240</v>
      </c>
      <c r="T757" s="5" t="s">
        <v>301</v>
      </c>
    </row>
    <row r="758" spans="1:20" x14ac:dyDescent="0.25">
      <c r="A758" t="s">
        <v>201</v>
      </c>
      <c r="B758" t="s">
        <v>303</v>
      </c>
      <c r="C758" t="s">
        <v>12</v>
      </c>
      <c r="D758" t="s">
        <v>7</v>
      </c>
      <c r="E758" s="11">
        <v>45609</v>
      </c>
      <c r="F758" s="7">
        <v>45617</v>
      </c>
      <c r="G758" t="s">
        <v>43</v>
      </c>
      <c r="H758">
        <v>2</v>
      </c>
      <c r="I758" s="5">
        <v>58006</v>
      </c>
      <c r="J758" s="13">
        <v>10000</v>
      </c>
      <c r="K758" s="5">
        <v>68860</v>
      </c>
      <c r="L758" s="5">
        <v>2.9003000000000001</v>
      </c>
      <c r="M758" s="5">
        <v>3.4430000000000001</v>
      </c>
      <c r="N758" s="5">
        <v>10854</v>
      </c>
      <c r="O758" s="3">
        <v>0.18711857394062684</v>
      </c>
      <c r="P758" s="14">
        <f t="shared" si="11"/>
        <v>206624.12581368236</v>
      </c>
      <c r="Q758" s="5" t="str">
        <f>TEXT(Table13[[#This Row],[Closing Date]],"yyyy")</f>
        <v>2024</v>
      </c>
      <c r="R758" s="5" t="str">
        <f>TEXT(Table13[[#This Row],[Closing Date]],"mmmm")</f>
        <v>November</v>
      </c>
      <c r="S758" s="5" t="s">
        <v>240</v>
      </c>
      <c r="T758" s="5" t="s">
        <v>301</v>
      </c>
    </row>
    <row r="759" spans="1:20" x14ac:dyDescent="0.25">
      <c r="A759" t="s">
        <v>201</v>
      </c>
      <c r="B759" t="s">
        <v>303</v>
      </c>
      <c r="C759" t="s">
        <v>16</v>
      </c>
      <c r="D759" t="s">
        <v>7</v>
      </c>
      <c r="E759" s="11">
        <v>45589</v>
      </c>
      <c r="F759" s="7">
        <v>45617</v>
      </c>
      <c r="G759" t="s">
        <v>336</v>
      </c>
      <c r="H759">
        <v>2000</v>
      </c>
      <c r="I759" s="5">
        <v>141478</v>
      </c>
      <c r="J759" s="13">
        <v>1</v>
      </c>
      <c r="K759" s="5">
        <v>156919.53</v>
      </c>
      <c r="L759" s="5">
        <v>70.739000000000004</v>
      </c>
      <c r="M759" s="5">
        <v>78.459765000000004</v>
      </c>
      <c r="N759" s="5">
        <v>15441.529999999999</v>
      </c>
      <c r="O759" s="3">
        <v>0.10914438994048543</v>
      </c>
      <c r="P759" s="14">
        <f t="shared" si="11"/>
        <v>222065.65581368236</v>
      </c>
      <c r="Q759" s="5" t="str">
        <f>TEXT(Table13[[#This Row],[Closing Date]],"yyyy")</f>
        <v>2024</v>
      </c>
      <c r="R759" s="5" t="str">
        <f>TEXT(Table13[[#This Row],[Closing Date]],"mmmm")</f>
        <v>November</v>
      </c>
      <c r="S759" s="5" t="s">
        <v>240</v>
      </c>
      <c r="T759" s="5" t="s">
        <v>301</v>
      </c>
    </row>
    <row r="760" spans="1:20" x14ac:dyDescent="0.25">
      <c r="A760" t="s">
        <v>201</v>
      </c>
      <c r="B760" t="s">
        <v>303</v>
      </c>
      <c r="C760" t="s">
        <v>12</v>
      </c>
      <c r="D760" t="s">
        <v>7</v>
      </c>
      <c r="E760" s="11">
        <v>45617</v>
      </c>
      <c r="F760" s="7">
        <v>45621</v>
      </c>
      <c r="G760" t="s">
        <v>92</v>
      </c>
      <c r="H760">
        <v>1</v>
      </c>
      <c r="I760" s="5">
        <v>263540</v>
      </c>
      <c r="J760" s="13">
        <v>1000</v>
      </c>
      <c r="K760" s="5">
        <v>262947.53000000003</v>
      </c>
      <c r="L760" s="5">
        <v>263.54000000000002</v>
      </c>
      <c r="M760" s="5">
        <v>262.94753000000003</v>
      </c>
      <c r="N760" s="5">
        <v>-592.46999999997206</v>
      </c>
      <c r="O760" s="3">
        <v>-2.2481217272519241E-3</v>
      </c>
      <c r="P760" s="14">
        <f t="shared" si="11"/>
        <v>221473.18581368239</v>
      </c>
      <c r="Q760" s="5" t="str">
        <f>TEXT(Table13[[#This Row],[Closing Date]],"yyyy")</f>
        <v>2024</v>
      </c>
      <c r="R760" s="5" t="str">
        <f>TEXT(Table13[[#This Row],[Closing Date]],"mmmm")</f>
        <v>November</v>
      </c>
      <c r="S760" s="5" t="s">
        <v>240</v>
      </c>
      <c r="T760" s="5" t="s">
        <v>301</v>
      </c>
    </row>
    <row r="761" spans="1:20" x14ac:dyDescent="0.25">
      <c r="A761" t="s">
        <v>201</v>
      </c>
      <c r="B761" t="s">
        <v>303</v>
      </c>
      <c r="C761" t="s">
        <v>16</v>
      </c>
      <c r="D761" t="s">
        <v>7</v>
      </c>
      <c r="E761" s="21">
        <v>45519</v>
      </c>
      <c r="F761" s="7">
        <v>45622</v>
      </c>
      <c r="G761" t="s">
        <v>323</v>
      </c>
      <c r="H761">
        <v>5000</v>
      </c>
      <c r="I761" s="5">
        <v>156473</v>
      </c>
      <c r="J761" s="13">
        <v>1</v>
      </c>
      <c r="K761" s="5">
        <v>161009.45000000001</v>
      </c>
      <c r="L761" s="5">
        <v>31.294599999999999</v>
      </c>
      <c r="M761" s="5">
        <v>32.201889999999999</v>
      </c>
      <c r="N761" s="5">
        <v>4536.4500000000116</v>
      </c>
      <c r="O761" s="3">
        <v>2.8991902756386159E-2</v>
      </c>
      <c r="P761" s="14">
        <f t="shared" si="11"/>
        <v>226009.6358136824</v>
      </c>
      <c r="Q761" s="5" t="str">
        <f>TEXT(Table13[[#This Row],[Closing Date]],"yyyy")</f>
        <v>2024</v>
      </c>
      <c r="R761" s="5" t="str">
        <f>TEXT(Table13[[#This Row],[Closing Date]],"mmmm")</f>
        <v>November</v>
      </c>
      <c r="S761" s="5" t="s">
        <v>240</v>
      </c>
      <c r="T761" s="5" t="s">
        <v>301</v>
      </c>
    </row>
    <row r="762" spans="1:20" x14ac:dyDescent="0.25">
      <c r="A762" t="s">
        <v>201</v>
      </c>
      <c r="B762" t="s">
        <v>303</v>
      </c>
      <c r="C762" t="s">
        <v>12</v>
      </c>
      <c r="D762" t="s">
        <v>7</v>
      </c>
      <c r="E762" s="11">
        <v>45594</v>
      </c>
      <c r="F762" s="7">
        <v>45622</v>
      </c>
      <c r="G762" t="s">
        <v>271</v>
      </c>
      <c r="H762">
        <v>350</v>
      </c>
      <c r="I762" s="5">
        <v>95636</v>
      </c>
      <c r="J762" s="13">
        <v>0.1</v>
      </c>
      <c r="K762" s="5">
        <v>117123.4</v>
      </c>
      <c r="L762" s="5">
        <v>2732.457142857143</v>
      </c>
      <c r="M762" s="5">
        <v>3346.3828571428567</v>
      </c>
      <c r="N762" s="5">
        <v>21487.399999999994</v>
      </c>
      <c r="O762" s="3">
        <v>0.22467899117487133</v>
      </c>
      <c r="P762" s="14">
        <f t="shared" si="11"/>
        <v>247497.03581368239</v>
      </c>
      <c r="Q762" s="5" t="str">
        <f>TEXT(Table13[[#This Row],[Closing Date]],"yyyy")</f>
        <v>2024</v>
      </c>
      <c r="R762" s="5" t="str">
        <f>TEXT(Table13[[#This Row],[Closing Date]],"mmmm")</f>
        <v>November</v>
      </c>
      <c r="S762" s="5" t="s">
        <v>240</v>
      </c>
      <c r="T762" s="5" t="s">
        <v>301</v>
      </c>
    </row>
    <row r="763" spans="1:20" x14ac:dyDescent="0.25">
      <c r="A763" t="s">
        <v>201</v>
      </c>
      <c r="B763" t="s">
        <v>303</v>
      </c>
      <c r="C763" t="s">
        <v>12</v>
      </c>
      <c r="D763" t="s">
        <v>7</v>
      </c>
      <c r="E763" s="11">
        <v>45602</v>
      </c>
      <c r="F763" s="7">
        <v>45622</v>
      </c>
      <c r="G763" t="s">
        <v>85</v>
      </c>
      <c r="H763">
        <v>10</v>
      </c>
      <c r="I763" s="5">
        <v>74926.7</v>
      </c>
      <c r="J763" s="13">
        <v>0.1</v>
      </c>
      <c r="K763" s="5">
        <v>93047.799999999988</v>
      </c>
      <c r="L763" s="5">
        <v>74926.7</v>
      </c>
      <c r="M763" s="5">
        <v>93047.799999999988</v>
      </c>
      <c r="N763" s="5">
        <v>18121.099999999991</v>
      </c>
      <c r="O763" s="3">
        <v>0.24185103574560193</v>
      </c>
      <c r="P763" s="14">
        <f t="shared" si="11"/>
        <v>265618.1358136824</v>
      </c>
      <c r="Q763" s="5" t="str">
        <f>TEXT(Table13[[#This Row],[Closing Date]],"yyyy")</f>
        <v>2024</v>
      </c>
      <c r="R763" s="5" t="str">
        <f>TEXT(Table13[[#This Row],[Closing Date]],"mmmm")</f>
        <v>November</v>
      </c>
      <c r="S763" s="5" t="s">
        <v>240</v>
      </c>
      <c r="T763" s="5" t="s">
        <v>301</v>
      </c>
    </row>
    <row r="764" spans="1:20" x14ac:dyDescent="0.25">
      <c r="A764" t="s">
        <v>201</v>
      </c>
      <c r="B764" t="s">
        <v>303</v>
      </c>
      <c r="C764" t="s">
        <v>16</v>
      </c>
      <c r="D764" t="s">
        <v>7</v>
      </c>
      <c r="E764" s="11">
        <v>45614</v>
      </c>
      <c r="F764" s="7">
        <v>45629</v>
      </c>
      <c r="G764" t="s">
        <v>165</v>
      </c>
      <c r="H764">
        <v>1000</v>
      </c>
      <c r="I764" s="5">
        <v>173595.05</v>
      </c>
      <c r="J764" s="13">
        <v>1</v>
      </c>
      <c r="K764" s="5">
        <v>177274.86</v>
      </c>
      <c r="L764" s="5">
        <v>173.59504999999999</v>
      </c>
      <c r="M764" s="5">
        <v>177.27485999999999</v>
      </c>
      <c r="N764" s="5">
        <v>3679.8099999999977</v>
      </c>
      <c r="O764" s="3">
        <v>2.1197666638536051E-2</v>
      </c>
      <c r="P764" s="14">
        <f t="shared" si="11"/>
        <v>269297.9458136824</v>
      </c>
      <c r="Q764" s="5" t="str">
        <f>TEXT(Table13[[#This Row],[Closing Date]],"yyyy")</f>
        <v>2024</v>
      </c>
      <c r="R764" s="5" t="str">
        <f>TEXT(Table13[[#This Row],[Closing Date]],"mmmm")</f>
        <v>December</v>
      </c>
      <c r="S764" s="5" t="s">
        <v>240</v>
      </c>
      <c r="T764" s="5" t="s">
        <v>301</v>
      </c>
    </row>
    <row r="765" spans="1:20" x14ac:dyDescent="0.25">
      <c r="A765" t="s">
        <v>197</v>
      </c>
      <c r="B765" t="s">
        <v>303</v>
      </c>
      <c r="C765" t="s">
        <v>102</v>
      </c>
      <c r="D765" t="s">
        <v>7</v>
      </c>
      <c r="E765" s="11">
        <v>45574</v>
      </c>
      <c r="F765" s="7">
        <v>45631</v>
      </c>
      <c r="G765" t="s">
        <v>37</v>
      </c>
      <c r="H765">
        <v>4</v>
      </c>
      <c r="I765" s="5">
        <v>6202.77</v>
      </c>
      <c r="J765" s="13">
        <v>100</v>
      </c>
      <c r="K765" s="5">
        <v>33500.559999999998</v>
      </c>
      <c r="L765" s="5">
        <v>15.506925000000001</v>
      </c>
      <c r="M765" s="5">
        <v>83.75139999999999</v>
      </c>
      <c r="N765" s="5">
        <v>27297.789999999997</v>
      </c>
      <c r="O765" s="3">
        <v>4.4009031448852687</v>
      </c>
      <c r="P765" s="14">
        <f t="shared" si="11"/>
        <v>296595.73581368238</v>
      </c>
      <c r="Q765" s="5" t="str">
        <f>TEXT(Table13[[#This Row],[Closing Date]],"yyyy")</f>
        <v>2024</v>
      </c>
      <c r="R765" s="5" t="str">
        <f>TEXT(Table13[[#This Row],[Closing Date]],"mmmm")</f>
        <v>December</v>
      </c>
      <c r="S765" s="5" t="s">
        <v>240</v>
      </c>
      <c r="T765" s="5" t="s">
        <v>301</v>
      </c>
    </row>
    <row r="766" spans="1:20" x14ac:dyDescent="0.25">
      <c r="A766" t="s">
        <v>201</v>
      </c>
      <c r="B766" t="s">
        <v>306</v>
      </c>
      <c r="C766" t="s">
        <v>12</v>
      </c>
      <c r="D766" t="s">
        <v>7</v>
      </c>
      <c r="E766" s="11">
        <v>45567</v>
      </c>
      <c r="F766" s="7">
        <v>45632</v>
      </c>
      <c r="G766" t="s">
        <v>50</v>
      </c>
      <c r="H766">
        <v>8</v>
      </c>
      <c r="I766" s="5">
        <v>825946.5</v>
      </c>
      <c r="J766" s="13">
        <v>1000</v>
      </c>
      <c r="K766" s="5">
        <v>846596.54</v>
      </c>
      <c r="L766" s="5">
        <v>103.2433125</v>
      </c>
      <c r="M766" s="5">
        <v>105.8245675</v>
      </c>
      <c r="N766" s="5">
        <v>20650.040000000037</v>
      </c>
      <c r="O766" s="3">
        <v>2.500166778356714E-2</v>
      </c>
      <c r="P766" s="14">
        <f t="shared" si="11"/>
        <v>317245.77581368241</v>
      </c>
      <c r="Q766" s="5" t="str">
        <f>TEXT(Table13[[#This Row],[Closing Date]],"yyyy")</f>
        <v>2024</v>
      </c>
      <c r="R766" s="5" t="str">
        <f>TEXT(Table13[[#This Row],[Closing Date]],"mmmm")</f>
        <v>December</v>
      </c>
      <c r="S766" s="5" t="s">
        <v>240</v>
      </c>
      <c r="T766" s="5" t="s">
        <v>301</v>
      </c>
    </row>
    <row r="767" spans="1:20" x14ac:dyDescent="0.25">
      <c r="A767" t="s">
        <v>201</v>
      </c>
      <c r="B767" t="s">
        <v>302</v>
      </c>
      <c r="C767" t="s">
        <v>16</v>
      </c>
      <c r="D767" t="s">
        <v>7</v>
      </c>
      <c r="E767" s="11">
        <v>45616</v>
      </c>
      <c r="F767" s="7">
        <v>45632</v>
      </c>
      <c r="G767" t="s">
        <v>340</v>
      </c>
      <c r="H767">
        <v>3000</v>
      </c>
      <c r="I767" s="5">
        <v>135330</v>
      </c>
      <c r="J767" s="13">
        <v>1</v>
      </c>
      <c r="K767" s="5">
        <v>145066.54</v>
      </c>
      <c r="L767" s="5">
        <v>45.11</v>
      </c>
      <c r="M767" s="5">
        <v>48.355513333333334</v>
      </c>
      <c r="N767" s="5">
        <v>9736.5400000000081</v>
      </c>
      <c r="O767" s="3">
        <v>7.1946648932239773E-2</v>
      </c>
      <c r="P767" s="14">
        <f t="shared" si="11"/>
        <v>326982.31581368239</v>
      </c>
      <c r="Q767" s="5" t="str">
        <f>TEXT(Table13[[#This Row],[Closing Date]],"yyyy")</f>
        <v>2024</v>
      </c>
      <c r="R767" s="5" t="str">
        <f>TEXT(Table13[[#This Row],[Closing Date]],"mmmm")</f>
        <v>December</v>
      </c>
      <c r="S767" s="5" t="s">
        <v>240</v>
      </c>
      <c r="T767" s="5" t="s">
        <v>301</v>
      </c>
    </row>
    <row r="768" spans="1:20" x14ac:dyDescent="0.25">
      <c r="A768" t="s">
        <v>201</v>
      </c>
      <c r="B768" t="s">
        <v>303</v>
      </c>
      <c r="C768" t="s">
        <v>12</v>
      </c>
      <c r="D768" t="s">
        <v>5</v>
      </c>
      <c r="E768" s="11">
        <v>45589</v>
      </c>
      <c r="F768" s="7">
        <v>45632</v>
      </c>
      <c r="G768" t="s">
        <v>267</v>
      </c>
      <c r="H768">
        <v>10</v>
      </c>
      <c r="I768" s="5">
        <v>2422225</v>
      </c>
      <c r="J768" s="13">
        <v>2500</v>
      </c>
      <c r="K768" s="5">
        <v>2402079.9</v>
      </c>
      <c r="L768" s="5">
        <v>96.888999999999996</v>
      </c>
      <c r="M768" s="5">
        <v>96.083196000000001</v>
      </c>
      <c r="N768" s="5">
        <v>20145.100000000093</v>
      </c>
      <c r="O768" s="3">
        <v>8.3167748660839085E-3</v>
      </c>
      <c r="P768" s="14">
        <f t="shared" si="11"/>
        <v>347127.41581368248</v>
      </c>
      <c r="Q768" s="5" t="str">
        <f>TEXT(Table13[[#This Row],[Closing Date]],"yyyy")</f>
        <v>2024</v>
      </c>
      <c r="R768" s="5" t="str">
        <f>TEXT(Table13[[#This Row],[Closing Date]],"mmmm")</f>
        <v>December</v>
      </c>
      <c r="S768" s="5" t="s">
        <v>240</v>
      </c>
      <c r="T768" s="5" t="s">
        <v>301</v>
      </c>
    </row>
    <row r="769" spans="1:20" x14ac:dyDescent="0.25">
      <c r="A769" t="s">
        <v>201</v>
      </c>
      <c r="B769" t="s">
        <v>303</v>
      </c>
      <c r="C769" t="s">
        <v>16</v>
      </c>
      <c r="D769" t="s">
        <v>7</v>
      </c>
      <c r="E769" s="11">
        <v>45617</v>
      </c>
      <c r="F769" s="7">
        <v>45635</v>
      </c>
      <c r="G769" t="s">
        <v>341</v>
      </c>
      <c r="H769">
        <v>3700</v>
      </c>
      <c r="I769" s="5">
        <v>116235.5</v>
      </c>
      <c r="J769" s="13">
        <v>1</v>
      </c>
      <c r="K769" s="5">
        <v>110535.82</v>
      </c>
      <c r="L769" s="5">
        <v>31.414999999999999</v>
      </c>
      <c r="M769" s="5">
        <v>29.874545945945947</v>
      </c>
      <c r="N769" s="5">
        <v>-5699.679999999993</v>
      </c>
      <c r="O769" s="3">
        <v>-4.9035621647431235E-2</v>
      </c>
      <c r="P769" s="14">
        <f t="shared" si="11"/>
        <v>341427.73581368249</v>
      </c>
      <c r="Q769" s="5" t="str">
        <f>TEXT(Table13[[#This Row],[Closing Date]],"yyyy")</f>
        <v>2024</v>
      </c>
      <c r="R769" s="5" t="str">
        <f>TEXT(Table13[[#This Row],[Closing Date]],"mmmm")</f>
        <v>December</v>
      </c>
      <c r="S769" s="5" t="s">
        <v>240</v>
      </c>
      <c r="T769" s="5" t="s">
        <v>301</v>
      </c>
    </row>
    <row r="770" spans="1:20" x14ac:dyDescent="0.25">
      <c r="A770" t="s">
        <v>201</v>
      </c>
      <c r="B770" t="s">
        <v>303</v>
      </c>
      <c r="C770" t="s">
        <v>16</v>
      </c>
      <c r="D770" t="s">
        <v>7</v>
      </c>
      <c r="E770" s="11">
        <v>45580</v>
      </c>
      <c r="F770" s="7">
        <v>45635</v>
      </c>
      <c r="G770" t="s">
        <v>334</v>
      </c>
      <c r="H770">
        <v>300</v>
      </c>
      <c r="I770" s="5">
        <v>82961</v>
      </c>
      <c r="J770" s="13">
        <v>1</v>
      </c>
      <c r="K770" s="5">
        <v>100224.28</v>
      </c>
      <c r="L770" s="5">
        <v>276.53666666666669</v>
      </c>
      <c r="M770" s="5">
        <v>334.08093333333335</v>
      </c>
      <c r="N770" s="5">
        <v>17263.28</v>
      </c>
      <c r="O770" s="3">
        <v>0.20808910210821951</v>
      </c>
      <c r="P770" s="14">
        <f t="shared" si="11"/>
        <v>358691.01581368246</v>
      </c>
      <c r="Q770" s="5" t="str">
        <f>TEXT(Table13[[#This Row],[Closing Date]],"yyyy")</f>
        <v>2024</v>
      </c>
      <c r="R770" s="5" t="str">
        <f>TEXT(Table13[[#This Row],[Closing Date]],"mmmm")</f>
        <v>December</v>
      </c>
      <c r="S770" s="5" t="s">
        <v>240</v>
      </c>
      <c r="T770" s="5" t="s">
        <v>301</v>
      </c>
    </row>
    <row r="771" spans="1:20" x14ac:dyDescent="0.25">
      <c r="A771" t="s">
        <v>201</v>
      </c>
      <c r="B771" t="s">
        <v>303</v>
      </c>
      <c r="C771" t="s">
        <v>12</v>
      </c>
      <c r="D771" t="s">
        <v>7</v>
      </c>
      <c r="E771" s="11">
        <v>45594</v>
      </c>
      <c r="F771" s="7">
        <v>45638</v>
      </c>
      <c r="G771" t="s">
        <v>89</v>
      </c>
      <c r="H771">
        <v>5</v>
      </c>
      <c r="I771" s="5">
        <v>575116.15</v>
      </c>
      <c r="J771" s="13">
        <v>50</v>
      </c>
      <c r="K771" s="5">
        <v>589480.55000000005</v>
      </c>
      <c r="L771" s="5">
        <v>2300.4646000000002</v>
      </c>
      <c r="M771" s="5">
        <v>2357.9222000000004</v>
      </c>
      <c r="N771" s="5">
        <v>14364.400000000023</v>
      </c>
      <c r="O771" s="3">
        <v>2.497651996035935E-2</v>
      </c>
      <c r="P771" s="14">
        <f t="shared" ref="P771:P807" si="12">N771+P770</f>
        <v>373055.41581368248</v>
      </c>
      <c r="Q771" s="5" t="str">
        <f>TEXT(Table13[[#This Row],[Closing Date]],"yyyy")</f>
        <v>2024</v>
      </c>
      <c r="R771" s="5" t="str">
        <f>TEXT(Table13[[#This Row],[Closing Date]],"mmmm")</f>
        <v>December</v>
      </c>
      <c r="S771" s="5" t="s">
        <v>240</v>
      </c>
      <c r="T771" s="5" t="s">
        <v>301</v>
      </c>
    </row>
    <row r="772" spans="1:20" x14ac:dyDescent="0.25">
      <c r="A772" t="s">
        <v>201</v>
      </c>
      <c r="B772" t="s">
        <v>303</v>
      </c>
      <c r="C772" t="s">
        <v>12</v>
      </c>
      <c r="D772" t="s">
        <v>7</v>
      </c>
      <c r="E772" s="11">
        <v>45622</v>
      </c>
      <c r="F772" s="7">
        <v>45639</v>
      </c>
      <c r="G772" t="s">
        <v>88</v>
      </c>
      <c r="H772">
        <v>2</v>
      </c>
      <c r="I772" s="5">
        <v>48277.94</v>
      </c>
      <c r="J772" s="13">
        <v>1000</v>
      </c>
      <c r="K772" s="5">
        <v>46272.46</v>
      </c>
      <c r="L772" s="5">
        <v>24.13897</v>
      </c>
      <c r="M772" s="5">
        <v>23.136230000000001</v>
      </c>
      <c r="N772" s="5">
        <v>-2005.4800000000032</v>
      </c>
      <c r="O772" s="3">
        <v>-4.1540297701186155E-2</v>
      </c>
      <c r="P772" s="14">
        <f t="shared" si="12"/>
        <v>371049.9358136825</v>
      </c>
      <c r="Q772" s="5" t="str">
        <f>TEXT(Table13[[#This Row],[Closing Date]],"yyyy")</f>
        <v>2024</v>
      </c>
      <c r="R772" s="5" t="str">
        <f>TEXT(Table13[[#This Row],[Closing Date]],"mmmm")</f>
        <v>December</v>
      </c>
      <c r="S772" s="5" t="s">
        <v>240</v>
      </c>
      <c r="T772" s="5" t="s">
        <v>301</v>
      </c>
    </row>
    <row r="773" spans="1:20" x14ac:dyDescent="0.25">
      <c r="A773" t="s">
        <v>201</v>
      </c>
      <c r="B773" t="s">
        <v>303</v>
      </c>
      <c r="C773" t="s">
        <v>16</v>
      </c>
      <c r="D773" t="s">
        <v>7</v>
      </c>
      <c r="E773" s="11">
        <v>45631</v>
      </c>
      <c r="F773" s="7">
        <v>45639</v>
      </c>
      <c r="G773" t="s">
        <v>349</v>
      </c>
      <c r="H773">
        <v>10000</v>
      </c>
      <c r="I773" s="5">
        <v>101635</v>
      </c>
      <c r="J773" s="13">
        <v>1</v>
      </c>
      <c r="K773" s="5">
        <v>89990.77</v>
      </c>
      <c r="L773" s="5">
        <v>10.163500000000001</v>
      </c>
      <c r="M773" s="5">
        <v>8.9990769999999998</v>
      </c>
      <c r="N773" s="5">
        <v>-11644.229999999996</v>
      </c>
      <c r="O773" s="3">
        <v>-0.11456909529197615</v>
      </c>
      <c r="P773" s="14">
        <f t="shared" si="12"/>
        <v>359405.70581368252</v>
      </c>
      <c r="Q773" s="5" t="str">
        <f>TEXT(Table13[[#This Row],[Closing Date]],"yyyy")</f>
        <v>2024</v>
      </c>
      <c r="R773" s="5" t="str">
        <f>TEXT(Table13[[#This Row],[Closing Date]],"mmmm")</f>
        <v>December</v>
      </c>
      <c r="S773" s="5" t="s">
        <v>240</v>
      </c>
      <c r="T773" s="5" t="s">
        <v>301</v>
      </c>
    </row>
    <row r="774" spans="1:20" x14ac:dyDescent="0.25">
      <c r="A774" t="s">
        <v>201</v>
      </c>
      <c r="B774" t="s">
        <v>303</v>
      </c>
      <c r="C774" t="s">
        <v>16</v>
      </c>
      <c r="D774" t="s">
        <v>7</v>
      </c>
      <c r="E774" s="11">
        <v>45625</v>
      </c>
      <c r="F774" s="7">
        <v>45639</v>
      </c>
      <c r="G774" t="s">
        <v>336</v>
      </c>
      <c r="H774">
        <v>1500</v>
      </c>
      <c r="I774" s="5">
        <v>108585</v>
      </c>
      <c r="J774" s="13">
        <v>1</v>
      </c>
      <c r="K774" s="5">
        <v>105204.71</v>
      </c>
      <c r="L774" s="5">
        <v>72.39</v>
      </c>
      <c r="M774" s="5">
        <v>70.136473333333342</v>
      </c>
      <c r="N774" s="5">
        <v>-3380.2899999999936</v>
      </c>
      <c r="O774" s="3">
        <v>-3.1130358705161797E-2</v>
      </c>
      <c r="P774" s="14">
        <f t="shared" si="12"/>
        <v>356025.41581368254</v>
      </c>
      <c r="Q774" s="5" t="str">
        <f>TEXT(Table13[[#This Row],[Closing Date]],"yyyy")</f>
        <v>2024</v>
      </c>
      <c r="R774" s="5" t="str">
        <f>TEXT(Table13[[#This Row],[Closing Date]],"mmmm")</f>
        <v>December</v>
      </c>
      <c r="S774" s="5" t="s">
        <v>240</v>
      </c>
      <c r="T774" s="5" t="s">
        <v>301</v>
      </c>
    </row>
    <row r="775" spans="1:20" x14ac:dyDescent="0.25">
      <c r="A775" t="s">
        <v>201</v>
      </c>
      <c r="B775" t="s">
        <v>302</v>
      </c>
      <c r="C775" t="s">
        <v>16</v>
      </c>
      <c r="D775" t="s">
        <v>7</v>
      </c>
      <c r="E775" s="11">
        <v>45632</v>
      </c>
      <c r="F775" s="7">
        <v>45644</v>
      </c>
      <c r="G775" t="s">
        <v>300</v>
      </c>
      <c r="H775">
        <v>500</v>
      </c>
      <c r="I775" s="5">
        <v>57036.25</v>
      </c>
      <c r="J775" s="13">
        <v>1</v>
      </c>
      <c r="K775" s="5">
        <v>53369.24</v>
      </c>
      <c r="L775" s="5">
        <v>114.07250000000001</v>
      </c>
      <c r="M775" s="5">
        <v>106.73848</v>
      </c>
      <c r="N775" s="5">
        <v>-3667.010000000002</v>
      </c>
      <c r="O775" s="3">
        <v>-6.4292620920905597E-2</v>
      </c>
      <c r="P775" s="14">
        <f t="shared" si="12"/>
        <v>352358.40581368253</v>
      </c>
      <c r="Q775" s="5" t="str">
        <f>TEXT(Table13[[#This Row],[Closing Date]],"yyyy")</f>
        <v>2024</v>
      </c>
      <c r="R775" s="5" t="str">
        <f>TEXT(Table13[[#This Row],[Closing Date]],"mmmm")</f>
        <v>December</v>
      </c>
      <c r="S775" s="5" t="s">
        <v>240</v>
      </c>
      <c r="T775" s="5" t="s">
        <v>301</v>
      </c>
    </row>
    <row r="776" spans="1:20" x14ac:dyDescent="0.25">
      <c r="A776" t="s">
        <v>201</v>
      </c>
      <c r="B776" t="s">
        <v>303</v>
      </c>
      <c r="C776" t="s">
        <v>16</v>
      </c>
      <c r="D776" t="s">
        <v>7</v>
      </c>
      <c r="E776" s="11">
        <v>45639</v>
      </c>
      <c r="F776" s="7">
        <v>45644</v>
      </c>
      <c r="G776" t="s">
        <v>153</v>
      </c>
      <c r="H776">
        <v>2000</v>
      </c>
      <c r="I776" s="5">
        <v>62400</v>
      </c>
      <c r="J776" s="13">
        <v>1</v>
      </c>
      <c r="K776" s="5">
        <v>55000</v>
      </c>
      <c r="L776" s="5">
        <v>31.2</v>
      </c>
      <c r="M776" s="5">
        <v>27.5</v>
      </c>
      <c r="N776" s="5">
        <v>-7400</v>
      </c>
      <c r="O776" s="3">
        <v>-0.11858974358974358</v>
      </c>
      <c r="P776" s="14">
        <f t="shared" si="12"/>
        <v>344958.40581368253</v>
      </c>
      <c r="Q776" s="5" t="str">
        <f>TEXT(Table13[[#This Row],[Closing Date]],"yyyy")</f>
        <v>2024</v>
      </c>
      <c r="R776" s="5" t="str">
        <f>TEXT(Table13[[#This Row],[Closing Date]],"mmmm")</f>
        <v>December</v>
      </c>
      <c r="S776" s="5" t="s">
        <v>240</v>
      </c>
      <c r="T776" s="5" t="s">
        <v>301</v>
      </c>
    </row>
    <row r="777" spans="1:20" x14ac:dyDescent="0.25">
      <c r="A777" t="s">
        <v>201</v>
      </c>
      <c r="B777" t="s">
        <v>303</v>
      </c>
      <c r="C777" t="s">
        <v>16</v>
      </c>
      <c r="D777" t="s">
        <v>7</v>
      </c>
      <c r="E777" s="11">
        <v>45625</v>
      </c>
      <c r="F777" s="7">
        <v>45644</v>
      </c>
      <c r="G777" t="s">
        <v>297</v>
      </c>
      <c r="H777">
        <v>1130</v>
      </c>
      <c r="I777" s="5">
        <v>201600</v>
      </c>
      <c r="J777" s="13">
        <v>1</v>
      </c>
      <c r="K777" s="5">
        <v>206613.6</v>
      </c>
      <c r="L777" s="5">
        <v>178.40707964601771</v>
      </c>
      <c r="M777" s="5">
        <v>182.84389380530973</v>
      </c>
      <c r="N777" s="5">
        <v>5013.6000000000058</v>
      </c>
      <c r="O777" s="3">
        <v>2.4869047619047648E-2</v>
      </c>
      <c r="P777" s="14">
        <f t="shared" si="12"/>
        <v>349972.00581368257</v>
      </c>
      <c r="Q777" s="5" t="str">
        <f>TEXT(Table13[[#This Row],[Closing Date]],"yyyy")</f>
        <v>2024</v>
      </c>
      <c r="R777" s="5" t="str">
        <f>TEXT(Table13[[#This Row],[Closing Date]],"mmmm")</f>
        <v>December</v>
      </c>
      <c r="S777" s="5" t="s">
        <v>240</v>
      </c>
      <c r="T777" s="5" t="s">
        <v>301</v>
      </c>
    </row>
    <row r="778" spans="1:20" x14ac:dyDescent="0.25">
      <c r="A778" t="s">
        <v>201</v>
      </c>
      <c r="B778" t="s">
        <v>303</v>
      </c>
      <c r="C778" t="s">
        <v>16</v>
      </c>
      <c r="D778" t="s">
        <v>7</v>
      </c>
      <c r="E778" s="11">
        <v>45637</v>
      </c>
      <c r="F778" s="7">
        <v>45644</v>
      </c>
      <c r="G778" t="s">
        <v>352</v>
      </c>
      <c r="H778">
        <v>300</v>
      </c>
      <c r="I778" s="5">
        <v>49641.9</v>
      </c>
      <c r="J778" s="13">
        <v>1</v>
      </c>
      <c r="K778" s="5">
        <v>37481.97</v>
      </c>
      <c r="L778" s="5">
        <v>165.47300000000001</v>
      </c>
      <c r="M778" s="5">
        <v>124.93990000000001</v>
      </c>
      <c r="N778" s="5">
        <v>-12159.93</v>
      </c>
      <c r="O778" s="3">
        <v>-0.24495295304974224</v>
      </c>
      <c r="P778" s="14">
        <f t="shared" si="12"/>
        <v>337812.07581368258</v>
      </c>
      <c r="Q778" s="5" t="str">
        <f>TEXT(Table13[[#This Row],[Closing Date]],"yyyy")</f>
        <v>2024</v>
      </c>
      <c r="R778" s="5" t="str">
        <f>TEXT(Table13[[#This Row],[Closing Date]],"mmmm")</f>
        <v>December</v>
      </c>
      <c r="S778" s="5" t="s">
        <v>240</v>
      </c>
      <c r="T778" s="5" t="s">
        <v>301</v>
      </c>
    </row>
    <row r="779" spans="1:20" x14ac:dyDescent="0.25">
      <c r="A779" t="s">
        <v>201</v>
      </c>
      <c r="B779" t="s">
        <v>302</v>
      </c>
      <c r="C779" t="s">
        <v>12</v>
      </c>
      <c r="D779" t="s">
        <v>7</v>
      </c>
      <c r="E779" s="11">
        <v>45586</v>
      </c>
      <c r="F779" s="7">
        <v>45646</v>
      </c>
      <c r="G779" t="s">
        <v>82</v>
      </c>
      <c r="H779">
        <v>2</v>
      </c>
      <c r="I779" s="5">
        <v>589929.5</v>
      </c>
      <c r="J779" s="13">
        <v>50</v>
      </c>
      <c r="K779" s="5">
        <v>584021.5</v>
      </c>
      <c r="L779" s="5">
        <v>5899.2950000000001</v>
      </c>
      <c r="M779" s="5">
        <v>5840.2150000000001</v>
      </c>
      <c r="N779" s="5">
        <v>-5908</v>
      </c>
      <c r="O779" s="3">
        <v>-1.0014756000505146E-2</v>
      </c>
      <c r="P779" s="14">
        <f t="shared" si="12"/>
        <v>331904.07581368258</v>
      </c>
      <c r="Q779" s="5" t="str">
        <f>TEXT(Table13[[#This Row],[Closing Date]],"yyyy")</f>
        <v>2024</v>
      </c>
      <c r="R779" s="5" t="str">
        <f>TEXT(Table13[[#This Row],[Closing Date]],"mmmm")</f>
        <v>December</v>
      </c>
      <c r="S779" s="5" t="s">
        <v>240</v>
      </c>
      <c r="T779" s="5" t="s">
        <v>301</v>
      </c>
    </row>
    <row r="780" spans="1:20" x14ac:dyDescent="0.25">
      <c r="A780" t="s">
        <v>201</v>
      </c>
      <c r="B780" t="s">
        <v>346</v>
      </c>
      <c r="C780" t="s">
        <v>12</v>
      </c>
      <c r="D780" t="s">
        <v>5</v>
      </c>
      <c r="E780" s="11">
        <v>45644</v>
      </c>
      <c r="F780" s="7">
        <v>45646</v>
      </c>
      <c r="G780" t="s">
        <v>90</v>
      </c>
      <c r="H780">
        <v>4</v>
      </c>
      <c r="I780" s="5">
        <v>1787075</v>
      </c>
      <c r="J780" s="13">
        <v>20</v>
      </c>
      <c r="K780" s="5">
        <v>1716938</v>
      </c>
      <c r="L780" s="5">
        <v>22338.4375</v>
      </c>
      <c r="M780" s="5">
        <v>21461.724999999999</v>
      </c>
      <c r="N780" s="5">
        <v>70137</v>
      </c>
      <c r="O780" s="3">
        <v>3.9246813927787026E-2</v>
      </c>
      <c r="P780" s="14">
        <f t="shared" si="12"/>
        <v>402041.07581368258</v>
      </c>
      <c r="Q780" s="5" t="str">
        <f>TEXT(Table13[[#This Row],[Closing Date]],"yyyy")</f>
        <v>2024</v>
      </c>
      <c r="R780" s="5" t="str">
        <f>TEXT(Table13[[#This Row],[Closing Date]],"mmmm")</f>
        <v>December</v>
      </c>
      <c r="S780" s="5" t="s">
        <v>240</v>
      </c>
      <c r="T780" s="5" t="s">
        <v>301</v>
      </c>
    </row>
    <row r="781" spans="1:20" x14ac:dyDescent="0.25">
      <c r="A781" t="s">
        <v>201</v>
      </c>
      <c r="B781" t="s">
        <v>303</v>
      </c>
      <c r="C781" t="s">
        <v>16</v>
      </c>
      <c r="D781" t="s">
        <v>7</v>
      </c>
      <c r="E781" s="11">
        <v>45635</v>
      </c>
      <c r="F781" s="7">
        <v>45646</v>
      </c>
      <c r="G781" t="s">
        <v>356</v>
      </c>
      <c r="H781">
        <v>6500</v>
      </c>
      <c r="I781" s="5">
        <v>101985</v>
      </c>
      <c r="J781" s="13">
        <v>1</v>
      </c>
      <c r="K781" s="5">
        <v>95095</v>
      </c>
      <c r="L781" s="5">
        <v>15.69</v>
      </c>
      <c r="M781" s="5">
        <v>14.63</v>
      </c>
      <c r="N781" s="5">
        <v>-6890</v>
      </c>
      <c r="O781" s="3">
        <v>-6.7558954748247288E-2</v>
      </c>
      <c r="P781" s="14">
        <f t="shared" si="12"/>
        <v>395151.07581368258</v>
      </c>
      <c r="Q781" s="5" t="str">
        <f>TEXT(Table13[[#This Row],[Closing Date]],"yyyy")</f>
        <v>2024</v>
      </c>
      <c r="R781" s="5" t="str">
        <f>TEXT(Table13[[#This Row],[Closing Date]],"mmmm")</f>
        <v>December</v>
      </c>
      <c r="S781" s="5" t="s">
        <v>240</v>
      </c>
      <c r="T781" s="5" t="s">
        <v>301</v>
      </c>
    </row>
    <row r="782" spans="1:20" x14ac:dyDescent="0.25">
      <c r="A782" t="s">
        <v>201</v>
      </c>
      <c r="B782" t="s">
        <v>303</v>
      </c>
      <c r="C782" t="s">
        <v>12</v>
      </c>
      <c r="D782" t="s">
        <v>7</v>
      </c>
      <c r="E782" s="11">
        <v>45617</v>
      </c>
      <c r="F782" s="7">
        <v>45650</v>
      </c>
      <c r="G782" t="s">
        <v>43</v>
      </c>
      <c r="H782">
        <v>2</v>
      </c>
      <c r="I782" s="5">
        <v>264408</v>
      </c>
      <c r="J782" s="13">
        <v>10000</v>
      </c>
      <c r="K782" s="5">
        <v>287403.42</v>
      </c>
      <c r="L782" s="5">
        <v>13.2204</v>
      </c>
      <c r="M782" s="5">
        <v>14.370170999999999</v>
      </c>
      <c r="N782" s="5">
        <v>22995.419999999984</v>
      </c>
      <c r="O782" s="3">
        <v>8.6969456294817032E-2</v>
      </c>
      <c r="P782" s="14">
        <f t="shared" si="12"/>
        <v>418146.49581368256</v>
      </c>
      <c r="Q782" s="5" t="str">
        <f>TEXT(Table13[[#This Row],[Closing Date]],"yyyy")</f>
        <v>2024</v>
      </c>
      <c r="R782" s="5" t="str">
        <f>TEXT(Table13[[#This Row],[Closing Date]],"mmmm")</f>
        <v>December</v>
      </c>
      <c r="S782" s="5" t="s">
        <v>240</v>
      </c>
      <c r="T782" s="5" t="s">
        <v>301</v>
      </c>
    </row>
    <row r="783" spans="1:20" x14ac:dyDescent="0.25">
      <c r="A783" t="s">
        <v>201</v>
      </c>
      <c r="B783" t="s">
        <v>303</v>
      </c>
      <c r="C783" t="s">
        <v>12</v>
      </c>
      <c r="D783" t="s">
        <v>7</v>
      </c>
      <c r="E783" s="11">
        <v>45622</v>
      </c>
      <c r="F783" s="7">
        <v>45650</v>
      </c>
      <c r="G783" t="s">
        <v>85</v>
      </c>
      <c r="H783">
        <v>6</v>
      </c>
      <c r="I783" s="5">
        <v>57298.62</v>
      </c>
      <c r="J783" s="13">
        <v>0.1</v>
      </c>
      <c r="K783" s="5">
        <v>59101.380000000005</v>
      </c>
      <c r="L783" s="5">
        <v>95497.7</v>
      </c>
      <c r="M783" s="5">
        <v>98502.3</v>
      </c>
      <c r="N783" s="5">
        <v>1802.760000000002</v>
      </c>
      <c r="O783" s="3">
        <v>3.1462537841225532E-2</v>
      </c>
      <c r="P783" s="14">
        <f t="shared" si="12"/>
        <v>419949.25581368257</v>
      </c>
      <c r="Q783" s="5" t="str">
        <f>TEXT(Table13[[#This Row],[Closing Date]],"yyyy")</f>
        <v>2024</v>
      </c>
      <c r="R783" s="5" t="str">
        <f>TEXT(Table13[[#This Row],[Closing Date]],"mmmm")</f>
        <v>December</v>
      </c>
      <c r="S783" s="5" t="s">
        <v>240</v>
      </c>
      <c r="T783" s="5" t="s">
        <v>301</v>
      </c>
    </row>
    <row r="784" spans="1:20" x14ac:dyDescent="0.25">
      <c r="A784" t="s">
        <v>201</v>
      </c>
      <c r="B784" t="s">
        <v>303</v>
      </c>
      <c r="C784" t="s">
        <v>12</v>
      </c>
      <c r="D784" t="s">
        <v>7</v>
      </c>
      <c r="E784" s="11">
        <v>45622</v>
      </c>
      <c r="F784" s="7">
        <v>45650</v>
      </c>
      <c r="G784" t="s">
        <v>271</v>
      </c>
      <c r="H784">
        <v>200</v>
      </c>
      <c r="I784" s="5">
        <v>67714</v>
      </c>
      <c r="J784" s="13">
        <v>0.1</v>
      </c>
      <c r="K784" s="5">
        <v>69998.25</v>
      </c>
      <c r="L784" s="5">
        <v>3385.7</v>
      </c>
      <c r="M784" s="5">
        <v>3499.9124999999995</v>
      </c>
      <c r="N784" s="5">
        <v>2284.25</v>
      </c>
      <c r="O784" s="3">
        <v>3.3733792125705174E-2</v>
      </c>
      <c r="P784" s="14">
        <f t="shared" si="12"/>
        <v>422233.50581368257</v>
      </c>
      <c r="Q784" s="5" t="str">
        <f>TEXT(Table13[[#This Row],[Closing Date]],"yyyy")</f>
        <v>2024</v>
      </c>
      <c r="R784" s="5" t="str">
        <f>TEXT(Table13[[#This Row],[Closing Date]],"mmmm")</f>
        <v>December</v>
      </c>
      <c r="S784" s="5" t="s">
        <v>240</v>
      </c>
      <c r="T784" s="5" t="s">
        <v>301</v>
      </c>
    </row>
    <row r="785" spans="1:20" x14ac:dyDescent="0.25">
      <c r="A785" t="s">
        <v>201</v>
      </c>
      <c r="B785" t="s">
        <v>303</v>
      </c>
      <c r="C785" t="s">
        <v>12</v>
      </c>
      <c r="D785" t="s">
        <v>7</v>
      </c>
      <c r="E785" s="11">
        <v>45644</v>
      </c>
      <c r="F785" s="7">
        <v>45650</v>
      </c>
      <c r="G785" t="s">
        <v>86</v>
      </c>
      <c r="H785">
        <v>100</v>
      </c>
      <c r="I785" s="5">
        <v>462097</v>
      </c>
      <c r="J785" s="13">
        <v>1000</v>
      </c>
      <c r="K785" s="5">
        <v>476008</v>
      </c>
      <c r="L785" s="5">
        <v>4.6209700000000007</v>
      </c>
      <c r="M785" s="5">
        <v>4.7600800000000003</v>
      </c>
      <c r="N785" s="5">
        <v>13911</v>
      </c>
      <c r="O785" s="3">
        <v>3.0104069059093654E-2</v>
      </c>
      <c r="P785" s="14">
        <f t="shared" si="12"/>
        <v>436144.50581368257</v>
      </c>
      <c r="Q785" s="5" t="str">
        <f>TEXT(Table13[[#This Row],[Closing Date]],"yyyy")</f>
        <v>2024</v>
      </c>
      <c r="R785" s="5" t="str">
        <f>TEXT(Table13[[#This Row],[Closing Date]],"mmmm")</f>
        <v>December</v>
      </c>
      <c r="S785" s="5" t="s">
        <v>240</v>
      </c>
      <c r="T785" s="5" t="s">
        <v>301</v>
      </c>
    </row>
    <row r="786" spans="1:20" x14ac:dyDescent="0.25">
      <c r="A786" t="s">
        <v>201</v>
      </c>
      <c r="B786" t="s">
        <v>303</v>
      </c>
      <c r="C786" t="s">
        <v>16</v>
      </c>
      <c r="D786" t="s">
        <v>7</v>
      </c>
      <c r="E786" s="11">
        <v>45635</v>
      </c>
      <c r="F786" s="7">
        <v>45650</v>
      </c>
      <c r="G786" t="s">
        <v>312</v>
      </c>
      <c r="H786">
        <v>2000</v>
      </c>
      <c r="I786" s="5">
        <v>55674.12</v>
      </c>
      <c r="J786" s="13">
        <v>1</v>
      </c>
      <c r="K786" s="5">
        <v>51461.120000000003</v>
      </c>
      <c r="L786" s="5">
        <v>27.837060000000001</v>
      </c>
      <c r="M786" s="5">
        <v>25.730560000000001</v>
      </c>
      <c r="N786" s="5">
        <v>-4213</v>
      </c>
      <c r="O786" s="3">
        <v>-7.5672502771485198E-2</v>
      </c>
      <c r="P786" s="14">
        <f t="shared" si="12"/>
        <v>431931.50581368257</v>
      </c>
      <c r="Q786" s="5" t="str">
        <f>TEXT(Table13[[#This Row],[Closing Date]],"yyyy")</f>
        <v>2024</v>
      </c>
      <c r="R786" s="5" t="str">
        <f>TEXT(Table13[[#This Row],[Closing Date]],"mmmm")</f>
        <v>December</v>
      </c>
      <c r="S786" s="5" t="s">
        <v>240</v>
      </c>
      <c r="T786" s="5" t="s">
        <v>301</v>
      </c>
    </row>
    <row r="787" spans="1:20" x14ac:dyDescent="0.25">
      <c r="A787" t="s">
        <v>201</v>
      </c>
      <c r="B787" t="s">
        <v>303</v>
      </c>
      <c r="C787" t="s">
        <v>12</v>
      </c>
      <c r="D787" t="s">
        <v>7</v>
      </c>
      <c r="E787" s="11">
        <v>45618</v>
      </c>
      <c r="F787" s="7">
        <v>45653</v>
      </c>
      <c r="G787" t="s">
        <v>81</v>
      </c>
      <c r="H787">
        <v>1</v>
      </c>
      <c r="I787" s="5">
        <v>90600</v>
      </c>
      <c r="J787" s="13">
        <v>100</v>
      </c>
      <c r="K787" s="5">
        <v>101304.06</v>
      </c>
      <c r="L787" s="5">
        <v>906</v>
      </c>
      <c r="M787" s="5">
        <v>1013.0405999999999</v>
      </c>
      <c r="N787" s="5">
        <v>10704.059999999998</v>
      </c>
      <c r="O787" s="3">
        <v>0.11814635761589401</v>
      </c>
      <c r="P787" s="14">
        <f t="shared" si="12"/>
        <v>442635.56581368257</v>
      </c>
      <c r="Q787" s="5" t="str">
        <f>TEXT(Table13[[#This Row],[Closing Date]],"yyyy")</f>
        <v>2024</v>
      </c>
      <c r="R787" s="5" t="str">
        <f>TEXT(Table13[[#This Row],[Closing Date]],"mmmm")</f>
        <v>December</v>
      </c>
      <c r="S787" s="5" t="s">
        <v>240</v>
      </c>
      <c r="T787" s="5" t="s">
        <v>301</v>
      </c>
    </row>
    <row r="788" spans="1:20" x14ac:dyDescent="0.25">
      <c r="A788" t="s">
        <v>201</v>
      </c>
      <c r="B788" t="s">
        <v>303</v>
      </c>
      <c r="C788" t="s">
        <v>16</v>
      </c>
      <c r="D788" t="s">
        <v>7</v>
      </c>
      <c r="E788" s="11">
        <v>45652</v>
      </c>
      <c r="F788" s="7">
        <v>45657</v>
      </c>
      <c r="G788" t="s">
        <v>350</v>
      </c>
      <c r="H788">
        <v>2600</v>
      </c>
      <c r="I788" s="5">
        <v>50165</v>
      </c>
      <c r="J788" s="13">
        <v>1</v>
      </c>
      <c r="K788" s="5">
        <v>42711.75</v>
      </c>
      <c r="L788" s="5">
        <v>19.294230769230769</v>
      </c>
      <c r="M788" s="5">
        <v>16.427596153846153</v>
      </c>
      <c r="N788" s="5">
        <v>-7453.25</v>
      </c>
      <c r="O788" s="3">
        <v>-0.14857470347852089</v>
      </c>
      <c r="P788" s="14">
        <f t="shared" si="12"/>
        <v>435182.31581368257</v>
      </c>
      <c r="Q788" s="5" t="str">
        <f>TEXT(Table13[[#This Row],[Closing Date]],"yyyy")</f>
        <v>2024</v>
      </c>
      <c r="R788" s="5" t="str">
        <f>TEXT(Table13[[#This Row],[Closing Date]],"mmmm")</f>
        <v>December</v>
      </c>
      <c r="S788" s="5" t="s">
        <v>240</v>
      </c>
      <c r="T788" s="5" t="s">
        <v>301</v>
      </c>
    </row>
    <row r="789" spans="1:20" x14ac:dyDescent="0.25">
      <c r="A789" t="s">
        <v>201</v>
      </c>
      <c r="B789" t="s">
        <v>303</v>
      </c>
      <c r="C789" t="s">
        <v>16</v>
      </c>
      <c r="D789" t="s">
        <v>7</v>
      </c>
      <c r="E789" s="11">
        <v>45622</v>
      </c>
      <c r="F789" s="7">
        <v>45665</v>
      </c>
      <c r="G789" t="s">
        <v>163</v>
      </c>
      <c r="H789">
        <v>800</v>
      </c>
      <c r="I789" s="5">
        <v>52098.05</v>
      </c>
      <c r="J789" s="13">
        <v>1</v>
      </c>
      <c r="K789" s="5">
        <v>57501.48</v>
      </c>
      <c r="L789" s="5">
        <v>65.122562500000001</v>
      </c>
      <c r="M789" s="5">
        <v>71.876850000000005</v>
      </c>
      <c r="N789" s="5">
        <v>5403.43</v>
      </c>
      <c r="O789" s="3">
        <v>0.10371654985167392</v>
      </c>
      <c r="P789" s="14">
        <f t="shared" si="12"/>
        <v>440585.74581368256</v>
      </c>
      <c r="Q789" s="5" t="str">
        <f>TEXT(Table13[[#This Row],[Closing Date]],"yyyy")</f>
        <v>2025</v>
      </c>
      <c r="R789" s="5" t="str">
        <f>TEXT(Table13[[#This Row],[Closing Date]],"mmmm")</f>
        <v>January</v>
      </c>
      <c r="S789" s="5" t="s">
        <v>240</v>
      </c>
      <c r="T789" s="5" t="s">
        <v>301</v>
      </c>
    </row>
    <row r="790" spans="1:20" x14ac:dyDescent="0.25">
      <c r="A790" t="s">
        <v>197</v>
      </c>
      <c r="B790" t="s">
        <v>302</v>
      </c>
      <c r="C790" t="s">
        <v>343</v>
      </c>
      <c r="D790" t="s">
        <v>7</v>
      </c>
      <c r="E790" s="11">
        <v>45664</v>
      </c>
      <c r="F790" s="7">
        <v>45665</v>
      </c>
      <c r="G790" t="s">
        <v>10</v>
      </c>
      <c r="H790">
        <v>10</v>
      </c>
      <c r="I790" s="5">
        <v>4824.88</v>
      </c>
      <c r="J790" s="13">
        <v>100</v>
      </c>
      <c r="K790" s="5">
        <v>6917.7300000000005</v>
      </c>
      <c r="L790" s="5">
        <v>4.8248800000000003</v>
      </c>
      <c r="M790" s="5">
        <v>6.9177300000000006</v>
      </c>
      <c r="N790" s="5">
        <v>2092.8500000000004</v>
      </c>
      <c r="O790" s="3">
        <v>0.43376208320206933</v>
      </c>
      <c r="P790" s="14">
        <f t="shared" si="12"/>
        <v>442678.59581368254</v>
      </c>
      <c r="Q790" s="5" t="str">
        <f>TEXT(Table13[[#This Row],[Closing Date]],"yyyy")</f>
        <v>2025</v>
      </c>
      <c r="R790" s="5" t="str">
        <f>TEXT(Table13[[#This Row],[Closing Date]],"mmmm")</f>
        <v>January</v>
      </c>
      <c r="S790" s="5" t="s">
        <v>240</v>
      </c>
      <c r="T790" s="5" t="s">
        <v>301</v>
      </c>
    </row>
    <row r="791" spans="1:20" x14ac:dyDescent="0.25">
      <c r="A791" t="s">
        <v>197</v>
      </c>
      <c r="B791" t="s">
        <v>302</v>
      </c>
      <c r="C791" t="s">
        <v>344</v>
      </c>
      <c r="D791" t="s">
        <v>7</v>
      </c>
      <c r="E791" s="11">
        <v>45664</v>
      </c>
      <c r="F791" s="7">
        <v>45665</v>
      </c>
      <c r="G791" t="s">
        <v>345</v>
      </c>
      <c r="H791">
        <v>5</v>
      </c>
      <c r="I791" s="5">
        <v>2175</v>
      </c>
      <c r="J791" s="13">
        <v>100</v>
      </c>
      <c r="K791" s="5">
        <v>5217.6799999999994</v>
      </c>
      <c r="L791" s="5">
        <v>4.3499999999999996</v>
      </c>
      <c r="M791" s="5">
        <v>10.435359999999998</v>
      </c>
      <c r="N791" s="5">
        <v>3042.6799999999994</v>
      </c>
      <c r="O791" s="3">
        <v>1.3989333333333331</v>
      </c>
      <c r="P791" s="14">
        <f t="shared" si="12"/>
        <v>445721.27581368253</v>
      </c>
      <c r="Q791" s="5" t="str">
        <f>TEXT(Table13[[#This Row],[Closing Date]],"yyyy")</f>
        <v>2025</v>
      </c>
      <c r="R791" s="5" t="str">
        <f>TEXT(Table13[[#This Row],[Closing Date]],"mmmm")</f>
        <v>January</v>
      </c>
      <c r="S791" s="5" t="s">
        <v>240</v>
      </c>
      <c r="T791" s="5" t="s">
        <v>301</v>
      </c>
    </row>
    <row r="792" spans="1:20" x14ac:dyDescent="0.25">
      <c r="A792" t="s">
        <v>201</v>
      </c>
      <c r="B792" t="s">
        <v>303</v>
      </c>
      <c r="C792" t="s">
        <v>16</v>
      </c>
      <c r="D792" t="s">
        <v>7</v>
      </c>
      <c r="E792" s="11">
        <v>45642</v>
      </c>
      <c r="F792" s="7">
        <v>45665</v>
      </c>
      <c r="G792" t="s">
        <v>107</v>
      </c>
      <c r="H792">
        <v>400</v>
      </c>
      <c r="I792" s="5">
        <v>124532</v>
      </c>
      <c r="J792" s="13">
        <v>1</v>
      </c>
      <c r="K792" s="5">
        <v>106565.64</v>
      </c>
      <c r="L792" s="5">
        <v>311.33</v>
      </c>
      <c r="M792" s="5">
        <v>266.41410000000002</v>
      </c>
      <c r="N792" s="5">
        <v>-17966.36</v>
      </c>
      <c r="O792" s="3">
        <v>-0.14427103073908715</v>
      </c>
      <c r="P792" s="14">
        <f t="shared" si="12"/>
        <v>427754.91581368254</v>
      </c>
      <c r="Q792" s="5" t="str">
        <f>TEXT(Table13[[#This Row],[Closing Date]],"yyyy")</f>
        <v>2025</v>
      </c>
      <c r="R792" s="5" t="str">
        <f>TEXT(Table13[[#This Row],[Closing Date]],"mmmm")</f>
        <v>January</v>
      </c>
      <c r="S792" s="5" t="s">
        <v>240</v>
      </c>
      <c r="T792" s="5" t="s">
        <v>301</v>
      </c>
    </row>
    <row r="793" spans="1:20" x14ac:dyDescent="0.25">
      <c r="A793" t="s">
        <v>201</v>
      </c>
      <c r="B793" t="s">
        <v>303</v>
      </c>
      <c r="C793" t="s">
        <v>16</v>
      </c>
      <c r="D793" t="s">
        <v>7</v>
      </c>
      <c r="E793" s="11">
        <v>45614</v>
      </c>
      <c r="F793" s="7">
        <v>45667</v>
      </c>
      <c r="G793" t="s">
        <v>140</v>
      </c>
      <c r="H793">
        <v>3480</v>
      </c>
      <c r="I793" s="5">
        <v>101616</v>
      </c>
      <c r="J793" s="13">
        <v>1</v>
      </c>
      <c r="K793" s="5">
        <v>118583.1</v>
      </c>
      <c r="L793" s="5">
        <v>29.2</v>
      </c>
      <c r="M793" s="5">
        <v>34.075603448275864</v>
      </c>
      <c r="N793" s="5">
        <v>16967.100000000006</v>
      </c>
      <c r="O793" s="3">
        <v>0.16697272083136519</v>
      </c>
      <c r="P793" s="14">
        <f t="shared" si="12"/>
        <v>444722.01581368258</v>
      </c>
      <c r="Q793" s="5" t="str">
        <f>TEXT(Table13[[#This Row],[Closing Date]],"yyyy")</f>
        <v>2025</v>
      </c>
      <c r="R793" s="5" t="str">
        <f>TEXT(Table13[[#This Row],[Closing Date]],"mmmm")</f>
        <v>January</v>
      </c>
      <c r="S793" s="5" t="s">
        <v>240</v>
      </c>
      <c r="T793" s="5" t="s">
        <v>301</v>
      </c>
    </row>
    <row r="794" spans="1:20" x14ac:dyDescent="0.25">
      <c r="A794" t="s">
        <v>201</v>
      </c>
      <c r="B794" t="s">
        <v>303</v>
      </c>
      <c r="C794" t="s">
        <v>16</v>
      </c>
      <c r="D794" t="s">
        <v>7</v>
      </c>
      <c r="E794" s="11">
        <v>45615</v>
      </c>
      <c r="F794" s="7">
        <v>45667</v>
      </c>
      <c r="G794" t="s">
        <v>342</v>
      </c>
      <c r="H794">
        <v>5600</v>
      </c>
      <c r="I794" s="5">
        <v>98778.4</v>
      </c>
      <c r="J794" s="13">
        <v>1</v>
      </c>
      <c r="K794" s="5">
        <v>82191.069999999992</v>
      </c>
      <c r="L794" s="5">
        <v>17.638999999999999</v>
      </c>
      <c r="M794" s="5">
        <v>14.676976785714285</v>
      </c>
      <c r="N794" s="5">
        <v>-16587.330000000002</v>
      </c>
      <c r="O794" s="3">
        <v>-0.16792466774112561</v>
      </c>
      <c r="P794" s="14">
        <f t="shared" si="12"/>
        <v>428134.68581368256</v>
      </c>
      <c r="Q794" s="5" t="str">
        <f>TEXT(Table13[[#This Row],[Closing Date]],"yyyy")</f>
        <v>2025</v>
      </c>
      <c r="R794" s="5" t="str">
        <f>TEXT(Table13[[#This Row],[Closing Date]],"mmmm")</f>
        <v>January</v>
      </c>
      <c r="S794" s="5" t="s">
        <v>240</v>
      </c>
      <c r="T794" s="5" t="s">
        <v>301</v>
      </c>
    </row>
    <row r="795" spans="1:20" x14ac:dyDescent="0.25">
      <c r="A795" t="s">
        <v>201</v>
      </c>
      <c r="B795" t="s">
        <v>303</v>
      </c>
      <c r="C795" t="s">
        <v>16</v>
      </c>
      <c r="D795" t="s">
        <v>7</v>
      </c>
      <c r="E795" s="11">
        <v>45594</v>
      </c>
      <c r="F795" s="7">
        <v>45667</v>
      </c>
      <c r="G795" t="s">
        <v>114</v>
      </c>
      <c r="H795">
        <v>2300</v>
      </c>
      <c r="I795" s="5">
        <v>98336.61</v>
      </c>
      <c r="J795" s="13">
        <v>1</v>
      </c>
      <c r="K795" s="5">
        <v>138450.35999999999</v>
      </c>
      <c r="L795" s="5">
        <v>42.755047826086958</v>
      </c>
      <c r="M795" s="5">
        <v>60.195808695652168</v>
      </c>
      <c r="N795" s="5">
        <v>40113.749999999985</v>
      </c>
      <c r="O795" s="3">
        <v>0.40792284785900168</v>
      </c>
      <c r="P795" s="14">
        <f t="shared" si="12"/>
        <v>468248.43581368256</v>
      </c>
      <c r="Q795" s="5" t="str">
        <f>TEXT(Table13[[#This Row],[Closing Date]],"yyyy")</f>
        <v>2025</v>
      </c>
      <c r="R795" s="5" t="str">
        <f>TEXT(Table13[[#This Row],[Closing Date]],"mmmm")</f>
        <v>January</v>
      </c>
      <c r="S795" s="5" t="s">
        <v>240</v>
      </c>
      <c r="T795" s="5" t="s">
        <v>301</v>
      </c>
    </row>
    <row r="796" spans="1:20" x14ac:dyDescent="0.25">
      <c r="A796" t="s">
        <v>201</v>
      </c>
      <c r="B796" t="s">
        <v>303</v>
      </c>
      <c r="C796" t="s">
        <v>16</v>
      </c>
      <c r="D796" t="s">
        <v>7</v>
      </c>
      <c r="E796" s="11">
        <v>45650</v>
      </c>
      <c r="F796" s="7">
        <v>45667</v>
      </c>
      <c r="G796" t="s">
        <v>354</v>
      </c>
      <c r="H796">
        <v>5000</v>
      </c>
      <c r="I796" s="5">
        <v>110700</v>
      </c>
      <c r="J796" s="13">
        <v>1</v>
      </c>
      <c r="K796" s="5">
        <v>106489.89</v>
      </c>
      <c r="L796" s="5">
        <v>22.14</v>
      </c>
      <c r="M796" s="5">
        <v>21.297978000000001</v>
      </c>
      <c r="N796" s="5">
        <v>-4210.1100000000006</v>
      </c>
      <c r="O796" s="3">
        <v>-3.8031707317073178E-2</v>
      </c>
      <c r="P796" s="14">
        <f t="shared" si="12"/>
        <v>464038.32581368258</v>
      </c>
      <c r="Q796" s="5" t="str">
        <f>TEXT(Table13[[#This Row],[Closing Date]],"yyyy")</f>
        <v>2025</v>
      </c>
      <c r="R796" s="5" t="str">
        <f>TEXT(Table13[[#This Row],[Closing Date]],"mmmm")</f>
        <v>January</v>
      </c>
      <c r="S796" s="5" t="s">
        <v>240</v>
      </c>
      <c r="T796" s="5" t="s">
        <v>301</v>
      </c>
    </row>
    <row r="797" spans="1:20" x14ac:dyDescent="0.25">
      <c r="A797" t="s">
        <v>201</v>
      </c>
      <c r="B797" t="s">
        <v>303</v>
      </c>
      <c r="C797" t="s">
        <v>16</v>
      </c>
      <c r="D797" t="s">
        <v>7</v>
      </c>
      <c r="E797" s="11">
        <v>45646</v>
      </c>
      <c r="F797" s="7">
        <v>45670</v>
      </c>
      <c r="G797" t="s">
        <v>351</v>
      </c>
      <c r="H797">
        <v>4250</v>
      </c>
      <c r="I797" s="5">
        <v>98757</v>
      </c>
      <c r="J797" s="13">
        <v>1</v>
      </c>
      <c r="K797" s="5">
        <v>109871.59</v>
      </c>
      <c r="L797" s="5">
        <v>23.236941176470587</v>
      </c>
      <c r="M797" s="5">
        <v>25.852138823529412</v>
      </c>
      <c r="N797" s="5">
        <v>11114.589999999997</v>
      </c>
      <c r="O797" s="3">
        <v>0.11254483226505459</v>
      </c>
      <c r="P797" s="14">
        <f t="shared" si="12"/>
        <v>475152.9158136826</v>
      </c>
      <c r="Q797" s="5" t="str">
        <f>TEXT(Table13[[#This Row],[Closing Date]],"yyyy")</f>
        <v>2025</v>
      </c>
      <c r="R797" s="5" t="str">
        <f>TEXT(Table13[[#This Row],[Closing Date]],"mmmm")</f>
        <v>January</v>
      </c>
      <c r="S797" s="5" t="s">
        <v>240</v>
      </c>
      <c r="T797" s="5" t="s">
        <v>301</v>
      </c>
    </row>
    <row r="798" spans="1:20" x14ac:dyDescent="0.25">
      <c r="A798" t="s">
        <v>201</v>
      </c>
      <c r="B798" t="s">
        <v>303</v>
      </c>
      <c r="C798" t="s">
        <v>16</v>
      </c>
      <c r="D798" t="s">
        <v>7</v>
      </c>
      <c r="E798" s="11">
        <v>45622</v>
      </c>
      <c r="F798" s="7">
        <v>45671</v>
      </c>
      <c r="G798" t="s">
        <v>275</v>
      </c>
      <c r="H798">
        <v>1700</v>
      </c>
      <c r="I798" s="5">
        <v>50036</v>
      </c>
      <c r="J798" s="13">
        <v>1</v>
      </c>
      <c r="K798" s="5">
        <v>44397.11</v>
      </c>
      <c r="L798" s="5">
        <v>29.432941176470589</v>
      </c>
      <c r="M798" s="5">
        <v>26.115947058823529</v>
      </c>
      <c r="N798" s="5">
        <v>-5638.8899999999994</v>
      </c>
      <c r="O798" s="3">
        <v>-0.11269665840594771</v>
      </c>
      <c r="P798" s="14">
        <f t="shared" si="12"/>
        <v>469514.02581368259</v>
      </c>
      <c r="Q798" s="5" t="str">
        <f>TEXT(Table13[[#This Row],[Closing Date]],"yyyy")</f>
        <v>2025</v>
      </c>
      <c r="R798" s="5" t="str">
        <f>TEXT(Table13[[#This Row],[Closing Date]],"mmmm")</f>
        <v>January</v>
      </c>
      <c r="S798" s="5" t="s">
        <v>240</v>
      </c>
      <c r="T798" s="5" t="s">
        <v>301</v>
      </c>
    </row>
    <row r="799" spans="1:20" x14ac:dyDescent="0.25">
      <c r="A799" t="s">
        <v>197</v>
      </c>
      <c r="B799" t="s">
        <v>303</v>
      </c>
      <c r="C799" t="s">
        <v>102</v>
      </c>
      <c r="D799" t="s">
        <v>7</v>
      </c>
      <c r="E799" s="11">
        <v>45509</v>
      </c>
      <c r="F799" s="7">
        <v>45672</v>
      </c>
      <c r="G799" t="s">
        <v>313</v>
      </c>
      <c r="H799">
        <v>50</v>
      </c>
      <c r="I799" s="5">
        <v>4989</v>
      </c>
      <c r="J799" s="13">
        <v>100</v>
      </c>
      <c r="K799" s="5">
        <v>14043.36</v>
      </c>
      <c r="L799" s="5">
        <v>0.99780000000000002</v>
      </c>
      <c r="M799" s="5">
        <v>2.8086720000000001</v>
      </c>
      <c r="N799" s="5">
        <v>9054.36</v>
      </c>
      <c r="O799" s="3">
        <v>1.8148647023451594</v>
      </c>
      <c r="P799" s="14">
        <f t="shared" si="12"/>
        <v>478568.38581368257</v>
      </c>
      <c r="Q799" s="5" t="str">
        <f>TEXT(Table13[[#This Row],[Closing Date]],"yyyy")</f>
        <v>2025</v>
      </c>
      <c r="R799" s="5" t="str">
        <f>TEXT(Table13[[#This Row],[Closing Date]],"mmmm")</f>
        <v>January</v>
      </c>
      <c r="S799" s="5" t="s">
        <v>240</v>
      </c>
      <c r="T799" s="5" t="s">
        <v>301</v>
      </c>
    </row>
    <row r="800" spans="1:20" x14ac:dyDescent="0.25">
      <c r="A800" t="s">
        <v>201</v>
      </c>
      <c r="B800" t="s">
        <v>303</v>
      </c>
      <c r="C800" t="s">
        <v>12</v>
      </c>
      <c r="D800" t="s">
        <v>7</v>
      </c>
      <c r="E800" s="11">
        <v>45650</v>
      </c>
      <c r="F800" s="7">
        <v>45672</v>
      </c>
      <c r="G800" t="s">
        <v>86</v>
      </c>
      <c r="H800">
        <v>100</v>
      </c>
      <c r="I800" s="5">
        <v>462097</v>
      </c>
      <c r="J800" s="13">
        <v>1000</v>
      </c>
      <c r="K800" s="5">
        <v>465317</v>
      </c>
      <c r="L800" s="5">
        <v>4.6209700000000007</v>
      </c>
      <c r="M800" s="5">
        <v>4.6531700000000003</v>
      </c>
      <c r="N800" s="5">
        <v>3220</v>
      </c>
      <c r="O800" s="3">
        <v>6.9682339422242516E-3</v>
      </c>
      <c r="P800" s="14">
        <f t="shared" si="12"/>
        <v>481788.38581368257</v>
      </c>
      <c r="Q800" s="5" t="str">
        <f>TEXT(Table13[[#This Row],[Closing Date]],"yyyy")</f>
        <v>2025</v>
      </c>
      <c r="R800" s="5" t="str">
        <f>TEXT(Table13[[#This Row],[Closing Date]],"mmmm")</f>
        <v>January</v>
      </c>
      <c r="S800" s="5" t="s">
        <v>240</v>
      </c>
      <c r="T800" s="5" t="s">
        <v>301</v>
      </c>
    </row>
    <row r="801" spans="1:20" x14ac:dyDescent="0.25">
      <c r="A801" t="s">
        <v>197</v>
      </c>
      <c r="B801" t="s">
        <v>303</v>
      </c>
      <c r="C801" t="s">
        <v>102</v>
      </c>
      <c r="D801" t="s">
        <v>7</v>
      </c>
      <c r="E801" s="11">
        <v>45498</v>
      </c>
      <c r="F801" s="7">
        <v>45674</v>
      </c>
      <c r="G801" t="s">
        <v>206</v>
      </c>
      <c r="H801">
        <v>4</v>
      </c>
      <c r="I801" s="5">
        <v>9521</v>
      </c>
      <c r="J801" s="13">
        <v>100</v>
      </c>
      <c r="K801" s="5">
        <v>0</v>
      </c>
      <c r="L801" s="5">
        <v>23.802499999999998</v>
      </c>
      <c r="M801" s="5">
        <v>0</v>
      </c>
      <c r="N801" s="5">
        <v>-9521</v>
      </c>
      <c r="O801" s="3">
        <v>-1</v>
      </c>
      <c r="P801" s="14">
        <f t="shared" si="12"/>
        <v>472267.38581368257</v>
      </c>
      <c r="Q801" s="5" t="str">
        <f>TEXT(Table13[[#This Row],[Closing Date]],"yyyy")</f>
        <v>2025</v>
      </c>
      <c r="R801" s="5" t="str">
        <f>TEXT(Table13[[#This Row],[Closing Date]],"mmmm")</f>
        <v>January</v>
      </c>
      <c r="S801" s="5" t="s">
        <v>240</v>
      </c>
      <c r="T801" s="5" t="s">
        <v>301</v>
      </c>
    </row>
    <row r="802" spans="1:20" x14ac:dyDescent="0.25">
      <c r="A802" t="s">
        <v>201</v>
      </c>
      <c r="B802" t="s">
        <v>302</v>
      </c>
      <c r="C802" t="s">
        <v>16</v>
      </c>
      <c r="D802" t="s">
        <v>5</v>
      </c>
      <c r="E802" s="11">
        <v>45632</v>
      </c>
      <c r="F802" s="7">
        <v>45678</v>
      </c>
      <c r="G802" t="s">
        <v>26</v>
      </c>
      <c r="H802">
        <v>1000</v>
      </c>
      <c r="I802" s="5">
        <v>94750</v>
      </c>
      <c r="J802" s="13">
        <v>1</v>
      </c>
      <c r="K802" s="5">
        <v>91381.43</v>
      </c>
      <c r="L802" s="5">
        <v>94.75</v>
      </c>
      <c r="M802" s="5">
        <v>91.381429999999995</v>
      </c>
      <c r="N802" s="5">
        <v>3368.570000000007</v>
      </c>
      <c r="O802" s="3">
        <v>3.5552189973614846E-2</v>
      </c>
      <c r="P802" s="14">
        <f t="shared" si="12"/>
        <v>475635.95581368258</v>
      </c>
      <c r="Q802" s="5" t="str">
        <f>TEXT(Table13[[#This Row],[Closing Date]],"yyyy")</f>
        <v>2025</v>
      </c>
      <c r="R802" s="5" t="str">
        <f>TEXT(Table13[[#This Row],[Closing Date]],"mmmm")</f>
        <v>January</v>
      </c>
      <c r="S802" s="5" t="s">
        <v>240</v>
      </c>
      <c r="T802" s="5" t="s">
        <v>301</v>
      </c>
    </row>
    <row r="803" spans="1:20" x14ac:dyDescent="0.25">
      <c r="A803" t="s">
        <v>201</v>
      </c>
      <c r="B803" t="s">
        <v>302</v>
      </c>
      <c r="C803" t="s">
        <v>12</v>
      </c>
      <c r="D803" t="s">
        <v>7</v>
      </c>
      <c r="E803" s="11">
        <v>45667</v>
      </c>
      <c r="F803" s="7">
        <v>45679</v>
      </c>
      <c r="G803" t="s">
        <v>82</v>
      </c>
      <c r="H803">
        <v>3</v>
      </c>
      <c r="I803" s="5">
        <v>785240</v>
      </c>
      <c r="J803" s="13">
        <v>50</v>
      </c>
      <c r="K803" s="5">
        <v>815639</v>
      </c>
      <c r="L803" s="5">
        <v>5234.9333333333334</v>
      </c>
      <c r="M803" s="5">
        <v>5437.5933333333342</v>
      </c>
      <c r="N803" s="5">
        <v>30399</v>
      </c>
      <c r="O803" s="3">
        <v>3.8713004941164482E-2</v>
      </c>
      <c r="P803" s="14">
        <f t="shared" si="12"/>
        <v>506034.95581368258</v>
      </c>
      <c r="Q803" s="5" t="str">
        <f>TEXT(Table13[[#This Row],[Closing Date]],"yyyy")</f>
        <v>2025</v>
      </c>
      <c r="R803" s="5" t="str">
        <f>TEXT(Table13[[#This Row],[Closing Date]],"mmmm")</f>
        <v>January</v>
      </c>
      <c r="S803" s="5" t="s">
        <v>240</v>
      </c>
      <c r="T803" s="5" t="s">
        <v>301</v>
      </c>
    </row>
    <row r="804" spans="1:20" x14ac:dyDescent="0.25">
      <c r="A804" t="s">
        <v>201</v>
      </c>
      <c r="B804" t="s">
        <v>303</v>
      </c>
      <c r="C804" t="s">
        <v>12</v>
      </c>
      <c r="D804" t="s">
        <v>7</v>
      </c>
      <c r="E804" s="11">
        <v>45650</v>
      </c>
      <c r="F804" s="7">
        <v>45681</v>
      </c>
      <c r="G804" t="s">
        <v>43</v>
      </c>
      <c r="H804">
        <v>3</v>
      </c>
      <c r="I804" s="5">
        <v>104407</v>
      </c>
      <c r="J804" s="13">
        <v>10000</v>
      </c>
      <c r="K804" s="5">
        <v>116392.18</v>
      </c>
      <c r="L804" s="5">
        <v>3.4802333333333335</v>
      </c>
      <c r="M804" s="5">
        <v>3.8797393333333332</v>
      </c>
      <c r="N804" s="5">
        <v>11985.179999999993</v>
      </c>
      <c r="O804" s="3">
        <v>0.11479287787217325</v>
      </c>
      <c r="P804" s="14">
        <f t="shared" si="12"/>
        <v>518020.13581368257</v>
      </c>
      <c r="Q804" s="5" t="str">
        <f>TEXT(Table13[[#This Row],[Closing Date]],"yyyy")</f>
        <v>2025</v>
      </c>
      <c r="R804" s="5" t="str">
        <f>TEXT(Table13[[#This Row],[Closing Date]],"mmmm")</f>
        <v>January</v>
      </c>
      <c r="S804" s="5" t="s">
        <v>240</v>
      </c>
      <c r="T804" s="5" t="s">
        <v>301</v>
      </c>
    </row>
    <row r="805" spans="1:20" x14ac:dyDescent="0.25">
      <c r="A805" t="s">
        <v>201</v>
      </c>
      <c r="B805" t="s">
        <v>346</v>
      </c>
      <c r="C805" t="s">
        <v>12</v>
      </c>
      <c r="D805" t="s">
        <v>7</v>
      </c>
      <c r="E805" s="11">
        <v>45659</v>
      </c>
      <c r="F805" s="7">
        <v>45681</v>
      </c>
      <c r="G805" t="s">
        <v>90</v>
      </c>
      <c r="H805">
        <v>2</v>
      </c>
      <c r="I805" s="5">
        <v>893537.5</v>
      </c>
      <c r="J805" s="13">
        <v>20</v>
      </c>
      <c r="K805" s="5">
        <v>915883.5</v>
      </c>
      <c r="L805" s="5">
        <v>22338.4375</v>
      </c>
      <c r="M805" s="5">
        <v>22897.087500000001</v>
      </c>
      <c r="N805" s="5">
        <v>22346</v>
      </c>
      <c r="O805" s="3">
        <v>2.500846355077431E-2</v>
      </c>
      <c r="P805" s="14">
        <f t="shared" si="12"/>
        <v>540366.13581368257</v>
      </c>
      <c r="Q805" s="5" t="str">
        <f>TEXT(Table13[[#This Row],[Closing Date]],"yyyy")</f>
        <v>2025</v>
      </c>
      <c r="R805" s="5" t="str">
        <f>TEXT(Table13[[#This Row],[Closing Date]],"mmmm")</f>
        <v>January</v>
      </c>
      <c r="S805" s="5" t="s">
        <v>240</v>
      </c>
      <c r="T805" s="5" t="s">
        <v>301</v>
      </c>
    </row>
    <row r="806" spans="1:20" x14ac:dyDescent="0.25">
      <c r="A806" t="s">
        <v>201</v>
      </c>
      <c r="B806" t="s">
        <v>303</v>
      </c>
      <c r="C806" t="s">
        <v>16</v>
      </c>
      <c r="D806" t="s">
        <v>7</v>
      </c>
      <c r="E806" s="11">
        <v>45631</v>
      </c>
      <c r="F806" s="7">
        <v>45685</v>
      </c>
      <c r="G806" t="s">
        <v>348</v>
      </c>
      <c r="H806">
        <v>4200</v>
      </c>
      <c r="I806" s="5">
        <v>101234</v>
      </c>
      <c r="J806" s="13">
        <v>1</v>
      </c>
      <c r="K806" s="5">
        <v>89461.39</v>
      </c>
      <c r="L806" s="5">
        <v>24.103333333333332</v>
      </c>
      <c r="M806" s="5">
        <v>21.300330952380953</v>
      </c>
      <c r="N806" s="5">
        <v>-11772.61</v>
      </c>
      <c r="O806" s="3">
        <v>-0.11629106821818758</v>
      </c>
      <c r="P806" s="14">
        <f t="shared" si="12"/>
        <v>528593.52581368259</v>
      </c>
      <c r="Q806" s="5" t="str">
        <f>TEXT(Table13[[#This Row],[Closing Date]],"yyyy")</f>
        <v>2025</v>
      </c>
      <c r="R806" s="5" t="str">
        <f>TEXT(Table13[[#This Row],[Closing Date]],"mmmm")</f>
        <v>January</v>
      </c>
      <c r="S806" s="5" t="s">
        <v>240</v>
      </c>
      <c r="T806" s="5" t="s">
        <v>301</v>
      </c>
    </row>
    <row r="807" spans="1:20" x14ac:dyDescent="0.25">
      <c r="A807" t="s">
        <v>201</v>
      </c>
      <c r="B807" t="s">
        <v>306</v>
      </c>
      <c r="C807" t="s">
        <v>12</v>
      </c>
      <c r="D807" t="s">
        <v>7</v>
      </c>
      <c r="E807" s="11">
        <v>45630</v>
      </c>
      <c r="F807" s="7">
        <v>45687</v>
      </c>
      <c r="G807" t="s">
        <v>50</v>
      </c>
      <c r="H807">
        <v>7</v>
      </c>
      <c r="I807" s="5">
        <v>765324</v>
      </c>
      <c r="J807" s="13">
        <v>1000</v>
      </c>
      <c r="K807" s="5">
        <v>769102.92</v>
      </c>
      <c r="L807" s="5">
        <v>109.33199999999999</v>
      </c>
      <c r="M807" s="5">
        <v>109.87184571428573</v>
      </c>
      <c r="N807" s="5">
        <v>3778.9200000000419</v>
      </c>
      <c r="O807" s="3">
        <v>4.9376734559481239E-3</v>
      </c>
      <c r="P807" s="14">
        <f t="shared" si="12"/>
        <v>532372.44581368263</v>
      </c>
      <c r="Q807" s="5" t="str">
        <f>TEXT(Table13[[#This Row],[Closing Date]],"yyyy")</f>
        <v>2025</v>
      </c>
      <c r="R807" s="5" t="str">
        <f>TEXT(Table13[[#This Row],[Closing Date]],"mmmm")</f>
        <v>January</v>
      </c>
      <c r="S807" s="5" t="s">
        <v>240</v>
      </c>
      <c r="T807" s="5" t="s">
        <v>301</v>
      </c>
    </row>
    <row r="808" spans="1:20" x14ac:dyDescent="0.25">
      <c r="A808" t="s">
        <v>201</v>
      </c>
      <c r="B808" t="s">
        <v>303</v>
      </c>
      <c r="C808" t="s">
        <v>16</v>
      </c>
      <c r="D808" t="s">
        <v>7</v>
      </c>
      <c r="E808" s="11">
        <v>45617</v>
      </c>
      <c r="F808" s="7">
        <v>45630</v>
      </c>
      <c r="G808" t="s">
        <v>360</v>
      </c>
      <c r="H808">
        <v>300</v>
      </c>
      <c r="I808" s="5">
        <v>12090</v>
      </c>
      <c r="J808" s="13">
        <v>1</v>
      </c>
      <c r="K808" s="28">
        <v>15319.57</v>
      </c>
      <c r="L808" s="5">
        <v>40.299999999999997</v>
      </c>
      <c r="M808" s="5">
        <v>51.065233333333332</v>
      </c>
      <c r="N808" s="5">
        <v>3229.5699999999997</v>
      </c>
      <c r="O808" s="3">
        <v>0.26712737799834574</v>
      </c>
      <c r="P808" s="14">
        <f t="shared" ref="P808:P825" si="13">N808+P807</f>
        <v>535602.01581368258</v>
      </c>
      <c r="Q808" s="28" t="str">
        <f>TEXT(Table13[[#This Row],[Closing Date]],"yyyy")</f>
        <v>2024</v>
      </c>
      <c r="R808" s="28" t="str">
        <f>TEXT(Table13[[#This Row],[Closing Date]],"mmmm")</f>
        <v>December</v>
      </c>
      <c r="S808" s="5" t="s">
        <v>240</v>
      </c>
      <c r="T808" s="5" t="s">
        <v>203</v>
      </c>
    </row>
    <row r="809" spans="1:20" x14ac:dyDescent="0.25">
      <c r="A809" t="s">
        <v>201</v>
      </c>
      <c r="B809" t="s">
        <v>303</v>
      </c>
      <c r="C809" t="s">
        <v>16</v>
      </c>
      <c r="D809" t="s">
        <v>7</v>
      </c>
      <c r="E809" s="11">
        <v>45610</v>
      </c>
      <c r="F809" s="7">
        <v>45614</v>
      </c>
      <c r="G809" t="s">
        <v>187</v>
      </c>
      <c r="H809">
        <v>525</v>
      </c>
      <c r="I809" s="5">
        <v>50536.84</v>
      </c>
      <c r="J809" s="13">
        <v>1</v>
      </c>
      <c r="K809" s="28">
        <v>46810.09</v>
      </c>
      <c r="L809" s="5">
        <v>96.260647619047617</v>
      </c>
      <c r="M809" s="5">
        <v>89.162076190476185</v>
      </c>
      <c r="N809" s="5">
        <v>-3726.75</v>
      </c>
      <c r="O809" s="3">
        <v>-7.3743233648957879E-2</v>
      </c>
      <c r="P809" s="14">
        <f t="shared" si="13"/>
        <v>531875.26581368258</v>
      </c>
      <c r="Q809" s="28" t="str">
        <f>TEXT(Table13[[#This Row],[Closing Date]],"yyyy")</f>
        <v>2024</v>
      </c>
      <c r="R809" s="28" t="str">
        <f>TEXT(Table13[[#This Row],[Closing Date]],"mmmm")</f>
        <v>November</v>
      </c>
      <c r="S809" s="5" t="s">
        <v>240</v>
      </c>
      <c r="T809" s="5" t="s">
        <v>203</v>
      </c>
    </row>
    <row r="810" spans="1:20" x14ac:dyDescent="0.25">
      <c r="A810" t="s">
        <v>201</v>
      </c>
      <c r="B810" t="s">
        <v>346</v>
      </c>
      <c r="C810" t="s">
        <v>16</v>
      </c>
      <c r="D810" t="s">
        <v>7</v>
      </c>
      <c r="E810" s="11">
        <v>45551</v>
      </c>
      <c r="F810" s="7">
        <v>45616</v>
      </c>
      <c r="G810" t="s">
        <v>17</v>
      </c>
      <c r="H810">
        <v>214</v>
      </c>
      <c r="I810" s="5">
        <v>99938</v>
      </c>
      <c r="J810" s="13">
        <v>1</v>
      </c>
      <c r="K810" s="28">
        <v>105856.67</v>
      </c>
      <c r="L810" s="5">
        <v>467</v>
      </c>
      <c r="M810" s="5">
        <v>494.65733644859813</v>
      </c>
      <c r="N810" s="5">
        <v>5918.6699999999983</v>
      </c>
      <c r="O810" s="3">
        <v>5.9223418519482061E-2</v>
      </c>
      <c r="P810" s="14">
        <f t="shared" si="13"/>
        <v>537793.93581368262</v>
      </c>
      <c r="Q810" s="28" t="str">
        <f>TEXT(Table13[[#This Row],[Closing Date]],"yyyy")</f>
        <v>2024</v>
      </c>
      <c r="R810" s="28" t="str">
        <f>TEXT(Table13[[#This Row],[Closing Date]],"mmmm")</f>
        <v>November</v>
      </c>
      <c r="S810" s="5" t="s">
        <v>240</v>
      </c>
      <c r="T810" s="5" t="s">
        <v>203</v>
      </c>
    </row>
    <row r="811" spans="1:20" x14ac:dyDescent="0.25">
      <c r="A811" t="s">
        <v>201</v>
      </c>
      <c r="B811" t="s">
        <v>303</v>
      </c>
      <c r="C811" t="s">
        <v>16</v>
      </c>
      <c r="D811" t="s">
        <v>7</v>
      </c>
      <c r="E811" s="11">
        <v>45432</v>
      </c>
      <c r="F811" s="7">
        <v>45510</v>
      </c>
      <c r="G811" t="s">
        <v>258</v>
      </c>
      <c r="H811">
        <v>5000</v>
      </c>
      <c r="I811" s="5">
        <v>94338.93</v>
      </c>
      <c r="J811" s="13">
        <v>1</v>
      </c>
      <c r="K811" s="28">
        <v>92758.739999999991</v>
      </c>
      <c r="L811" s="5">
        <v>18.867785999999999</v>
      </c>
      <c r="M811" s="5">
        <v>18.551748</v>
      </c>
      <c r="N811" s="5">
        <v>-1580.1900000000023</v>
      </c>
      <c r="O811" s="3">
        <v>-1.6750136979505729E-2</v>
      </c>
      <c r="P811" s="14">
        <f t="shared" si="13"/>
        <v>536213.74581368268</v>
      </c>
      <c r="Q811" s="28" t="str">
        <f>TEXT(Table13[[#This Row],[Closing Date]],"yyyy")</f>
        <v>2024</v>
      </c>
      <c r="R811" s="28" t="str">
        <f>TEXT(Table13[[#This Row],[Closing Date]],"mmmm")</f>
        <v>August</v>
      </c>
      <c r="S811" s="5" t="s">
        <v>240</v>
      </c>
      <c r="T811" s="5" t="s">
        <v>203</v>
      </c>
    </row>
    <row r="812" spans="1:20" x14ac:dyDescent="0.25">
      <c r="A812" t="s">
        <v>201</v>
      </c>
      <c r="B812" t="s">
        <v>346</v>
      </c>
      <c r="C812" t="s">
        <v>16</v>
      </c>
      <c r="D812" t="s">
        <v>7</v>
      </c>
      <c r="E812" s="11">
        <v>45510</v>
      </c>
      <c r="F812" s="7">
        <v>45687</v>
      </c>
      <c r="G812" t="s">
        <v>49</v>
      </c>
      <c r="H812">
        <v>60</v>
      </c>
      <c r="I812" s="5">
        <v>107675</v>
      </c>
      <c r="J812" s="13">
        <v>1</v>
      </c>
      <c r="K812" s="28">
        <v>113321.44</v>
      </c>
      <c r="L812" s="5">
        <v>1794.5833333333333</v>
      </c>
      <c r="M812" s="5">
        <v>1888.6906666666666</v>
      </c>
      <c r="N812" s="5">
        <v>5646.4400000000023</v>
      </c>
      <c r="O812" s="3">
        <v>5.2439656373345737E-2</v>
      </c>
      <c r="P812" s="14">
        <f t="shared" si="13"/>
        <v>541860.18581368262</v>
      </c>
      <c r="Q812" s="28" t="str">
        <f>TEXT(Table13[[#This Row],[Closing Date]],"yyyy")</f>
        <v>2025</v>
      </c>
      <c r="R812" s="28" t="str">
        <f>TEXT(Table13[[#This Row],[Closing Date]],"mmmm")</f>
        <v>January</v>
      </c>
      <c r="S812" s="5" t="s">
        <v>240</v>
      </c>
      <c r="T812" s="5" t="s">
        <v>203</v>
      </c>
    </row>
    <row r="813" spans="1:20" x14ac:dyDescent="0.25">
      <c r="A813" t="s">
        <v>201</v>
      </c>
      <c r="B813" t="s">
        <v>303</v>
      </c>
      <c r="C813" t="s">
        <v>16</v>
      </c>
      <c r="D813" t="s">
        <v>7</v>
      </c>
      <c r="E813" s="11">
        <v>45526</v>
      </c>
      <c r="F813" s="7">
        <v>45539</v>
      </c>
      <c r="G813" t="s">
        <v>256</v>
      </c>
      <c r="H813">
        <v>1500</v>
      </c>
      <c r="I813" s="5">
        <v>157140</v>
      </c>
      <c r="J813" s="13">
        <v>1</v>
      </c>
      <c r="K813" s="28">
        <v>139016.14000000001</v>
      </c>
      <c r="L813" s="5">
        <v>104.76</v>
      </c>
      <c r="M813" s="5">
        <v>92.677426666666676</v>
      </c>
      <c r="N813" s="5">
        <v>-18123.859999999986</v>
      </c>
      <c r="O813" s="3">
        <v>-0.11533575155911917</v>
      </c>
      <c r="P813" s="14">
        <f t="shared" si="13"/>
        <v>523736.32581368263</v>
      </c>
      <c r="Q813" s="28" t="str">
        <f>TEXT(Table13[[#This Row],[Closing Date]],"yyyy")</f>
        <v>2024</v>
      </c>
      <c r="R813" s="28" t="str">
        <f>TEXT(Table13[[#This Row],[Closing Date]],"mmmm")</f>
        <v>September</v>
      </c>
      <c r="S813" s="5" t="s">
        <v>240</v>
      </c>
      <c r="T813" s="5" t="s">
        <v>203</v>
      </c>
    </row>
    <row r="814" spans="1:20" x14ac:dyDescent="0.25">
      <c r="A814" t="s">
        <v>201</v>
      </c>
      <c r="B814" t="s">
        <v>346</v>
      </c>
      <c r="C814" t="s">
        <v>16</v>
      </c>
      <c r="D814" t="s">
        <v>7</v>
      </c>
      <c r="E814" s="11">
        <v>45597</v>
      </c>
      <c r="F814" s="7">
        <v>45609</v>
      </c>
      <c r="G814" t="s">
        <v>234</v>
      </c>
      <c r="H814">
        <v>1000</v>
      </c>
      <c r="I814" s="5">
        <v>73200</v>
      </c>
      <c r="J814" s="13">
        <v>1</v>
      </c>
      <c r="K814" s="28">
        <v>55318.96</v>
      </c>
      <c r="L814" s="5">
        <v>73.2</v>
      </c>
      <c r="M814" s="5">
        <v>55.318959999999997</v>
      </c>
      <c r="N814" s="5">
        <v>-17881.04</v>
      </c>
      <c r="O814" s="3">
        <v>-0.24427650273224044</v>
      </c>
      <c r="P814" s="14">
        <f t="shared" si="13"/>
        <v>505855.28581368265</v>
      </c>
      <c r="Q814" s="28" t="str">
        <f>TEXT(Table13[[#This Row],[Closing Date]],"yyyy")</f>
        <v>2024</v>
      </c>
      <c r="R814" s="28" t="str">
        <f>TEXT(Table13[[#This Row],[Closing Date]],"mmmm")</f>
        <v>November</v>
      </c>
      <c r="S814" s="5" t="s">
        <v>240</v>
      </c>
      <c r="T814" s="5" t="s">
        <v>203</v>
      </c>
    </row>
    <row r="815" spans="1:20" x14ac:dyDescent="0.25">
      <c r="A815" t="s">
        <v>201</v>
      </c>
      <c r="B815" t="s">
        <v>303</v>
      </c>
      <c r="C815" t="s">
        <v>16</v>
      </c>
      <c r="D815" t="s">
        <v>7</v>
      </c>
      <c r="E815" s="11">
        <v>45588</v>
      </c>
      <c r="F815" s="7">
        <v>45611</v>
      </c>
      <c r="G815" t="s">
        <v>192</v>
      </c>
      <c r="H815">
        <v>3000</v>
      </c>
      <c r="I815" s="5">
        <v>54376.49</v>
      </c>
      <c r="J815" s="13">
        <v>1</v>
      </c>
      <c r="K815" s="28">
        <v>55318.96</v>
      </c>
      <c r="L815" s="5">
        <v>18.125496666666667</v>
      </c>
      <c r="M815" s="5">
        <v>18.439653333333332</v>
      </c>
      <c r="N815" s="5">
        <v>942.47000000000116</v>
      </c>
      <c r="O815" s="3">
        <v>1.7332306664148443E-2</v>
      </c>
      <c r="P815" s="14">
        <f t="shared" si="13"/>
        <v>506797.75581368268</v>
      </c>
      <c r="Q815" s="28" t="str">
        <f>TEXT(Table13[[#This Row],[Closing Date]],"yyyy")</f>
        <v>2024</v>
      </c>
      <c r="R815" s="28" t="str">
        <f>TEXT(Table13[[#This Row],[Closing Date]],"mmmm")</f>
        <v>November</v>
      </c>
      <c r="S815" s="5" t="s">
        <v>240</v>
      </c>
      <c r="T815" s="5" t="s">
        <v>203</v>
      </c>
    </row>
    <row r="816" spans="1:20" x14ac:dyDescent="0.25">
      <c r="A816" t="s">
        <v>197</v>
      </c>
      <c r="B816" t="s">
        <v>346</v>
      </c>
      <c r="C816" t="s">
        <v>102</v>
      </c>
      <c r="D816" t="s">
        <v>7</v>
      </c>
      <c r="E816" s="11">
        <v>45315</v>
      </c>
      <c r="F816" s="7">
        <v>45618</v>
      </c>
      <c r="G816" t="s">
        <v>362</v>
      </c>
      <c r="H816">
        <v>750</v>
      </c>
      <c r="I816" s="5">
        <v>25031</v>
      </c>
      <c r="J816" s="13">
        <v>100</v>
      </c>
      <c r="K816" s="28">
        <v>30511.64</v>
      </c>
      <c r="L816" s="5">
        <v>0.33374666666666669</v>
      </c>
      <c r="M816" s="5">
        <v>0.40682186666666664</v>
      </c>
      <c r="N816" s="5">
        <v>5480.6399999999994</v>
      </c>
      <c r="O816" s="3">
        <v>0.2189540969198194</v>
      </c>
      <c r="P816" s="14">
        <f t="shared" si="13"/>
        <v>512278.3958136827</v>
      </c>
      <c r="Q816" s="28" t="str">
        <f>TEXT(Table13[[#This Row],[Closing Date]],"yyyy")</f>
        <v>2024</v>
      </c>
      <c r="R816" s="28" t="str">
        <f>TEXT(Table13[[#This Row],[Closing Date]],"mmmm")</f>
        <v>November</v>
      </c>
      <c r="S816" s="5" t="s">
        <v>240</v>
      </c>
      <c r="T816" s="5" t="s">
        <v>203</v>
      </c>
    </row>
    <row r="817" spans="1:20" x14ac:dyDescent="0.25">
      <c r="A817" t="s">
        <v>201</v>
      </c>
      <c r="B817" t="s">
        <v>303</v>
      </c>
      <c r="C817" t="s">
        <v>16</v>
      </c>
      <c r="D817" t="s">
        <v>7</v>
      </c>
      <c r="E817" s="11">
        <v>45559</v>
      </c>
      <c r="F817" s="7">
        <v>45316</v>
      </c>
      <c r="G817" t="s">
        <v>294</v>
      </c>
      <c r="H817">
        <v>610</v>
      </c>
      <c r="I817" s="5">
        <v>100144.08</v>
      </c>
      <c r="J817" s="13">
        <v>1</v>
      </c>
      <c r="K817" s="28">
        <v>106916.07</v>
      </c>
      <c r="L817" s="5">
        <v>164.17062295081968</v>
      </c>
      <c r="M817" s="5">
        <v>175.27224590163937</v>
      </c>
      <c r="N817" s="5">
        <v>6771.9900000000052</v>
      </c>
      <c r="O817" s="3">
        <v>6.7622469545878347E-2</v>
      </c>
      <c r="P817" s="14">
        <f t="shared" si="13"/>
        <v>519050.38581368269</v>
      </c>
      <c r="Q817" s="28" t="str">
        <f>TEXT(Table13[[#This Row],[Closing Date]],"yyyy")</f>
        <v>2024</v>
      </c>
      <c r="R817" s="28" t="str">
        <f>TEXT(Table13[[#This Row],[Closing Date]],"mmmm")</f>
        <v>January</v>
      </c>
      <c r="S817" s="5" t="s">
        <v>240</v>
      </c>
      <c r="T817" s="5" t="s">
        <v>203</v>
      </c>
    </row>
    <row r="818" spans="1:20" x14ac:dyDescent="0.25">
      <c r="A818" t="s">
        <v>201</v>
      </c>
      <c r="B818" t="s">
        <v>303</v>
      </c>
      <c r="C818" t="s">
        <v>16</v>
      </c>
      <c r="D818" t="s">
        <v>7</v>
      </c>
      <c r="E818" s="11">
        <v>45412</v>
      </c>
      <c r="F818" s="7">
        <v>45678</v>
      </c>
      <c r="G818" t="s">
        <v>359</v>
      </c>
      <c r="H818">
        <v>60</v>
      </c>
      <c r="I818" s="5">
        <v>21639</v>
      </c>
      <c r="J818" s="13">
        <v>100</v>
      </c>
      <c r="K818" s="28">
        <v>0</v>
      </c>
      <c r="L818" s="5">
        <v>3.6064999999999996</v>
      </c>
      <c r="M818" s="5">
        <v>0</v>
      </c>
      <c r="N818" s="5">
        <v>-21639</v>
      </c>
      <c r="O818" s="3">
        <v>-1</v>
      </c>
      <c r="P818" s="14">
        <f t="shared" si="13"/>
        <v>497411.38581368269</v>
      </c>
      <c r="Q818" s="28" t="str">
        <f>TEXT(Table13[[#This Row],[Closing Date]],"yyyy")</f>
        <v>2025</v>
      </c>
      <c r="R818" s="28" t="str">
        <f>TEXT(Table13[[#This Row],[Closing Date]],"mmmm")</f>
        <v>January</v>
      </c>
      <c r="S818" s="5" t="s">
        <v>240</v>
      </c>
      <c r="T818" s="5" t="s">
        <v>203</v>
      </c>
    </row>
    <row r="819" spans="1:20" x14ac:dyDescent="0.25">
      <c r="A819" t="s">
        <v>201</v>
      </c>
      <c r="B819" t="s">
        <v>303</v>
      </c>
      <c r="C819" t="s">
        <v>16</v>
      </c>
      <c r="D819" t="s">
        <v>7</v>
      </c>
      <c r="E819" s="11">
        <v>45188</v>
      </c>
      <c r="F819" s="7">
        <v>45678</v>
      </c>
      <c r="G819" t="s">
        <v>177</v>
      </c>
      <c r="H819">
        <v>40</v>
      </c>
      <c r="I819" s="5">
        <v>20026</v>
      </c>
      <c r="J819" s="13">
        <v>100</v>
      </c>
      <c r="K819" s="28">
        <v>1413.96</v>
      </c>
      <c r="L819" s="5">
        <v>5.0065</v>
      </c>
      <c r="M819" s="5">
        <v>0.35349000000000003</v>
      </c>
      <c r="N819" s="5">
        <v>-18612.04</v>
      </c>
      <c r="O819" s="3">
        <v>-0.92939378807550188</v>
      </c>
      <c r="P819" s="14">
        <f t="shared" si="13"/>
        <v>478799.34581368271</v>
      </c>
      <c r="Q819" s="28" t="str">
        <f>TEXT(Table13[[#This Row],[Closing Date]],"yyyy")</f>
        <v>2025</v>
      </c>
      <c r="R819" s="28" t="str">
        <f>TEXT(Table13[[#This Row],[Closing Date]],"mmmm")</f>
        <v>January</v>
      </c>
      <c r="S819" s="5" t="s">
        <v>240</v>
      </c>
      <c r="T819" s="5" t="s">
        <v>203</v>
      </c>
    </row>
    <row r="820" spans="1:20" x14ac:dyDescent="0.25">
      <c r="A820" t="s">
        <v>201</v>
      </c>
      <c r="B820" t="s">
        <v>346</v>
      </c>
      <c r="C820" t="s">
        <v>16</v>
      </c>
      <c r="D820" t="s">
        <v>7</v>
      </c>
      <c r="E820" s="11">
        <v>45638</v>
      </c>
      <c r="F820" s="7">
        <v>45673</v>
      </c>
      <c r="G820" t="s">
        <v>222</v>
      </c>
      <c r="H820">
        <v>2500</v>
      </c>
      <c r="I820" s="5">
        <v>101250</v>
      </c>
      <c r="J820" s="13">
        <v>1</v>
      </c>
      <c r="K820" s="28">
        <v>83047.69</v>
      </c>
      <c r="L820" s="5">
        <v>40.5</v>
      </c>
      <c r="M820" s="5">
        <v>33.219076000000001</v>
      </c>
      <c r="N820" s="5">
        <v>-18202.309999999998</v>
      </c>
      <c r="O820" s="3">
        <v>-0.17977590123456788</v>
      </c>
      <c r="P820" s="14">
        <f t="shared" si="13"/>
        <v>460597.03581368271</v>
      </c>
      <c r="Q820" s="28" t="str">
        <f>TEXT(Table13[[#This Row],[Closing Date]],"yyyy")</f>
        <v>2025</v>
      </c>
      <c r="R820" s="28" t="str">
        <f>TEXT(Table13[[#This Row],[Closing Date]],"mmmm")</f>
        <v>January</v>
      </c>
      <c r="S820" s="5" t="s">
        <v>240</v>
      </c>
      <c r="T820" s="5" t="s">
        <v>203</v>
      </c>
    </row>
    <row r="821" spans="1:20" x14ac:dyDescent="0.25">
      <c r="A821" t="s">
        <v>201</v>
      </c>
      <c r="B821" t="s">
        <v>303</v>
      </c>
      <c r="C821" t="s">
        <v>16</v>
      </c>
      <c r="D821" t="s">
        <v>7</v>
      </c>
      <c r="E821" s="11">
        <v>45636</v>
      </c>
      <c r="F821" s="7">
        <v>45672</v>
      </c>
      <c r="G821" t="s">
        <v>136</v>
      </c>
      <c r="H821">
        <v>300</v>
      </c>
      <c r="I821" s="5">
        <v>49650</v>
      </c>
      <c r="J821" s="13">
        <v>1</v>
      </c>
      <c r="K821" s="28">
        <v>50128.61</v>
      </c>
      <c r="L821" s="5">
        <v>165.5</v>
      </c>
      <c r="M821" s="5">
        <v>167.09536666666668</v>
      </c>
      <c r="N821" s="5">
        <v>478.61000000000058</v>
      </c>
      <c r="O821" s="3">
        <v>9.639677744209478E-3</v>
      </c>
      <c r="P821" s="14">
        <f t="shared" si="13"/>
        <v>461075.6458136827</v>
      </c>
      <c r="Q821" s="28" t="str">
        <f>TEXT(Table13[[#This Row],[Closing Date]],"yyyy")</f>
        <v>2025</v>
      </c>
      <c r="R821" s="28" t="str">
        <f>TEXT(Table13[[#This Row],[Closing Date]],"mmmm")</f>
        <v>January</v>
      </c>
      <c r="S821" s="5" t="s">
        <v>240</v>
      </c>
      <c r="T821" s="5" t="s">
        <v>203</v>
      </c>
    </row>
    <row r="822" spans="1:20" x14ac:dyDescent="0.25">
      <c r="A822" t="s">
        <v>201</v>
      </c>
      <c r="B822" t="s">
        <v>303</v>
      </c>
      <c r="C822" t="s">
        <v>16</v>
      </c>
      <c r="D822" t="s">
        <v>7</v>
      </c>
      <c r="E822" s="11">
        <v>45636</v>
      </c>
      <c r="F822" s="7">
        <v>45644</v>
      </c>
      <c r="G822" t="s">
        <v>160</v>
      </c>
      <c r="H822">
        <v>3200</v>
      </c>
      <c r="I822" s="5">
        <v>98785.78</v>
      </c>
      <c r="J822" s="13">
        <v>1</v>
      </c>
      <c r="K822" s="28">
        <v>89277.52</v>
      </c>
      <c r="L822" s="5">
        <v>30.87055625</v>
      </c>
      <c r="M822" s="5">
        <v>27.899225000000001</v>
      </c>
      <c r="N822" s="5">
        <v>-9508.2599999999948</v>
      </c>
      <c r="O822" s="3">
        <v>-9.6251302566017036E-2</v>
      </c>
      <c r="P822" s="14">
        <f t="shared" si="13"/>
        <v>451567.38581368269</v>
      </c>
      <c r="Q822" s="28" t="str">
        <f>TEXT(Table13[[#This Row],[Closing Date]],"yyyy")</f>
        <v>2024</v>
      </c>
      <c r="R822" s="28" t="str">
        <f>TEXT(Table13[[#This Row],[Closing Date]],"mmmm")</f>
        <v>December</v>
      </c>
      <c r="S822" s="5" t="s">
        <v>240</v>
      </c>
      <c r="T822" s="5" t="s">
        <v>203</v>
      </c>
    </row>
    <row r="823" spans="1:20" x14ac:dyDescent="0.25">
      <c r="A823" t="s">
        <v>197</v>
      </c>
      <c r="B823" t="s">
        <v>303</v>
      </c>
      <c r="C823" t="s">
        <v>102</v>
      </c>
      <c r="D823" t="s">
        <v>7</v>
      </c>
      <c r="E823" s="11">
        <v>45644</v>
      </c>
      <c r="F823" s="7">
        <v>45678</v>
      </c>
      <c r="G823" t="s">
        <v>358</v>
      </c>
      <c r="H823">
        <v>120</v>
      </c>
      <c r="I823" s="5">
        <v>30078</v>
      </c>
      <c r="J823" s="13">
        <v>1</v>
      </c>
      <c r="K823" s="28">
        <v>22121.38</v>
      </c>
      <c r="L823" s="5">
        <v>250.65</v>
      </c>
      <c r="M823" s="5">
        <v>184.34483333333336</v>
      </c>
      <c r="N823" s="5">
        <v>-7956.619999999999</v>
      </c>
      <c r="O823" s="3">
        <v>-0.26453288117561002</v>
      </c>
      <c r="P823" s="14">
        <f t="shared" si="13"/>
        <v>443610.76581368269</v>
      </c>
      <c r="Q823" s="28" t="str">
        <f>TEXT(Table13[[#This Row],[Closing Date]],"yyyy")</f>
        <v>2025</v>
      </c>
      <c r="R823" s="28" t="str">
        <f>TEXT(Table13[[#This Row],[Closing Date]],"mmmm")</f>
        <v>January</v>
      </c>
      <c r="S823" s="5" t="s">
        <v>240</v>
      </c>
      <c r="T823" s="5" t="s">
        <v>203</v>
      </c>
    </row>
    <row r="824" spans="1:20" x14ac:dyDescent="0.25">
      <c r="A824" t="s">
        <v>197</v>
      </c>
      <c r="B824" t="s">
        <v>303</v>
      </c>
      <c r="C824" t="s">
        <v>102</v>
      </c>
      <c r="D824" t="s">
        <v>7</v>
      </c>
      <c r="E824" s="11">
        <v>45348</v>
      </c>
      <c r="F824" s="7">
        <v>45678</v>
      </c>
      <c r="G824" t="s">
        <v>357</v>
      </c>
      <c r="H824">
        <v>165</v>
      </c>
      <c r="I824" s="5">
        <v>29807.25</v>
      </c>
      <c r="J824" s="13">
        <v>100</v>
      </c>
      <c r="K824" s="28">
        <v>0</v>
      </c>
      <c r="L824" s="5">
        <v>1.8065</v>
      </c>
      <c r="M824" s="5">
        <v>0</v>
      </c>
      <c r="N824" s="5">
        <v>-29807.25</v>
      </c>
      <c r="O824" s="3">
        <v>-1</v>
      </c>
      <c r="P824" s="14">
        <f t="shared" si="13"/>
        <v>413803.51581368269</v>
      </c>
      <c r="Q824" s="28" t="str">
        <f>TEXT(Table13[[#This Row],[Closing Date]],"yyyy")</f>
        <v>2025</v>
      </c>
      <c r="R824" s="28" t="str">
        <f>TEXT(Table13[[#This Row],[Closing Date]],"mmmm")</f>
        <v>January</v>
      </c>
      <c r="S824" s="5" t="s">
        <v>240</v>
      </c>
      <c r="T824" s="5" t="s">
        <v>203</v>
      </c>
    </row>
    <row r="825" spans="1:20" x14ac:dyDescent="0.25">
      <c r="A825" t="s">
        <v>201</v>
      </c>
      <c r="B825" t="s">
        <v>305</v>
      </c>
      <c r="C825" t="s">
        <v>16</v>
      </c>
      <c r="D825" t="s">
        <v>7</v>
      </c>
      <c r="E825" s="11">
        <v>45631</v>
      </c>
      <c r="F825" s="7">
        <v>45678</v>
      </c>
      <c r="G825" t="s">
        <v>363</v>
      </c>
      <c r="H825">
        <v>900</v>
      </c>
      <c r="I825" s="5">
        <v>99475.53</v>
      </c>
      <c r="J825" s="13">
        <v>1</v>
      </c>
      <c r="K825" s="28">
        <v>95541.34</v>
      </c>
      <c r="L825" s="5">
        <v>110.52836666666667</v>
      </c>
      <c r="M825" s="5">
        <v>106.15704444444444</v>
      </c>
      <c r="N825" s="5">
        <v>-3934.1900000000023</v>
      </c>
      <c r="O825" s="3">
        <v>-3.9549324341373225E-2</v>
      </c>
      <c r="P825" s="14">
        <f t="shared" si="13"/>
        <v>409869.32581368269</v>
      </c>
      <c r="Q825" s="28" t="str">
        <f>TEXT(Table13[[#This Row],[Closing Date]],"yyyy")</f>
        <v>2025</v>
      </c>
      <c r="R825" s="28" t="str">
        <f>TEXT(Table13[[#This Row],[Closing Date]],"mmmm")</f>
        <v>January</v>
      </c>
      <c r="S825" s="5" t="s">
        <v>240</v>
      </c>
      <c r="T825" s="5" t="s">
        <v>203</v>
      </c>
    </row>
  </sheetData>
  <phoneticPr fontId="3" type="noConversion"/>
  <conditionalFormatting sqref="N1:N825 P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845"/>
  <sheetViews>
    <sheetView workbookViewId="0">
      <pane ySplit="1" topLeftCell="A816" activePane="bottomLeft" state="frozen"/>
      <selection pane="bottomLeft" activeCell="B828" sqref="B828:P845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10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5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 t="shared" ref="Q3:Q66" si="0"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 t="shared" si="0"/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 t="shared" si="0"/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 t="shared" si="0"/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 t="shared" si="0"/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 t="shared" si="0"/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 t="shared" si="0"/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 t="shared" si="0"/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 t="shared" si="0"/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 t="shared" si="0"/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 t="shared" si="0"/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 t="shared" si="0"/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 t="shared" si="0"/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 t="shared" si="0"/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 t="shared" si="0"/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 t="shared" si="0"/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 t="shared" si="0"/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 t="shared" si="0"/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 t="shared" si="0"/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 t="shared" si="0"/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 t="shared" si="0"/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 t="shared" si="0"/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 t="shared" si="0"/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 t="shared" si="0"/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 t="shared" si="0"/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 t="shared" si="0"/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 t="shared" si="0"/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 t="shared" si="0"/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 t="shared" si="0"/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 t="shared" si="0"/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 t="shared" si="0"/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 t="shared" si="0"/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 t="shared" si="0"/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 t="shared" si="0"/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 t="shared" si="0"/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 t="shared" si="0"/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 t="shared" si="0"/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 t="shared" si="0"/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 t="shared" si="0"/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 t="shared" si="0"/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 t="shared" si="0"/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 t="shared" si="0"/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 t="shared" si="0"/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 t="shared" si="0"/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 t="shared" si="0"/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 t="shared" si="0"/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 t="shared" si="0"/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 t="shared" si="0"/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 t="shared" si="0"/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 t="shared" si="0"/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 t="shared" si="0"/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 t="shared" si="0"/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 t="shared" si="0"/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 t="shared" si="0"/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 t="shared" si="0"/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 t="shared" si="0"/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 t="shared" si="0"/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 t="shared" si="0"/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 t="shared" si="0"/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 t="shared" si="0"/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 t="shared" si="0"/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 t="shared" si="0"/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 t="shared" si="0"/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 t="shared" si="0"/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 t="shared" ref="Q67:Q130" si="1"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 t="shared" si="1"/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 t="shared" si="1"/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 t="shared" si="1"/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 t="shared" si="1"/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 t="shared" si="1"/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 t="shared" si="1"/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 t="shared" si="1"/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 t="shared" si="1"/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 t="shared" si="1"/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 t="shared" si="1"/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 t="shared" si="1"/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 t="shared" si="1"/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 t="shared" si="1"/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 t="shared" si="1"/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 t="shared" si="1"/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 t="shared" si="1"/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 t="shared" si="1"/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 t="shared" si="1"/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 t="shared" si="1"/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 t="shared" si="1"/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 t="shared" si="1"/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 t="shared" si="1"/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 t="shared" si="1"/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 t="shared" si="1"/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 t="shared" si="1"/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 t="shared" si="1"/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 t="shared" si="1"/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 t="shared" si="1"/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 t="shared" si="1"/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 t="shared" si="1"/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 t="shared" si="1"/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 t="shared" si="1"/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 t="shared" si="1"/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 t="shared" si="1"/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 t="shared" si="1"/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 t="shared" si="1"/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 t="shared" si="1"/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 t="shared" si="1"/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 t="shared" si="1"/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 t="shared" si="1"/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 t="shared" si="1"/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 t="shared" si="1"/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 t="shared" si="1"/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 t="shared" si="1"/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 t="shared" si="1"/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 t="shared" si="1"/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 t="shared" si="1"/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 t="shared" si="1"/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 t="shared" si="1"/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 t="shared" si="1"/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 t="shared" si="1"/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 t="shared" si="1"/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 t="shared" si="1"/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 t="shared" si="1"/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 t="shared" si="1"/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 t="shared" si="1"/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 t="shared" si="1"/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 t="shared" si="1"/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 t="shared" si="1"/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 t="shared" si="1"/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 t="shared" si="1"/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 t="shared" si="1"/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 t="shared" si="1"/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 t="shared" ref="Q131:Q194" si="2"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 t="shared" si="2"/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 t="shared" si="2"/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 t="shared" si="2"/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 t="shared" si="2"/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 t="shared" si="2"/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 t="shared" si="2"/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 t="shared" si="2"/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 t="shared" si="2"/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 t="shared" si="2"/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 t="shared" si="2"/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 t="shared" si="2"/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 t="shared" si="2"/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 t="shared" si="2"/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 t="shared" si="2"/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 t="shared" si="2"/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 t="shared" si="2"/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 t="shared" si="2"/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 t="shared" si="2"/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 t="shared" si="2"/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 t="shared" si="2"/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 t="shared" si="2"/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 t="shared" si="2"/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 t="shared" si="2"/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 t="shared" si="2"/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 t="shared" si="2"/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 t="shared" si="2"/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 t="shared" si="2"/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 t="shared" si="2"/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 t="shared" si="2"/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 t="shared" si="2"/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 t="shared" si="2"/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 t="shared" si="2"/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 t="shared" si="2"/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 t="shared" si="2"/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 t="shared" si="2"/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 t="shared" si="2"/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 t="shared" si="2"/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 t="shared" si="2"/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 t="shared" si="2"/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 t="shared" si="2"/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 t="shared" si="2"/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 t="shared" si="2"/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 t="shared" si="2"/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 t="shared" si="2"/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 t="shared" si="2"/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 t="shared" si="2"/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 t="shared" si="2"/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 t="shared" si="2"/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 t="shared" si="2"/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 t="shared" si="2"/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 t="shared" si="2"/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 t="shared" si="2"/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 t="shared" si="2"/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 t="shared" si="2"/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 t="shared" si="2"/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 t="shared" si="2"/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 t="shared" si="2"/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 t="shared" si="2"/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 t="shared" si="2"/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 t="shared" si="2"/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 t="shared" si="2"/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 t="shared" si="2"/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 t="shared" si="2"/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 t="shared" ref="Q195:Q258" si="3"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 t="shared" si="3"/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 t="shared" si="3"/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 t="shared" si="3"/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 t="shared" si="3"/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 t="shared" si="3"/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 t="shared" si="3"/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 t="shared" si="3"/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 t="shared" si="3"/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 t="shared" si="3"/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 t="shared" si="3"/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 t="shared" si="3"/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 t="shared" si="3"/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 t="shared" si="3"/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 t="shared" si="3"/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 t="shared" si="3"/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 t="shared" si="3"/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 t="shared" si="3"/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 t="shared" si="3"/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 t="shared" si="3"/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 t="shared" si="3"/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 t="shared" si="3"/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 t="shared" si="3"/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 t="shared" si="3"/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 t="shared" si="3"/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 t="shared" si="3"/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 t="shared" si="3"/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 t="shared" si="3"/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 t="shared" si="3"/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 t="shared" si="3"/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 t="shared" si="3"/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 t="shared" si="3"/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 t="shared" si="3"/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 t="shared" si="3"/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 t="shared" si="3"/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 t="shared" si="3"/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 t="shared" si="3"/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 t="shared" si="3"/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 t="shared" si="3"/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 t="shared" si="3"/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 t="shared" si="3"/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 t="shared" si="3"/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 t="shared" si="3"/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 t="shared" si="3"/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 t="shared" si="3"/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 t="shared" si="3"/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 t="shared" si="3"/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 t="shared" si="3"/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 t="shared" si="3"/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 t="shared" si="3"/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 t="shared" si="3"/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 t="shared" si="3"/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 t="shared" si="3"/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 t="shared" si="3"/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 t="shared" si="3"/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 t="shared" si="3"/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 t="shared" si="3"/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 t="shared" si="3"/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 t="shared" si="3"/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 t="shared" si="3"/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 t="shared" si="3"/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 t="shared" si="3"/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 t="shared" si="3"/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 t="shared" si="3"/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 t="shared" ref="Q259:Q322" si="4"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 t="shared" si="4"/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 t="shared" si="4"/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 t="shared" si="4"/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 t="shared" si="4"/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 t="shared" si="4"/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 t="shared" si="4"/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 t="shared" si="4"/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 t="shared" si="4"/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 t="shared" si="4"/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 t="shared" si="4"/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 t="shared" si="4"/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 t="shared" si="4"/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 t="shared" si="4"/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 t="shared" si="4"/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 t="shared" si="4"/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 t="shared" si="4"/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 t="shared" si="4"/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 t="shared" si="4"/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 t="shared" si="4"/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 t="shared" si="4"/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 t="shared" si="4"/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 t="shared" si="4"/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 t="shared" si="4"/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 t="shared" si="4"/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 t="shared" si="4"/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 t="shared" si="4"/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 t="shared" si="4"/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 t="shared" si="4"/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 t="shared" si="4"/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 t="shared" si="4"/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 t="shared" si="4"/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 t="shared" si="4"/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 t="shared" si="4"/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 t="shared" si="4"/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 t="shared" si="4"/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 t="shared" si="4"/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 t="shared" si="4"/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 t="shared" si="4"/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 t="shared" si="4"/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 t="shared" si="4"/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 t="shared" si="4"/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 t="shared" si="4"/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 t="shared" si="4"/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 t="shared" si="4"/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 t="shared" si="4"/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 t="shared" si="4"/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 t="shared" si="4"/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 t="shared" si="4"/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 t="shared" si="4"/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 t="shared" si="4"/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 t="shared" si="4"/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 t="shared" si="4"/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 t="shared" si="4"/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 t="shared" si="4"/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 t="shared" si="4"/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 t="shared" si="4"/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 t="shared" si="4"/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 t="shared" si="4"/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 t="shared" si="4"/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 t="shared" si="4"/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 t="shared" si="4"/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 t="shared" si="4"/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 t="shared" si="4"/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 t="shared" ref="Q323:Q386" si="5"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 t="shared" si="5"/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 t="shared" si="5"/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 t="shared" si="5"/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 t="shared" si="5"/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 t="shared" si="5"/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 t="shared" si="5"/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 t="shared" si="5"/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 t="shared" si="5"/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 t="shared" si="5"/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 t="shared" si="5"/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 t="shared" si="5"/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 t="shared" si="5"/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 t="shared" si="5"/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 t="shared" si="5"/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 t="shared" si="5"/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 t="shared" si="5"/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 t="shared" si="5"/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 t="shared" si="5"/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 t="shared" si="5"/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 t="shared" si="5"/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 t="shared" si="5"/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 t="shared" si="5"/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 t="shared" si="5"/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 t="shared" si="5"/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 t="shared" si="5"/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 t="shared" si="5"/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 t="shared" si="5"/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 t="shared" si="5"/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 t="shared" si="5"/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 t="shared" si="5"/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 t="shared" si="5"/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 t="shared" si="5"/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 t="shared" si="5"/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 t="shared" si="5"/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 t="shared" si="5"/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 t="shared" si="5"/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 t="shared" si="5"/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 t="shared" si="5"/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 t="shared" si="5"/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 t="shared" si="5"/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 t="shared" si="5"/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 t="shared" si="5"/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 t="shared" si="5"/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 t="shared" si="5"/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 t="shared" si="5"/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 t="shared" si="5"/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 t="shared" si="5"/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 t="shared" si="5"/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 t="shared" si="5"/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 t="shared" si="5"/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 t="shared" si="5"/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 t="shared" si="5"/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 t="shared" si="5"/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 t="shared" si="5"/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 t="shared" si="5"/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 t="shared" si="5"/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 t="shared" si="5"/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 t="shared" si="5"/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 t="shared" si="5"/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 t="shared" si="5"/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 t="shared" si="5"/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 t="shared" si="5"/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 t="shared" si="5"/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 t="shared" ref="Q387:Q450" si="6"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 t="shared" si="6"/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 t="shared" si="6"/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 t="shared" si="6"/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 t="shared" si="6"/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 t="shared" si="6"/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 t="shared" si="6"/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 t="shared" si="6"/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 t="shared" si="6"/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 t="shared" si="6"/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 t="shared" si="6"/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 t="shared" si="6"/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 t="shared" si="6"/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 t="shared" si="6"/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 t="shared" si="6"/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 t="shared" si="6"/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 t="shared" si="6"/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 t="shared" si="6"/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 t="shared" si="6"/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 t="shared" si="6"/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 t="shared" si="6"/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 t="shared" si="6"/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 t="shared" si="6"/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 t="shared" si="6"/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 t="shared" si="6"/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 t="shared" si="6"/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 t="shared" si="6"/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 t="shared" si="6"/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 t="shared" si="6"/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 t="shared" si="6"/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 t="shared" si="6"/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 t="shared" si="6"/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 t="shared" si="6"/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 t="shared" si="6"/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 t="shared" si="6"/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 t="shared" si="6"/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 t="shared" si="6"/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 t="shared" si="6"/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 t="shared" si="6"/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 t="shared" si="6"/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 t="shared" si="6"/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 t="shared" si="6"/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 t="shared" si="6"/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 t="shared" si="6"/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 t="shared" si="6"/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 t="shared" si="6"/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 t="shared" si="6"/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 t="shared" si="6"/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 t="shared" si="6"/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 t="shared" si="6"/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 t="shared" si="6"/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 t="shared" si="6"/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 t="shared" si="6"/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 t="shared" si="6"/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 t="shared" si="6"/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 t="shared" si="6"/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 t="shared" si="6"/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 t="shared" si="6"/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 t="shared" si="6"/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 t="shared" si="6"/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 t="shared" si="6"/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 t="shared" si="6"/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 t="shared" si="6"/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 t="shared" si="6"/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 t="shared" ref="Q451:Q514" si="7"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 t="shared" si="7"/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 t="shared" si="7"/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 t="shared" si="7"/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 t="shared" si="7"/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 t="shared" si="7"/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 t="shared" si="7"/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 t="shared" si="7"/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 t="shared" si="7"/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 t="shared" si="7"/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 t="shared" si="7"/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 t="shared" si="7"/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 t="shared" si="7"/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 t="shared" si="7"/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 t="shared" si="7"/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 t="shared" si="7"/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 t="shared" si="7"/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 t="shared" si="7"/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 t="shared" si="7"/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 t="shared" si="7"/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 t="shared" si="7"/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 t="shared" si="7"/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 t="shared" si="7"/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 t="shared" si="7"/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 t="shared" si="7"/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 t="shared" si="7"/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 t="shared" si="7"/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 t="shared" si="7"/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 t="shared" si="7"/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 t="shared" si="7"/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 t="shared" si="7"/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 t="shared" si="7"/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 t="shared" si="7"/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 t="shared" si="7"/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 t="shared" si="7"/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 t="shared" si="7"/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 t="shared" si="7"/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 t="shared" si="7"/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 t="shared" si="7"/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 t="shared" si="7"/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 t="shared" si="7"/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 t="shared" si="7"/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 t="shared" si="7"/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 t="shared" si="7"/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 t="shared" si="7"/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 t="shared" si="7"/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 t="shared" si="7"/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 t="shared" si="7"/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 t="shared" si="7"/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 t="shared" si="7"/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 t="shared" si="7"/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 t="shared" si="7"/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 t="shared" si="7"/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 t="shared" si="7"/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 t="shared" si="7"/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 t="shared" si="7"/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 t="shared" si="7"/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 t="shared" si="7"/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 t="shared" si="7"/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 t="shared" si="7"/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 t="shared" si="7"/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 t="shared" si="7"/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 t="shared" si="7"/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 t="shared" si="7"/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 t="shared" ref="Q515:Q578" si="8"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 t="shared" si="8"/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 t="shared" si="8"/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 t="shared" si="8"/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 t="shared" si="8"/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 t="shared" si="8"/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 t="shared" si="8"/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 t="shared" si="8"/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 t="shared" si="8"/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 t="shared" si="8"/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 t="shared" si="8"/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 t="shared" si="8"/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 t="shared" si="8"/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 t="shared" si="8"/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 t="shared" si="8"/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 t="shared" si="8"/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 t="shared" si="8"/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 t="shared" si="8"/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 t="shared" si="8"/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 t="shared" si="8"/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 t="shared" si="8"/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 t="shared" si="8"/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 t="shared" si="8"/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 t="shared" si="8"/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 t="shared" si="8"/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 t="shared" si="8"/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 t="shared" si="8"/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 t="shared" si="8"/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 t="shared" si="8"/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 t="shared" si="8"/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 t="shared" si="8"/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 t="shared" si="8"/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 t="shared" si="8"/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 t="shared" si="8"/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11">
        <v>45271</v>
      </c>
      <c r="G549" s="7">
        <v>45399</v>
      </c>
      <c r="H549" t="s">
        <v>331</v>
      </c>
      <c r="I549">
        <v>870</v>
      </c>
      <c r="J549" s="5">
        <v>274833</v>
      </c>
      <c r="K549" s="13">
        <v>1</v>
      </c>
      <c r="L549" s="5">
        <f>70217.44+150625.39+104251.17</f>
        <v>325094</v>
      </c>
      <c r="M549" s="5">
        <f>J549/I549/K549</f>
        <v>315.89999999999998</v>
      </c>
      <c r="N549" s="5">
        <f>L549/I549/K549</f>
        <v>373.67126436781609</v>
      </c>
      <c r="O549" s="5">
        <f>L549-J549</f>
        <v>50261</v>
      </c>
      <c r="P549" s="3">
        <f>O549/J549</f>
        <v>0.18287832974933868</v>
      </c>
      <c r="Q549" s="14">
        <f t="shared" si="8"/>
        <v>347986.45845814014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/>
      <c r="U549" s="5"/>
    </row>
    <row r="550" spans="2:21" x14ac:dyDescent="0.25">
      <c r="B550" t="s">
        <v>201</v>
      </c>
      <c r="C550" t="s">
        <v>303</v>
      </c>
      <c r="D550" t="s">
        <v>16</v>
      </c>
      <c r="E550" t="s">
        <v>7</v>
      </c>
      <c r="F550" s="5"/>
      <c r="G550" s="7">
        <v>45400</v>
      </c>
      <c r="H550" t="s">
        <v>11</v>
      </c>
      <c r="I550">
        <v>150</v>
      </c>
      <c r="J550" s="5">
        <v>128626.5</v>
      </c>
      <c r="L550" s="5">
        <v>122797.47</v>
      </c>
      <c r="M550" s="5">
        <v>857.51</v>
      </c>
      <c r="N550" s="5">
        <v>818.64980000000003</v>
      </c>
      <c r="O550" s="5">
        <v>-5829.0299999999988</v>
      </c>
      <c r="P550" s="3">
        <v>-4.5317489008874522E-2</v>
      </c>
      <c r="Q550" s="9">
        <f t="shared" si="8"/>
        <v>342157.42845814012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306</v>
      </c>
      <c r="D551" t="s">
        <v>12</v>
      </c>
      <c r="E551" t="s">
        <v>7</v>
      </c>
      <c r="F551" s="5"/>
      <c r="G551" s="7">
        <v>45400</v>
      </c>
      <c r="H551" t="s">
        <v>85</v>
      </c>
      <c r="I551">
        <v>10</v>
      </c>
      <c r="J551" s="5">
        <v>64052</v>
      </c>
      <c r="L551" s="5">
        <v>59905.3</v>
      </c>
      <c r="M551" s="5">
        <v>64052</v>
      </c>
      <c r="N551" s="5">
        <v>5.9905300000000006</v>
      </c>
      <c r="O551" s="5">
        <v>-4146.6999999999971</v>
      </c>
      <c r="P551" s="3">
        <v>-6.4739586585898914E-2</v>
      </c>
      <c r="Q551" s="9">
        <f t="shared" si="8"/>
        <v>338010.7284581401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303</v>
      </c>
      <c r="D552" t="s">
        <v>12</v>
      </c>
      <c r="E552" t="s">
        <v>7</v>
      </c>
      <c r="F552" s="5"/>
      <c r="G552" s="7">
        <v>45401</v>
      </c>
      <c r="H552" t="s">
        <v>44</v>
      </c>
      <c r="I552">
        <v>2</v>
      </c>
      <c r="J552" s="5">
        <v>394006.04</v>
      </c>
      <c r="L552" s="5">
        <v>376525</v>
      </c>
      <c r="M552" s="5">
        <v>39400.603999999999</v>
      </c>
      <c r="N552" s="5">
        <v>3765.25</v>
      </c>
      <c r="O552" s="5">
        <v>-17481.039999999979</v>
      </c>
      <c r="P552" s="3">
        <v>-4.4367441676782367E-2</v>
      </c>
      <c r="Q552" s="9">
        <f t="shared" si="8"/>
        <v>320529.68845814012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12</v>
      </c>
      <c r="E553" t="s">
        <v>7</v>
      </c>
      <c r="F553" s="5"/>
      <c r="G553" s="7">
        <v>45404</v>
      </c>
      <c r="H553" t="s">
        <v>89</v>
      </c>
      <c r="I553">
        <v>4</v>
      </c>
      <c r="J553" s="5">
        <v>415923.8</v>
      </c>
      <c r="L553" s="5">
        <v>415890.8</v>
      </c>
      <c r="M553" s="5">
        <v>2079.6190000000001</v>
      </c>
      <c r="N553" s="5">
        <v>2079.4539999999997</v>
      </c>
      <c r="O553" s="5">
        <v>-33</v>
      </c>
      <c r="P553" s="3">
        <v>-7.9341456295600301E-5</v>
      </c>
      <c r="Q553" s="9">
        <f t="shared" si="8"/>
        <v>320496.68845814012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302</v>
      </c>
      <c r="D554" t="s">
        <v>16</v>
      </c>
      <c r="E554" t="s">
        <v>7</v>
      </c>
      <c r="F554" s="5"/>
      <c r="G554" s="7">
        <v>45405</v>
      </c>
      <c r="H554" t="s">
        <v>182</v>
      </c>
      <c r="I554">
        <v>10000</v>
      </c>
      <c r="J554" s="5">
        <v>206728.24</v>
      </c>
      <c r="L554" s="5">
        <v>218874.94</v>
      </c>
      <c r="M554" s="5">
        <v>20.672823999999999</v>
      </c>
      <c r="N554" s="5">
        <v>21.887494</v>
      </c>
      <c r="O554" s="5">
        <v>12146.700000000012</v>
      </c>
      <c r="P554" s="3">
        <v>5.8756849088445834E-2</v>
      </c>
      <c r="Q554" s="9">
        <f t="shared" si="8"/>
        <v>332643.38845814014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263</v>
      </c>
      <c r="I555">
        <v>5000</v>
      </c>
      <c r="J555" s="5">
        <v>64872.5</v>
      </c>
      <c r="L555" s="5">
        <v>61623.68</v>
      </c>
      <c r="M555" s="5">
        <v>12.974500000000001</v>
      </c>
      <c r="N555" s="5">
        <v>12.324736</v>
      </c>
      <c r="O555" s="5">
        <v>-3248.8199999999997</v>
      </c>
      <c r="P555" s="3">
        <v>-5.0080080157231491E-2</v>
      </c>
      <c r="Q555" s="9">
        <f t="shared" si="8"/>
        <v>329394.56845814013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45407</v>
      </c>
      <c r="H556" t="s">
        <v>259</v>
      </c>
      <c r="I556">
        <v>3200</v>
      </c>
      <c r="J556" s="5">
        <v>79821.53</v>
      </c>
      <c r="L556" s="5">
        <v>91182.74</v>
      </c>
      <c r="M556" s="5">
        <v>24.944228124999999</v>
      </c>
      <c r="N556" s="5">
        <v>28.49460625</v>
      </c>
      <c r="O556" s="5">
        <v>11361.210000000006</v>
      </c>
      <c r="P556" s="3">
        <v>0.14233265135358852</v>
      </c>
      <c r="Q556" s="9">
        <f t="shared" si="8"/>
        <v>340755.77845814015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260</v>
      </c>
      <c r="I557">
        <v>1400</v>
      </c>
      <c r="J557" s="5">
        <v>115675</v>
      </c>
      <c r="L557" s="5">
        <v>111118.24</v>
      </c>
      <c r="M557" s="5">
        <v>82.625</v>
      </c>
      <c r="N557" s="5">
        <v>79.370171428571439</v>
      </c>
      <c r="O557" s="5">
        <v>-4726</v>
      </c>
      <c r="P557" s="3">
        <v>-4.0855846120596499E-2</v>
      </c>
      <c r="Q557" s="9">
        <f t="shared" si="8"/>
        <v>336029.77845814015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303</v>
      </c>
      <c r="D558" t="s">
        <v>16</v>
      </c>
      <c r="E558" t="s">
        <v>7</v>
      </c>
      <c r="F558" s="5"/>
      <c r="G558" s="7">
        <v>45408</v>
      </c>
      <c r="H558" t="s">
        <v>256</v>
      </c>
      <c r="I558">
        <v>1000</v>
      </c>
      <c r="J558" s="5">
        <v>110109.87</v>
      </c>
      <c r="L558" s="5">
        <v>109954.87</v>
      </c>
      <c r="M558" s="5">
        <v>110.10987</v>
      </c>
      <c r="N558" s="5">
        <v>109.95487</v>
      </c>
      <c r="O558" s="5">
        <v>-155</v>
      </c>
      <c r="P558" s="3">
        <v>-4.2920766321856527E-2</v>
      </c>
      <c r="Q558" s="9">
        <f t="shared" si="8"/>
        <v>335874.77845814015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201</v>
      </c>
      <c r="C559" t="s">
        <v>306</v>
      </c>
      <c r="D559" t="s">
        <v>12</v>
      </c>
      <c r="E559" t="s">
        <v>7</v>
      </c>
      <c r="F559" s="5"/>
      <c r="G559" s="7">
        <v>45408</v>
      </c>
      <c r="H559" t="s">
        <v>86</v>
      </c>
      <c r="I559">
        <v>60</v>
      </c>
      <c r="J559" s="5">
        <v>281760</v>
      </c>
      <c r="L559" s="5">
        <v>273265.8</v>
      </c>
      <c r="M559" s="5">
        <v>4.6959999999999997</v>
      </c>
      <c r="N559" s="5">
        <v>4.55443</v>
      </c>
      <c r="O559" s="5">
        <v>-8494.2000000000116</v>
      </c>
      <c r="P559" s="3">
        <v>-3.0146933560477044E-2</v>
      </c>
      <c r="Q559" s="9">
        <f t="shared" si="8"/>
        <v>327380.57845814014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197</v>
      </c>
      <c r="C560" t="s">
        <v>302</v>
      </c>
      <c r="D560" t="s">
        <v>102</v>
      </c>
      <c r="E560" t="s">
        <v>7</v>
      </c>
      <c r="F560" s="7">
        <v>45404</v>
      </c>
      <c r="G560" s="7">
        <v>45411</v>
      </c>
      <c r="H560" t="s">
        <v>15</v>
      </c>
      <c r="I560">
        <v>30</v>
      </c>
      <c r="J560" s="5">
        <v>6410.98</v>
      </c>
      <c r="K560" s="13">
        <v>100</v>
      </c>
      <c r="L560" s="5">
        <v>15997.11</v>
      </c>
      <c r="M560" s="5">
        <v>2.1369933333333333</v>
      </c>
      <c r="N560" s="5">
        <v>5.3323700000000001</v>
      </c>
      <c r="O560" s="5">
        <v>9586.130000000001</v>
      </c>
      <c r="P560" s="3">
        <v>1.4952674942052542</v>
      </c>
      <c r="Q560" s="9">
        <f t="shared" si="8"/>
        <v>336966.70845814014</v>
      </c>
      <c r="R560" s="5" t="str">
        <f>TEXT(Table1[[#This Row],[Closing Date]],"yyyy")</f>
        <v>2024</v>
      </c>
      <c r="S560" s="5" t="str">
        <f>TEXT(Table1[[#This Row],[Closing Date]],"mmmm")</f>
        <v>April</v>
      </c>
      <c r="T560" s="5" t="s">
        <v>240</v>
      </c>
      <c r="U560" s="5" t="s">
        <v>301</v>
      </c>
    </row>
    <row r="561" spans="2:21" x14ac:dyDescent="0.25">
      <c r="B561" t="s">
        <v>201</v>
      </c>
      <c r="C561" t="s">
        <v>303</v>
      </c>
      <c r="D561" t="s">
        <v>16</v>
      </c>
      <c r="E561" t="s">
        <v>7</v>
      </c>
      <c r="F561" s="5"/>
      <c r="G561" s="7">
        <v>45413</v>
      </c>
      <c r="H561" t="s">
        <v>160</v>
      </c>
      <c r="I561">
        <v>2300</v>
      </c>
      <c r="J561" s="5">
        <v>171361.5</v>
      </c>
      <c r="L561" s="5">
        <v>171206.5</v>
      </c>
      <c r="M561" s="5">
        <v>74.504999999999995</v>
      </c>
      <c r="N561" s="5">
        <v>74.437608695652173</v>
      </c>
      <c r="O561" s="5">
        <v>-5306.1000000000058</v>
      </c>
      <c r="P561" s="3">
        <v>-2.7579123665467449E-2</v>
      </c>
      <c r="Q561" s="9">
        <f t="shared" si="8"/>
        <v>331660.60845814017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197</v>
      </c>
      <c r="C562" t="s">
        <v>303</v>
      </c>
      <c r="D562" t="s">
        <v>102</v>
      </c>
      <c r="E562" t="s">
        <v>7</v>
      </c>
      <c r="F562" s="5"/>
      <c r="G562" s="7">
        <v>45413</v>
      </c>
      <c r="H562" t="s">
        <v>155</v>
      </c>
      <c r="I562">
        <v>9</v>
      </c>
      <c r="J562" s="5">
        <v>4756.5</v>
      </c>
      <c r="K562" s="13">
        <v>100</v>
      </c>
      <c r="L562" s="5">
        <v>6867.5</v>
      </c>
      <c r="M562" s="5">
        <v>5.2850000000000001</v>
      </c>
      <c r="N562" s="5">
        <v>7.6305555555555555</v>
      </c>
      <c r="O562" s="5">
        <v>2111</v>
      </c>
      <c r="P562" s="3">
        <v>0.44381372858194046</v>
      </c>
      <c r="Q562" s="9">
        <f t="shared" si="8"/>
        <v>333771.60845814017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201</v>
      </c>
      <c r="C563" t="s">
        <v>303</v>
      </c>
      <c r="D563" t="s">
        <v>12</v>
      </c>
      <c r="E563" t="s">
        <v>7</v>
      </c>
      <c r="F563" s="5"/>
      <c r="G563" s="7">
        <v>45414</v>
      </c>
      <c r="H563" t="s">
        <v>269</v>
      </c>
      <c r="I563">
        <v>10</v>
      </c>
      <c r="J563" s="5">
        <v>352986.2</v>
      </c>
      <c r="L563" s="5">
        <v>367993.8</v>
      </c>
      <c r="M563" s="5">
        <v>17649.310000000001</v>
      </c>
      <c r="N563" s="5">
        <v>36.799379999999999</v>
      </c>
      <c r="O563" s="5">
        <v>15007.599999999977</v>
      </c>
      <c r="P563" s="3">
        <v>4.2516109694939845E-2</v>
      </c>
      <c r="Q563" s="9">
        <f t="shared" si="8"/>
        <v>348779.20845814014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197</v>
      </c>
      <c r="C564" t="s">
        <v>303</v>
      </c>
      <c r="D564" t="s">
        <v>102</v>
      </c>
      <c r="E564" t="s">
        <v>7</v>
      </c>
      <c r="F564" s="5"/>
      <c r="G564" s="7">
        <v>45415</v>
      </c>
      <c r="H564" t="s">
        <v>139</v>
      </c>
      <c r="I564">
        <v>10</v>
      </c>
      <c r="J564" s="5">
        <v>1997.0000000000002</v>
      </c>
      <c r="K564" s="13">
        <v>100</v>
      </c>
      <c r="L564" s="5">
        <v>0</v>
      </c>
      <c r="M564" s="5">
        <v>1.9970000000000001</v>
      </c>
      <c r="N564" s="5">
        <v>0</v>
      </c>
      <c r="O564" s="5">
        <v>-1997.0000000000002</v>
      </c>
      <c r="P564" s="3">
        <v>-1</v>
      </c>
      <c r="Q564" s="9">
        <f t="shared" si="8"/>
        <v>346782.20845814014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201</v>
      </c>
      <c r="C565" t="s">
        <v>303</v>
      </c>
      <c r="D565" t="s">
        <v>16</v>
      </c>
      <c r="E565" t="s">
        <v>7</v>
      </c>
      <c r="F565" s="5"/>
      <c r="G565" s="7">
        <v>45419</v>
      </c>
      <c r="H565" t="s">
        <v>138</v>
      </c>
      <c r="I565">
        <v>530</v>
      </c>
      <c r="J565" s="5">
        <v>109606.65</v>
      </c>
      <c r="L565" s="5">
        <v>104637.90000000001</v>
      </c>
      <c r="M565" s="5">
        <v>206.80499999999998</v>
      </c>
      <c r="N565" s="5">
        <v>197.43</v>
      </c>
      <c r="O565" s="5">
        <v>-4968.7499999999854</v>
      </c>
      <c r="P565" s="3">
        <v>-4.5332559657648382E-2</v>
      </c>
      <c r="Q565" s="9">
        <f t="shared" si="8"/>
        <v>341813.45845814014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301</v>
      </c>
    </row>
    <row r="566" spans="2:21" x14ac:dyDescent="0.25">
      <c r="B566" t="s">
        <v>197</v>
      </c>
      <c r="C566" t="s">
        <v>305</v>
      </c>
      <c r="D566" t="s">
        <v>102</v>
      </c>
      <c r="E566" t="s">
        <v>7</v>
      </c>
      <c r="F566" s="11">
        <v>45314</v>
      </c>
      <c r="G566" s="7">
        <v>45419</v>
      </c>
      <c r="H566" t="s">
        <v>292</v>
      </c>
      <c r="I566">
        <v>10</v>
      </c>
      <c r="J566" s="5">
        <v>25006.5</v>
      </c>
      <c r="K566" s="13">
        <v>100</v>
      </c>
      <c r="L566" s="5">
        <f>15997.27+16398.57+13230.59+11498.61</f>
        <v>57125.04</v>
      </c>
      <c r="M566" s="5">
        <f>Table1[[#This Row],[Open Value]]/Table1[[#This Row],[Shares]]/Table1[[#This Row],[Multiplier]]</f>
        <v>25.006500000000003</v>
      </c>
      <c r="N566" s="5">
        <f>Table1[[#This Row],[Close Value]]/Table1[[#This Row],[Shares]]/Table1[[#This Row],[Multiplier]]</f>
        <v>57.125039999999998</v>
      </c>
      <c r="O566" s="5">
        <f>Table1[[#This Row],[Close Value]]-Table1[[#This Row],[Open Value]]</f>
        <v>32118.54</v>
      </c>
      <c r="P566" s="3">
        <f>Table1[[#This Row],[PnL]]/Table1[[#This Row],[Open Value]]</f>
        <v>1.2844076540099574</v>
      </c>
      <c r="Q566" s="9">
        <f t="shared" si="8"/>
        <v>373931.99845814012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203</v>
      </c>
    </row>
    <row r="567" spans="2:21" x14ac:dyDescent="0.25">
      <c r="B567" t="s">
        <v>197</v>
      </c>
      <c r="C567" t="s">
        <v>302</v>
      </c>
      <c r="D567" t="s">
        <v>98</v>
      </c>
      <c r="E567" t="s">
        <v>7</v>
      </c>
      <c r="F567" s="11">
        <v>45412</v>
      </c>
      <c r="G567" s="7">
        <v>45422</v>
      </c>
      <c r="H567" t="s">
        <v>266</v>
      </c>
      <c r="I567">
        <v>100</v>
      </c>
      <c r="J567" s="5">
        <v>8110.0000000000009</v>
      </c>
      <c r="K567" s="13">
        <v>100</v>
      </c>
      <c r="L567" s="5">
        <v>800</v>
      </c>
      <c r="M567" s="5">
        <v>0.81100000000000005</v>
      </c>
      <c r="N567" s="5">
        <v>0.08</v>
      </c>
      <c r="O567" s="5">
        <v>-7310.0000000000009</v>
      </c>
      <c r="P567" s="3">
        <v>-0.90135635018495686</v>
      </c>
      <c r="Q567" s="9">
        <f t="shared" si="8"/>
        <v>366621.99845814012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45422</v>
      </c>
      <c r="H568" t="s">
        <v>266</v>
      </c>
      <c r="I568">
        <v>10000</v>
      </c>
      <c r="J568" s="5">
        <v>430000</v>
      </c>
      <c r="L568" s="5">
        <v>453604.79</v>
      </c>
      <c r="M568" s="5">
        <v>43</v>
      </c>
      <c r="N568" s="5">
        <v>45.360478999999998</v>
      </c>
      <c r="O568" s="5">
        <v>-14030</v>
      </c>
      <c r="P568" s="3">
        <v>-5.4894860465116227E-2</v>
      </c>
      <c r="Q568" s="9">
        <f t="shared" si="8"/>
        <v>352591.99845814012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16</v>
      </c>
      <c r="E569" t="s">
        <v>7</v>
      </c>
      <c r="F569" s="5"/>
      <c r="G569" s="7">
        <v>45423</v>
      </c>
      <c r="H569" t="s">
        <v>272</v>
      </c>
      <c r="I569">
        <v>2700</v>
      </c>
      <c r="J569" s="5">
        <v>72913.5</v>
      </c>
      <c r="L569" s="5">
        <v>61986.05</v>
      </c>
      <c r="M569" s="5">
        <v>27.004999999999999</v>
      </c>
      <c r="N569" s="5">
        <v>22.957796296296298</v>
      </c>
      <c r="O569" s="5">
        <v>-10927.449999999997</v>
      </c>
      <c r="P569" s="3">
        <v>-0.14986868001124617</v>
      </c>
      <c r="Q569" s="9">
        <f t="shared" si="8"/>
        <v>341664.54845814011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201</v>
      </c>
      <c r="C570" t="s">
        <v>303</v>
      </c>
      <c r="D570" t="s">
        <v>12</v>
      </c>
      <c r="E570" t="s">
        <v>7</v>
      </c>
      <c r="F570" s="5"/>
      <c r="G570" s="7">
        <v>45425</v>
      </c>
      <c r="H570" t="s">
        <v>88</v>
      </c>
      <c r="I570">
        <v>15</v>
      </c>
      <c r="J570" s="5">
        <v>335624</v>
      </c>
      <c r="L570" s="5">
        <v>315499</v>
      </c>
      <c r="M570" s="5">
        <v>19.977619047619047</v>
      </c>
      <c r="N570" s="5">
        <v>21.03326666666667</v>
      </c>
      <c r="O570" s="5">
        <v>-20123</v>
      </c>
      <c r="P570" s="3">
        <v>-5.99569756632422E-2</v>
      </c>
      <c r="Q570" s="9">
        <f t="shared" si="8"/>
        <v>321541.54845814011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301</v>
      </c>
    </row>
    <row r="571" spans="2:21" x14ac:dyDescent="0.25">
      <c r="B571" t="s">
        <v>197</v>
      </c>
      <c r="C571" t="s">
        <v>306</v>
      </c>
      <c r="D571" t="s">
        <v>197</v>
      </c>
      <c r="E571" t="s">
        <v>7</v>
      </c>
      <c r="F571" s="11">
        <v>45330</v>
      </c>
      <c r="G571" s="7">
        <v>45426</v>
      </c>
      <c r="H571" t="s">
        <v>298</v>
      </c>
      <c r="I571">
        <v>210</v>
      </c>
      <c r="J571" s="5">
        <v>28878</v>
      </c>
      <c r="K571" s="13">
        <v>100</v>
      </c>
      <c r="L571" s="5">
        <f>16773.87+19483.59+30312.01</f>
        <v>66569.47</v>
      </c>
      <c r="M571" s="5">
        <f>Table1[[#This Row],[Open Value]]/Table1[[#This Row],[Shares]]/Table1[[#This Row],[Multiplier]]</f>
        <v>1.375142857142857</v>
      </c>
      <c r="N571" s="5">
        <f>Table1[[#This Row],[Close Value]]/Table1[[#This Row],[Shares]]/Table1[[#This Row],[Multiplier]]</f>
        <v>3.1699747619047622</v>
      </c>
      <c r="O571" s="5">
        <f>Table1[[#This Row],[Close Value]]-Table1[[#This Row],[Open Value]]</f>
        <v>37691.47</v>
      </c>
      <c r="P571" s="3">
        <f>Table1[[#This Row],[PnL]]/Table1[[#This Row],[Open Value]]</f>
        <v>1.3051966895214351</v>
      </c>
      <c r="Q571" s="9">
        <f t="shared" si="8"/>
        <v>359233.01845814008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203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52</v>
      </c>
      <c r="I572">
        <v>5000</v>
      </c>
      <c r="J572" s="5">
        <v>134805.20000000001</v>
      </c>
      <c r="L572" s="5">
        <v>134895.20000000001</v>
      </c>
      <c r="M572" s="5">
        <v>26.961040000000001</v>
      </c>
      <c r="N572" s="5">
        <v>26.979040000000001</v>
      </c>
      <c r="O572" s="5">
        <v>90</v>
      </c>
      <c r="P572" s="3">
        <v>6.6763003207591398E-4</v>
      </c>
      <c r="Q572" s="9">
        <f t="shared" si="8"/>
        <v>359323.01845814008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305</v>
      </c>
      <c r="D573" t="s">
        <v>16</v>
      </c>
      <c r="E573" t="s">
        <v>7</v>
      </c>
      <c r="F573" s="5"/>
      <c r="G573" s="7">
        <v>45428</v>
      </c>
      <c r="H573" t="s">
        <v>273</v>
      </c>
      <c r="I573">
        <v>2800</v>
      </c>
      <c r="J573" s="5">
        <v>32298</v>
      </c>
      <c r="L573" s="5">
        <v>27200.78</v>
      </c>
      <c r="M573" s="5">
        <v>11.535</v>
      </c>
      <c r="N573" s="5">
        <v>9.7145642857142853</v>
      </c>
      <c r="O573" s="5">
        <v>-5097.2200000000012</v>
      </c>
      <c r="P573" s="3">
        <v>-0.15781844077032636</v>
      </c>
      <c r="Q573" s="9">
        <f t="shared" si="8"/>
        <v>354225.79845814011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303</v>
      </c>
      <c r="D574" t="s">
        <v>16</v>
      </c>
      <c r="E574" t="s">
        <v>7</v>
      </c>
      <c r="F574" s="5"/>
      <c r="G574" s="7">
        <v>45429</v>
      </c>
      <c r="H574" t="s">
        <v>155</v>
      </c>
      <c r="I574">
        <v>610</v>
      </c>
      <c r="J574" s="5">
        <v>185504.05</v>
      </c>
      <c r="L574" s="5">
        <v>197936.24</v>
      </c>
      <c r="M574" s="5">
        <v>304.10499999999996</v>
      </c>
      <c r="N574" s="5">
        <v>942.55352380952377</v>
      </c>
      <c r="O574" s="5">
        <v>12432.190000000002</v>
      </c>
      <c r="P574" s="3">
        <v>6.7018428977696193E-2</v>
      </c>
      <c r="Q574" s="9">
        <f t="shared" si="8"/>
        <v>366657.98845814011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45429</v>
      </c>
      <c r="H575" t="s">
        <v>37</v>
      </c>
      <c r="I575">
        <v>820</v>
      </c>
      <c r="J575" s="5">
        <v>145729.4</v>
      </c>
      <c r="L575" s="5">
        <v>140579.98000000001</v>
      </c>
      <c r="M575" s="5">
        <v>177.71878048780488</v>
      </c>
      <c r="N575" s="5">
        <v>171.43900000000002</v>
      </c>
      <c r="O575" s="5">
        <v>-5149.4199999999837</v>
      </c>
      <c r="P575" s="3">
        <v>-3.5335491671550034E-2</v>
      </c>
      <c r="Q575" s="9">
        <f t="shared" si="8"/>
        <v>361508.56845814013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45430</v>
      </c>
      <c r="H576" t="s">
        <v>142</v>
      </c>
      <c r="I576">
        <v>800</v>
      </c>
      <c r="J576" s="5">
        <v>98573.94</v>
      </c>
      <c r="L576" s="5">
        <v>93249.78</v>
      </c>
      <c r="M576" s="5">
        <v>123.21742500000001</v>
      </c>
      <c r="N576" s="5">
        <v>116.562225</v>
      </c>
      <c r="O576" s="5">
        <v>-5324.1600000000035</v>
      </c>
      <c r="P576" s="3">
        <v>-5.4011841263522625E-2</v>
      </c>
      <c r="Q576" s="9">
        <f t="shared" si="8"/>
        <v>356184.4084581401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305</v>
      </c>
      <c r="D577" t="s">
        <v>16</v>
      </c>
      <c r="E577" t="s">
        <v>7</v>
      </c>
      <c r="F577" s="5"/>
      <c r="G577" s="7">
        <v>45432</v>
      </c>
      <c r="H577" t="s">
        <v>96</v>
      </c>
      <c r="I577">
        <v>1300</v>
      </c>
      <c r="J577" s="5">
        <v>240506.5</v>
      </c>
      <c r="L577" s="5">
        <v>233279.78</v>
      </c>
      <c r="M577" s="5">
        <v>185.005</v>
      </c>
      <c r="N577" s="5">
        <v>179.44598461538462</v>
      </c>
      <c r="O577" s="5">
        <v>-7226.7200000000012</v>
      </c>
      <c r="P577" s="3">
        <v>-3.0047919702793899E-2</v>
      </c>
      <c r="Q577" s="9">
        <f t="shared" si="8"/>
        <v>348957.68845814012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146</v>
      </c>
      <c r="I578">
        <v>2500</v>
      </c>
      <c r="J578" s="5">
        <v>209862.5</v>
      </c>
      <c r="L578" s="5">
        <v>199162.76</v>
      </c>
      <c r="M578" s="5">
        <v>83.944999999999993</v>
      </c>
      <c r="N578" s="5">
        <v>79.665103999999999</v>
      </c>
      <c r="O578" s="5">
        <v>-10699.739999999991</v>
      </c>
      <c r="P578" s="3">
        <v>-5.0984525582226416E-2</v>
      </c>
      <c r="Q578" s="9">
        <f t="shared" si="8"/>
        <v>338257.94845814013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23</v>
      </c>
      <c r="I579">
        <v>3500</v>
      </c>
      <c r="J579" s="5">
        <v>77717.5</v>
      </c>
      <c r="L579" s="5">
        <v>72920.5</v>
      </c>
      <c r="M579" s="5">
        <v>22.204999999999998</v>
      </c>
      <c r="N579" s="5">
        <v>20.834428571428571</v>
      </c>
      <c r="O579" s="5">
        <v>-4797</v>
      </c>
      <c r="P579" s="3">
        <v>-6.1723550036992952E-2</v>
      </c>
      <c r="Q579" s="9">
        <f t="shared" ref="Q579:Q642" si="9">O579+Q578</f>
        <v>333460.94845814013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16</v>
      </c>
      <c r="E580" t="s">
        <v>7</v>
      </c>
      <c r="F580" s="5"/>
      <c r="G580" s="7">
        <v>45432</v>
      </c>
      <c r="H580" t="s">
        <v>72</v>
      </c>
      <c r="I580">
        <v>100</v>
      </c>
      <c r="J580" s="5">
        <v>89990.200000000012</v>
      </c>
      <c r="L580" s="5">
        <v>83797.650000000009</v>
      </c>
      <c r="M580" s="5">
        <v>899.90200000000016</v>
      </c>
      <c r="N580" s="5">
        <v>837.9765000000001</v>
      </c>
      <c r="O580" s="5">
        <v>-6192.5500000000029</v>
      </c>
      <c r="P580" s="3">
        <v>-6.8813604148007246E-2</v>
      </c>
      <c r="Q580" s="9">
        <f t="shared" si="9"/>
        <v>327268.39845814015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12</v>
      </c>
      <c r="E581" t="s">
        <v>7</v>
      </c>
      <c r="F581" s="5"/>
      <c r="G581" s="7">
        <v>45433</v>
      </c>
      <c r="H581" t="s">
        <v>270</v>
      </c>
      <c r="I581">
        <v>5</v>
      </c>
      <c r="J581" s="5">
        <v>157514.85</v>
      </c>
      <c r="L581" s="5">
        <v>174985.15</v>
      </c>
      <c r="M581" s="5">
        <v>630.05939999999998</v>
      </c>
      <c r="N581" s="5">
        <v>34.997030000000002</v>
      </c>
      <c r="O581" s="5">
        <v>17470.299999999988</v>
      </c>
      <c r="P581" s="3">
        <v>0.11091208225764103</v>
      </c>
      <c r="Q581" s="9">
        <f t="shared" si="9"/>
        <v>344738.69845814013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303</v>
      </c>
      <c r="D582" t="s">
        <v>16</v>
      </c>
      <c r="E582" t="s">
        <v>7</v>
      </c>
      <c r="F582" s="5"/>
      <c r="G582" s="7">
        <v>45433</v>
      </c>
      <c r="H582" t="s">
        <v>274</v>
      </c>
      <c r="I582">
        <v>5000</v>
      </c>
      <c r="J582" s="5">
        <v>204145</v>
      </c>
      <c r="L582" s="5">
        <v>196498.3</v>
      </c>
      <c r="M582" s="5">
        <v>40.829000000000001</v>
      </c>
      <c r="N582" s="5">
        <v>39.299659999999996</v>
      </c>
      <c r="O582" s="5">
        <v>-7646.7000000000116</v>
      </c>
      <c r="P582" s="3">
        <v>-3.7457199539543032E-2</v>
      </c>
      <c r="Q582" s="9">
        <f t="shared" si="9"/>
        <v>337091.99845814012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301</v>
      </c>
    </row>
    <row r="583" spans="2:21" x14ac:dyDescent="0.25">
      <c r="B583" t="s">
        <v>201</v>
      </c>
      <c r="C583" t="s">
        <v>305</v>
      </c>
      <c r="D583" t="s">
        <v>16</v>
      </c>
      <c r="E583" t="s">
        <v>7</v>
      </c>
      <c r="F583" s="11">
        <v>45427</v>
      </c>
      <c r="G583" s="7">
        <v>45434</v>
      </c>
      <c r="H583" t="s">
        <v>300</v>
      </c>
      <c r="I583">
        <v>1200</v>
      </c>
      <c r="J583" s="5">
        <v>141911.88</v>
      </c>
      <c r="K583" s="13">
        <v>1</v>
      </c>
      <c r="L583" s="5">
        <v>137973.35999999999</v>
      </c>
      <c r="M583" s="5">
        <f>Table1[[#This Row],[Open Value]]/Table1[[#This Row],[Shares]]/Table1[[#This Row],[Multiplier]]</f>
        <v>118.2599</v>
      </c>
      <c r="N583" s="5">
        <f>Table1[[#This Row],[Close Value]]/Table1[[#This Row],[Shares]]/Table1[[#This Row],[Multiplier]]</f>
        <v>114.97779999999999</v>
      </c>
      <c r="O583" s="5">
        <f>Table1[[#This Row],[Close Value]]-Table1[[#This Row],[Open Value]]</f>
        <v>-3938.5200000000186</v>
      </c>
      <c r="P583" s="3">
        <f>Table1[[#This Row],[PnL]]/Table1[[#This Row],[Open Value]]</f>
        <v>-2.7753279006662575E-2</v>
      </c>
      <c r="Q583" s="9">
        <f t="shared" si="9"/>
        <v>333153.4784581401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203</v>
      </c>
    </row>
    <row r="584" spans="2:21" x14ac:dyDescent="0.25">
      <c r="B584" t="s">
        <v>197</v>
      </c>
      <c r="C584" t="s">
        <v>306</v>
      </c>
      <c r="D584" t="s">
        <v>102</v>
      </c>
      <c r="E584" t="s">
        <v>7</v>
      </c>
      <c r="F584" s="5"/>
      <c r="G584" s="7">
        <v>45435</v>
      </c>
      <c r="H584" t="s">
        <v>136</v>
      </c>
      <c r="I584">
        <v>5</v>
      </c>
      <c r="J584" s="5">
        <v>8698.48</v>
      </c>
      <c r="K584" s="13">
        <v>100</v>
      </c>
      <c r="L584" s="5">
        <v>6487</v>
      </c>
      <c r="M584" s="5">
        <v>17.39696</v>
      </c>
      <c r="N584" s="5">
        <v>12.974</v>
      </c>
      <c r="O584" s="5">
        <v>-2211.4799999999996</v>
      </c>
      <c r="P584" s="3">
        <v>-0.25423752195785931</v>
      </c>
      <c r="Q584" s="9">
        <f t="shared" si="9"/>
        <v>330941.99845814012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 t="s">
        <v>240</v>
      </c>
      <c r="U584" s="5" t="s">
        <v>301</v>
      </c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45371</v>
      </c>
      <c r="G585" s="7">
        <v>45435</v>
      </c>
      <c r="H585" t="s">
        <v>209</v>
      </c>
      <c r="I585">
        <v>100</v>
      </c>
      <c r="J585" s="5">
        <v>9992.23</v>
      </c>
      <c r="K585" s="13">
        <v>100</v>
      </c>
      <c r="L585" s="5">
        <v>0</v>
      </c>
      <c r="M585" s="5">
        <f>Table1[[#This Row],[Open Value]]/Table1[[#This Row],[Shares]]/Table1[[#This Row],[Multiplier]]</f>
        <v>0.99922299999999997</v>
      </c>
      <c r="N585" s="5">
        <f>Table1[[#This Row],[Close Value]]/Table1[[#This Row],[Shares]]/Table1[[#This Row],[Multiplier]]</f>
        <v>0</v>
      </c>
      <c r="O585" s="5">
        <f>79.57-1870.97</f>
        <v>-1791.4</v>
      </c>
      <c r="P585" s="3">
        <f>Table1[[#This Row],[PnL]]/Table1[[#This Row],[Open Value]]</f>
        <v>-0.17927930001611253</v>
      </c>
      <c r="Q585" s="9">
        <f t="shared" si="9"/>
        <v>329150.5984581401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/>
      <c r="U585" s="5"/>
    </row>
    <row r="586" spans="2:21" x14ac:dyDescent="0.25">
      <c r="B586" t="s">
        <v>197</v>
      </c>
      <c r="C586" t="s">
        <v>302</v>
      </c>
      <c r="D586" t="s">
        <v>102</v>
      </c>
      <c r="E586" t="s">
        <v>7</v>
      </c>
      <c r="F586" s="11">
        <v>45432</v>
      </c>
      <c r="G586" s="7">
        <v>45436</v>
      </c>
      <c r="H586" t="s">
        <v>37</v>
      </c>
      <c r="I586">
        <v>10</v>
      </c>
      <c r="J586" s="5">
        <v>2607</v>
      </c>
      <c r="K586" s="13">
        <v>100</v>
      </c>
      <c r="L586" s="5">
        <v>5535.96</v>
      </c>
      <c r="M586" s="5">
        <v>2.6069999999999998</v>
      </c>
      <c r="N586" s="5">
        <v>7.9085142857142854</v>
      </c>
      <c r="O586" s="5">
        <v>2928.96</v>
      </c>
      <c r="P586" s="3">
        <v>2.0335689626828866</v>
      </c>
      <c r="Q586" s="9">
        <f t="shared" si="9"/>
        <v>332079.55845814012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85</v>
      </c>
      <c r="I587">
        <v>13</v>
      </c>
      <c r="J587" s="5">
        <v>84173.51</v>
      </c>
      <c r="L587" s="5">
        <v>88161</v>
      </c>
      <c r="M587" s="5">
        <v>64748.853846153841</v>
      </c>
      <c r="N587" s="5">
        <v>6.7816153846153844</v>
      </c>
      <c r="O587" s="5">
        <v>3987.4900000000052</v>
      </c>
      <c r="P587" s="3">
        <v>4.7372267118241898E-2</v>
      </c>
      <c r="Q587" s="9">
        <f t="shared" si="9"/>
        <v>336067.04845814011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12</v>
      </c>
      <c r="E588" t="s">
        <v>7</v>
      </c>
      <c r="F588" s="5"/>
      <c r="G588" s="7">
        <v>45440</v>
      </c>
      <c r="H588" t="s">
        <v>271</v>
      </c>
      <c r="I588">
        <v>350</v>
      </c>
      <c r="J588" s="5">
        <v>100234</v>
      </c>
      <c r="L588" s="5">
        <v>111571.65</v>
      </c>
      <c r="M588" s="5">
        <v>0.25569897959183674</v>
      </c>
      <c r="N588" s="5">
        <v>0.31877614285714284</v>
      </c>
      <c r="O588" s="5">
        <v>11337.649999999994</v>
      </c>
      <c r="P588" s="3">
        <v>0.11311181834507247</v>
      </c>
      <c r="Q588" s="9">
        <f t="shared" si="9"/>
        <v>347404.69845814013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218</v>
      </c>
      <c r="I589">
        <v>3800</v>
      </c>
      <c r="J589" s="5">
        <v>70699</v>
      </c>
      <c r="L589" s="5">
        <v>63360.93</v>
      </c>
      <c r="M589" s="5">
        <v>18.605</v>
      </c>
      <c r="N589" s="5">
        <v>16.67392894736842</v>
      </c>
      <c r="O589" s="5">
        <v>-7338.07</v>
      </c>
      <c r="P589" s="3">
        <v>-0.10379312295789191</v>
      </c>
      <c r="Q589" s="9">
        <f t="shared" si="9"/>
        <v>340066.62845814013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16</v>
      </c>
      <c r="E590" t="s">
        <v>7</v>
      </c>
      <c r="F590" s="5"/>
      <c r="G590" s="7">
        <v>45440</v>
      </c>
      <c r="H590" t="s">
        <v>23</v>
      </c>
      <c r="I590">
        <v>2700</v>
      </c>
      <c r="J590" s="5">
        <v>61030.689999999995</v>
      </c>
      <c r="L590" s="5">
        <v>55792.92</v>
      </c>
      <c r="M590" s="5">
        <v>22.603959259259259</v>
      </c>
      <c r="N590" s="5">
        <v>20.664044444444443</v>
      </c>
      <c r="O590" s="5">
        <v>-5237.7699999999968</v>
      </c>
      <c r="P590" s="3">
        <v>-8.5821903701236171E-2</v>
      </c>
      <c r="Q590" s="9">
        <f t="shared" si="9"/>
        <v>334828.85845814011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45440</v>
      </c>
      <c r="H591" t="s">
        <v>271</v>
      </c>
      <c r="I591">
        <v>300</v>
      </c>
      <c r="J591" s="5">
        <v>116851</v>
      </c>
      <c r="L591" s="5">
        <v>106275.2</v>
      </c>
      <c r="M591" s="5">
        <v>3895.0333333333333</v>
      </c>
      <c r="N591" s="5">
        <v>0.35425066666666666</v>
      </c>
      <c r="O591" s="5">
        <v>-10575.800000000003</v>
      </c>
      <c r="P591" s="3">
        <v>-9.050671367810291E-2</v>
      </c>
      <c r="Q591" s="9">
        <f t="shared" si="9"/>
        <v>324253.05845814012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12</v>
      </c>
      <c r="E592" t="s">
        <v>7</v>
      </c>
      <c r="F592" s="5"/>
      <c r="G592" s="7">
        <v>45442</v>
      </c>
      <c r="H592" t="s">
        <v>13</v>
      </c>
      <c r="I592">
        <v>7</v>
      </c>
      <c r="J592" s="5">
        <v>539086.59</v>
      </c>
      <c r="L592" s="5">
        <v>529533.40999999992</v>
      </c>
      <c r="M592" s="5">
        <v>77.01236999999999</v>
      </c>
      <c r="N592" s="5">
        <v>75.647629999999978</v>
      </c>
      <c r="O592" s="5">
        <v>-9553.1800000000512</v>
      </c>
      <c r="P592" s="3">
        <v>-1.7721049228844762E-2</v>
      </c>
      <c r="Q592" s="9">
        <f t="shared" si="9"/>
        <v>314699.87845814007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303</v>
      </c>
      <c r="D593" t="s">
        <v>16</v>
      </c>
      <c r="E593" t="s">
        <v>7</v>
      </c>
      <c r="F593" s="5"/>
      <c r="G593" s="7">
        <v>45442</v>
      </c>
      <c r="H593" t="s">
        <v>146</v>
      </c>
      <c r="I593">
        <v>1500</v>
      </c>
      <c r="J593" s="5">
        <v>125954</v>
      </c>
      <c r="L593" s="5">
        <v>116454.26</v>
      </c>
      <c r="M593" s="5">
        <v>83.969333333333338</v>
      </c>
      <c r="N593" s="5">
        <v>77.636173333333332</v>
      </c>
      <c r="O593" s="5">
        <v>-9499.7400000000052</v>
      </c>
      <c r="P593" s="3">
        <v>-7.5422297029074145E-2</v>
      </c>
      <c r="Q593" s="9">
        <f t="shared" si="9"/>
        <v>305200.13845814008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301</v>
      </c>
    </row>
    <row r="594" spans="2:21" x14ac:dyDescent="0.25">
      <c r="B594" t="s">
        <v>201</v>
      </c>
      <c r="C594" t="s">
        <v>305</v>
      </c>
      <c r="D594" t="s">
        <v>16</v>
      </c>
      <c r="E594" t="s">
        <v>7</v>
      </c>
      <c r="F594" s="11">
        <v>45432</v>
      </c>
      <c r="G594" s="7">
        <v>45443</v>
      </c>
      <c r="H594" t="s">
        <v>96</v>
      </c>
      <c r="I594">
        <v>650</v>
      </c>
      <c r="J594" s="5">
        <v>121296.37</v>
      </c>
      <c r="K594" s="13">
        <v>1</v>
      </c>
      <c r="L594" s="5">
        <v>116285.32</v>
      </c>
      <c r="M594" s="5">
        <f>Table1[[#This Row],[Open Value]]/Table1[[#This Row],[Shares]]/Table1[[#This Row],[Multiplier]]</f>
        <v>186.60980000000001</v>
      </c>
      <c r="N594" s="5">
        <f>Table1[[#This Row],[Close Value]]/Table1[[#This Row],[Shares]]/Table1[[#This Row],[Multiplier]]</f>
        <v>178.90049230769233</v>
      </c>
      <c r="O594" s="5">
        <f>Table1[[#This Row],[Close Value]]-Table1[[#This Row],[Open Value]]</f>
        <v>-5011.0499999999884</v>
      </c>
      <c r="P594" s="3">
        <f>Table1[[#This Row],[PnL]]/Table1[[#This Row],[Open Value]]</f>
        <v>-4.1312448179611549E-2</v>
      </c>
      <c r="Q594" s="9">
        <f t="shared" si="9"/>
        <v>300189.08845814009</v>
      </c>
      <c r="R594" s="5" t="str">
        <f>TEXT(Table1[[#This Row],[Closing Date]],"yyyy")</f>
        <v>2024</v>
      </c>
      <c r="S594" s="5" t="str">
        <f>TEXT(Table1[[#This Row],[Closing Date]],"mmmm")</f>
        <v>May</v>
      </c>
      <c r="T594" s="5" t="s">
        <v>240</v>
      </c>
      <c r="U594" s="5" t="s">
        <v>203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45446</v>
      </c>
      <c r="H595" t="s">
        <v>87</v>
      </c>
      <c r="I595">
        <v>5</v>
      </c>
      <c r="J595" s="5">
        <v>304000</v>
      </c>
      <c r="L595" s="5">
        <v>299295.3</v>
      </c>
      <c r="M595" s="5">
        <v>1216</v>
      </c>
      <c r="N595" s="5">
        <v>59.859059999999999</v>
      </c>
      <c r="O595" s="5">
        <v>-4704.7000000000116</v>
      </c>
      <c r="P595" s="3">
        <v>-1.5475986842105301E-2</v>
      </c>
      <c r="Q595" s="9">
        <f t="shared" si="9"/>
        <v>295484.38845814008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201</v>
      </c>
      <c r="C596" t="s">
        <v>303</v>
      </c>
      <c r="D596" t="s">
        <v>12</v>
      </c>
      <c r="E596" t="s">
        <v>7</v>
      </c>
      <c r="F596" s="5"/>
      <c r="G596" s="7">
        <v>45448</v>
      </c>
      <c r="H596" t="s">
        <v>270</v>
      </c>
      <c r="I596">
        <v>4</v>
      </c>
      <c r="J596" s="5">
        <v>139150</v>
      </c>
      <c r="L596" s="5">
        <v>130050</v>
      </c>
      <c r="M596" s="5">
        <v>695.75</v>
      </c>
      <c r="N596" s="5">
        <v>32.512500000000003</v>
      </c>
      <c r="O596" s="5">
        <v>-9100</v>
      </c>
      <c r="P596" s="3">
        <v>-6.5397053539346023E-2</v>
      </c>
      <c r="Q596" s="9">
        <f t="shared" si="9"/>
        <v>286384.38845814008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197</v>
      </c>
      <c r="C597" t="s">
        <v>302</v>
      </c>
      <c r="D597" t="s">
        <v>102</v>
      </c>
      <c r="E597" t="s">
        <v>7</v>
      </c>
      <c r="F597" s="11">
        <v>45440</v>
      </c>
      <c r="G597" s="7">
        <v>45450</v>
      </c>
      <c r="H597" t="s">
        <v>105</v>
      </c>
      <c r="I597">
        <v>10</v>
      </c>
      <c r="J597" s="5">
        <v>3296.97</v>
      </c>
      <c r="K597" s="13">
        <v>100</v>
      </c>
      <c r="L597" s="5">
        <v>0</v>
      </c>
      <c r="M597" s="5">
        <v>3.29697</v>
      </c>
      <c r="N597" s="5">
        <v>0</v>
      </c>
      <c r="O597" s="5">
        <v>-3296.97</v>
      </c>
      <c r="P597" s="3">
        <v>-1</v>
      </c>
      <c r="Q597" s="9">
        <f t="shared" si="9"/>
        <v>283087.41845814011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201</v>
      </c>
      <c r="C598" t="s">
        <v>303</v>
      </c>
      <c r="D598" t="s">
        <v>16</v>
      </c>
      <c r="E598" t="s">
        <v>7</v>
      </c>
      <c r="F598" s="5"/>
      <c r="G598" s="7">
        <v>45450</v>
      </c>
      <c r="H598" t="s">
        <v>139</v>
      </c>
      <c r="I598">
        <v>1000</v>
      </c>
      <c r="J598" s="5">
        <v>138552.85</v>
      </c>
      <c r="L598" s="5">
        <v>128582.36</v>
      </c>
      <c r="M598" s="5">
        <v>138.55285000000001</v>
      </c>
      <c r="N598" s="5">
        <v>128.58235999999999</v>
      </c>
      <c r="O598" s="5">
        <v>-9970.4900000000052</v>
      </c>
      <c r="P598" s="3">
        <v>-7.1961637743287163E-2</v>
      </c>
      <c r="Q598" s="9">
        <f t="shared" si="9"/>
        <v>273116.92845814012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197</v>
      </c>
      <c r="C599" t="s">
        <v>302</v>
      </c>
      <c r="D599" t="s">
        <v>97</v>
      </c>
      <c r="E599" t="s">
        <v>7</v>
      </c>
      <c r="F599" s="11">
        <v>45433</v>
      </c>
      <c r="G599" s="7">
        <v>45450</v>
      </c>
      <c r="H599" t="s">
        <v>162</v>
      </c>
      <c r="I599">
        <v>4</v>
      </c>
      <c r="J599" s="5">
        <v>3202.79</v>
      </c>
      <c r="K599" s="13">
        <v>100</v>
      </c>
      <c r="L599" s="5">
        <v>9321</v>
      </c>
      <c r="M599" s="5">
        <v>8.0069750000000006</v>
      </c>
      <c r="N599" s="5">
        <v>23.302499999999998</v>
      </c>
      <c r="O599" s="5">
        <v>6118.21</v>
      </c>
      <c r="P599" s="3">
        <v>1.9102751038937922</v>
      </c>
      <c r="Q599" s="9">
        <f t="shared" si="9"/>
        <v>279235.13845814014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301</v>
      </c>
    </row>
    <row r="600" spans="2:21" x14ac:dyDescent="0.25">
      <c r="B600" t="s">
        <v>201</v>
      </c>
      <c r="C600" t="s">
        <v>306</v>
      </c>
      <c r="D600" t="s">
        <v>16</v>
      </c>
      <c r="E600" t="s">
        <v>7</v>
      </c>
      <c r="F600" s="11">
        <v>45385</v>
      </c>
      <c r="G600" s="7">
        <v>45450</v>
      </c>
      <c r="H600" t="s">
        <v>192</v>
      </c>
      <c r="I600">
        <v>9000</v>
      </c>
      <c r="J600" s="5">
        <v>195120</v>
      </c>
      <c r="K600" s="13">
        <v>1</v>
      </c>
      <c r="L600" s="5">
        <v>169908.09</v>
      </c>
      <c r="M600" s="5">
        <f>Table1[[#This Row],[Open Value]]/Table1[[#This Row],[Shares]]/Table1[[#This Row],[Multiplier]]</f>
        <v>21.68</v>
      </c>
      <c r="N600" s="5">
        <f>Table1[[#This Row],[Close Value]]/Table1[[#This Row],[Shares]]/Table1[[#This Row],[Multiplier]]</f>
        <v>18.878676666666667</v>
      </c>
      <c r="O600" s="5">
        <f>Table1[[#This Row],[Close Value]]-Table1[[#This Row],[Open Value]]</f>
        <v>-25211.910000000003</v>
      </c>
      <c r="P600" s="3">
        <f>Table1[[#This Row],[PnL]]/Table1[[#This Row],[Open Value]]</f>
        <v>-0.12921233087330875</v>
      </c>
      <c r="Q600" s="9">
        <f t="shared" si="9"/>
        <v>254023.22845814013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203</v>
      </c>
    </row>
    <row r="601" spans="2:21" x14ac:dyDescent="0.25">
      <c r="B601" t="s">
        <v>201</v>
      </c>
      <c r="C601" t="s">
        <v>303</v>
      </c>
      <c r="D601" t="s">
        <v>16</v>
      </c>
      <c r="E601" t="s">
        <v>7</v>
      </c>
      <c r="F601" s="5"/>
      <c r="G601" s="7">
        <v>45453</v>
      </c>
      <c r="H601" t="s">
        <v>275</v>
      </c>
      <c r="I601">
        <v>1100</v>
      </c>
      <c r="J601" s="5">
        <v>25724</v>
      </c>
      <c r="L601" s="5">
        <v>36888.239999999998</v>
      </c>
      <c r="M601" s="5">
        <v>23.385454545454547</v>
      </c>
      <c r="N601" s="5">
        <v>46.110299999999995</v>
      </c>
      <c r="O601" s="5">
        <v>11164.239999999998</v>
      </c>
      <c r="P601" s="3">
        <v>0.43400093298087383</v>
      </c>
      <c r="Q601" s="9">
        <f t="shared" si="9"/>
        <v>265187.46845814015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301</v>
      </c>
    </row>
    <row r="602" spans="2:21" x14ac:dyDescent="0.25">
      <c r="B602" t="s">
        <v>201</v>
      </c>
      <c r="C602" t="s">
        <v>305</v>
      </c>
      <c r="D602" t="s">
        <v>16</v>
      </c>
      <c r="E602" t="s">
        <v>7</v>
      </c>
      <c r="F602" s="11">
        <v>45364</v>
      </c>
      <c r="G602" s="7">
        <v>45454</v>
      </c>
      <c r="H602" t="s">
        <v>295</v>
      </c>
      <c r="I602">
        <v>1000</v>
      </c>
      <c r="J602" s="5">
        <v>93000</v>
      </c>
      <c r="K602" s="13">
        <v>1</v>
      </c>
      <c r="L602" s="5">
        <f>23.73+54949.56+53433.52</f>
        <v>108406.81</v>
      </c>
      <c r="M602" s="5">
        <f>Table1[[#This Row],[Open Value]]/Table1[[#This Row],[Shares]]/Table1[[#This Row],[Multiplier]]</f>
        <v>93</v>
      </c>
      <c r="N602" s="5">
        <f>Table1[[#This Row],[Close Value]]/Table1[[#This Row],[Shares]]/Table1[[#This Row],[Multiplier]]</f>
        <v>108.40680999999999</v>
      </c>
      <c r="O602" s="5">
        <f>Table1[[#This Row],[Close Value]]-Table1[[#This Row],[Open Value]]</f>
        <v>15406.809999999998</v>
      </c>
      <c r="P602" s="3">
        <f>Table1[[#This Row],[PnL]]/Table1[[#This Row],[Open Value]]</f>
        <v>0.16566462365591395</v>
      </c>
      <c r="Q602" s="9">
        <f t="shared" si="9"/>
        <v>280594.27845814015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203</v>
      </c>
    </row>
    <row r="603" spans="2:21" x14ac:dyDescent="0.25">
      <c r="B603" t="s">
        <v>197</v>
      </c>
      <c r="C603" t="s">
        <v>302</v>
      </c>
      <c r="D603" t="s">
        <v>102</v>
      </c>
      <c r="E603" t="s">
        <v>7</v>
      </c>
      <c r="F603" s="11">
        <v>45443</v>
      </c>
      <c r="G603" s="7">
        <v>45455</v>
      </c>
      <c r="H603" t="s">
        <v>10</v>
      </c>
      <c r="I603">
        <v>7</v>
      </c>
      <c r="J603" s="5">
        <v>3853.13</v>
      </c>
      <c r="K603" s="13">
        <v>100</v>
      </c>
      <c r="L603" s="5">
        <f>Table1[[#This Row],[Open Value]]+Table1[[#This Row],[PnL]]</f>
        <v>5502.24</v>
      </c>
      <c r="M603" s="5">
        <f>Table1[[#This Row],[Open Value]]/Table1[[#This Row],[Shares]]</f>
        <v>550.44714285714292</v>
      </c>
      <c r="N603" s="5">
        <f>Table1[[#This Row],[Close Value]]/Table1[[#This Row],[Shares]]/Table1[[#This Row],[Multiplier]]</f>
        <v>7.8603428571428573</v>
      </c>
      <c r="O603" s="5">
        <v>1649.11</v>
      </c>
      <c r="P603" s="3">
        <f>Table1[[#This Row],[PnL]]/Table1[[#This Row],[Open Value]]</f>
        <v>0.42799230755256112</v>
      </c>
      <c r="Q603" s="9">
        <f t="shared" si="9"/>
        <v>282243.38845814014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263</v>
      </c>
      <c r="I604">
        <v>6000</v>
      </c>
      <c r="J604" s="5">
        <v>78450</v>
      </c>
      <c r="L604" s="5">
        <v>73169.95</v>
      </c>
      <c r="M604" s="5">
        <v>13.074999999999999</v>
      </c>
      <c r="N604" s="5">
        <v>12.194991666666667</v>
      </c>
      <c r="O604" s="5">
        <v>-5280.0500000000029</v>
      </c>
      <c r="P604" s="3">
        <v>-6.7304652644996854E-2</v>
      </c>
      <c r="Q604" s="9">
        <f t="shared" si="9"/>
        <v>276963.33845814015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201</v>
      </c>
      <c r="C605" t="s">
        <v>303</v>
      </c>
      <c r="D605" t="s">
        <v>16</v>
      </c>
      <c r="E605" t="s">
        <v>7</v>
      </c>
      <c r="F605" s="5"/>
      <c r="G605" s="7">
        <v>45456</v>
      </c>
      <c r="H605" t="s">
        <v>281</v>
      </c>
      <c r="I605">
        <v>2600</v>
      </c>
      <c r="J605" s="5">
        <v>42913</v>
      </c>
      <c r="L605" s="5">
        <v>40075.11</v>
      </c>
      <c r="M605" s="5">
        <v>16.504999999999999</v>
      </c>
      <c r="N605" s="5">
        <v>15.413503846153846</v>
      </c>
      <c r="O605" s="5">
        <v>-2837.8899999999994</v>
      </c>
      <c r="P605" s="3">
        <v>-6.6131242280893884E-2</v>
      </c>
      <c r="Q605" s="9">
        <f t="shared" si="9"/>
        <v>274125.44845814013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197</v>
      </c>
      <c r="C606" t="s">
        <v>302</v>
      </c>
      <c r="D606" t="s">
        <v>97</v>
      </c>
      <c r="E606" t="s">
        <v>7</v>
      </c>
      <c r="F606" s="11">
        <v>45448</v>
      </c>
      <c r="G606" s="7">
        <v>45457</v>
      </c>
      <c r="H606" t="s">
        <v>277</v>
      </c>
      <c r="I606">
        <v>15</v>
      </c>
      <c r="J606" s="5">
        <v>3555</v>
      </c>
      <c r="K606" s="13">
        <v>100</v>
      </c>
      <c r="L606" s="5">
        <v>2435</v>
      </c>
      <c r="M606" s="5">
        <v>2.37</v>
      </c>
      <c r="N606" s="5">
        <v>1.6233333333333335</v>
      </c>
      <c r="O606" s="5">
        <v>-1120</v>
      </c>
      <c r="P606" s="3">
        <v>-0.31504922644163147</v>
      </c>
      <c r="Q606" s="9">
        <f t="shared" si="9"/>
        <v>273005.44845814013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201</v>
      </c>
      <c r="C607" t="s">
        <v>302</v>
      </c>
      <c r="D607" t="s">
        <v>16</v>
      </c>
      <c r="E607" t="s">
        <v>7</v>
      </c>
      <c r="F607" s="11">
        <v>45457</v>
      </c>
      <c r="G607" s="7">
        <v>45457</v>
      </c>
      <c r="H607" t="s">
        <v>170</v>
      </c>
      <c r="I607">
        <v>3000</v>
      </c>
      <c r="J607" s="5">
        <v>106233</v>
      </c>
      <c r="L607" s="5">
        <v>103655.87</v>
      </c>
      <c r="M607" s="5">
        <v>35.411000000000001</v>
      </c>
      <c r="N607" s="5">
        <v>34.551956666666662</v>
      </c>
      <c r="O607" s="5">
        <v>-2577.1300000000047</v>
      </c>
      <c r="P607" s="3">
        <v>-2.4259222652094969E-2</v>
      </c>
      <c r="Q607" s="9">
        <f t="shared" si="9"/>
        <v>270428.31845814013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197</v>
      </c>
      <c r="C608" t="s">
        <v>303</v>
      </c>
      <c r="D608" t="s">
        <v>97</v>
      </c>
      <c r="E608" t="s">
        <v>7</v>
      </c>
      <c r="F608" s="11">
        <v>45448</v>
      </c>
      <c r="G608" s="7">
        <v>45457</v>
      </c>
      <c r="H608" t="s">
        <v>277</v>
      </c>
      <c r="I608">
        <v>15</v>
      </c>
      <c r="J608" s="5">
        <f>-275.4+3849.55</f>
        <v>3574.15</v>
      </c>
      <c r="K608" s="13">
        <v>100</v>
      </c>
      <c r="L608" s="5">
        <f>Table1[[#This Row],[Open Value]]+Table1[[#This Row],[PnL]]</f>
        <v>2427.91</v>
      </c>
      <c r="M608" s="5">
        <f>Table1[[#This Row],[Open Value]]/Table1[[#This Row],[Shares]]</f>
        <v>238.27666666666667</v>
      </c>
      <c r="N608" s="5">
        <f>Table1[[#This Row],[Close Value]]/Table1[[#This Row],[Shares]]/Table1[[#This Row],[Multiplier]]</f>
        <v>1.6186066666666665</v>
      </c>
      <c r="O608" s="5">
        <f>-1218.14+71.9</f>
        <v>-1146.24</v>
      </c>
      <c r="P608" s="3">
        <f>Table1[[#This Row],[PnL]]/Table1[[#This Row],[Open Value]]</f>
        <v>-0.32070282444777082</v>
      </c>
      <c r="Q608" s="9">
        <f t="shared" si="9"/>
        <v>269282.07845814014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16</v>
      </c>
      <c r="E609" t="s">
        <v>7</v>
      </c>
      <c r="F609" s="11">
        <v>45449</v>
      </c>
      <c r="G609" s="7">
        <v>45460</v>
      </c>
      <c r="H609" t="s">
        <v>280</v>
      </c>
      <c r="I609">
        <v>575</v>
      </c>
      <c r="J609" s="5">
        <v>101214.38</v>
      </c>
      <c r="L609" s="5">
        <v>105561.07</v>
      </c>
      <c r="M609" s="5">
        <v>176.02500869565219</v>
      </c>
      <c r="N609" s="5">
        <v>183.5844695652174</v>
      </c>
      <c r="O609" s="5">
        <v>4346.6900000000023</v>
      </c>
      <c r="P609" s="3">
        <v>4.2945379895623546E-2</v>
      </c>
      <c r="Q609" s="9">
        <f t="shared" si="9"/>
        <v>273628.76845814014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201</v>
      </c>
      <c r="C610" t="s">
        <v>303</v>
      </c>
      <c r="D610" t="s">
        <v>12</v>
      </c>
      <c r="E610" t="s">
        <v>7</v>
      </c>
      <c r="F610" s="11">
        <v>45437</v>
      </c>
      <c r="G610" s="7">
        <v>45460</v>
      </c>
      <c r="H610" t="s">
        <v>286</v>
      </c>
      <c r="I610">
        <v>2</v>
      </c>
      <c r="J610" s="5">
        <v>154280.94</v>
      </c>
      <c r="K610" s="13">
        <v>375</v>
      </c>
      <c r="L610" s="5">
        <f>Table1[[#This Row],[Open Value]]+Table1[[#This Row],[PnL]]</f>
        <v>170356.56</v>
      </c>
      <c r="M610" s="5">
        <f>Table1[[#This Row],[Open Value]]/Table1[[#This Row],[Shares]]/Table1[[#This Row],[Multiplier]]</f>
        <v>205.70792</v>
      </c>
      <c r="N610" s="5">
        <f>Table1[[#This Row],[Close Value]]/Table1[[#This Row],[Shares]]/Table1[[#This Row],[Multiplier]]</f>
        <v>227.14207999999999</v>
      </c>
      <c r="O610" s="5">
        <v>16075.62</v>
      </c>
      <c r="P610" s="3">
        <f>Table1[[#This Row],[PnL]]/Table1[[#This Row],[Open Value]]</f>
        <v>0.10419705765339517</v>
      </c>
      <c r="Q610" s="9">
        <f t="shared" si="9"/>
        <v>289704.38845814014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197</v>
      </c>
      <c r="C611" t="s">
        <v>303</v>
      </c>
      <c r="D611" t="s">
        <v>102</v>
      </c>
      <c r="E611" t="s">
        <v>7</v>
      </c>
      <c r="F611" s="5"/>
      <c r="G611" s="7">
        <v>45461</v>
      </c>
      <c r="H611" t="s">
        <v>9</v>
      </c>
      <c r="I611">
        <v>40</v>
      </c>
      <c r="J611" s="5">
        <v>10064</v>
      </c>
      <c r="K611" s="13">
        <v>100</v>
      </c>
      <c r="L611" s="5">
        <v>10584</v>
      </c>
      <c r="M611" s="5">
        <f>Table1[[#This Row],[Open Value]]/Table1[[#This Row],[Shares]]/Table1[[#This Row],[Multiplier]]</f>
        <v>2.516</v>
      </c>
      <c r="N611" s="5">
        <f>Table1[[#This Row],[Close Value]]/Table1[[#This Row],[Shares]]/Table1[[#This Row],[Multiplier]]</f>
        <v>2.6460000000000004</v>
      </c>
      <c r="O611" s="5">
        <v>520</v>
      </c>
      <c r="P611" s="3">
        <v>5.1669316375198865E-2</v>
      </c>
      <c r="Q611" s="9">
        <f t="shared" si="9"/>
        <v>290224.38845814014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12</v>
      </c>
      <c r="E612" t="s">
        <v>7</v>
      </c>
      <c r="F612" s="11">
        <v>45448</v>
      </c>
      <c r="G612" s="7">
        <v>45461</v>
      </c>
      <c r="H612" t="s">
        <v>85</v>
      </c>
      <c r="I612">
        <v>7</v>
      </c>
      <c r="J612" s="5">
        <v>50530.89</v>
      </c>
      <c r="K612" s="13">
        <v>0.1</v>
      </c>
      <c r="L612" s="5">
        <f>Table1[[#This Row],[Open Value]]+Table1[[#This Row],[PnL]]</f>
        <v>45325.89</v>
      </c>
      <c r="M612" s="5">
        <f>Table1[[#This Row],[Open Value]]/Table1[[#This Row],[Shares]]/Table1[[#This Row],[Multiplier]]</f>
        <v>72186.985714285707</v>
      </c>
      <c r="N612" s="5">
        <f>Table1[[#This Row],[Close Value]]/Table1[[#This Row],[Shares]]/Table1[[#This Row],[Multiplier]]</f>
        <v>64751.271428571425</v>
      </c>
      <c r="O612" s="5">
        <v>-5205</v>
      </c>
      <c r="P612" s="3">
        <f>Table1[[#This Row],[PnL]]/Table1[[#This Row],[Open Value]]</f>
        <v>-0.1030062997109293</v>
      </c>
      <c r="Q612" s="9">
        <f t="shared" si="9"/>
        <v>285019.38845814014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201</v>
      </c>
      <c r="C613" t="s">
        <v>303</v>
      </c>
      <c r="D613" t="s">
        <v>16</v>
      </c>
      <c r="E613" t="s">
        <v>7</v>
      </c>
      <c r="F613" s="11">
        <v>45449</v>
      </c>
      <c r="G613" s="7">
        <v>45463</v>
      </c>
      <c r="H613" t="s">
        <v>224</v>
      </c>
      <c r="I613">
        <v>5000</v>
      </c>
      <c r="J613" s="5">
        <v>75421</v>
      </c>
      <c r="K613" s="13">
        <v>1</v>
      </c>
      <c r="L613" s="5">
        <f>Table1[[#This Row],[Open Value]]+Table1[[#This Row],[PnL]]</f>
        <v>78684.73</v>
      </c>
      <c r="M613" s="5">
        <f>Table1[[#This Row],[Open Value]]/Table1[[#This Row],[Shares]]/Table1[[#This Row],[Multiplier]]</f>
        <v>15.084199999999999</v>
      </c>
      <c r="N613" s="5">
        <f>Table1[[#This Row],[Close Value]]/Table1[[#This Row],[Shares]]/Table1[[#This Row],[Multiplier]]</f>
        <v>15.736946</v>
      </c>
      <c r="O613" s="5">
        <v>3263.73</v>
      </c>
      <c r="P613" s="3">
        <f>Table1[[#This Row],[PnL]]/Table1[[#This Row],[Open Value]]</f>
        <v>4.3273491467893554E-2</v>
      </c>
      <c r="Q613" s="9">
        <f t="shared" si="9"/>
        <v>288283.11845814012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97</v>
      </c>
      <c r="E614" t="s">
        <v>7</v>
      </c>
      <c r="F614" s="11">
        <v>45453</v>
      </c>
      <c r="G614" s="7">
        <v>45463</v>
      </c>
      <c r="H614" t="s">
        <v>130</v>
      </c>
      <c r="I614">
        <v>40</v>
      </c>
      <c r="J614" s="5">
        <f>4682.68-1037.17</f>
        <v>3645.51</v>
      </c>
      <c r="K614" s="13">
        <v>100</v>
      </c>
      <c r="L614" s="5">
        <f>Table1[[#This Row],[Open Value]]+Table1[[#This Row],[PnL]]</f>
        <v>1333.0100000000002</v>
      </c>
      <c r="M614" s="5">
        <f>Table1[[#This Row],[Open Value]]/Table1[[#This Row],[Shares]]/Table1[[#This Row],[Multiplier]]</f>
        <v>0.91137750000000006</v>
      </c>
      <c r="N614" s="5">
        <f>Table1[[#This Row],[Close Value]]/Table1[[#This Row],[Shares]]/Table1[[#This Row],[Multiplier]]</f>
        <v>0.33325250000000006</v>
      </c>
      <c r="O614" s="5">
        <f>-3025.76+713.26</f>
        <v>-2312.5</v>
      </c>
      <c r="P614" s="3">
        <f>Table1[[#This Row],[PnL]]/Table1[[#This Row],[Open Value]]</f>
        <v>-0.63434197135654546</v>
      </c>
      <c r="Q614" s="9">
        <f t="shared" si="9"/>
        <v>285970.61845814012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197</v>
      </c>
      <c r="C615" t="s">
        <v>302</v>
      </c>
      <c r="D615" t="s">
        <v>99</v>
      </c>
      <c r="E615" t="s">
        <v>7</v>
      </c>
      <c r="F615" s="11">
        <v>45453</v>
      </c>
      <c r="G615" s="7">
        <v>45464</v>
      </c>
      <c r="H615" t="s">
        <v>133</v>
      </c>
      <c r="I615">
        <v>10</v>
      </c>
      <c r="J615" s="5">
        <v>3326.92</v>
      </c>
      <c r="K615" s="13">
        <v>100</v>
      </c>
      <c r="L615" s="5">
        <v>0</v>
      </c>
      <c r="M615" s="5">
        <f>Table1[[#This Row],[Open Value]]/Table1[[#This Row],[Shares]]/Table1[[#This Row],[Multiplier]]</f>
        <v>3.3269199999999999</v>
      </c>
      <c r="N615" s="5">
        <f>Table1[[#This Row],[Close Value]]/Table1[[#This Row],[Shares]]/Table1[[#This Row],[Multiplier]]</f>
        <v>0</v>
      </c>
      <c r="O615" s="5">
        <v>-3326.92</v>
      </c>
      <c r="P615" s="3">
        <v>-1</v>
      </c>
      <c r="Q615" s="9">
        <f t="shared" si="9"/>
        <v>282643.69845814013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11</v>
      </c>
      <c r="I616">
        <v>125</v>
      </c>
      <c r="J616" s="5">
        <v>112327.5</v>
      </c>
      <c r="K616" s="13">
        <v>1</v>
      </c>
      <c r="L616" s="5">
        <v>140081.62</v>
      </c>
      <c r="M616" s="5">
        <f>Table1[[#This Row],[Open Value]]/Table1[[#This Row],[Shares]]/Table1[[#This Row],[Multiplier]]</f>
        <v>898.62</v>
      </c>
      <c r="N616" s="5">
        <f>Table1[[#This Row],[Close Value]]/Table1[[#This Row],[Shares]]/Table1[[#This Row],[Multiplier]]</f>
        <v>1120.6529599999999</v>
      </c>
      <c r="O616" s="5">
        <v>27401</v>
      </c>
      <c r="P616" s="3">
        <v>0.24708214818276911</v>
      </c>
      <c r="Q616" s="9">
        <f t="shared" si="9"/>
        <v>310044.69845814013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303</v>
      </c>
      <c r="D617" t="s">
        <v>16</v>
      </c>
      <c r="E617" t="s">
        <v>7</v>
      </c>
      <c r="F617" s="5"/>
      <c r="G617" s="7">
        <v>45464</v>
      </c>
      <c r="H617" t="s">
        <v>72</v>
      </c>
      <c r="I617">
        <v>200</v>
      </c>
      <c r="J617" s="5">
        <v>42913</v>
      </c>
      <c r="K617" s="13">
        <v>1</v>
      </c>
      <c r="L617" s="5">
        <v>40260.79</v>
      </c>
      <c r="M617" s="5">
        <f>Table1[[#This Row],[Open Value]]/Table1[[#This Row],[Shares]]/Table1[[#This Row],[Multiplier]]</f>
        <v>214.565</v>
      </c>
      <c r="N617" s="5">
        <f>Table1[[#This Row],[Close Value]]/Table1[[#This Row],[Shares]]/Table1[[#This Row],[Multiplier]]</f>
        <v>201.30395000000001</v>
      </c>
      <c r="O617" s="5">
        <v>-2652.2099999999991</v>
      </c>
      <c r="P617" s="3">
        <v>-2.5000000000000001E-2</v>
      </c>
      <c r="Q617" s="9">
        <f t="shared" si="9"/>
        <v>307392.48845814011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201</v>
      </c>
      <c r="C618" t="s">
        <v>302</v>
      </c>
      <c r="D618" t="s">
        <v>12</v>
      </c>
      <c r="E618" t="s">
        <v>7</v>
      </c>
      <c r="F618" s="11">
        <v>45464</v>
      </c>
      <c r="G618" s="7">
        <v>45467</v>
      </c>
      <c r="H618" t="s">
        <v>268</v>
      </c>
      <c r="I618">
        <v>3</v>
      </c>
      <c r="J618" s="5">
        <v>335182.40999999997</v>
      </c>
      <c r="K618" s="13">
        <v>25000</v>
      </c>
      <c r="L618" s="5">
        <f>Table1[[#This Row],[Open Value]]+Table1[[#This Row],[PnL]]</f>
        <v>332355.08999999997</v>
      </c>
      <c r="M618" s="5">
        <f>Table1[[#This Row],[Open Value]]/Table1[[#This Row],[Shares]]/Table1[[#This Row],[Multiplier]]</f>
        <v>4.4690987999999994</v>
      </c>
      <c r="N618" s="5">
        <f>Table1[[#This Row],[Close Value]]/Table1[[#This Row],[Shares]]/Table1[[#This Row],[Multiplier]]</f>
        <v>4.4314011999999989</v>
      </c>
      <c r="O618" s="5">
        <v>-2827.32</v>
      </c>
      <c r="P618" s="3">
        <f>Table1[[#This Row],[PnL]]/Table1[[#This Row],[Open Value]]</f>
        <v>-8.4351681820057332E-3</v>
      </c>
      <c r="Q618" s="9">
        <f t="shared" si="9"/>
        <v>304565.16845814011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301</v>
      </c>
    </row>
    <row r="619" spans="2:21" x14ac:dyDescent="0.25">
      <c r="B619" t="s">
        <v>197</v>
      </c>
      <c r="C619" t="s">
        <v>305</v>
      </c>
      <c r="D619" t="s">
        <v>102</v>
      </c>
      <c r="E619" t="s">
        <v>7</v>
      </c>
      <c r="F619" s="11">
        <v>45359</v>
      </c>
      <c r="G619" s="7">
        <v>45467</v>
      </c>
      <c r="H619" t="s">
        <v>15</v>
      </c>
      <c r="I619">
        <v>50</v>
      </c>
      <c r="J619" s="5">
        <v>30282.5</v>
      </c>
      <c r="K619" s="13">
        <v>1</v>
      </c>
      <c r="L619" s="5">
        <v>0</v>
      </c>
      <c r="M619" s="5">
        <f>Table1[[#This Row],[Open Value]]/Table1[[#This Row],[Shares]]/Table1[[#This Row],[Multiplier]]</f>
        <v>605.65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-30282.5</v>
      </c>
      <c r="P619" s="3">
        <f>Table1[[#This Row],[PnL]]/Table1[[#This Row],[Open Value]]</f>
        <v>-1</v>
      </c>
      <c r="Q619" s="9">
        <f t="shared" si="9"/>
        <v>274282.66845814011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197</v>
      </c>
      <c r="C620" t="s">
        <v>303</v>
      </c>
      <c r="D620" t="s">
        <v>102</v>
      </c>
      <c r="E620" t="s">
        <v>7</v>
      </c>
      <c r="F620" s="11">
        <v>45356</v>
      </c>
      <c r="G620" s="7">
        <v>45467</v>
      </c>
      <c r="H620" t="s">
        <v>293</v>
      </c>
      <c r="I620">
        <v>400</v>
      </c>
      <c r="J620" s="5">
        <v>30260</v>
      </c>
      <c r="K620" s="13">
        <v>100</v>
      </c>
      <c r="L620" s="5">
        <v>0</v>
      </c>
      <c r="M620" s="5">
        <f>Table1[[#This Row],[Open Value]]/Table1[[#This Row],[Shares]]/Table1[[#This Row],[Multiplier]]</f>
        <v>0.75650000000000006</v>
      </c>
      <c r="N620" s="5">
        <f>Table1[[#This Row],[Close Value]]/Table1[[#This Row],[Shares]]/Table1[[#This Row],[Multiplier]]</f>
        <v>0</v>
      </c>
      <c r="O620" s="5">
        <f>Table1[[#This Row],[Close Value]]-Table1[[#This Row],[Open Value]]</f>
        <v>-30260</v>
      </c>
      <c r="P620" s="3">
        <f>Table1[[#This Row],[PnL]]/Table1[[#This Row],[Open Value]]</f>
        <v>-1</v>
      </c>
      <c r="Q620" s="9">
        <f t="shared" si="9"/>
        <v>244022.66845814011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203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5"/>
      <c r="G621" s="7">
        <v>45468</v>
      </c>
      <c r="H621" t="s">
        <v>195</v>
      </c>
      <c r="I621">
        <v>1450</v>
      </c>
      <c r="J621" s="5">
        <v>71920</v>
      </c>
      <c r="K621" s="13">
        <v>1</v>
      </c>
      <c r="L621" s="5">
        <v>72664.66</v>
      </c>
      <c r="M621" s="5">
        <f>Table1[[#This Row],[Open Value]]/Table1[[#This Row],[Shares]]/Table1[[#This Row],[Multiplier]]</f>
        <v>49.6</v>
      </c>
      <c r="N621" s="5">
        <f>Table1[[#This Row],[Close Value]]/Table1[[#This Row],[Shares]]/Table1[[#This Row],[Multiplier]]</f>
        <v>50.113558620689659</v>
      </c>
      <c r="O621" s="5">
        <v>744.66000000000349</v>
      </c>
      <c r="P621" s="3">
        <v>1.0354004449388257E-2</v>
      </c>
      <c r="Q621" s="9">
        <f t="shared" si="9"/>
        <v>244767.32845814011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303</v>
      </c>
      <c r="D622" t="s">
        <v>16</v>
      </c>
      <c r="E622" t="s">
        <v>7</v>
      </c>
      <c r="F622" s="11">
        <v>45461</v>
      </c>
      <c r="G622" s="7">
        <v>45468</v>
      </c>
      <c r="H622" t="s">
        <v>284</v>
      </c>
      <c r="I622">
        <v>6500</v>
      </c>
      <c r="J622" s="5">
        <v>275625.15999999997</v>
      </c>
      <c r="K622" s="13">
        <v>1</v>
      </c>
      <c r="L622" s="5">
        <f>Table1[[#This Row],[Open Value]]+Table1[[#This Row],[PnL]]</f>
        <v>270801.52999999997</v>
      </c>
      <c r="M622" s="5">
        <f>Table1[[#This Row],[Open Value]]/Table1[[#This Row],[Shares]]/Table1[[#This Row],[Multiplier]]</f>
        <v>42.403870769230764</v>
      </c>
      <c r="N622" s="5">
        <f>Table1[[#This Row],[Close Value]]/Table1[[#This Row],[Shares]]/Table1[[#This Row],[Multiplier]]</f>
        <v>41.661773846153842</v>
      </c>
      <c r="O622" s="5">
        <v>-4823.63</v>
      </c>
      <c r="P622" s="3">
        <f>Table1[[#This Row],[PnL]]/Table1[[#This Row],[Open Value]]</f>
        <v>-1.7500688253568725E-2</v>
      </c>
      <c r="Q622" s="9">
        <f t="shared" si="9"/>
        <v>239943.6984581401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302</v>
      </c>
      <c r="D623" t="s">
        <v>12</v>
      </c>
      <c r="E623" t="s">
        <v>7</v>
      </c>
      <c r="F623" s="11">
        <v>45467</v>
      </c>
      <c r="G623" s="7">
        <v>45468</v>
      </c>
      <c r="H623" t="s">
        <v>268</v>
      </c>
      <c r="I623">
        <v>3</v>
      </c>
      <c r="J623" s="5">
        <v>331762.5</v>
      </c>
      <c r="K623" s="13">
        <v>25000</v>
      </c>
      <c r="L623" s="5">
        <f>Table1[[#This Row],[Open Value]]+Table1[[#This Row],[PnL]]</f>
        <v>326835.18</v>
      </c>
      <c r="M623" s="5">
        <f>Table1[[#This Row],[Open Value]]/Table1[[#This Row],[Shares]]/Table1[[#This Row],[Multiplier]]</f>
        <v>4.4234999999999998</v>
      </c>
      <c r="N623" s="5">
        <f>Table1[[#This Row],[Close Value]]/Table1[[#This Row],[Shares]]/Table1[[#This Row],[Multiplier]]</f>
        <v>4.3578023999999997</v>
      </c>
      <c r="O623" s="5">
        <v>-4927.32</v>
      </c>
      <c r="P623" s="3">
        <f>Table1[[#This Row],[PnL]]/Table1[[#This Row],[Open Value]]</f>
        <v>-1.48519498134961E-2</v>
      </c>
      <c r="Q623" s="9">
        <f t="shared" si="9"/>
        <v>235016.3784581401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201</v>
      </c>
      <c r="C624" t="s">
        <v>303</v>
      </c>
      <c r="D624" t="s">
        <v>12</v>
      </c>
      <c r="E624" t="s">
        <v>7</v>
      </c>
      <c r="F624" s="11">
        <v>45448</v>
      </c>
      <c r="G624" s="7">
        <v>45469</v>
      </c>
      <c r="H624" t="s">
        <v>88</v>
      </c>
      <c r="I624">
        <v>10</v>
      </c>
      <c r="J624" s="5">
        <v>210544.9</v>
      </c>
      <c r="K624" s="13">
        <v>1120</v>
      </c>
      <c r="L624" s="5">
        <f>Table1[[#This Row],[Open Value]]+Table1[[#This Row],[PnL]]</f>
        <v>213106.3</v>
      </c>
      <c r="M624" s="5">
        <f>Table1[[#This Row],[Open Value]]/Table1[[#This Row],[Shares]]/Table1[[#This Row],[Multiplier]]</f>
        <v>18.798651785714284</v>
      </c>
      <c r="N624" s="5">
        <f>Table1[[#This Row],[Close Value]]/Table1[[#This Row],[Shares]]/Table1[[#This Row],[Multiplier]]</f>
        <v>19.027348214285713</v>
      </c>
      <c r="O624" s="5">
        <v>2561.4</v>
      </c>
      <c r="P624" s="3">
        <f>Table1[[#This Row],[PnL]]/Table1[[#This Row],[Open Value]]</f>
        <v>1.2165576083771206E-2</v>
      </c>
      <c r="Q624" s="9">
        <f t="shared" si="9"/>
        <v>237577.77845814009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97</v>
      </c>
      <c r="E625" t="s">
        <v>7</v>
      </c>
      <c r="F625" s="11">
        <v>45457</v>
      </c>
      <c r="G625" s="7">
        <v>45470</v>
      </c>
      <c r="H625" t="s">
        <v>186</v>
      </c>
      <c r="I625">
        <v>8</v>
      </c>
      <c r="J625" s="5">
        <v>2824</v>
      </c>
      <c r="K625" s="13">
        <v>100</v>
      </c>
      <c r="L625" s="5">
        <v>3020.57</v>
      </c>
      <c r="M625" s="5">
        <v>3.53</v>
      </c>
      <c r="N625" s="5">
        <v>3.7757125</v>
      </c>
      <c r="O625" s="5">
        <v>196.57000000000016</v>
      </c>
      <c r="P625" s="3">
        <v>6.9606940509915075E-2</v>
      </c>
      <c r="Q625" s="9">
        <f t="shared" si="9"/>
        <v>237774.3484581401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98</v>
      </c>
      <c r="E626" t="s">
        <v>7</v>
      </c>
      <c r="F626" s="11">
        <v>45464</v>
      </c>
      <c r="G626" s="7">
        <v>45470</v>
      </c>
      <c r="H626" t="s">
        <v>251</v>
      </c>
      <c r="I626">
        <v>2</v>
      </c>
      <c r="J626" s="5">
        <f>3803.05-300.94</f>
        <v>3502.11</v>
      </c>
      <c r="K626" s="13">
        <v>100</v>
      </c>
      <c r="L626" s="5">
        <f>Table1[[#This Row],[Open Value]]+Table1[[#This Row],[PnL]]</f>
        <v>1705.15</v>
      </c>
      <c r="M626" s="5">
        <f>Table1[[#This Row],[Open Value]]/Table1[[#This Row],[Shares]]/Table1[[#This Row],[Multiplier]]</f>
        <v>17.510550000000002</v>
      </c>
      <c r="N626" s="5">
        <f>Table1[[#This Row],[Close Value]]/Table1[[#This Row],[Shares]]/Table1[[#This Row],[Multiplier]]</f>
        <v>8.5257500000000004</v>
      </c>
      <c r="O626" s="5">
        <f>201.54-1998.5</f>
        <v>-1796.96</v>
      </c>
      <c r="P626" s="3">
        <f>Table1[[#This Row],[PnL]]/Table1[[#This Row],[Open Value]]</f>
        <v>-0.51310781214753387</v>
      </c>
      <c r="Q626" s="9">
        <f t="shared" si="9"/>
        <v>235977.38845814011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97</v>
      </c>
      <c r="E627" t="s">
        <v>7</v>
      </c>
      <c r="F627" s="11">
        <v>45464</v>
      </c>
      <c r="G627" s="7">
        <v>45471</v>
      </c>
      <c r="H627" t="s">
        <v>278</v>
      </c>
      <c r="I627">
        <v>10</v>
      </c>
      <c r="J627" s="5">
        <v>3150</v>
      </c>
      <c r="K627" s="13">
        <v>100</v>
      </c>
      <c r="L627" s="5">
        <v>3616.48</v>
      </c>
      <c r="M627" s="5">
        <f>Table1[[#This Row],[Open Value]]/Table1[[#This Row],[Shares]]/Table1[[#This Row],[Multiplier]]</f>
        <v>3.15</v>
      </c>
      <c r="N627" s="5">
        <f>Table1[[#This Row],[Close Value]]/Table1[[#This Row],[Shares]]/Table1[[#This Row],[Multiplier]]</f>
        <v>3.6164800000000001</v>
      </c>
      <c r="O627" s="5">
        <v>466.48</v>
      </c>
      <c r="P627" s="3">
        <v>0.14808888888888896</v>
      </c>
      <c r="Q627" s="9">
        <f t="shared" si="9"/>
        <v>236443.86845814012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45455</v>
      </c>
      <c r="G628" s="7">
        <v>45471</v>
      </c>
      <c r="H628" t="s">
        <v>10</v>
      </c>
      <c r="I628">
        <v>20</v>
      </c>
      <c r="J628" s="5">
        <v>2460</v>
      </c>
      <c r="K628" s="13">
        <v>100</v>
      </c>
      <c r="L628" s="5">
        <v>0</v>
      </c>
      <c r="M628" s="5">
        <f>Table1[[#This Row],[Open Value]]/Table1[[#This Row],[Shares]]/Table1[[#This Row],[Multiplier]]</f>
        <v>1.23</v>
      </c>
      <c r="N628" s="5">
        <f>Table1[[#This Row],[Close Value]]/Table1[[#This Row],[Shares]]/Table1[[#This Row],[Multiplier]]</f>
        <v>0</v>
      </c>
      <c r="O628" s="5">
        <v>-2460</v>
      </c>
      <c r="P628" s="3">
        <v>-1</v>
      </c>
      <c r="Q628" s="9">
        <f t="shared" si="9"/>
        <v>233983.86845814012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98</v>
      </c>
      <c r="E629" t="s">
        <v>7</v>
      </c>
      <c r="F629" s="11">
        <v>45467</v>
      </c>
      <c r="G629" s="7">
        <v>45471</v>
      </c>
      <c r="H629" t="s">
        <v>53</v>
      </c>
      <c r="I629">
        <v>125</v>
      </c>
      <c r="J629" s="5">
        <v>2896</v>
      </c>
      <c r="K629" s="13">
        <v>100</v>
      </c>
      <c r="L629" s="5">
        <v>5933.25</v>
      </c>
      <c r="M629" s="5">
        <f>Table1[[#This Row],[Open Value]]/Table1[[#This Row],[Shares]]/Table1[[#This Row],[Multiplier]]</f>
        <v>0.23168</v>
      </c>
      <c r="N629" s="5">
        <f>Table1[[#This Row],[Close Value]]/Table1[[#This Row],[Shares]]/Table1[[#This Row],[Multiplier]]</f>
        <v>0.47466000000000003</v>
      </c>
      <c r="O629" s="5">
        <v>3037.25</v>
      </c>
      <c r="P629" s="3">
        <v>1.0487741712707184</v>
      </c>
      <c r="Q629" s="9">
        <f t="shared" si="9"/>
        <v>237021.11845814012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97</v>
      </c>
      <c r="E630" t="s">
        <v>7</v>
      </c>
      <c r="F630" s="11">
        <v>45464</v>
      </c>
      <c r="G630" s="7">
        <v>45471</v>
      </c>
      <c r="H630" t="s">
        <v>278</v>
      </c>
      <c r="I630">
        <v>10</v>
      </c>
      <c r="J630" s="5">
        <f>3371.47-212.5</f>
        <v>3158.97</v>
      </c>
      <c r="K630" s="13">
        <v>100</v>
      </c>
      <c r="L630" s="5">
        <f>Table1[[#This Row],[Open Value]]+Table1[[#This Row],[PnL]]</f>
        <v>3625.45</v>
      </c>
      <c r="M630" s="5">
        <f>Table1[[#This Row],[Open Value]]/Table1[[#This Row],[Shares]]/Table1[[#This Row],[Multiplier]]</f>
        <v>3.1589700000000001</v>
      </c>
      <c r="N630" s="5">
        <f>Table1[[#This Row],[Close Value]]/Table1[[#This Row],[Shares]]/Table1[[#This Row],[Multiplier]]</f>
        <v>3.6254499999999994</v>
      </c>
      <c r="O630" s="5">
        <f>350.42+116.06</f>
        <v>466.48</v>
      </c>
      <c r="P630" s="3">
        <f>Table1[[#This Row],[PnL]]/Table1[[#This Row],[Open Value]]</f>
        <v>0.14766838558137621</v>
      </c>
      <c r="Q630" s="9">
        <f t="shared" si="9"/>
        <v>237487.59845814013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45455</v>
      </c>
      <c r="G631" s="7">
        <v>45471</v>
      </c>
      <c r="H631" t="s">
        <v>10</v>
      </c>
      <c r="I631">
        <v>3</v>
      </c>
      <c r="J631" s="5">
        <v>9575</v>
      </c>
      <c r="K631" s="13">
        <v>100</v>
      </c>
      <c r="L631" s="5">
        <f>Table1[[#This Row],[Open Value]]+Table1[[#This Row],[PnL]]</f>
        <v>23030.879999999997</v>
      </c>
      <c r="M631" s="5">
        <f>Table1[[#This Row],[Open Value]]/Table1[[#This Row],[Shares]]/Table1[[#This Row],[Multiplier]]</f>
        <v>31.916666666666664</v>
      </c>
      <c r="N631" s="5">
        <f>Table1[[#This Row],[Close Value]]/Table1[[#This Row],[Shares]]/Table1[[#This Row],[Multiplier]]</f>
        <v>76.769599999999997</v>
      </c>
      <c r="O631" s="5">
        <v>13455.88</v>
      </c>
      <c r="P631" s="3">
        <f>Table1[[#This Row],[PnL]]/Table1[[#This Row],[Open Value]]</f>
        <v>1.4053138381201045</v>
      </c>
      <c r="Q631" s="9">
        <f t="shared" si="9"/>
        <v>250943.47845814013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102</v>
      </c>
      <c r="E632" t="s">
        <v>7</v>
      </c>
      <c r="F632" s="11">
        <v>45397</v>
      </c>
      <c r="G632" s="7">
        <v>45473</v>
      </c>
      <c r="H632" t="s">
        <v>10</v>
      </c>
      <c r="I632">
        <v>8</v>
      </c>
      <c r="J632" s="5">
        <v>14405.49</v>
      </c>
      <c r="K632" s="13">
        <v>100</v>
      </c>
      <c r="L632" s="5">
        <v>27867</v>
      </c>
      <c r="M632" s="5">
        <v>18.0068625</v>
      </c>
      <c r="N632" s="5">
        <v>34.833750000000002</v>
      </c>
      <c r="O632" s="5">
        <v>13461.51</v>
      </c>
      <c r="P632" s="3">
        <v>0.93447081633460582</v>
      </c>
      <c r="Q632" s="9">
        <f t="shared" si="9"/>
        <v>264404.98845814011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98</v>
      </c>
      <c r="E633" t="s">
        <v>7</v>
      </c>
      <c r="F633" s="11">
        <v>45448</v>
      </c>
      <c r="G633" s="7">
        <v>45473</v>
      </c>
      <c r="H633" t="s">
        <v>276</v>
      </c>
      <c r="I633">
        <v>30</v>
      </c>
      <c r="J633" s="5">
        <v>3621</v>
      </c>
      <c r="K633" s="13">
        <v>100</v>
      </c>
      <c r="L633" s="5">
        <v>5236</v>
      </c>
      <c r="M633" s="5">
        <f>Table1[[#This Row],[Open Value]]/Table1[[#This Row],[Shares]]/Table1[[#This Row],[Multiplier]]</f>
        <v>1.2070000000000001</v>
      </c>
      <c r="N633" s="5">
        <f>Table1[[#This Row],[Close Value]]/Table1[[#This Row],[Shares]]/Table1[[#This Row],[Multiplier]]</f>
        <v>1.7453333333333334</v>
      </c>
      <c r="O633" s="5">
        <v>1615</v>
      </c>
      <c r="P633" s="3">
        <v>0.4460093896713615</v>
      </c>
      <c r="Q633" s="9">
        <f t="shared" si="9"/>
        <v>266019.98845814011</v>
      </c>
      <c r="R633" s="5" t="str">
        <f>TEXT(Table1[[#This Row],[Closing Date]],"yyyy")</f>
        <v>2024</v>
      </c>
      <c r="S633" s="5" t="str">
        <f>TEXT(Table1[[#This Row],[Closing Date]],"mmmm")</f>
        <v>June</v>
      </c>
      <c r="T633" s="5" t="s">
        <v>240</v>
      </c>
      <c r="U633" s="5" t="s">
        <v>301</v>
      </c>
    </row>
    <row r="634" spans="2:21" x14ac:dyDescent="0.25">
      <c r="B634" t="s">
        <v>197</v>
      </c>
      <c r="C634" t="s">
        <v>302</v>
      </c>
      <c r="D634" t="s">
        <v>97</v>
      </c>
      <c r="E634" t="s">
        <v>7</v>
      </c>
      <c r="F634" s="11">
        <v>45474</v>
      </c>
      <c r="G634" s="7">
        <v>45474</v>
      </c>
      <c r="H634" t="s">
        <v>11</v>
      </c>
      <c r="I634">
        <v>12</v>
      </c>
      <c r="J634" s="5">
        <v>3788</v>
      </c>
      <c r="K634" s="13">
        <v>100</v>
      </c>
      <c r="L634" s="5">
        <v>4244</v>
      </c>
      <c r="M634" s="5">
        <f>Table1[[#This Row],[Open Value]]/Table1[[#This Row],[Shares]]/Table1[[#This Row],[Multiplier]]</f>
        <v>3.1566666666666667</v>
      </c>
      <c r="N634" s="5">
        <f>Table1[[#This Row],[Close Value]]/Table1[[#This Row],[Shares]]/Table1[[#This Row],[Multiplier]]</f>
        <v>3.5366666666666671</v>
      </c>
      <c r="O634" s="5">
        <v>456</v>
      </c>
      <c r="P634" s="3">
        <v>0.12038014783526937</v>
      </c>
      <c r="Q634" s="9">
        <f t="shared" si="9"/>
        <v>266475.98845814011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45461</v>
      </c>
      <c r="G635" s="7">
        <v>45474</v>
      </c>
      <c r="H635" t="s">
        <v>287</v>
      </c>
      <c r="I635">
        <v>250000</v>
      </c>
      <c r="J635" s="5">
        <v>2058270</v>
      </c>
      <c r="K635" s="13">
        <v>1</v>
      </c>
      <c r="L635" s="5">
        <f>Table1[[#This Row],[Open Value]]+Table1[[#This Row],[PnL]]</f>
        <v>2053770.4748056266</v>
      </c>
      <c r="M635" s="5">
        <f>Table1[[#This Row],[Open Value]]/Table1[[#This Row],[Shares]]/Table1[[#This Row],[Multiplier]]</f>
        <v>8.2330799999999993</v>
      </c>
      <c r="N635" s="5">
        <f>Table1[[#This Row],[Close Value]]/Table1[[#This Row],[Shares]]/Table1[[#This Row],[Multiplier]]</f>
        <v>8.2150818992225059</v>
      </c>
      <c r="O635" s="5">
        <f>(2021880-Table1[[#This Row],[Open Value]])/8.08752</f>
        <v>-4499.5251943735539</v>
      </c>
      <c r="P635" s="3">
        <f>Table1[[#This Row],[PnL]]/Table1[[#This Row],[Open Value]]</f>
        <v>-2.1860714067510841E-3</v>
      </c>
      <c r="Q635" s="9">
        <f t="shared" si="9"/>
        <v>261976.46326376655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201</v>
      </c>
      <c r="C636" t="s">
        <v>303</v>
      </c>
      <c r="D636" t="s">
        <v>4</v>
      </c>
      <c r="E636" t="s">
        <v>7</v>
      </c>
      <c r="F636" s="11">
        <v>45463</v>
      </c>
      <c r="G636" s="7">
        <v>45474</v>
      </c>
      <c r="H636" t="s">
        <v>288</v>
      </c>
      <c r="I636">
        <v>400000</v>
      </c>
      <c r="J636" s="5">
        <v>148146800</v>
      </c>
      <c r="K636" s="13">
        <v>1</v>
      </c>
      <c r="L636" s="5">
        <f>Table1[[#This Row],[Open Value]]+Table1[[#This Row],[PnL]]</f>
        <v>148142003.42833763</v>
      </c>
      <c r="M636" s="5">
        <f>Table1[[#This Row],[Open Value]]/Table1[[#This Row],[Shares]]/Table1[[#This Row],[Multiplier]]</f>
        <v>370.36700000000002</v>
      </c>
      <c r="N636" s="5">
        <f>Table1[[#This Row],[Close Value]]/Table1[[#This Row],[Shares]]/Table1[[#This Row],[Multiplier]]</f>
        <v>370.35500857084406</v>
      </c>
      <c r="O636" s="5">
        <f>(146400400-Table1[[#This Row],[Open Value]])/366.001-25</f>
        <v>-4796.5716623725075</v>
      </c>
      <c r="P636" s="3">
        <f>Table1[[#This Row],[PnL]]/Table1[[#This Row],[Open Value]]</f>
        <v>-3.237715335310994E-5</v>
      </c>
      <c r="Q636" s="9">
        <f t="shared" si="9"/>
        <v>257179.89160139405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97</v>
      </c>
      <c r="E637" t="s">
        <v>7</v>
      </c>
      <c r="F637" s="11">
        <v>45468</v>
      </c>
      <c r="G637" s="7">
        <v>45476</v>
      </c>
      <c r="H637" t="s">
        <v>279</v>
      </c>
      <c r="I637">
        <v>10</v>
      </c>
      <c r="J637" s="5">
        <v>4050</v>
      </c>
      <c r="K637" s="13">
        <v>100</v>
      </c>
      <c r="L637" s="5">
        <v>4394.63</v>
      </c>
      <c r="M637" s="5">
        <f>Table1[[#This Row],[Open Value]]/Table1[[#This Row],[Shares]]/Table1[[#This Row],[Multiplier]]</f>
        <v>4.05</v>
      </c>
      <c r="N637" s="5">
        <f>Table1[[#This Row],[Close Value]]/Table1[[#This Row],[Shares]]/Table1[[#This Row],[Multiplier]]</f>
        <v>4.3946300000000003</v>
      </c>
      <c r="O637" s="5">
        <v>344.63000000000011</v>
      </c>
      <c r="P637" s="3">
        <v>8.5093827160493934E-2</v>
      </c>
      <c r="Q637" s="9">
        <f t="shared" si="9"/>
        <v>257524.52160139405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99</v>
      </c>
      <c r="E638" t="s">
        <v>7</v>
      </c>
      <c r="F638" s="11">
        <v>45470</v>
      </c>
      <c r="G638" s="7">
        <v>45478</v>
      </c>
      <c r="H638" t="s">
        <v>266</v>
      </c>
      <c r="I638">
        <v>40</v>
      </c>
      <c r="J638" s="5">
        <v>2307.4699999999998</v>
      </c>
      <c r="K638" s="13">
        <v>100</v>
      </c>
      <c r="L638" s="5">
        <f>Table1[[#This Row],[Open Value]]+Table1[[#This Row],[PnL]]</f>
        <v>0</v>
      </c>
      <c r="M638" s="5">
        <f>Table1[[#This Row],[Open Value]]/Table1[[#This Row],[Shares]]/Table1[[#This Row],[Multiplier]]</f>
        <v>0.57686749999999998</v>
      </c>
      <c r="N638" s="5">
        <f>Table1[[#This Row],[Close Value]]/Table1[[#This Row],[Shares]]/Table1[[#This Row],[Multiplier]]</f>
        <v>0</v>
      </c>
      <c r="O638" s="5">
        <v>-2307.4699999999998</v>
      </c>
      <c r="P638" s="3">
        <f>Table1[[#This Row],[PnL]]/Table1[[#This Row],[Open Value]]</f>
        <v>-1</v>
      </c>
      <c r="Q638" s="9">
        <f t="shared" si="9"/>
        <v>255217.05160139405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97</v>
      </c>
      <c r="E639" t="s">
        <v>7</v>
      </c>
      <c r="F639" s="11">
        <v>45474</v>
      </c>
      <c r="G639" s="7">
        <v>45478</v>
      </c>
      <c r="H639" t="s">
        <v>162</v>
      </c>
      <c r="I639">
        <v>6</v>
      </c>
      <c r="J639" s="5">
        <f>-93.9+3548.08</f>
        <v>3454.18</v>
      </c>
      <c r="K639" s="13">
        <v>100</v>
      </c>
      <c r="L639" s="5">
        <f>Table1[[#This Row],[Open Value]]+Table1[[#This Row],[PnL]]</f>
        <v>8453.09</v>
      </c>
      <c r="M639" s="5">
        <f>Table1[[#This Row],[Open Value]]/Table1[[#This Row],[Shares]]/Table1[[#This Row],[Multiplier]]</f>
        <v>5.7569666666666661</v>
      </c>
      <c r="N639" s="5">
        <f>Table1[[#This Row],[Close Value]]/Table1[[#This Row],[Shares]]/Table1[[#This Row],[Multiplier]]</f>
        <v>14.088483333333334</v>
      </c>
      <c r="O639" s="5">
        <f>4947.54+51.37</f>
        <v>4998.91</v>
      </c>
      <c r="P639" s="3">
        <f>Table1[[#This Row],[PnL]]/Table1[[#This Row],[Open Value]]</f>
        <v>1.4472059938972492</v>
      </c>
      <c r="Q639" s="9">
        <f t="shared" si="9"/>
        <v>260215.96160139405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197</v>
      </c>
      <c r="C640" t="s">
        <v>302</v>
      </c>
      <c r="D640" t="s">
        <v>99</v>
      </c>
      <c r="E640" t="s">
        <v>7</v>
      </c>
      <c r="F640" s="11">
        <v>45463</v>
      </c>
      <c r="G640" s="7">
        <v>45483</v>
      </c>
      <c r="H640" t="s">
        <v>130</v>
      </c>
      <c r="I640">
        <v>25</v>
      </c>
      <c r="J640" s="5">
        <v>3642.17</v>
      </c>
      <c r="K640" s="13">
        <v>100</v>
      </c>
      <c r="L640" s="5">
        <f>Table1[[#This Row],[Open Value]]+Table1[[#This Row],[PnL]]</f>
        <v>6128.59</v>
      </c>
      <c r="M640" s="5">
        <f>Table1[[#This Row],[Open Value]]/Table1[[#This Row],[Shares]]/Table1[[#This Row],[Multiplier]]</f>
        <v>1.4568680000000001</v>
      </c>
      <c r="N640" s="5">
        <f>Table1[[#This Row],[Close Value]]/Table1[[#This Row],[Shares]]/Table1[[#This Row],[Multiplier]]</f>
        <v>2.4514359999999997</v>
      </c>
      <c r="O640" s="5">
        <v>2486.42</v>
      </c>
      <c r="P640" s="3">
        <f>Table1[[#This Row],[PnL]]/Table1[[#This Row],[Open Value]]</f>
        <v>0.68267543799438246</v>
      </c>
      <c r="Q640" s="9">
        <f t="shared" si="9"/>
        <v>262702.38160139404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12</v>
      </c>
      <c r="E641" t="s">
        <v>7</v>
      </c>
      <c r="F641" s="11">
        <v>45482</v>
      </c>
      <c r="G641" s="7">
        <v>45484</v>
      </c>
      <c r="H641" t="s">
        <v>86</v>
      </c>
      <c r="I641">
        <v>75</v>
      </c>
      <c r="J641" s="5">
        <v>323292.75</v>
      </c>
      <c r="K641" s="13">
        <v>1000</v>
      </c>
      <c r="L641" s="5">
        <f>Table1[[#This Row],[Open Value]]+Table1[[#This Row],[PnL]]</f>
        <v>313401.25</v>
      </c>
      <c r="M641" s="5">
        <f>Table1[[#This Row],[Open Value]]/Table1[[#This Row],[Shares]]/Table1[[#This Row],[Multiplier]]</f>
        <v>4.3105699999999993</v>
      </c>
      <c r="N641" s="5">
        <f>Table1[[#This Row],[Close Value]]/Table1[[#This Row],[Shares]]/Table1[[#This Row],[Multiplier]]</f>
        <v>4.1786833333333337</v>
      </c>
      <c r="O641" s="5">
        <v>-9891.5</v>
      </c>
      <c r="P641" s="3">
        <f>Table1[[#This Row],[PnL]]/Table1[[#This Row],[Open Value]]</f>
        <v>-3.0596108325967718E-2</v>
      </c>
      <c r="Q641" s="9">
        <f t="shared" si="9"/>
        <v>252810.88160139404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45447</v>
      </c>
      <c r="G642" s="7">
        <v>45485</v>
      </c>
      <c r="H642" t="s">
        <v>139</v>
      </c>
      <c r="I642">
        <v>650</v>
      </c>
      <c r="J642" s="5">
        <v>94680.27</v>
      </c>
      <c r="K642" s="13">
        <v>1</v>
      </c>
      <c r="L642" s="5">
        <f>Table1[[#This Row],[Open Value]]+Table1[[#This Row],[PnL]]</f>
        <v>89466.52</v>
      </c>
      <c r="M642" s="5">
        <f>Table1[[#This Row],[Open Value]]/Table1[[#This Row],[Shares]]/Table1[[#This Row],[Multiplier]]</f>
        <v>145.66195384615386</v>
      </c>
      <c r="N642" s="5">
        <f>Table1[[#This Row],[Close Value]]/Table1[[#This Row],[Shares]]/Table1[[#This Row],[Multiplier]]</f>
        <v>137.64080000000001</v>
      </c>
      <c r="O642" s="5">
        <v>-5213.75</v>
      </c>
      <c r="P642" s="3">
        <f>Table1[[#This Row],[PnL]]/Table1[[#This Row],[Open Value]]</f>
        <v>-5.5066910983671676E-2</v>
      </c>
      <c r="Q642" s="9">
        <f t="shared" si="9"/>
        <v>247597.13160139404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45454</v>
      </c>
      <c r="G643" s="7">
        <v>45485</v>
      </c>
      <c r="H643" t="s">
        <v>162</v>
      </c>
      <c r="I643">
        <v>800</v>
      </c>
      <c r="J643" s="5">
        <v>425352</v>
      </c>
      <c r="K643" s="13">
        <v>1</v>
      </c>
      <c r="L643" s="5">
        <f>Table1[[#This Row],[Open Value]]+Table1[[#This Row],[PnL]]</f>
        <v>405974.72</v>
      </c>
      <c r="M643" s="5">
        <f>Table1[[#This Row],[Open Value]]/Table1[[#This Row],[Shares]]/Table1[[#This Row],[Multiplier]]</f>
        <v>531.69000000000005</v>
      </c>
      <c r="N643" s="5">
        <f>Table1[[#This Row],[Close Value]]/Table1[[#This Row],[Shares]]/Table1[[#This Row],[Multiplier]]</f>
        <v>507.46839999999997</v>
      </c>
      <c r="O643" s="5">
        <v>-19377.28</v>
      </c>
      <c r="P643" s="3">
        <f>Table1[[#This Row],[PnL]]/Table1[[#This Row],[Open Value]]</f>
        <v>-4.5555869021422252E-2</v>
      </c>
      <c r="Q643" s="9">
        <f t="shared" ref="Q643:Q663" si="10">O643+Q642</f>
        <v>228219.85160139404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201</v>
      </c>
      <c r="C644" t="s">
        <v>303</v>
      </c>
      <c r="D644" t="s">
        <v>16</v>
      </c>
      <c r="E644" t="s">
        <v>7</v>
      </c>
      <c r="F644" s="11">
        <v>45481</v>
      </c>
      <c r="G644" s="7">
        <v>45485</v>
      </c>
      <c r="H644" t="s">
        <v>285</v>
      </c>
      <c r="I644">
        <v>700</v>
      </c>
      <c r="J644" s="5">
        <v>52318</v>
      </c>
      <c r="K644" s="13">
        <v>1</v>
      </c>
      <c r="L644" s="5">
        <f>Table1[[#This Row],[Open Value]]+Table1[[#This Row],[PnL]]</f>
        <v>47293.72</v>
      </c>
      <c r="M644" s="5">
        <f>Table1[[#This Row],[Open Value]]/Table1[[#This Row],[Shares]]/Table1[[#This Row],[Multiplier]]</f>
        <v>74.739999999999995</v>
      </c>
      <c r="N644" s="5">
        <f>Table1[[#This Row],[Close Value]]/Table1[[#This Row],[Shares]]/Table1[[#This Row],[Multiplier]]</f>
        <v>67.562457142857141</v>
      </c>
      <c r="O644" s="5">
        <v>-5024.28</v>
      </c>
      <c r="P644" s="3">
        <f>Table1[[#This Row],[PnL]]/Table1[[#This Row],[Open Value]]</f>
        <v>-9.6033487518636024E-2</v>
      </c>
      <c r="Q644" s="9">
        <f t="shared" si="10"/>
        <v>223195.57160139404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197</v>
      </c>
      <c r="C645" t="s">
        <v>302</v>
      </c>
      <c r="D645" t="s">
        <v>98</v>
      </c>
      <c r="E645" t="s">
        <v>7</v>
      </c>
      <c r="F645" s="11">
        <v>45471</v>
      </c>
      <c r="G645" s="7">
        <v>45485</v>
      </c>
      <c r="H645" t="s">
        <v>37</v>
      </c>
      <c r="I645">
        <v>5</v>
      </c>
      <c r="J645" s="5">
        <v>2010</v>
      </c>
      <c r="K645" s="13">
        <v>100</v>
      </c>
      <c r="L645" s="5">
        <f>Table1[[#This Row],[Open Value]]+Table1[[#This Row],[PnL]]</f>
        <v>0</v>
      </c>
      <c r="M645" s="5">
        <f>Table1[[#This Row],[Open Value]]/Table1[[#This Row],[Shares]]/Table1[[#This Row],[Multiplier]]</f>
        <v>4.0199999999999996</v>
      </c>
      <c r="N645" s="5">
        <f>Table1[[#This Row],[Close Value]]/Table1[[#This Row],[Shares]]/Table1[[#This Row],[Multiplier]]</f>
        <v>0</v>
      </c>
      <c r="O645" s="5">
        <v>-2010</v>
      </c>
      <c r="P645" s="3">
        <f>Table1[[#This Row],[PnL]]/Table1[[#This Row],[Open Value]]</f>
        <v>-1</v>
      </c>
      <c r="Q645" s="9">
        <f t="shared" si="10"/>
        <v>221185.57160139404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45461</v>
      </c>
      <c r="G646" s="7">
        <v>45489</v>
      </c>
      <c r="H646" t="s">
        <v>13</v>
      </c>
      <c r="I646">
        <v>4</v>
      </c>
      <c r="J646" s="5">
        <v>311169.48</v>
      </c>
      <c r="K646" s="13">
        <v>1000</v>
      </c>
      <c r="L646" s="5">
        <f>Table1[[#This Row],[Open Value]]+Table1[[#This Row],[PnL]]</f>
        <v>310630.51999999996</v>
      </c>
      <c r="M646" s="5">
        <f>Table1[[#This Row],[Open Value]]/Table1[[#This Row],[Shares]]/Table1[[#This Row],[Multiplier]]</f>
        <v>77.792369999999991</v>
      </c>
      <c r="N646" s="5">
        <f>Table1[[#This Row],[Close Value]]/Table1[[#This Row],[Shares]]/Table1[[#This Row],[Multiplier]]</f>
        <v>77.657629999999983</v>
      </c>
      <c r="O646" s="5">
        <v>-538.96</v>
      </c>
      <c r="P646" s="3">
        <f>Table1[[#This Row],[PnL]]/Table1[[#This Row],[Open Value]]</f>
        <v>-1.7320464719097774E-3</v>
      </c>
      <c r="Q646" s="9">
        <f t="shared" si="10"/>
        <v>220646.61160139405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303</v>
      </c>
      <c r="D647" t="s">
        <v>12</v>
      </c>
      <c r="E647" t="s">
        <v>7</v>
      </c>
      <c r="F647" s="11">
        <v>45463</v>
      </c>
      <c r="G647" s="7">
        <v>45489</v>
      </c>
      <c r="H647" t="s">
        <v>91</v>
      </c>
      <c r="I647">
        <v>2</v>
      </c>
      <c r="J647" s="5">
        <v>207980.34</v>
      </c>
      <c r="K647" s="13">
        <v>42000</v>
      </c>
      <c r="L647" s="5">
        <f>Table1[[#This Row],[Open Value]]+Table1[[#This Row],[PnL]]</f>
        <v>207987.66</v>
      </c>
      <c r="M647" s="5">
        <f>Table1[[#This Row],[Open Value]]/Table1[[#This Row],[Shares]]/Table1[[#This Row],[Multiplier]]</f>
        <v>2.4759564285714286</v>
      </c>
      <c r="N647" s="5">
        <f>Table1[[#This Row],[Close Value]]/Table1[[#This Row],[Shares]]/Table1[[#This Row],[Multiplier]]</f>
        <v>2.4760435714285713</v>
      </c>
      <c r="O647" s="5">
        <v>7.32</v>
      </c>
      <c r="P647" s="3">
        <f>Table1[[#This Row],[PnL]]/Table1[[#This Row],[Open Value]]</f>
        <v>3.5195634356593517E-5</v>
      </c>
      <c r="Q647" s="9">
        <f t="shared" si="10"/>
        <v>220653.93160139406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302</v>
      </c>
      <c r="D648" t="s">
        <v>16</v>
      </c>
      <c r="E648" t="s">
        <v>7</v>
      </c>
      <c r="F648" s="11">
        <v>45490</v>
      </c>
      <c r="G648" s="7">
        <v>45490</v>
      </c>
      <c r="H648" t="s">
        <v>283</v>
      </c>
      <c r="I648">
        <v>500</v>
      </c>
      <c r="J648" s="5">
        <v>63767.5</v>
      </c>
      <c r="K648" s="13">
        <v>1</v>
      </c>
      <c r="L648" s="5">
        <f>Table1[[#This Row],[Open Value]]+Table1[[#This Row],[PnL]]</f>
        <v>61205.72</v>
      </c>
      <c r="M648" s="5">
        <f>Table1[[#This Row],[Open Value]]/Table1[[#This Row],[Shares]]/Table1[[#This Row],[Multiplier]]</f>
        <v>127.535</v>
      </c>
      <c r="N648" s="5">
        <f>Table1[[#This Row],[Close Value]]/Table1[[#This Row],[Shares]]/Table1[[#This Row],[Multiplier]]</f>
        <v>122.41144</v>
      </c>
      <c r="O648" s="5">
        <v>-2561.7800000000002</v>
      </c>
      <c r="P648" s="3">
        <f>Table1[[#This Row],[PnL]]/Table1[[#This Row],[Open Value]]</f>
        <v>-4.0173756223781713E-2</v>
      </c>
      <c r="Q648" s="9">
        <f t="shared" si="10"/>
        <v>218092.15160139406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42931</v>
      </c>
      <c r="G649" s="7">
        <v>45490</v>
      </c>
      <c r="H649" t="s">
        <v>256</v>
      </c>
      <c r="I649">
        <v>2050</v>
      </c>
      <c r="J649" s="5">
        <v>312500</v>
      </c>
      <c r="K649" s="13">
        <v>1</v>
      </c>
      <c r="L649" s="5">
        <f>Table1[[#This Row],[Open Value]]+Table1[[#This Row],[PnL]]</f>
        <v>315728.03000000003</v>
      </c>
      <c r="M649" s="5">
        <f>Table1[[#This Row],[Open Value]]/Table1[[#This Row],[Shares]]/Table1[[#This Row],[Multiplier]]</f>
        <v>152.4390243902439</v>
      </c>
      <c r="N649" s="5">
        <f>Table1[[#This Row],[Close Value]]/Table1[[#This Row],[Shares]]/Table1[[#This Row],[Multiplier]]</f>
        <v>154.01367317073172</v>
      </c>
      <c r="O649" s="5">
        <v>3228.03</v>
      </c>
      <c r="P649" s="3">
        <f>Table1[[#This Row],[PnL]]/Table1[[#This Row],[Open Value]]</f>
        <v>1.0329696000000001E-2</v>
      </c>
      <c r="Q649" s="9">
        <f t="shared" si="10"/>
        <v>221320.18160139406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201</v>
      </c>
      <c r="C650" t="s">
        <v>303</v>
      </c>
      <c r="D650" t="s">
        <v>16</v>
      </c>
      <c r="E650" t="s">
        <v>7</v>
      </c>
      <c r="F650" s="11">
        <v>45474</v>
      </c>
      <c r="G650" s="7">
        <v>45490</v>
      </c>
      <c r="H650" t="s">
        <v>153</v>
      </c>
      <c r="I650">
        <v>3000</v>
      </c>
      <c r="J650" s="5">
        <v>165000</v>
      </c>
      <c r="K650" s="13">
        <v>1</v>
      </c>
      <c r="L650" s="5">
        <f>Table1[[#This Row],[Open Value]]+Table1[[#This Row],[PnL]]</f>
        <v>181841.41999999998</v>
      </c>
      <c r="M650" s="5">
        <f>Table1[[#This Row],[Open Value]]/Table1[[#This Row],[Shares]]/Table1[[#This Row],[Multiplier]]</f>
        <v>55</v>
      </c>
      <c r="N650" s="5">
        <f>Table1[[#This Row],[Close Value]]/Table1[[#This Row],[Shares]]/Table1[[#This Row],[Multiplier]]</f>
        <v>60.613806666666662</v>
      </c>
      <c r="O650" s="5">
        <v>16841.419999999998</v>
      </c>
      <c r="P650" s="3">
        <f>Table1[[#This Row],[PnL]]/Table1[[#This Row],[Open Value]]</f>
        <v>0.10206921212121212</v>
      </c>
      <c r="Q650" s="9">
        <f t="shared" si="10"/>
        <v>238161.60160139407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97</v>
      </c>
      <c r="E651" t="s">
        <v>7</v>
      </c>
      <c r="F651" s="11">
        <v>45467</v>
      </c>
      <c r="G651" s="7">
        <v>45490</v>
      </c>
      <c r="H651" t="s">
        <v>186</v>
      </c>
      <c r="I651">
        <v>6</v>
      </c>
      <c r="J651" s="5">
        <f>3399.14-92.84</f>
        <v>3306.2999999999997</v>
      </c>
      <c r="K651" s="13">
        <v>100</v>
      </c>
      <c r="L651" s="5">
        <f>Table1[[#This Row],[Open Value]]+Table1[[#This Row],[PnL]]</f>
        <v>6128.78</v>
      </c>
      <c r="M651" s="5">
        <f>Table1[[#This Row],[Open Value]]/Table1[[#This Row],[Shares]]/Table1[[#This Row],[Multiplier]]</f>
        <v>5.5104999999999995</v>
      </c>
      <c r="N651" s="5">
        <f>Table1[[#This Row],[Close Value]]/Table1[[#This Row],[Shares]]/Table1[[#This Row],[Multiplier]]</f>
        <v>10.214633333333332</v>
      </c>
      <c r="O651" s="5">
        <f>2822.48</f>
        <v>2822.48</v>
      </c>
      <c r="P651" s="3">
        <f>Table1[[#This Row],[PnL]]/Table1[[#This Row],[Open Value]]</f>
        <v>0.85366724132716332</v>
      </c>
      <c r="Q651" s="9">
        <f t="shared" si="10"/>
        <v>240984.08160139408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197</v>
      </c>
      <c r="C652" t="s">
        <v>302</v>
      </c>
      <c r="D652" t="s">
        <v>102</v>
      </c>
      <c r="E652" t="s">
        <v>7</v>
      </c>
      <c r="F652" s="11">
        <v>45485</v>
      </c>
      <c r="G652" s="7">
        <v>45490</v>
      </c>
      <c r="H652" t="s">
        <v>9</v>
      </c>
      <c r="I652">
        <v>400</v>
      </c>
      <c r="J652" s="5">
        <v>6274.74</v>
      </c>
      <c r="K652" s="13">
        <v>100</v>
      </c>
      <c r="L652" s="5">
        <f>Table1[[#This Row],[Open Value]]+Table1[[#This Row],[PnL]]</f>
        <v>0</v>
      </c>
      <c r="M652" s="5">
        <f>Table1[[#This Row],[Open Value]]/Table1[[#This Row],[Shares]]/Table1[[#This Row],[Multiplier]]</f>
        <v>0.15686849999999999</v>
      </c>
      <c r="N652" s="5">
        <f>Table1[[#This Row],[Close Value]]/Table1[[#This Row],[Shares]]/Table1[[#This Row],[Multiplier]]</f>
        <v>0</v>
      </c>
      <c r="O652" s="5">
        <v>-6274.74</v>
      </c>
      <c r="P652" s="3">
        <f>Table1[[#This Row],[PnL]]/Table1[[#This Row],[Open Value]]</f>
        <v>-1</v>
      </c>
      <c r="Q652" s="9">
        <f t="shared" si="10"/>
        <v>234709.34160139409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305</v>
      </c>
      <c r="D653" t="s">
        <v>12</v>
      </c>
      <c r="E653" t="s">
        <v>7</v>
      </c>
      <c r="F653" s="11">
        <v>45468</v>
      </c>
      <c r="G653" s="7">
        <v>45490</v>
      </c>
      <c r="H653" t="s">
        <v>44</v>
      </c>
      <c r="I653">
        <v>2</v>
      </c>
      <c r="J653" s="5">
        <v>393656.04</v>
      </c>
      <c r="K653" s="13">
        <v>25</v>
      </c>
      <c r="L653" s="5">
        <f>Table1[[#This Row],[Open Value]]+Table1[[#This Row],[PnL]]</f>
        <v>407718.95999999996</v>
      </c>
      <c r="M653" s="5">
        <f>Table1[[#This Row],[Open Value]]/Table1[[#This Row],[Shares]]/Table1[[#This Row],[Multiplier]]</f>
        <v>7873.1207999999997</v>
      </c>
      <c r="N653" s="5">
        <f>Table1[[#This Row],[Close Value]]/Table1[[#This Row],[Shares]]/Table1[[#This Row],[Multiplier]]</f>
        <v>8154.3791999999994</v>
      </c>
      <c r="O653" s="5">
        <v>14062.92</v>
      </c>
      <c r="P653" s="3">
        <f>Table1[[#This Row],[PnL]]/Table1[[#This Row],[Open Value]]</f>
        <v>3.5723877118715115E-2</v>
      </c>
      <c r="Q653" s="9">
        <f t="shared" si="10"/>
        <v>248772.2616013941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303</v>
      </c>
      <c r="D654" t="s">
        <v>16</v>
      </c>
      <c r="E654" t="s">
        <v>7</v>
      </c>
      <c r="F654" s="11">
        <v>45460</v>
      </c>
      <c r="G654" s="7">
        <v>45491</v>
      </c>
      <c r="H654" t="s">
        <v>14</v>
      </c>
      <c r="I654">
        <v>1600</v>
      </c>
      <c r="J654" s="5">
        <v>283648</v>
      </c>
      <c r="K654" s="13">
        <v>1</v>
      </c>
      <c r="L654" s="5">
        <f>Table1[[#This Row],[Open Value]]+Table1[[#This Row],[PnL]]</f>
        <v>292875.59000000003</v>
      </c>
      <c r="M654" s="5">
        <f>Table1[[#This Row],[Open Value]]/Table1[[#This Row],[Shares]]/Table1[[#This Row],[Multiplier]]</f>
        <v>177.28</v>
      </c>
      <c r="N654" s="5">
        <f>Table1[[#This Row],[Close Value]]/Table1[[#This Row],[Shares]]/Table1[[#This Row],[Multiplier]]</f>
        <v>183.04724375000001</v>
      </c>
      <c r="O654" s="5">
        <v>9227.59</v>
      </c>
      <c r="P654" s="3">
        <f>Table1[[#This Row],[PnL]]/Table1[[#This Row],[Open Value]]</f>
        <v>3.2531835232400726E-2</v>
      </c>
      <c r="Q654" s="9">
        <f t="shared" si="10"/>
        <v>257999.8516013941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302</v>
      </c>
      <c r="D655" t="s">
        <v>16</v>
      </c>
      <c r="E655" t="s">
        <v>5</v>
      </c>
      <c r="F655" s="11">
        <v>45489</v>
      </c>
      <c r="G655" s="7">
        <v>45492</v>
      </c>
      <c r="H655" t="s">
        <v>10</v>
      </c>
      <c r="I655">
        <v>1000</v>
      </c>
      <c r="J655" s="5">
        <v>550000</v>
      </c>
      <c r="K655" s="13">
        <v>1</v>
      </c>
      <c r="L655" s="5">
        <f>Table1[[#This Row],[Open Value]]+Table1[[#This Row],[PnL]]</f>
        <v>545039.28</v>
      </c>
      <c r="M655" s="5">
        <f>Table1[[#This Row],[Open Value]]/Table1[[#This Row],[Shares]]/Table1[[#This Row],[Multiplier]]</f>
        <v>550</v>
      </c>
      <c r="N655" s="5">
        <f>Table1[[#This Row],[Close Value]]/Table1[[#This Row],[Shares]]/Table1[[#This Row],[Multiplier]]</f>
        <v>545.03928000000008</v>
      </c>
      <c r="O655" s="5">
        <v>-4960.72</v>
      </c>
      <c r="P655" s="3">
        <f>Table1[[#This Row],[PnL]]/Table1[[#This Row],[Open Value]]</f>
        <v>-9.01949090909091E-3</v>
      </c>
      <c r="Q655" s="9">
        <f t="shared" si="10"/>
        <v>253039.1316013941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201</v>
      </c>
      <c r="C656" t="s">
        <v>303</v>
      </c>
      <c r="D656" t="s">
        <v>16</v>
      </c>
      <c r="E656" t="s">
        <v>7</v>
      </c>
      <c r="F656" s="11">
        <v>45489</v>
      </c>
      <c r="G656" s="7">
        <v>45492</v>
      </c>
      <c r="H656" t="s">
        <v>37</v>
      </c>
      <c r="I656">
        <v>325</v>
      </c>
      <c r="J656" s="5">
        <v>82933.460000000006</v>
      </c>
      <c r="K656" s="13">
        <v>1</v>
      </c>
      <c r="L656" s="5">
        <f>Table1[[#This Row],[Open Value]]+Table1[[#This Row],[PnL]]</f>
        <v>77946.03</v>
      </c>
      <c r="M656" s="5">
        <f>Table1[[#This Row],[Open Value]]/Table1[[#This Row],[Shares]]/Table1[[#This Row],[Multiplier]]</f>
        <v>255.17987692307693</v>
      </c>
      <c r="N656" s="5">
        <f>Table1[[#This Row],[Close Value]]/Table1[[#This Row],[Shares]]/Table1[[#This Row],[Multiplier]]</f>
        <v>239.83393846153845</v>
      </c>
      <c r="O656" s="5">
        <v>-4987.43</v>
      </c>
      <c r="P656" s="3">
        <f>Table1[[#This Row],[PnL]]/Table1[[#This Row],[Open Value]]</f>
        <v>-6.013772969317812E-2</v>
      </c>
      <c r="Q656" s="9">
        <f t="shared" si="10"/>
        <v>248051.7016013941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303</v>
      </c>
      <c r="D657" t="s">
        <v>97</v>
      </c>
      <c r="E657" t="s">
        <v>7</v>
      </c>
      <c r="F657" s="11">
        <v>45463</v>
      </c>
      <c r="G657" s="7">
        <v>45492</v>
      </c>
      <c r="H657" t="s">
        <v>76</v>
      </c>
      <c r="I657">
        <v>80</v>
      </c>
      <c r="J657" s="5">
        <v>6535.75</v>
      </c>
      <c r="K657" s="13">
        <v>100</v>
      </c>
      <c r="L657" s="5">
        <f>Table1[[#This Row],[Open Value]]+Table1[[#This Row],[PnL]]</f>
        <v>0</v>
      </c>
      <c r="M657" s="5">
        <f>Table1[[#This Row],[Open Value]]/Table1[[#This Row],[Shares]]/Table1[[#This Row],[Multiplier]]</f>
        <v>0.81696875000000002</v>
      </c>
      <c r="N657" s="5">
        <f>Table1[[#This Row],[Close Value]]/Table1[[#This Row],[Shares]]/Table1[[#This Row],[Multiplier]]</f>
        <v>0</v>
      </c>
      <c r="O657" s="5">
        <v>-6535.75</v>
      </c>
      <c r="P657" s="3">
        <f>Table1[[#This Row],[PnL]]/Table1[[#This Row],[Open Value]]</f>
        <v>-1</v>
      </c>
      <c r="Q657" s="9">
        <f t="shared" si="10"/>
        <v>241515.9516013941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197</v>
      </c>
      <c r="C658" t="s">
        <v>302</v>
      </c>
      <c r="D658" t="s">
        <v>99</v>
      </c>
      <c r="E658" t="s">
        <v>7</v>
      </c>
      <c r="F658" s="11">
        <v>45488</v>
      </c>
      <c r="G658" s="7">
        <v>45492</v>
      </c>
      <c r="H658" t="s">
        <v>10</v>
      </c>
      <c r="I658">
        <v>100</v>
      </c>
      <c r="J658" s="5">
        <v>2902.68</v>
      </c>
      <c r="K658" s="13">
        <v>100</v>
      </c>
      <c r="L658" s="5">
        <f>Table1[[#This Row],[Open Value]]+Table1[[#This Row],[PnL]]</f>
        <v>10914.44</v>
      </c>
      <c r="M658" s="5">
        <f>Table1[[#This Row],[Open Value]]/Table1[[#This Row],[Shares]]/Table1[[#This Row],[Multiplier]]</f>
        <v>0.29026799999999997</v>
      </c>
      <c r="N658" s="5">
        <f>Table1[[#This Row],[Close Value]]/Table1[[#This Row],[Shares]]/Table1[[#This Row],[Multiplier]]</f>
        <v>1.0914440000000001</v>
      </c>
      <c r="O658" s="5">
        <f>6211.76+1800</f>
        <v>8011.76</v>
      </c>
      <c r="P658" s="3">
        <f>Table1[[#This Row],[PnL]]/Table1[[#This Row],[Open Value]]</f>
        <v>2.7601251257458626</v>
      </c>
      <c r="Q658" s="9">
        <f t="shared" si="10"/>
        <v>249527.71160139411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85</v>
      </c>
      <c r="I659">
        <v>8</v>
      </c>
      <c r="J659" s="5">
        <v>48753.16</v>
      </c>
      <c r="K659" s="13">
        <v>0.1</v>
      </c>
      <c r="L659" s="5">
        <f>Table1[[#This Row],[Open Value]]+Table1[[#This Row],[PnL]]</f>
        <v>50893.840000000004</v>
      </c>
      <c r="M659" s="5">
        <f>Table1[[#This Row],[Open Value]]/Table1[[#This Row],[Shares]]/Table1[[#This Row],[Multiplier]]</f>
        <v>60941.450000000004</v>
      </c>
      <c r="N659" s="5">
        <f>Table1[[#This Row],[Close Value]]/Table1[[#This Row],[Shares]]/Table1[[#This Row],[Multiplier]]</f>
        <v>63617.3</v>
      </c>
      <c r="O659" s="5">
        <v>2140.6799999999998</v>
      </c>
      <c r="P659" s="3">
        <f>Table1[[#This Row],[PnL]]/Table1[[#This Row],[Open Value]]</f>
        <v>4.3908538441405638E-2</v>
      </c>
      <c r="Q659" s="9">
        <f t="shared" si="10"/>
        <v>251668.39160139411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201</v>
      </c>
      <c r="C660" t="s">
        <v>303</v>
      </c>
      <c r="D660" t="s">
        <v>12</v>
      </c>
      <c r="E660" t="s">
        <v>7</v>
      </c>
      <c r="F660" s="11">
        <v>45487</v>
      </c>
      <c r="G660" s="7">
        <v>45492</v>
      </c>
      <c r="H660" t="s">
        <v>271</v>
      </c>
      <c r="I660">
        <v>130</v>
      </c>
      <c r="J660" s="5">
        <v>42291.6</v>
      </c>
      <c r="K660" s="13">
        <v>0.1</v>
      </c>
      <c r="L660" s="5">
        <f>Table1[[#This Row],[Open Value]]+Table1[[#This Row],[PnL]]</f>
        <v>44320.9</v>
      </c>
      <c r="M660" s="5">
        <f>Table1[[#This Row],[Open Value]]/Table1[[#This Row],[Shares]]/Table1[[#This Row],[Multiplier]]</f>
        <v>3253.2</v>
      </c>
      <c r="N660" s="5">
        <f>Table1[[#This Row],[Close Value]]/Table1[[#This Row],[Shares]]/Table1[[#This Row],[Multiplier]]</f>
        <v>3409.2999999999997</v>
      </c>
      <c r="O660" s="5">
        <v>2029.3</v>
      </c>
      <c r="P660" s="3">
        <f>Table1[[#This Row],[PnL]]/Table1[[#This Row],[Open Value]]</f>
        <v>4.7983523914914547E-2</v>
      </c>
      <c r="Q660" s="9">
        <f t="shared" si="10"/>
        <v>253697.69160139409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197</v>
      </c>
      <c r="C661" t="s">
        <v>302</v>
      </c>
      <c r="D661" t="s">
        <v>99</v>
      </c>
      <c r="E661" t="s">
        <v>7</v>
      </c>
      <c r="F661" s="11">
        <v>45488</v>
      </c>
      <c r="G661" s="7">
        <v>45495</v>
      </c>
      <c r="H661" t="s">
        <v>10</v>
      </c>
      <c r="I661">
        <v>85</v>
      </c>
      <c r="J661" s="5">
        <v>2609.23</v>
      </c>
      <c r="K661" s="13">
        <v>100</v>
      </c>
      <c r="L661" s="5">
        <f>Table1[[#This Row],[Open Value]]+Table1[[#This Row],[PnL]]</f>
        <v>12067.789999999999</v>
      </c>
      <c r="M661" s="5">
        <f>Table1[[#This Row],[Open Value]]/Table1[[#This Row],[Shares]]/Table1[[#This Row],[Multiplier]]</f>
        <v>0.30696823529411765</v>
      </c>
      <c r="N661" s="5">
        <f>Table1[[#This Row],[Close Value]]/Table1[[#This Row],[Shares]]/Table1[[#This Row],[Multiplier]]</f>
        <v>1.41974</v>
      </c>
      <c r="O661" s="5">
        <v>9458.56</v>
      </c>
      <c r="P661" s="3">
        <f>Table1[[#This Row],[PnL]]/Table1[[#This Row],[Open Value]]</f>
        <v>3.6250388045515343</v>
      </c>
      <c r="Q661" s="9">
        <f t="shared" si="10"/>
        <v>263156.25160139409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12</v>
      </c>
      <c r="E662" t="s">
        <v>7</v>
      </c>
      <c r="F662" s="11">
        <v>45469</v>
      </c>
      <c r="G662" s="7">
        <v>45495</v>
      </c>
      <c r="H662" t="s">
        <v>88</v>
      </c>
      <c r="I662">
        <v>10</v>
      </c>
      <c r="J662" s="5">
        <v>217421.7</v>
      </c>
      <c r="K662" s="13">
        <v>1120</v>
      </c>
      <c r="L662" s="5">
        <f>Table1[[#This Row],[Open Value]]+Table1[[#This Row],[PnL]]</f>
        <v>207618.30000000002</v>
      </c>
      <c r="M662" s="5">
        <f>Table1[[#This Row],[Open Value]]/Table1[[#This Row],[Shares]]/Table1[[#This Row],[Multiplier]]</f>
        <v>19.412651785714289</v>
      </c>
      <c r="N662" s="5">
        <f>Table1[[#This Row],[Close Value]]/Table1[[#This Row],[Shares]]/Table1[[#This Row],[Multiplier]]</f>
        <v>18.537348214285714</v>
      </c>
      <c r="O662" s="5">
        <v>-9803.4</v>
      </c>
      <c r="P662" s="3">
        <f>Table1[[#This Row],[PnL]]/Table1[[#This Row],[Open Value]]</f>
        <v>-4.508933560909513E-2</v>
      </c>
      <c r="Q662" s="9">
        <f t="shared" si="10"/>
        <v>253352.8516013941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4</v>
      </c>
      <c r="E663" t="s">
        <v>7</v>
      </c>
      <c r="F663" s="11">
        <v>45484</v>
      </c>
      <c r="G663" s="7">
        <v>45495</v>
      </c>
      <c r="H663" t="s">
        <v>289</v>
      </c>
      <c r="I663">
        <v>1000000</v>
      </c>
      <c r="J663" s="5">
        <f>103499949+101874610+50</f>
        <v>205374609</v>
      </c>
      <c r="K663" s="13">
        <v>1</v>
      </c>
      <c r="L663" s="5">
        <f>Table1[[#This Row],[Open Value]]+Table1[[#This Row],[PnL]]</f>
        <v>205358228.37421229</v>
      </c>
      <c r="M663" s="5">
        <f>Table1[[#This Row],[Open Value]]/Table1[[#This Row],[Shares]]/Table1[[#This Row],[Multiplier]]</f>
        <v>205.37460899999999</v>
      </c>
      <c r="N663" s="5">
        <f>Table1[[#This Row],[Close Value]]/Table1[[#This Row],[Shares]]/Table1[[#This Row],[Multiplier]]</f>
        <v>205.3582283742123</v>
      </c>
      <c r="O663" s="5">
        <f>(202072616-Table1[[#This Row],[Open Value]])/202.072616-40</f>
        <v>-16380.625787711879</v>
      </c>
      <c r="P663" s="3">
        <f>Table1[[#This Row],[PnL]]/Table1[[#This Row],[Open Value]]*Table1[[#This Row],[Close Price]]</f>
        <v>-1.6379319273228402E-2</v>
      </c>
      <c r="Q663" s="9">
        <f t="shared" si="10"/>
        <v>236972.22581368222</v>
      </c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16</v>
      </c>
      <c r="E664" t="s">
        <v>7</v>
      </c>
      <c r="F664" s="11">
        <v>45496</v>
      </c>
      <c r="G664" s="7">
        <v>45497</v>
      </c>
      <c r="H664" t="s">
        <v>206</v>
      </c>
      <c r="I664">
        <v>1000</v>
      </c>
      <c r="J664" s="5">
        <v>155605</v>
      </c>
      <c r="K664" s="13">
        <v>1</v>
      </c>
      <c r="L664" s="5">
        <f>Table1[[#This Row],[Open Value]]+Table1[[#This Row],[PnL]]</f>
        <v>150378.65</v>
      </c>
      <c r="M664" s="5">
        <f>Table1[[#This Row],[Open Value]]/Table1[[#This Row],[Shares]]/Table1[[#This Row],[Multiplier]]</f>
        <v>155.60499999999999</v>
      </c>
      <c r="N664" s="5">
        <f>Table1[[#This Row],[Close Value]]/Table1[[#This Row],[Shares]]/Table1[[#This Row],[Multiplier]]</f>
        <v>150.37864999999999</v>
      </c>
      <c r="O664" s="5">
        <v>-5226.3500000000004</v>
      </c>
      <c r="P664" s="3">
        <f>Table1[[#This Row],[PnL]]/Table1[[#This Row],[Open Value]]</f>
        <v>-3.35872883262106E-2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303</v>
      </c>
      <c r="D665" t="s">
        <v>12</v>
      </c>
      <c r="E665" t="s">
        <v>7</v>
      </c>
      <c r="F665" s="11">
        <v>45492</v>
      </c>
      <c r="G665" s="7">
        <v>45497</v>
      </c>
      <c r="H665" t="s">
        <v>271</v>
      </c>
      <c r="I665">
        <v>260</v>
      </c>
      <c r="J665" s="5">
        <v>85169</v>
      </c>
      <c r="K665" s="13">
        <v>0.1</v>
      </c>
      <c r="L665" s="5">
        <f>Table1[[#This Row],[Open Value]]+Table1[[#This Row],[PnL]]</f>
        <v>79127.100000000006</v>
      </c>
      <c r="M665" s="5">
        <f>Table1[[#This Row],[Open Value]]/Table1[[#This Row],[Shares]]/Table1[[#This Row],[Multiplier]]</f>
        <v>3275.7307692307691</v>
      </c>
      <c r="N665" s="5">
        <f>Table1[[#This Row],[Close Value]]/Table1[[#This Row],[Shares]]/Table1[[#This Row],[Multiplier]]</f>
        <v>3043.3500000000004</v>
      </c>
      <c r="O665" s="5">
        <v>-6041.9</v>
      </c>
      <c r="P665" s="3">
        <f>Table1[[#This Row],[PnL]]/Table1[[#This Row],[Open Value]]</f>
        <v>-7.0940130798764808E-2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301</v>
      </c>
    </row>
    <row r="666" spans="2:21" x14ac:dyDescent="0.25">
      <c r="B666" t="s">
        <v>201</v>
      </c>
      <c r="C666" t="s">
        <v>305</v>
      </c>
      <c r="D666" t="s">
        <v>16</v>
      </c>
      <c r="E666" t="s">
        <v>7</v>
      </c>
      <c r="F666" s="11">
        <v>45355</v>
      </c>
      <c r="G666" s="7">
        <v>45497</v>
      </c>
      <c r="H666" t="s">
        <v>14</v>
      </c>
      <c r="I666">
        <v>1000</v>
      </c>
      <c r="J666" s="5">
        <v>133799.41</v>
      </c>
      <c r="K666" s="13">
        <v>1</v>
      </c>
      <c r="L666" s="5">
        <f>59839.52+59799.52+40+34869.03</f>
        <v>154548.07</v>
      </c>
      <c r="M666" s="5">
        <f>Table1[[#This Row],[Open Value]]/Table1[[#This Row],[Shares]]/Table1[[#This Row],[Multiplier]]</f>
        <v>133.79940999999999</v>
      </c>
      <c r="N666" s="5">
        <f>Table1[[#This Row],[Close Value]]/Table1[[#This Row],[Shares]]/Table1[[#This Row],[Multiplier]]</f>
        <v>154.54807</v>
      </c>
      <c r="O666" s="5">
        <f>Table1[[#This Row],[Close Value]]-Table1[[#This Row],[Open Value]]</f>
        <v>20748.660000000003</v>
      </c>
      <c r="P666" s="3">
        <f>Table1[[#This Row],[PnL]]/Table1[[#This Row],[Open Value]]</f>
        <v>0.15507288111360135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203</v>
      </c>
    </row>
    <row r="667" spans="2:21" x14ac:dyDescent="0.25">
      <c r="B667" t="s">
        <v>201</v>
      </c>
      <c r="C667" t="s">
        <v>302</v>
      </c>
      <c r="D667" t="s">
        <v>16</v>
      </c>
      <c r="E667" t="s">
        <v>7</v>
      </c>
      <c r="F667" s="11">
        <v>45488</v>
      </c>
      <c r="G667" s="7">
        <v>45498</v>
      </c>
      <c r="H667" t="s">
        <v>211</v>
      </c>
      <c r="I667">
        <v>2500</v>
      </c>
      <c r="J667" s="5">
        <v>75137.5</v>
      </c>
      <c r="K667" s="13">
        <v>1</v>
      </c>
      <c r="L667" s="5">
        <f>Table1[[#This Row],[Open Value]]+Table1[[#This Row],[PnL]]</f>
        <v>65262.38</v>
      </c>
      <c r="M667" s="5">
        <f>Table1[[#This Row],[Open Value]]/Table1[[#This Row],[Shares]]/Table1[[#This Row],[Multiplier]]</f>
        <v>30.055</v>
      </c>
      <c r="N667" s="5">
        <f>Table1[[#This Row],[Close Value]]/Table1[[#This Row],[Shares]]/Table1[[#This Row],[Multiplier]]</f>
        <v>26.104951999999997</v>
      </c>
      <c r="O667" s="5">
        <v>-9875.1200000000008</v>
      </c>
      <c r="P667" s="3">
        <f>Table1[[#This Row],[PnL]]/Table1[[#This Row],[Open Value]]</f>
        <v>-0.13142731658625853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201</v>
      </c>
      <c r="C668" t="s">
        <v>303</v>
      </c>
      <c r="D668" t="s">
        <v>16</v>
      </c>
      <c r="E668" t="s">
        <v>7</v>
      </c>
      <c r="F668" s="11">
        <v>45449</v>
      </c>
      <c r="G668" s="7">
        <v>45498</v>
      </c>
      <c r="H668" t="s">
        <v>218</v>
      </c>
      <c r="I668">
        <v>5000</v>
      </c>
      <c r="J668" s="5">
        <f>33831+75680</f>
        <v>109511</v>
      </c>
      <c r="K668" s="13">
        <v>1</v>
      </c>
      <c r="L668" s="5">
        <f>Table1[[#This Row],[Open Value]]+Table1[[#This Row],[PnL]]</f>
        <v>98427</v>
      </c>
      <c r="M668" s="5">
        <f>Table1[[#This Row],[Open Value]]/Table1[[#This Row],[Shares]]/Table1[[#This Row],[Multiplier]]</f>
        <v>21.902200000000001</v>
      </c>
      <c r="N668" s="5">
        <f>Table1[[#This Row],[Close Value]]/Table1[[#This Row],[Shares]]/Table1[[#This Row],[Multiplier]]</f>
        <v>19.685400000000001</v>
      </c>
      <c r="O668" s="5">
        <v>-11084</v>
      </c>
      <c r="P668" s="3">
        <f>Table1[[#This Row],[PnL]]/Table1[[#This Row],[Open Value]]</f>
        <v>-0.10121357671832053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302</v>
      </c>
      <c r="D669" t="s">
        <v>102</v>
      </c>
      <c r="E669" t="s">
        <v>7</v>
      </c>
      <c r="F669" s="11">
        <v>45449</v>
      </c>
      <c r="G669" s="7">
        <v>45498</v>
      </c>
      <c r="H669" t="s">
        <v>186</v>
      </c>
      <c r="I669">
        <v>3</v>
      </c>
      <c r="J669" s="5">
        <v>3452.06</v>
      </c>
      <c r="K669" s="13">
        <v>100</v>
      </c>
      <c r="L669" s="5">
        <f>Table1[[#This Row],[Open Value]]+Table1[[#This Row],[PnL]]</f>
        <v>8122.32</v>
      </c>
      <c r="M669" s="5">
        <f>Table1[[#This Row],[Open Value]]/Table1[[#This Row],[Shares]]/Table1[[#This Row],[Multiplier]]</f>
        <v>11.506866666666667</v>
      </c>
      <c r="N669" s="5">
        <f>Table1[[#This Row],[Close Value]]/Table1[[#This Row],[Shares]]/Table1[[#This Row],[Multiplier]]</f>
        <v>27.074400000000001</v>
      </c>
      <c r="O669" s="5">
        <v>4670.26</v>
      </c>
      <c r="P669" s="3">
        <f>Table1[[#This Row],[PnL]]/Table1[[#This Row],[Open Value]]</f>
        <v>1.3528907377044432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303</v>
      </c>
      <c r="D670" t="s">
        <v>99</v>
      </c>
      <c r="E670" t="s">
        <v>7</v>
      </c>
      <c r="F670" s="11">
        <v>45463</v>
      </c>
      <c r="G670" s="7">
        <v>45498</v>
      </c>
      <c r="H670" t="s">
        <v>51</v>
      </c>
      <c r="I670">
        <v>5</v>
      </c>
      <c r="J670" s="5">
        <v>7002.23</v>
      </c>
      <c r="K670" s="13">
        <v>100</v>
      </c>
      <c r="L670" s="5">
        <f>Table1[[#This Row],[Open Value]]+Table1[[#This Row],[PnL]]</f>
        <v>21022.16</v>
      </c>
      <c r="M670" s="5">
        <f>Table1[[#This Row],[Open Value]]/Table1[[#This Row],[Shares]]/Table1[[#This Row],[Multiplier]]</f>
        <v>14.00446</v>
      </c>
      <c r="N670" s="5">
        <f>Table1[[#This Row],[Close Value]]/Table1[[#This Row],[Shares]]/Table1[[#This Row],[Multiplier]]</f>
        <v>42.044319999999999</v>
      </c>
      <c r="O670" s="5">
        <v>14019.93</v>
      </c>
      <c r="P670" s="3">
        <f>Table1[[#This Row],[PnL]]/Table1[[#This Row],[Open Value]]</f>
        <v>2.0022092961813596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197</v>
      </c>
      <c r="C671" t="s">
        <v>302</v>
      </c>
      <c r="D671" t="s">
        <v>98</v>
      </c>
      <c r="E671" t="s">
        <v>7</v>
      </c>
      <c r="F671" s="11">
        <v>45455</v>
      </c>
      <c r="G671" s="7">
        <v>45498</v>
      </c>
      <c r="H671" t="s">
        <v>29</v>
      </c>
      <c r="I671">
        <v>85</v>
      </c>
      <c r="J671" s="5">
        <f>3766.23-551.26</f>
        <v>3214.9700000000003</v>
      </c>
      <c r="K671" s="13">
        <v>100</v>
      </c>
      <c r="L671" s="5">
        <f>Table1[[#This Row],[Open Value]]+Table1[[#This Row],[PnL]]</f>
        <v>1423.5700000000002</v>
      </c>
      <c r="M671" s="5">
        <f>Table1[[#This Row],[Open Value]]/Table1[[#This Row],[Shares]]/Table1[[#This Row],[Multiplier]]</f>
        <v>0.37823176470588238</v>
      </c>
      <c r="N671" s="5">
        <f>Table1[[#This Row],[Close Value]]/Table1[[#This Row],[Shares]]/Table1[[#This Row],[Multiplier]]</f>
        <v>0.16747882352941179</v>
      </c>
      <c r="O671" s="5">
        <f>79.57-1870.97</f>
        <v>-1791.4</v>
      </c>
      <c r="P671" s="3">
        <f>Table1[[#This Row],[PnL]]/Table1[[#This Row],[Open Value]]</f>
        <v>-0.55720582151621945</v>
      </c>
      <c r="Q671" s="9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301</v>
      </c>
    </row>
    <row r="672" spans="2:21" x14ac:dyDescent="0.25">
      <c r="B672" t="s">
        <v>201</v>
      </c>
      <c r="C672" t="s">
        <v>303</v>
      </c>
      <c r="D672" t="s">
        <v>16</v>
      </c>
      <c r="E672" t="s">
        <v>7</v>
      </c>
      <c r="F672" s="11">
        <v>45491</v>
      </c>
      <c r="G672" s="7">
        <v>45503</v>
      </c>
      <c r="H672" t="s">
        <v>155</v>
      </c>
      <c r="I672">
        <v>350</v>
      </c>
      <c r="J672" s="5">
        <v>122500</v>
      </c>
      <c r="K672" s="13">
        <v>1</v>
      </c>
      <c r="L672" s="5">
        <v>86386.49</v>
      </c>
      <c r="M672" s="5">
        <f>Table1[[#This Row],[Open Value]]/Table1[[#This Row],[Shares]]/Table1[[#This Row],[Multiplier]]</f>
        <v>350</v>
      </c>
      <c r="N672" s="5">
        <f>Table1[[#This Row],[Close Value]]/Table1[[#This Row],[Shares]]/Table1[[#This Row],[Multiplier]]</f>
        <v>246.81854285714286</v>
      </c>
      <c r="O672" s="5">
        <f>Table1[[#This Row],[Close Value]]-Table1[[#This Row],[Open Value]]</f>
        <v>-36113.509999999995</v>
      </c>
      <c r="P672" s="3">
        <f>Table1[[#This Row],[PnL]]/Table1[[#This Row],[Open Value]]</f>
        <v>-0.29480416326530606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203</v>
      </c>
    </row>
    <row r="673" spans="1:21" x14ac:dyDescent="0.25">
      <c r="B673" t="s">
        <v>201</v>
      </c>
      <c r="C673" t="s">
        <v>306</v>
      </c>
      <c r="D673" t="s">
        <v>12</v>
      </c>
      <c r="E673" t="s">
        <v>7</v>
      </c>
      <c r="F673" s="11">
        <v>45460</v>
      </c>
      <c r="G673" s="7">
        <v>45504</v>
      </c>
      <c r="H673" t="s">
        <v>286</v>
      </c>
      <c r="I673">
        <v>2</v>
      </c>
      <c r="J673" s="5">
        <v>169811</v>
      </c>
      <c r="K673" s="13">
        <v>375</v>
      </c>
      <c r="L673" s="5">
        <v>170844.06</v>
      </c>
      <c r="M673" s="5">
        <f>Table1[[#This Row],[Open Value]]/Table1[[#This Row],[Shares]]/Table1[[#This Row],[Multiplier]]</f>
        <v>226.41466666666668</v>
      </c>
      <c r="N673" s="5">
        <f>Table1[[#This Row],[Close Value]]/Table1[[#This Row],[Shares]]/Table1[[#This Row],[Multiplier]]</f>
        <v>227.79208</v>
      </c>
      <c r="O673" s="5">
        <f>Table1[[#This Row],[Close Value]]-Table1[[#This Row],[Open Value]]</f>
        <v>1033.0599999999977</v>
      </c>
      <c r="P673" s="3">
        <f>Table1[[#This Row],[PnL]]/Table1[[#This Row],[Open Value]]</f>
        <v>6.0835870467755189E-3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5</v>
      </c>
      <c r="F674" s="11">
        <v>45503</v>
      </c>
      <c r="G674" s="7">
        <v>45504</v>
      </c>
      <c r="H674" t="s">
        <v>307</v>
      </c>
      <c r="I674">
        <v>200</v>
      </c>
      <c r="J674" s="5">
        <f>Table1[[#This Row],[Close Value]]+Table1[[#This Row],[PnL]]</f>
        <v>153800.97</v>
      </c>
      <c r="K674" s="13">
        <v>1</v>
      </c>
      <c r="L674" s="5">
        <v>162801.97</v>
      </c>
      <c r="M674" s="5">
        <f>Table1[[#This Row],[Open Value]]/Table1[[#This Row],[Shares]]/Table1[[#This Row],[Multiplier]]</f>
        <v>769.00485000000003</v>
      </c>
      <c r="N674" s="5">
        <f>Table1[[#This Row],[Close Value]]/Table1[[#This Row],[Shares]]/Table1[[#This Row],[Multiplier]]</f>
        <v>814.00985000000003</v>
      </c>
      <c r="O674" s="5">
        <v>-9001</v>
      </c>
      <c r="P674" s="3">
        <f>Table1[[#This Row],[PnL]]/Table1[[#This Row],[Open Value]]</f>
        <v>-5.8523688114580814E-2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16</v>
      </c>
      <c r="E675" t="s">
        <v>7</v>
      </c>
      <c r="F675" s="11">
        <v>45504</v>
      </c>
      <c r="G675" s="7">
        <v>45504</v>
      </c>
      <c r="H675" t="s">
        <v>231</v>
      </c>
      <c r="I675">
        <v>8333</v>
      </c>
      <c r="J675" s="5">
        <v>111245.55</v>
      </c>
      <c r="K675" s="13">
        <v>1</v>
      </c>
      <c r="L675" s="5">
        <f>106167.07-87.66</f>
        <v>106079.41</v>
      </c>
      <c r="M675" s="5">
        <f>Table1[[#This Row],[Open Value]]/Table1[[#This Row],[Shares]]/Table1[[#This Row],[Multiplier]]</f>
        <v>13.35</v>
      </c>
      <c r="N675" s="5">
        <f>Table1[[#This Row],[Close Value]]/Table1[[#This Row],[Shares]]/Table1[[#This Row],[Multiplier]]</f>
        <v>12.730038401536062</v>
      </c>
      <c r="O675" s="5">
        <v>-5166</v>
      </c>
      <c r="P675" s="3">
        <f>Table1[[#This Row],[PnL]]/Table1[[#This Row],[Open Value]]</f>
        <v>-4.643781256868252E-2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5</v>
      </c>
      <c r="F676" s="11">
        <v>45497</v>
      </c>
      <c r="G676" s="7">
        <v>45504</v>
      </c>
      <c r="H676" t="s">
        <v>267</v>
      </c>
      <c r="I676">
        <v>15</v>
      </c>
      <c r="J676" s="5">
        <f>Table1[[#This Row],[Close Value]]+Table1[[#This Row],[PnL]]</f>
        <v>3607280.8</v>
      </c>
      <c r="K676" s="13">
        <v>2500</v>
      </c>
      <c r="L676" s="5">
        <v>3612406.8</v>
      </c>
      <c r="M676" s="5">
        <f>Table1[[#This Row],[Open Value]]/Table1[[#This Row],[Shares]]/Table1[[#This Row],[Multiplier]]</f>
        <v>96.194154666666662</v>
      </c>
      <c r="N676" s="5">
        <f>Table1[[#This Row],[Close Value]]/Table1[[#This Row],[Shares]]/Table1[[#This Row],[Multiplier]]</f>
        <v>96.330848000000003</v>
      </c>
      <c r="O676" s="5">
        <v>-5126</v>
      </c>
      <c r="P676" s="3">
        <f>Table1[[#This Row],[PnL]]/Table1[[#This Row],[Open Value]]</f>
        <v>-1.4210149650673162E-3</v>
      </c>
      <c r="Q676" s="14"/>
      <c r="R676" s="5" t="str">
        <f>TEXT(Table1[[#This Row],[Closing Date]],"yyyy")</f>
        <v>2024</v>
      </c>
      <c r="S676" s="5" t="str">
        <f>TEXT(Table1[[#This Row],[Closing Date]],"mmmm")</f>
        <v>July</v>
      </c>
      <c r="T676" s="5" t="s">
        <v>240</v>
      </c>
      <c r="U676" s="5" t="s">
        <v>301</v>
      </c>
    </row>
    <row r="677" spans="1:21" x14ac:dyDescent="0.25">
      <c r="B677" t="s">
        <v>201</v>
      </c>
      <c r="C677" t="s">
        <v>303</v>
      </c>
      <c r="D677" t="s">
        <v>12</v>
      </c>
      <c r="E677" t="s">
        <v>7</v>
      </c>
      <c r="F677" s="11">
        <v>45488</v>
      </c>
      <c r="G677" s="7">
        <v>45506</v>
      </c>
      <c r="H677" t="s">
        <v>85</v>
      </c>
      <c r="I677">
        <v>16</v>
      </c>
      <c r="J677" s="5">
        <f>Table1[[#This Row],[Close Value]]-Table1[[#This Row],[PnL]]</f>
        <v>106288.18</v>
      </c>
      <c r="K677" s="13">
        <v>0.1</v>
      </c>
      <c r="L677" s="5">
        <v>99938.18</v>
      </c>
      <c r="M677" s="5">
        <f>Table1[[#This Row],[Open Value]]/Table1[[#This Row],[Shares]]/Table1[[#This Row],[Multiplier]]</f>
        <v>66430.112499999988</v>
      </c>
      <c r="N677" s="5">
        <f>Table1[[#This Row],[Close Value]]/Table1[[#This Row],[Shares]]/Table1[[#This Row],[Multiplier]]</f>
        <v>62461.362499999996</v>
      </c>
      <c r="O677" s="5">
        <v>-6350</v>
      </c>
      <c r="P677" s="3">
        <f>Table1[[#This Row],[PnL]]/Table1[[#This Row],[Open Value]]</f>
        <v>-5.9743237677039915E-2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197</v>
      </c>
      <c r="C678" t="s">
        <v>302</v>
      </c>
      <c r="D678" t="s">
        <v>97</v>
      </c>
      <c r="E678" t="s">
        <v>7</v>
      </c>
      <c r="F678" s="11">
        <v>45487</v>
      </c>
      <c r="G678" s="7">
        <v>45509</v>
      </c>
      <c r="H678" t="s">
        <v>308</v>
      </c>
      <c r="I678">
        <v>200</v>
      </c>
      <c r="J678" s="5">
        <v>8012</v>
      </c>
      <c r="K678" s="13">
        <v>100</v>
      </c>
      <c r="L678" s="5">
        <f>33800-399.49</f>
        <v>33400.51</v>
      </c>
      <c r="M678" s="5">
        <f>Table1[[#This Row],[Open Value]]/Table1[[#This Row],[Shares]]/Table1[[#This Row],[Multiplier]]</f>
        <v>0.40060000000000001</v>
      </c>
      <c r="N678" s="5">
        <f>Table1[[#This Row],[Close Value]]/Table1[[#This Row],[Shares]]/Table1[[#This Row],[Multiplier]]</f>
        <v>1.6700255000000002</v>
      </c>
      <c r="O678" s="5">
        <f>Table1[[#This Row],[Close Value]]-Table1[[#This Row],[Open Value]]</f>
        <v>25388.510000000002</v>
      </c>
      <c r="P678" s="3">
        <f>Table1[[#This Row],[PnL]]/Table1[[#This Row],[Open Value]]</f>
        <v>3.1688105341987023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 t="s">
        <v>240</v>
      </c>
      <c r="U678" s="5" t="s">
        <v>301</v>
      </c>
    </row>
    <row r="679" spans="1:21" x14ac:dyDescent="0.25">
      <c r="B679" t="s">
        <v>201</v>
      </c>
      <c r="C679" t="s">
        <v>303</v>
      </c>
      <c r="D679" t="s">
        <v>16</v>
      </c>
      <c r="E679" t="s">
        <v>5</v>
      </c>
      <c r="F679" s="11">
        <v>45505</v>
      </c>
      <c r="G679" s="7">
        <v>45510</v>
      </c>
      <c r="H679" t="s">
        <v>307</v>
      </c>
      <c r="I679">
        <v>200</v>
      </c>
      <c r="J679" s="5">
        <f>Table1[[#This Row],[Close Value]]-Table1[[#This Row],[PnL]]</f>
        <v>129001.68</v>
      </c>
      <c r="K679" s="13">
        <v>1</v>
      </c>
      <c r="L679" s="5">
        <f>72633.68+69661</f>
        <v>142294.68</v>
      </c>
      <c r="M679" s="5">
        <f>Table1[[#This Row],[Open Value]]/Table1[[#This Row],[Shares]]/Table1[[#This Row],[Multiplier]]</f>
        <v>645.00839999999994</v>
      </c>
      <c r="N679" s="5">
        <f>Table1[[#This Row],[Close Value]]/Table1[[#This Row],[Shares]]/Table1[[#This Row],[Multiplier]]</f>
        <v>711.47339999999997</v>
      </c>
      <c r="O679" s="5">
        <f>10392+2901</f>
        <v>13293</v>
      </c>
      <c r="P679" s="3">
        <f>Table1[[#This Row],[PnL]]/Table1[[#This Row],[Open Value]]</f>
        <v>0.10304516964430231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305</v>
      </c>
      <c r="D680" t="s">
        <v>12</v>
      </c>
      <c r="E680" t="s">
        <v>7</v>
      </c>
      <c r="F680" s="11">
        <v>45509</v>
      </c>
      <c r="G680" s="7">
        <v>45511</v>
      </c>
      <c r="H680" t="s">
        <v>82</v>
      </c>
      <c r="I680">
        <v>1</v>
      </c>
      <c r="J680" s="5">
        <v>260227.25</v>
      </c>
      <c r="K680" s="13">
        <v>50</v>
      </c>
      <c r="L680" s="5">
        <v>267897.75</v>
      </c>
      <c r="M680" s="5">
        <f>Table1[[#This Row],[Open Value]]/Table1[[#This Row],[Shares]]/Table1[[#This Row],[Multiplier]]</f>
        <v>5204.5450000000001</v>
      </c>
      <c r="N680" s="5">
        <f>Table1[[#This Row],[Close Value]]/Table1[[#This Row],[Shares]]/Table1[[#This Row],[Multiplier]]</f>
        <v>5357.9549999999999</v>
      </c>
      <c r="O680" s="5">
        <f>Table1[[#This Row],[Close Value]]-Table1[[#This Row],[Open Value]]</f>
        <v>7670.5</v>
      </c>
      <c r="P680" s="3">
        <f>Table1[[#This Row],[PnL]]/Table1[[#This Row],[Open Value]]</f>
        <v>2.9476159779577273E-2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201</v>
      </c>
      <c r="C681" t="s">
        <v>303</v>
      </c>
      <c r="D681" t="s">
        <v>16</v>
      </c>
      <c r="E681" t="s">
        <v>5</v>
      </c>
      <c r="F681" s="11">
        <v>45510</v>
      </c>
      <c r="G681" s="7">
        <v>45511</v>
      </c>
      <c r="H681" t="s">
        <v>310</v>
      </c>
      <c r="I681">
        <v>1850</v>
      </c>
      <c r="J681" s="5">
        <f>Table1[[#This Row],[Close Value]]+Table1[[#This Row],[PnL]]</f>
        <v>116777.55</v>
      </c>
      <c r="K681" s="13">
        <v>1</v>
      </c>
      <c r="L681" s="5">
        <v>122253.55</v>
      </c>
      <c r="M681" s="5">
        <f>Table1[[#This Row],[Open Value]]/Table1[[#This Row],[Shares]]/Table1[[#This Row],[Multiplier]]</f>
        <v>63.123000000000005</v>
      </c>
      <c r="N681" s="5">
        <f>Table1[[#This Row],[Close Value]]/Table1[[#This Row],[Shares]]/Table1[[#This Row],[Multiplier]]</f>
        <v>66.082999999999998</v>
      </c>
      <c r="O681" s="5">
        <v>-5476</v>
      </c>
      <c r="P681" s="3">
        <f>Table1[[#This Row],[PnL]]/Table1[[#This Row],[Open Value]]</f>
        <v>-4.6892574814251541E-2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197</v>
      </c>
      <c r="C683" t="s">
        <v>302</v>
      </c>
      <c r="D683" t="s">
        <v>97</v>
      </c>
      <c r="E683" t="s">
        <v>7</v>
      </c>
      <c r="F683" s="11">
        <v>45485</v>
      </c>
      <c r="G683" s="7">
        <v>45512</v>
      </c>
      <c r="H683" t="s">
        <v>277</v>
      </c>
      <c r="I683">
        <v>4</v>
      </c>
      <c r="J683" s="5">
        <v>5610</v>
      </c>
      <c r="K683" s="13">
        <v>100</v>
      </c>
      <c r="L683" s="5">
        <f>3200+6420.61</f>
        <v>9620.61</v>
      </c>
      <c r="M683" s="5">
        <f>Table1[[#This Row],[Open Value]]/Table1[[#This Row],[Shares]]/Table1[[#This Row],[Multiplier]]</f>
        <v>14.025</v>
      </c>
      <c r="N683" s="5">
        <f>Table1[[#This Row],[Close Value]]/Table1[[#This Row],[Shares]]/Table1[[#This Row],[Multiplier]]</f>
        <v>24.051525000000002</v>
      </c>
      <c r="O683" s="5">
        <f>Table1[[#This Row],[Close Value]]-Table1[[#This Row],[Open Value]]</f>
        <v>4010.6100000000006</v>
      </c>
      <c r="P683" s="3">
        <f>Table1[[#This Row],[PnL]]/Table1[[#This Row],[Open Value]]</f>
        <v>0.7149037433155081</v>
      </c>
      <c r="Q683" s="14">
        <f>O683+Q682</f>
        <v>4010.6100000000006</v>
      </c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197</v>
      </c>
      <c r="C684" t="s">
        <v>302</v>
      </c>
      <c r="D684" t="s">
        <v>102</v>
      </c>
      <c r="E684" t="s">
        <v>7</v>
      </c>
      <c r="F684" s="11">
        <v>45501</v>
      </c>
      <c r="G684" s="7">
        <v>45513</v>
      </c>
      <c r="H684" t="s">
        <v>10</v>
      </c>
      <c r="I684">
        <v>400</v>
      </c>
      <c r="J684" s="5">
        <v>5475</v>
      </c>
      <c r="K684" s="13">
        <v>100</v>
      </c>
      <c r="L684" s="5">
        <v>0</v>
      </c>
      <c r="M684" s="5">
        <f>Table1[[#This Row],[Open Value]]/Table1[[#This Row],[Shares]]/Table1[[#This Row],[Multiplier]]</f>
        <v>0.136875</v>
      </c>
      <c r="N684" s="5">
        <f>Table1[[#This Row],[Close Value]]/Table1[[#This Row],[Shares]]/Table1[[#This Row],[Multiplier]]</f>
        <v>0</v>
      </c>
      <c r="O684" s="5">
        <f>Table1[[#This Row],[Close Value]]-Table1[[#This Row],[Open Value]]</f>
        <v>-5475</v>
      </c>
      <c r="P684" s="3">
        <f>Table1[[#This Row],[PnL]]/Table1[[#This Row],[Open Value]]</f>
        <v>-1</v>
      </c>
      <c r="Q684" s="14">
        <f>O684+Q683</f>
        <v>-1464.3899999999994</v>
      </c>
      <c r="R684" s="5" t="str">
        <f>TEXT(Table1[[#This Row],[Closing Date]],"yyyy")</f>
        <v>2024</v>
      </c>
      <c r="S684" s="5" t="str">
        <f>TEXT(Table1[[#This Row],[Closing Date]],"mmmm")</f>
        <v>August</v>
      </c>
      <c r="T684" s="5"/>
      <c r="U684" s="5"/>
    </row>
    <row r="685" spans="1:21" x14ac:dyDescent="0.25">
      <c r="B685" t="s">
        <v>197</v>
      </c>
      <c r="C685" t="s">
        <v>302</v>
      </c>
      <c r="D685" t="s">
        <v>102</v>
      </c>
      <c r="E685" t="s">
        <v>7</v>
      </c>
      <c r="F685" s="11">
        <v>45500</v>
      </c>
      <c r="G685" s="7">
        <v>45513</v>
      </c>
      <c r="H685" t="s">
        <v>10</v>
      </c>
      <c r="I685">
        <v>300</v>
      </c>
      <c r="J685" s="5">
        <v>3508</v>
      </c>
      <c r="K685" s="13">
        <v>100</v>
      </c>
      <c r="L685" s="5">
        <v>0</v>
      </c>
      <c r="M685" s="5">
        <f>Table1[[#This Row],[Open Value]]/Table1[[#This Row],[Shares]]/Table1[[#This Row],[Multiplier]]</f>
        <v>0.11693333333333333</v>
      </c>
      <c r="N685" s="5">
        <f>Table1[[#This Row],[Close Value]]/Table1[[#This Row],[Shares]]/Table1[[#This Row],[Multiplier]]</f>
        <v>0</v>
      </c>
      <c r="O685" s="5">
        <f>Table1[[#This Row],[Close Value]]-Table1[[#This Row],[Open Value]]</f>
        <v>-3508</v>
      </c>
      <c r="P685" s="3">
        <f>Table1[[#This Row],[PnL]]/Table1[[#This Row],[Open Value]]</f>
        <v>-1</v>
      </c>
      <c r="Q685" s="14">
        <f>O685+Q684</f>
        <v>-4972.3899999999994</v>
      </c>
      <c r="R685" s="5" t="str">
        <f>TEXT(Table1[[#This Row],[Closing Date]],"yyyy")</f>
        <v>2024</v>
      </c>
      <c r="S685" s="5" t="str">
        <f>TEXT(Table1[[#This Row],[Closing Date]],"mmmm")</f>
        <v>August</v>
      </c>
      <c r="T685" s="5"/>
      <c r="U685" s="5"/>
    </row>
    <row r="686" spans="1:21" x14ac:dyDescent="0.25">
      <c r="A686" t="s">
        <v>316</v>
      </c>
      <c r="B686" t="s">
        <v>201</v>
      </c>
      <c r="C686" t="s">
        <v>302</v>
      </c>
      <c r="D686" t="s">
        <v>12</v>
      </c>
      <c r="E686" t="s">
        <v>7</v>
      </c>
      <c r="F686" s="11">
        <v>45498</v>
      </c>
      <c r="G686" s="7">
        <v>45518</v>
      </c>
      <c r="H686" t="s">
        <v>82</v>
      </c>
      <c r="I686">
        <v>1</v>
      </c>
      <c r="J686" s="5">
        <f>5450*Table1[[#This Row],[Multiplier]]</f>
        <v>272500</v>
      </c>
      <c r="K686" s="13">
        <v>50</v>
      </c>
      <c r="L686" s="5">
        <v>275779</v>
      </c>
      <c r="M686" s="5">
        <f>Table1[[#This Row],[Open Value]]/Table1[[#This Row],[Shares]]/Table1[[#This Row],[Multiplier]]</f>
        <v>5450</v>
      </c>
      <c r="N686" s="5">
        <f>Table1[[#This Row],[Close Value]]/Table1[[#This Row],[Shares]]/Table1[[#This Row],[Multiplier]]</f>
        <v>5515.58</v>
      </c>
      <c r="O686" s="5">
        <f>Table1[[#This Row],[Close Value]]-Table1[[#This Row],[Open Value]]</f>
        <v>3279</v>
      </c>
      <c r="P686" s="3">
        <f>Table1[[#This Row],[PnL]]/Table1[[#This Row],[Open Value]]</f>
        <v>1.203302752293578E-2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197</v>
      </c>
      <c r="C687" t="s">
        <v>302</v>
      </c>
      <c r="D687" t="s">
        <v>97</v>
      </c>
      <c r="E687" t="s">
        <v>7</v>
      </c>
      <c r="F687" s="11">
        <v>45503</v>
      </c>
      <c r="G687" s="7">
        <v>45518</v>
      </c>
      <c r="H687" t="s">
        <v>256</v>
      </c>
      <c r="I687">
        <v>15</v>
      </c>
      <c r="J687" s="5">
        <v>7316</v>
      </c>
      <c r="K687" s="13">
        <v>100</v>
      </c>
      <c r="L687" s="5">
        <v>5991.6</v>
      </c>
      <c r="M687" s="5">
        <f>Table1[[#This Row],[Open Value]]/Table1[[#This Row],[Shares]]/Table1[[#This Row],[Multiplier]]</f>
        <v>4.8773333333333335</v>
      </c>
      <c r="N687" s="5">
        <f>Table1[[#This Row],[Close Value]]/Table1[[#This Row],[Shares]]/Table1[[#This Row],[Multiplier]]</f>
        <v>3.9944000000000002</v>
      </c>
      <c r="O687" s="5">
        <f>Table1[[#This Row],[Close Value]]-Table1[[#This Row],[Open Value]]</f>
        <v>-1324.3999999999996</v>
      </c>
      <c r="P687" s="3">
        <f>Table1[[#This Row],[PnL]]/Table1[[#This Row],[Open Value]]</f>
        <v>-0.18102788408966644</v>
      </c>
      <c r="Q687" s="14">
        <f>O687+Q686</f>
        <v>-1324.3999999999996</v>
      </c>
      <c r="R687" s="5" t="str">
        <f>TEXT(Table1[[#This Row],[Closing Date]],"yyyy")</f>
        <v>2024</v>
      </c>
      <c r="S687" s="5" t="str">
        <f>TEXT(Table1[[#This Row],[Closing Date]],"mmmm")</f>
        <v>August</v>
      </c>
      <c r="T687" s="5"/>
      <c r="U687" s="5"/>
    </row>
    <row r="688" spans="1:21" x14ac:dyDescent="0.25">
      <c r="B688" t="s">
        <v>197</v>
      </c>
      <c r="C688" t="s">
        <v>302</v>
      </c>
      <c r="D688" t="s">
        <v>102</v>
      </c>
      <c r="E688" t="s">
        <v>7</v>
      </c>
      <c r="F688" s="11">
        <v>45459</v>
      </c>
      <c r="G688" s="7">
        <v>45518</v>
      </c>
      <c r="H688" t="s">
        <v>320</v>
      </c>
      <c r="I688">
        <v>15</v>
      </c>
      <c r="J688" s="5">
        <v>4810</v>
      </c>
      <c r="K688" s="13">
        <v>100</v>
      </c>
      <c r="L688" s="5">
        <v>5029.33</v>
      </c>
      <c r="M688" s="5">
        <f>Table1[[#This Row],[Open Value]]/Table1[[#This Row],[Shares]]/Table1[[#This Row],[Multiplier]]</f>
        <v>3.206666666666667</v>
      </c>
      <c r="N688" s="5">
        <f>Table1[[#This Row],[Close Value]]/Table1[[#This Row],[Shares]]/Table1[[#This Row],[Multiplier]]</f>
        <v>3.3528866666666666</v>
      </c>
      <c r="O688" s="5">
        <f>Table1[[#This Row],[Close Value]]-Table1[[#This Row],[Open Value]]</f>
        <v>219.32999999999993</v>
      </c>
      <c r="P688" s="3">
        <f>Table1[[#This Row],[PnL]]/Table1[[#This Row],[Open Value]]</f>
        <v>4.5598752598752582E-2</v>
      </c>
      <c r="Q688" s="14">
        <f>O688+Q687</f>
        <v>-1105.0699999999997</v>
      </c>
      <c r="R688" s="5" t="str">
        <f>TEXT(Table1[[#This Row],[Closing Date]],"yyyy")</f>
        <v>2024</v>
      </c>
      <c r="S688" s="5" t="str">
        <f>TEXT(Table1[[#This Row],[Closing Date]],"mmmm")</f>
        <v>August</v>
      </c>
      <c r="T688" s="5"/>
      <c r="U688" s="5"/>
    </row>
    <row r="689" spans="1:21" x14ac:dyDescent="0.25">
      <c r="A689" t="s">
        <v>317</v>
      </c>
      <c r="B689" t="s">
        <v>201</v>
      </c>
      <c r="C689" t="s">
        <v>303</v>
      </c>
      <c r="D689" t="s">
        <v>16</v>
      </c>
      <c r="E689" t="s">
        <v>7</v>
      </c>
      <c r="F689" s="11">
        <v>45517</v>
      </c>
      <c r="G689" s="7">
        <v>45519</v>
      </c>
      <c r="H689" t="s">
        <v>231</v>
      </c>
      <c r="I689">
        <v>5000</v>
      </c>
      <c r="J689" s="5">
        <f>I689*16.7</f>
        <v>83500</v>
      </c>
      <c r="K689" s="13">
        <v>1</v>
      </c>
      <c r="L689" s="5">
        <f>5000*15.495-52.98</f>
        <v>77422.02</v>
      </c>
      <c r="M689" s="5">
        <f>J689/I689/K689</f>
        <v>16.7</v>
      </c>
      <c r="N689" s="5">
        <f>L689/I689/K689</f>
        <v>15.484404000000001</v>
      </c>
      <c r="O689" s="5">
        <f>L689-J689</f>
        <v>-6077.9799999999959</v>
      </c>
      <c r="P689" s="3">
        <f>O689/J689</f>
        <v>-7.2790179640718516E-2</v>
      </c>
      <c r="Q689" s="14">
        <f>O689+Q688</f>
        <v>-7183.0499999999956</v>
      </c>
      <c r="R689" s="5" t="str">
        <f>TEXT(Table1[[#This Row],[Closing Date]],"yyyy")</f>
        <v>2024</v>
      </c>
      <c r="S689" s="5" t="str">
        <f>TEXT(Table1[[#This Row],[Closing Date]],"mmmm")</f>
        <v>August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102</v>
      </c>
      <c r="E690" t="s">
        <v>7</v>
      </c>
      <c r="F690" s="11">
        <v>45505</v>
      </c>
      <c r="G690" s="7">
        <v>45520</v>
      </c>
      <c r="H690" t="s">
        <v>35</v>
      </c>
      <c r="I690">
        <v>200</v>
      </c>
      <c r="J690" s="5">
        <v>4937.5600000000013</v>
      </c>
      <c r="K690" s="13">
        <v>100</v>
      </c>
      <c r="L690" s="5">
        <f>9004.78</f>
        <v>9004.7800000000007</v>
      </c>
      <c r="M690" s="5">
        <f>Table1[[#This Row],[Open Value]]/Table1[[#This Row],[Shares]]/Table1[[#This Row],[Multiplier]]</f>
        <v>0.24687800000000007</v>
      </c>
      <c r="N690" s="5">
        <f>Table1[[#This Row],[Close Value]]/Table1[[#This Row],[Shares]]/Table1[[#This Row],[Multiplier]]</f>
        <v>0.45023900000000006</v>
      </c>
      <c r="O690" s="5">
        <f>Table1[[#This Row],[Close Value]]-Table1[[#This Row],[Open Value]]</f>
        <v>4067.2199999999993</v>
      </c>
      <c r="P690" s="3">
        <f>Table1[[#This Row],[PnL]]/Table1[[#This Row],[Open Value]]</f>
        <v>0.82373074960101711</v>
      </c>
      <c r="Q690" s="14"/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102</v>
      </c>
      <c r="E691" t="s">
        <v>7</v>
      </c>
      <c r="F691" s="11">
        <v>45510</v>
      </c>
      <c r="G691" s="7">
        <v>45523</v>
      </c>
      <c r="H691" t="s">
        <v>266</v>
      </c>
      <c r="I691">
        <v>300</v>
      </c>
      <c r="J691" s="5">
        <v>2864.05</v>
      </c>
      <c r="K691" s="13">
        <v>100</v>
      </c>
      <c r="L691" s="5">
        <v>0</v>
      </c>
      <c r="M691" s="5">
        <f>Table1[[#This Row],[Open Value]]/Table1[[#This Row],[Shares]]/Table1[[#This Row],[Multiplier]]</f>
        <v>9.5468333333333336E-2</v>
      </c>
      <c r="N691" s="5">
        <f>Table1[[#This Row],[Close Value]]/Table1[[#This Row],[Shares]]/Table1[[#This Row],[Multiplier]]</f>
        <v>0</v>
      </c>
      <c r="O691" s="5">
        <f>Table1[[#This Row],[Close Value]]-Table1[[#This Row],[Open Value]]</f>
        <v>-2864.05</v>
      </c>
      <c r="P691" s="3">
        <f>Table1[[#This Row],[PnL]]/Table1[[#This Row],[Open Value]]</f>
        <v>-1</v>
      </c>
      <c r="Q691" s="14">
        <f t="shared" ref="Q691:Q699" si="11">O691+Q690</f>
        <v>-2864.05</v>
      </c>
      <c r="R691" s="5" t="str">
        <f>TEXT(Table1[[#This Row],[Closing Date]],"yyyy")</f>
        <v>2024</v>
      </c>
      <c r="S691" s="5" t="str">
        <f>TEXT(Table1[[#This Row],[Closing Date]],"mmmm")</f>
        <v>August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45492</v>
      </c>
      <c r="G692" s="7">
        <v>45524</v>
      </c>
      <c r="H692" t="s">
        <v>206</v>
      </c>
      <c r="I692">
        <v>3</v>
      </c>
      <c r="J692" s="5">
        <v>3600</v>
      </c>
      <c r="K692" s="13">
        <v>100</v>
      </c>
      <c r="L692" s="5">
        <v>1975.74</v>
      </c>
      <c r="M692" s="5">
        <f>Table1[[#This Row],[Open Value]]/Table1[[#This Row],[Shares]]/Table1[[#This Row],[Multiplier]]</f>
        <v>12</v>
      </c>
      <c r="N692" s="5">
        <f>Table1[[#This Row],[Close Value]]/Table1[[#This Row],[Shares]]/Table1[[#This Row],[Multiplier]]</f>
        <v>6.5858000000000008</v>
      </c>
      <c r="O692" s="5">
        <f>Table1[[#This Row],[Close Value]]-Table1[[#This Row],[Open Value]]</f>
        <v>-1624.26</v>
      </c>
      <c r="P692" s="3">
        <f>Table1[[#This Row],[PnL]]/Table1[[#This Row],[Open Value]]</f>
        <v>-0.45118333333333333</v>
      </c>
      <c r="Q692" s="14">
        <f t="shared" si="11"/>
        <v>-4488.3100000000004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45488</v>
      </c>
      <c r="G693" s="7">
        <v>45524</v>
      </c>
      <c r="H693" t="s">
        <v>159</v>
      </c>
      <c r="I693">
        <v>2</v>
      </c>
      <c r="J693" s="5">
        <v>7004</v>
      </c>
      <c r="K693" s="13">
        <v>100</v>
      </c>
      <c r="L693" s="5">
        <v>4568.08</v>
      </c>
      <c r="M693" s="5">
        <f>Table1[[#This Row],[Open Value]]/Table1[[#This Row],[Shares]]/Table1[[#This Row],[Multiplier]]</f>
        <v>35.020000000000003</v>
      </c>
      <c r="N693" s="5">
        <f>Table1[[#This Row],[Close Value]]/Table1[[#This Row],[Shares]]/Table1[[#This Row],[Multiplier]]</f>
        <v>22.840399999999999</v>
      </c>
      <c r="O693" s="5">
        <f>Table1[[#This Row],[Close Value]]-Table1[[#This Row],[Open Value]]</f>
        <v>-2435.92</v>
      </c>
      <c r="P693" s="3">
        <f>Table1[[#This Row],[PnL]]/Table1[[#This Row],[Open Value]]</f>
        <v>-0.3477898343803541</v>
      </c>
      <c r="Q693" s="14">
        <f t="shared" si="11"/>
        <v>-6924.2300000000005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102</v>
      </c>
      <c r="E694" t="s">
        <v>7</v>
      </c>
      <c r="F694" s="11">
        <v>45498</v>
      </c>
      <c r="G694" s="7">
        <v>45524</v>
      </c>
      <c r="H694" t="s">
        <v>37</v>
      </c>
      <c r="I694">
        <v>100</v>
      </c>
      <c r="J694" s="5">
        <f>2258+4987</f>
        <v>7245</v>
      </c>
      <c r="K694" s="13">
        <v>100</v>
      </c>
      <c r="L694" s="5">
        <v>5154.8900000000003</v>
      </c>
      <c r="M694" s="5">
        <f>Table1[[#This Row],[Open Value]]/Table1[[#This Row],[Shares]]/Table1[[#This Row],[Multiplier]]</f>
        <v>0.72450000000000003</v>
      </c>
      <c r="N694" s="5">
        <f>Table1[[#This Row],[Close Value]]/Table1[[#This Row],[Shares]]/Table1[[#This Row],[Multiplier]]</f>
        <v>0.51548900000000009</v>
      </c>
      <c r="O694" s="5">
        <f>Table1[[#This Row],[Close Value]]-Table1[[#This Row],[Open Value]]</f>
        <v>-2090.1099999999997</v>
      </c>
      <c r="P694" s="3">
        <f>Table1[[#This Row],[PnL]]/Table1[[#This Row],[Open Value]]</f>
        <v>-0.28848999309868872</v>
      </c>
      <c r="Q694" s="14">
        <f t="shared" si="11"/>
        <v>-9014.34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45505</v>
      </c>
      <c r="G695" s="7">
        <v>45524</v>
      </c>
      <c r="H695" t="s">
        <v>133</v>
      </c>
      <c r="I695">
        <v>20</v>
      </c>
      <c r="J695" s="5">
        <v>6492</v>
      </c>
      <c r="K695" s="13">
        <v>100</v>
      </c>
      <c r="L695" s="5">
        <v>10175.719999999999</v>
      </c>
      <c r="M695" s="5">
        <f>Table1[[#This Row],[Open Value]]/Table1[[#This Row],[Shares]]/Table1[[#This Row],[Multiplier]]</f>
        <v>3.2460000000000004</v>
      </c>
      <c r="N695" s="5">
        <f>Table1[[#This Row],[Close Value]]/Table1[[#This Row],[Shares]]/Table1[[#This Row],[Multiplier]]</f>
        <v>5.0878599999999992</v>
      </c>
      <c r="O695" s="5">
        <f>Table1[[#This Row],[Close Value]]-Table1[[#This Row],[Open Value]]</f>
        <v>3683.7199999999993</v>
      </c>
      <c r="P695" s="3">
        <f>Table1[[#This Row],[PnL]]/Table1[[#This Row],[Open Value]]</f>
        <v>0.56742452248921738</v>
      </c>
      <c r="Q695" s="14">
        <f t="shared" si="11"/>
        <v>-5330.6200000000008</v>
      </c>
      <c r="R695" s="5" t="str">
        <f>TEXT(Table1[[#This Row],[Closing Date]],"yyyy")</f>
        <v>2024</v>
      </c>
      <c r="S695" s="5" t="str">
        <f>TEXT(Table1[[#This Row],[Closing Date]],"mmmm")</f>
        <v>August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45499</v>
      </c>
      <c r="G696" s="7">
        <v>45524</v>
      </c>
      <c r="H696" t="s">
        <v>206</v>
      </c>
      <c r="I696">
        <v>4</v>
      </c>
      <c r="J696" s="5">
        <v>2804</v>
      </c>
      <c r="K696" s="13">
        <v>100</v>
      </c>
      <c r="L696" s="5">
        <v>1473.16</v>
      </c>
      <c r="M696" s="5">
        <f>Table1[[#This Row],[Open Value]]/Table1[[#This Row],[Shares]]/Table1[[#This Row],[Multiplier]]</f>
        <v>7.01</v>
      </c>
      <c r="N696" s="5">
        <f>Table1[[#This Row],[Close Value]]/Table1[[#This Row],[Shares]]/Table1[[#This Row],[Multiplier]]</f>
        <v>3.6829000000000001</v>
      </c>
      <c r="O696" s="5">
        <f>Table1[[#This Row],[Close Value]]-Table1[[#This Row],[Open Value]]</f>
        <v>-1330.84</v>
      </c>
      <c r="P696" s="3">
        <f>Table1[[#This Row],[PnL]]/Table1[[#This Row],[Open Value]]</f>
        <v>-0.47462196861626244</v>
      </c>
      <c r="Q696" s="14">
        <f t="shared" si="11"/>
        <v>-6661.4600000000009</v>
      </c>
      <c r="R696" s="5" t="str">
        <f>TEXT(Table1[[#This Row],[Closing Date]],"yyyy")</f>
        <v>2024</v>
      </c>
      <c r="S696" s="5" t="str">
        <f>TEXT(Table1[[#This Row],[Closing Date]],"mmmm")</f>
        <v>August</v>
      </c>
      <c r="T696" s="5"/>
      <c r="U696" s="5"/>
    </row>
    <row r="697" spans="1:21" x14ac:dyDescent="0.25">
      <c r="A697" t="s">
        <v>318</v>
      </c>
      <c r="B697" t="s">
        <v>201</v>
      </c>
      <c r="C697" t="s">
        <v>303</v>
      </c>
      <c r="D697" t="s">
        <v>12</v>
      </c>
      <c r="E697" t="s">
        <v>7</v>
      </c>
      <c r="F697" s="11">
        <v>45519</v>
      </c>
      <c r="G697" s="7">
        <v>45524</v>
      </c>
      <c r="H697" t="s">
        <v>50</v>
      </c>
      <c r="I697">
        <v>12</v>
      </c>
      <c r="J697" s="5">
        <f>1224660+3447</f>
        <v>1228107</v>
      </c>
      <c r="K697" s="13">
        <v>1000</v>
      </c>
      <c r="L697" s="5">
        <v>1218333.3600000001</v>
      </c>
      <c r="M697" s="5">
        <f>J697/I697/K697</f>
        <v>102.34225000000001</v>
      </c>
      <c r="N697" s="5">
        <f>L697/I697/K697</f>
        <v>101.52778000000001</v>
      </c>
      <c r="O697" s="5">
        <f>L697-J697</f>
        <v>-9773.6399999998976</v>
      </c>
      <c r="P697" s="3">
        <f>O697/J697</f>
        <v>-7.9582967933574979E-3</v>
      </c>
      <c r="Q697" s="14">
        <f t="shared" si="11"/>
        <v>-16435.099999999897</v>
      </c>
      <c r="R697" s="5" t="str">
        <f>TEXT(Table1[[#This Row],[Closing Date]],"yyyy")</f>
        <v>2024</v>
      </c>
      <c r="S697" s="5" t="str">
        <f>TEXT(Table1[[#This Row],[Closing Date]],"mmmm")</f>
        <v>August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303</v>
      </c>
      <c r="D698" t="s">
        <v>102</v>
      </c>
      <c r="E698" t="s">
        <v>7</v>
      </c>
      <c r="F698" s="21">
        <v>45324</v>
      </c>
      <c r="G698" s="7">
        <v>45524</v>
      </c>
      <c r="H698" t="s">
        <v>330</v>
      </c>
      <c r="I698">
        <v>50</v>
      </c>
      <c r="J698" s="5">
        <v>15032.5</v>
      </c>
      <c r="K698" s="13">
        <v>100</v>
      </c>
      <c r="L698" s="5">
        <v>0</v>
      </c>
      <c r="M698" s="5">
        <f>J698/I698/K698</f>
        <v>3.0065</v>
      </c>
      <c r="N698" s="5">
        <f>L698/I698/K698</f>
        <v>0</v>
      </c>
      <c r="O698" s="5">
        <f>L698-J698</f>
        <v>-15032.5</v>
      </c>
      <c r="P698" s="3">
        <f>O698/J698</f>
        <v>-1</v>
      </c>
      <c r="Q698" s="14">
        <f t="shared" si="11"/>
        <v>-31467.599999999897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201</v>
      </c>
      <c r="C699" t="s">
        <v>303</v>
      </c>
      <c r="D699" t="s">
        <v>16</v>
      </c>
      <c r="E699" t="s">
        <v>7</v>
      </c>
      <c r="F699" s="11">
        <v>45432</v>
      </c>
      <c r="G699" s="7">
        <v>45524</v>
      </c>
      <c r="H699" t="s">
        <v>258</v>
      </c>
      <c r="I699">
        <v>5000</v>
      </c>
      <c r="J699" s="5">
        <v>94338.93</v>
      </c>
      <c r="K699" s="13">
        <v>1</v>
      </c>
      <c r="L699" s="5">
        <f>39816.29+52942.45</f>
        <v>92758.739999999991</v>
      </c>
      <c r="M699" s="5">
        <f>Table1[[#This Row],[Open Value]]/Table1[[#This Row],[Shares]]/Table1[[#This Row],[Multiplier]]</f>
        <v>18.867785999999999</v>
      </c>
      <c r="N699" s="5">
        <f>Table1[[#This Row],[Close Value]]/Table1[[#This Row],[Shares]]/Table1[[#This Row],[Multiplier]]</f>
        <v>18.551748</v>
      </c>
      <c r="O699" s="5">
        <f>Table1[[#This Row],[Close Value]]-Table1[[#This Row],[Open Value]]</f>
        <v>-1580.1900000000023</v>
      </c>
      <c r="P699" s="3">
        <f>Table1[[#This Row],[PnL]]/Table1[[#This Row],[Open Value]]</f>
        <v>-1.6750136979505729E-2</v>
      </c>
      <c r="Q699" s="14">
        <f t="shared" si="11"/>
        <v>-33047.789999999899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97</v>
      </c>
      <c r="E700" t="s">
        <v>7</v>
      </c>
      <c r="F700" s="11">
        <v>45510</v>
      </c>
      <c r="G700" s="7">
        <v>45526</v>
      </c>
      <c r="H700" t="s">
        <v>41</v>
      </c>
      <c r="I700">
        <v>20</v>
      </c>
      <c r="J700" s="5">
        <v>7022.41</v>
      </c>
      <c r="K700" s="13">
        <v>100</v>
      </c>
      <c r="L700" s="5">
        <f>4394.68+4423.05</f>
        <v>8817.73</v>
      </c>
      <c r="M700" s="5">
        <f>Table1[[#This Row],[Open Value]]/Table1[[#This Row],[Shares]]/Table1[[#This Row],[Multiplier]]</f>
        <v>3.5112049999999999</v>
      </c>
      <c r="N700" s="5">
        <f>Table1[[#This Row],[Close Value]]/Table1[[#This Row],[Shares]]/Table1[[#This Row],[Multiplier]]</f>
        <v>4.4088649999999996</v>
      </c>
      <c r="O700" s="5">
        <f>Table1[[#This Row],[Close Value]]-Table1[[#This Row],[Open Value]]</f>
        <v>1795.3199999999997</v>
      </c>
      <c r="P700" s="3">
        <f>Table1[[#This Row],[PnL]]/Table1[[#This Row],[Open Value]]</f>
        <v>0.25565582186172547</v>
      </c>
      <c r="Q700" s="14"/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45511</v>
      </c>
      <c r="G701" s="7">
        <v>45527</v>
      </c>
      <c r="H701" t="s">
        <v>133</v>
      </c>
      <c r="I701">
        <v>2</v>
      </c>
      <c r="J701" s="5">
        <v>8880.99</v>
      </c>
      <c r="K701" s="22">
        <v>100</v>
      </c>
      <c r="L701" s="5">
        <f>5879.04+6839.01</f>
        <v>12718.05</v>
      </c>
      <c r="M701" s="5">
        <f>J701/I701/K701</f>
        <v>44.404949999999999</v>
      </c>
      <c r="N701" s="5">
        <f>L701/I701/K701</f>
        <v>63.590249999999997</v>
      </c>
      <c r="O701" s="5">
        <f>L701-J701</f>
        <v>3837.0599999999995</v>
      </c>
      <c r="P701" s="3">
        <f>O701/J701</f>
        <v>0.43205318325997433</v>
      </c>
      <c r="Q701" s="14">
        <f>O701+Q700</f>
        <v>3837.0599999999995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99</v>
      </c>
      <c r="E702" t="s">
        <v>7</v>
      </c>
      <c r="F702" s="11">
        <v>45524</v>
      </c>
      <c r="G702" s="7">
        <v>45531</v>
      </c>
      <c r="H702" t="s">
        <v>133</v>
      </c>
      <c r="I702">
        <v>300</v>
      </c>
      <c r="J702" s="5">
        <v>5303.58</v>
      </c>
      <c r="K702" s="23">
        <v>100</v>
      </c>
      <c r="L702" s="5">
        <v>0</v>
      </c>
      <c r="M702" s="5">
        <f>J702/I702/K702</f>
        <v>0.176786</v>
      </c>
      <c r="N702" s="5">
        <f>L702/I702/K702</f>
        <v>0</v>
      </c>
      <c r="O702" s="5">
        <f>L702-J702</f>
        <v>-5303.58</v>
      </c>
      <c r="P702" s="3">
        <f>O702/J702</f>
        <v>-1</v>
      </c>
      <c r="Q702" s="14">
        <f>O702+Q701</f>
        <v>-1466.5200000000004</v>
      </c>
      <c r="R702" s="5" t="str">
        <f>TEXT(Table1[[#This Row],[Closing Date]],"yyyy")</f>
        <v>2024</v>
      </c>
      <c r="S702" s="5" t="str">
        <f>TEXT(Table1[[#This Row],[Closing Date]],"mmmm")</f>
        <v>August</v>
      </c>
      <c r="T702" s="5"/>
      <c r="U702" s="5"/>
    </row>
    <row r="703" spans="1:21" x14ac:dyDescent="0.25">
      <c r="A703" t="s">
        <v>315</v>
      </c>
      <c r="B703" t="s">
        <v>197</v>
      </c>
      <c r="C703" t="s">
        <v>305</v>
      </c>
      <c r="D703" t="s">
        <v>102</v>
      </c>
      <c r="E703" t="s">
        <v>7</v>
      </c>
      <c r="F703" s="11">
        <v>45407</v>
      </c>
      <c r="G703" s="7">
        <v>45531</v>
      </c>
      <c r="H703" t="s">
        <v>329</v>
      </c>
      <c r="I703">
        <v>50</v>
      </c>
      <c r="J703" s="5">
        <v>28032.5</v>
      </c>
      <c r="K703" s="23">
        <v>100</v>
      </c>
      <c r="L703" s="5">
        <f>21483.15+11171.24+10311.91</f>
        <v>42966.3</v>
      </c>
      <c r="M703" s="5">
        <f>J703/I703/K703</f>
        <v>5.6064999999999996</v>
      </c>
      <c r="N703" s="5">
        <f>L703/I703/K703</f>
        <v>8.5932600000000008</v>
      </c>
      <c r="O703" s="5">
        <f>L703-J703</f>
        <v>14933.800000000003</v>
      </c>
      <c r="P703" s="3">
        <f>O703/J703</f>
        <v>0.53273165076250795</v>
      </c>
      <c r="Q703" s="14">
        <f>O703+Q702</f>
        <v>13467.280000000002</v>
      </c>
      <c r="R703" s="5" t="str">
        <f>TEXT(Table1[[#This Row],[Closing Date]],"yyyy")</f>
        <v>2024</v>
      </c>
      <c r="S703" s="5" t="str">
        <f>TEXT(Table1[[#This Row],[Closing Date]],"mmmm")</f>
        <v>August</v>
      </c>
      <c r="T703" s="5" t="s">
        <v>240</v>
      </c>
      <c r="U703" s="5" t="s">
        <v>203</v>
      </c>
    </row>
    <row r="704" spans="1:21" x14ac:dyDescent="0.25">
      <c r="A704" t="s">
        <v>321</v>
      </c>
      <c r="B704" t="s">
        <v>201</v>
      </c>
      <c r="C704" s="17" t="s">
        <v>303</v>
      </c>
      <c r="D704" t="s">
        <v>12</v>
      </c>
      <c r="E704" t="s">
        <v>7</v>
      </c>
      <c r="F704" s="11">
        <v>45510</v>
      </c>
      <c r="G704" s="7">
        <v>45531</v>
      </c>
      <c r="H704" t="s">
        <v>90</v>
      </c>
      <c r="I704">
        <v>2</v>
      </c>
      <c r="J704" s="5">
        <v>720534.4</v>
      </c>
      <c r="K704" s="23">
        <v>5</v>
      </c>
      <c r="L704" s="5">
        <f>370612.8+390797.8</f>
        <v>761410.6</v>
      </c>
      <c r="M704" s="5">
        <f>Table1[[#This Row],[Open Value]]/Table1[[#This Row],[Shares]]/Table1[[#This Row],[Multiplier]]</f>
        <v>72053.440000000002</v>
      </c>
      <c r="N704" s="5">
        <f>Table1[[#This Row],[Close Value]]/Table1[[#This Row],[Shares]]/Table1[[#This Row],[Multiplier]]</f>
        <v>76141.06</v>
      </c>
      <c r="O704" s="5">
        <f>Table1[[#This Row],[Close Value]]-Table1[[#This Row],[Open Value]]</f>
        <v>40876.199999999953</v>
      </c>
      <c r="P704" s="3">
        <f>Table1[[#This Row],[PnL]]/Table1[[#This Row],[Open Value]]</f>
        <v>5.6730393441312379E-2</v>
      </c>
      <c r="Q704" s="14"/>
      <c r="R704" s="5" t="str">
        <f>TEXT(Table1[[#This Row],[Closing Date]],"yyyy")</f>
        <v>2024</v>
      </c>
      <c r="S704" s="5" t="str">
        <f>TEXT(Table1[[#This Row],[Closing Date]],"mmmm")</f>
        <v>August</v>
      </c>
      <c r="T704" s="5"/>
      <c r="U704" s="5"/>
    </row>
    <row r="705" spans="1:21" x14ac:dyDescent="0.25">
      <c r="A705" t="s">
        <v>319</v>
      </c>
      <c r="B705" t="s">
        <v>201</v>
      </c>
      <c r="C705" t="s">
        <v>303</v>
      </c>
      <c r="D705" t="s">
        <v>12</v>
      </c>
      <c r="E705" t="s">
        <v>7</v>
      </c>
      <c r="F705" s="11">
        <v>45498</v>
      </c>
      <c r="G705" s="7">
        <v>45532</v>
      </c>
      <c r="H705" t="s">
        <v>82</v>
      </c>
      <c r="I705">
        <v>1</v>
      </c>
      <c r="J705" s="5">
        <f>J704+1250</f>
        <v>721784.4</v>
      </c>
      <c r="K705" s="23">
        <v>50</v>
      </c>
      <c r="L705" s="5">
        <v>275779</v>
      </c>
      <c r="M705" s="5">
        <f>Table1[[#This Row],[Open Value]]/Table1[[#This Row],[Shares]]/Table1[[#This Row],[Multiplier]]</f>
        <v>14435.688</v>
      </c>
      <c r="N705" s="5">
        <f>Table1[[#This Row],[Close Value]]/Table1[[#This Row],[Shares]]/Table1[[#This Row],[Multiplier]]</f>
        <v>5515.58</v>
      </c>
      <c r="O705" s="5">
        <f>Table1[[#This Row],[Close Value]]-Table1[[#This Row],[Open Value]]</f>
        <v>-446005.4</v>
      </c>
      <c r="P705" s="3">
        <f>Table1[[#This Row],[PnL]]/Table1[[#This Row],[Open Value]]</f>
        <v>-0.61792053139413927</v>
      </c>
      <c r="Q705" s="14"/>
      <c r="R705" s="5" t="str">
        <f>TEXT(Table1[[#This Row],[Closing Date]],"yyyy")</f>
        <v>2024</v>
      </c>
      <c r="S705" s="5" t="str">
        <f>TEXT(Table1[[#This Row],[Closing Date]],"mmmm")</f>
        <v>August</v>
      </c>
      <c r="T705" s="5"/>
      <c r="U705" s="5"/>
    </row>
    <row r="706" spans="1:21" x14ac:dyDescent="0.25">
      <c r="B706" t="s">
        <v>201</v>
      </c>
      <c r="C706" t="s">
        <v>303</v>
      </c>
      <c r="D706" t="s">
        <v>16</v>
      </c>
      <c r="E706" t="s">
        <v>7</v>
      </c>
      <c r="F706" s="11">
        <v>45511</v>
      </c>
      <c r="G706" s="7">
        <v>45532</v>
      </c>
      <c r="H706" t="s">
        <v>312</v>
      </c>
      <c r="I706">
        <v>1600</v>
      </c>
      <c r="J706" s="5">
        <v>32896</v>
      </c>
      <c r="K706" s="26">
        <v>1</v>
      </c>
      <c r="L706" s="5">
        <f>29.77*600-10.5+29965.34</f>
        <v>47816.84</v>
      </c>
      <c r="M706" s="5">
        <f>Table1[[#This Row],[Open Value]]/Table1[[#This Row],[Shares]]/Table1[[#This Row],[Multiplier]]</f>
        <v>20.56</v>
      </c>
      <c r="N706" s="5">
        <f>Table1[[#This Row],[Close Value]]/Table1[[#This Row],[Shares]]/Table1[[#This Row],[Multiplier]]</f>
        <v>29.885524999999998</v>
      </c>
      <c r="O706" s="5">
        <f>Table1[[#This Row],[Close Value]]-Table1[[#This Row],[Open Value]]</f>
        <v>14920.839999999997</v>
      </c>
      <c r="P706" s="3">
        <f>Table1[[#This Row],[PnL]]/Table1[[#This Row],[Open Value]]</f>
        <v>0.45357611867704267</v>
      </c>
      <c r="Q706" s="14">
        <f>O706+Q705</f>
        <v>14920.839999999997</v>
      </c>
      <c r="R706" s="5" t="str">
        <f>TEXT(Table1[[#This Row],[Closing Date]],"yyyy")</f>
        <v>2024</v>
      </c>
      <c r="S706" s="5" t="str">
        <f>TEXT(Table1[[#This Row],[Closing Date]],"mmmm")</f>
        <v>August</v>
      </c>
      <c r="T706" s="5"/>
      <c r="U706" s="5"/>
    </row>
    <row r="707" spans="1:21" x14ac:dyDescent="0.25">
      <c r="B707" t="s">
        <v>201</v>
      </c>
      <c r="C707" t="s">
        <v>303</v>
      </c>
      <c r="D707" t="s">
        <v>16</v>
      </c>
      <c r="E707" t="s">
        <v>7</v>
      </c>
      <c r="F707" s="11">
        <v>45530</v>
      </c>
      <c r="G707" s="7">
        <v>45532</v>
      </c>
      <c r="H707" t="s">
        <v>328</v>
      </c>
      <c r="I707">
        <v>900</v>
      </c>
      <c r="J707" s="5">
        <f>126180+4154</f>
        <v>130334</v>
      </c>
      <c r="K707" s="26">
        <v>1</v>
      </c>
      <c r="L707" s="5">
        <v>120317.42</v>
      </c>
      <c r="M707" s="5">
        <f>J707/I707/K707</f>
        <v>144.81555555555556</v>
      </c>
      <c r="N707" s="5">
        <f>L707/I707/K707</f>
        <v>133.68602222222222</v>
      </c>
      <c r="O707" s="5">
        <f>L707-J707</f>
        <v>-10016.580000000002</v>
      </c>
      <c r="P707" s="3">
        <f>O707/J707</f>
        <v>-7.6853161876409851E-2</v>
      </c>
      <c r="Q707" s="14">
        <f>O707+Q706</f>
        <v>4904.2599999999948</v>
      </c>
      <c r="R707" s="5" t="str">
        <f>TEXT(Table1[[#This Row],[Closing Date]],"yyyy")</f>
        <v>2024</v>
      </c>
      <c r="S707" s="5" t="str">
        <f>TEXT(Table1[[#This Row],[Closing Date]],"mmmm")</f>
        <v>August</v>
      </c>
      <c r="T707" s="5"/>
      <c r="U707" s="5"/>
    </row>
    <row r="708" spans="1:21" x14ac:dyDescent="0.25">
      <c r="B708" t="s">
        <v>197</v>
      </c>
      <c r="C708" t="s">
        <v>302</v>
      </c>
      <c r="D708" t="s">
        <v>102</v>
      </c>
      <c r="E708" t="s">
        <v>7</v>
      </c>
      <c r="F708" s="11">
        <v>45458</v>
      </c>
      <c r="G708" s="7">
        <v>45534</v>
      </c>
      <c r="H708" t="s">
        <v>156</v>
      </c>
      <c r="I708">
        <v>9</v>
      </c>
      <c r="J708" s="5">
        <v>3608</v>
      </c>
      <c r="K708" s="22">
        <v>100</v>
      </c>
      <c r="L708" s="5">
        <v>5987.54</v>
      </c>
      <c r="M708" s="5">
        <f>J708/I708/K708</f>
        <v>4.0088888888888894</v>
      </c>
      <c r="N708" s="5">
        <f>L708/I708/K708</f>
        <v>6.6528222222222224</v>
      </c>
      <c r="O708" s="5">
        <f>L708-J708</f>
        <v>2379.54</v>
      </c>
      <c r="P708" s="3">
        <f>O708/J708</f>
        <v>0.6595177383592018</v>
      </c>
      <c r="Q708" s="14">
        <f>O708+Q707</f>
        <v>7283.7999999999947</v>
      </c>
      <c r="R708" s="5" t="str">
        <f>TEXT(Table1[[#This Row],[Closing Date]],"yyyy")</f>
        <v>2024</v>
      </c>
      <c r="S708" s="5" t="str">
        <f>TEXT(Table1[[#This Row],[Closing Date]],"mmmm")</f>
        <v>August</v>
      </c>
      <c r="T708" s="5"/>
      <c r="U708" s="5"/>
    </row>
    <row r="709" spans="1:21" x14ac:dyDescent="0.25">
      <c r="B709" t="s">
        <v>201</v>
      </c>
      <c r="C709" t="s">
        <v>303</v>
      </c>
      <c r="D709" t="s">
        <v>16</v>
      </c>
      <c r="E709" t="s">
        <v>7</v>
      </c>
      <c r="F709" s="11">
        <v>45510</v>
      </c>
      <c r="G709" s="7">
        <v>45538</v>
      </c>
      <c r="H709" t="s">
        <v>153</v>
      </c>
      <c r="I709">
        <v>2500</v>
      </c>
      <c r="J709" s="5">
        <f>43884.5+41517</f>
        <v>85401.5</v>
      </c>
      <c r="K709" s="13">
        <v>1</v>
      </c>
      <c r="L709" s="5">
        <f>50919.46+37613.27</f>
        <v>88532.73</v>
      </c>
      <c r="M709" s="5">
        <f>Table1[[#This Row],[Open Value]]/Table1[[#This Row],[Shares]]/Table1[[#This Row],[Multiplier]]</f>
        <v>34.160600000000002</v>
      </c>
      <c r="N709" s="5">
        <f>Table1[[#This Row],[Close Value]]/Table1[[#This Row],[Shares]]/Table1[[#This Row],[Multiplier]]</f>
        <v>35.413091999999999</v>
      </c>
      <c r="O709" s="5">
        <f>Table1[[#This Row],[Close Value]]-Table1[[#This Row],[Open Value]]</f>
        <v>3131.2299999999959</v>
      </c>
      <c r="P709" s="3">
        <f>Table1[[#This Row],[PnL]]/Table1[[#This Row],[Open Value]]</f>
        <v>3.6664812678934164E-2</v>
      </c>
      <c r="Q709" s="14"/>
      <c r="R709" s="5" t="str">
        <f>TEXT(Table1[[#This Row],[Closing Date]],"yyyy")</f>
        <v>2024</v>
      </c>
      <c r="S709" s="5" t="str">
        <f>TEXT(Table1[[#This Row],[Closing Date]],"mmmm")</f>
        <v>September</v>
      </c>
      <c r="T709" s="5"/>
      <c r="U709" s="5"/>
    </row>
    <row r="710" spans="1:21" x14ac:dyDescent="0.25">
      <c r="B710" t="s">
        <v>201</v>
      </c>
      <c r="C710" t="s">
        <v>303</v>
      </c>
      <c r="D710" t="s">
        <v>16</v>
      </c>
      <c r="E710" t="s">
        <v>7</v>
      </c>
      <c r="F710" s="11">
        <v>45530</v>
      </c>
      <c r="G710" s="7">
        <v>45538</v>
      </c>
      <c r="H710" t="s">
        <v>327</v>
      </c>
      <c r="I710">
        <v>320</v>
      </c>
      <c r="J710" s="5">
        <v>110913.60000000001</v>
      </c>
      <c r="K710" s="13">
        <v>1</v>
      </c>
      <c r="L710" s="5">
        <v>105842.76</v>
      </c>
      <c r="M710" s="5">
        <f>J710/I710/K710</f>
        <v>346.60500000000002</v>
      </c>
      <c r="N710" s="5">
        <f>L710/I710/K710</f>
        <v>330.75862499999999</v>
      </c>
      <c r="O710" s="5">
        <f>L710-J710</f>
        <v>-5070.8400000000111</v>
      </c>
      <c r="P710" s="3">
        <f>O710/J710</f>
        <v>-4.571882979183807E-2</v>
      </c>
      <c r="Q710" s="14">
        <f t="shared" ref="Q710:Q741" si="12">O710+Q709</f>
        <v>-5070.8400000000111</v>
      </c>
      <c r="R710" s="5" t="str">
        <f>TEXT(Table1[[#This Row],[Closing Date]],"yyyy")</f>
        <v>2024</v>
      </c>
      <c r="S710" s="5" t="str">
        <f>TEXT(Table1[[#This Row],[Closing Date]],"mmmm")</f>
        <v>September</v>
      </c>
      <c r="T710" s="5"/>
      <c r="U710" s="5"/>
    </row>
    <row r="711" spans="1:21" x14ac:dyDescent="0.25">
      <c r="A711" s="16">
        <v>45583</v>
      </c>
      <c r="B711" t="s">
        <v>201</v>
      </c>
      <c r="C711" t="s">
        <v>303</v>
      </c>
      <c r="D711" t="s">
        <v>16</v>
      </c>
      <c r="E711" t="s">
        <v>7</v>
      </c>
      <c r="F711" s="11">
        <v>45526</v>
      </c>
      <c r="G711" s="7">
        <v>45538</v>
      </c>
      <c r="H711" t="s">
        <v>256</v>
      </c>
      <c r="I711">
        <v>1500</v>
      </c>
      <c r="J711" s="5">
        <v>157140</v>
      </c>
      <c r="K711" s="13">
        <v>1</v>
      </c>
      <c r="L711" s="5">
        <v>139016</v>
      </c>
      <c r="M711" s="5">
        <f>J711/I711/K711</f>
        <v>104.76</v>
      </c>
      <c r="N711" s="5">
        <f>L711/I711/K711</f>
        <v>92.677333333333337</v>
      </c>
      <c r="O711" s="5">
        <f>L711-J711</f>
        <v>-18124</v>
      </c>
      <c r="P711" s="3">
        <f>O711/J711</f>
        <v>-0.11533664248440881</v>
      </c>
      <c r="Q711" s="14">
        <f t="shared" si="12"/>
        <v>-23194.840000000011</v>
      </c>
      <c r="R711" s="5" t="str">
        <f>TEXT(Table1[[#This Row],[Closing Date]],"yyyy")</f>
        <v>2024</v>
      </c>
      <c r="S711" s="5" t="str">
        <f>TEXT(Table1[[#This Row],[Closing Date]],"mmmm")</f>
        <v>September</v>
      </c>
      <c r="T711" s="5"/>
      <c r="U711" s="5"/>
    </row>
    <row r="712" spans="1:21" x14ac:dyDescent="0.25">
      <c r="A712" s="16">
        <v>45531</v>
      </c>
      <c r="B712" t="s">
        <v>201</v>
      </c>
      <c r="C712" t="s">
        <v>303</v>
      </c>
      <c r="D712" t="s">
        <v>12</v>
      </c>
      <c r="E712" t="s">
        <v>7</v>
      </c>
      <c r="F712" s="11">
        <v>45519</v>
      </c>
      <c r="G712" s="7">
        <v>45549</v>
      </c>
      <c r="H712" t="s">
        <v>92</v>
      </c>
      <c r="I712">
        <v>2</v>
      </c>
      <c r="J712" s="5">
        <f>506220+765</f>
        <v>506985</v>
      </c>
      <c r="K712" s="13">
        <v>1000</v>
      </c>
      <c r="L712" s="5">
        <v>519995.06</v>
      </c>
      <c r="M712" s="5">
        <f>Table1[[#This Row],[Open Value]]/Table1[[#This Row],[Shares]]/Table1[[#This Row],[Multiplier]]</f>
        <v>253.49250000000001</v>
      </c>
      <c r="N712" s="5">
        <f>Table1[[#This Row],[Close Value]]/Table1[[#This Row],[Shares]]/Table1[[#This Row],[Multiplier]]</f>
        <v>259.99752999999998</v>
      </c>
      <c r="O712" s="5">
        <f>Table1[[#This Row],[Close Value]]-Table1[[#This Row],[Open Value]]</f>
        <v>13010.059999999998</v>
      </c>
      <c r="P712" s="3">
        <f>Table1[[#This Row],[PnL]]/Table1[[#This Row],[Open Value]]</f>
        <v>2.5661627069834408E-2</v>
      </c>
      <c r="Q712" s="14">
        <f t="shared" si="12"/>
        <v>-10184.780000000013</v>
      </c>
      <c r="R712" s="5" t="str">
        <f>TEXT(Table1[[#This Row],[Closing Date]],"yyyy")</f>
        <v>2024</v>
      </c>
      <c r="S712" s="5" t="str">
        <f>TEXT(Table1[[#This Row],[Closing Date]],"mmmm")</f>
        <v>September</v>
      </c>
      <c r="T712" s="5"/>
      <c r="U712" s="5"/>
    </row>
    <row r="713" spans="1:21" x14ac:dyDescent="0.25">
      <c r="B713" t="s">
        <v>201</v>
      </c>
      <c r="C713" s="17" t="s">
        <v>305</v>
      </c>
      <c r="D713" t="s">
        <v>12</v>
      </c>
      <c r="E713" t="s">
        <v>7</v>
      </c>
      <c r="F713" s="11">
        <v>45525</v>
      </c>
      <c r="G713" s="7">
        <v>45550</v>
      </c>
      <c r="H713" t="s">
        <v>326</v>
      </c>
      <c r="I713">
        <v>80</v>
      </c>
      <c r="J713" s="5">
        <f>157187-23545</f>
        <v>133642</v>
      </c>
      <c r="K713" s="13">
        <v>100</v>
      </c>
      <c r="L713" s="5">
        <f>41990.5+18.69*100*60-15</f>
        <v>154115.5</v>
      </c>
      <c r="M713" s="5">
        <f>Table1[[#This Row],[Open Value]]/Table1[[#This Row],[Shares]]/Table1[[#This Row],[Multiplier]]</f>
        <v>16.705249999999999</v>
      </c>
      <c r="N713" s="5">
        <f>Table1[[#This Row],[Close Value]]/Table1[[#This Row],[Shares]]/Table1[[#This Row],[Multiplier]]</f>
        <v>19.2644375</v>
      </c>
      <c r="O713" s="5">
        <f>Table1[[#This Row],[Close Value]]-Table1[[#This Row],[Open Value]]</f>
        <v>20473.5</v>
      </c>
      <c r="P713" s="3">
        <f>Table1[[#This Row],[PnL]]/Table1[[#This Row],[Open Value]]</f>
        <v>0.15319659987129794</v>
      </c>
      <c r="Q713" s="14">
        <f t="shared" si="12"/>
        <v>10288.719999999987</v>
      </c>
      <c r="R713" s="5" t="str">
        <f>TEXT(Table1[[#This Row],[Closing Date]],"yyyy")</f>
        <v>2024</v>
      </c>
      <c r="S713" s="5" t="str">
        <f>TEXT(Table1[[#This Row],[Closing Date]],"mmmm")</f>
        <v>September</v>
      </c>
      <c r="T713" s="5"/>
      <c r="U713" s="5"/>
    </row>
    <row r="714" spans="1:21" x14ac:dyDescent="0.25">
      <c r="B714" t="s">
        <v>197</v>
      </c>
      <c r="C714" t="s">
        <v>302</v>
      </c>
      <c r="D714" t="s">
        <v>97</v>
      </c>
      <c r="E714" t="s">
        <v>7</v>
      </c>
      <c r="F714" s="11">
        <v>45457</v>
      </c>
      <c r="G714" s="7">
        <v>45555</v>
      </c>
      <c r="H714" t="s">
        <v>96</v>
      </c>
      <c r="I714">
        <v>4</v>
      </c>
      <c r="J714" s="5">
        <v>3406</v>
      </c>
      <c r="K714" s="13">
        <v>100</v>
      </c>
      <c r="L714" s="5">
        <v>88.04</v>
      </c>
      <c r="M714" s="5">
        <f>Table1[[#This Row],[Open Value]]/Table1[[#This Row],[Shares]]/Table1[[#This Row],[Multiplier]]</f>
        <v>8.5150000000000006</v>
      </c>
      <c r="N714" s="5">
        <f>Table1[[#This Row],[Close Value]]/Table1[[#This Row],[Shares]]/Table1[[#This Row],[Multiplier]]</f>
        <v>0.22010000000000002</v>
      </c>
      <c r="O714" s="5">
        <f>Table1[[#This Row],[Close Value]]-Table1[[#This Row],[Open Value]]</f>
        <v>-3317.96</v>
      </c>
      <c r="P714" s="3">
        <f>Table1[[#This Row],[PnL]]/Table1[[#This Row],[Open Value]]</f>
        <v>-0.9741514973576042</v>
      </c>
      <c r="Q714" s="14">
        <f t="shared" si="12"/>
        <v>6970.7599999999866</v>
      </c>
      <c r="R714" s="5" t="str">
        <f>TEXT(Table1[[#This Row],[Closing Date]],"yyyy")</f>
        <v>2024</v>
      </c>
      <c r="S714" s="5" t="str">
        <f>TEXT(Table1[[#This Row],[Closing Date]],"mmmm")</f>
        <v>September</v>
      </c>
      <c r="T714" s="5"/>
      <c r="U714" s="5"/>
    </row>
    <row r="715" spans="1:21" x14ac:dyDescent="0.25">
      <c r="B715" t="s">
        <v>197</v>
      </c>
      <c r="C715" t="s">
        <v>302</v>
      </c>
      <c r="D715" t="s">
        <v>99</v>
      </c>
      <c r="E715" t="s">
        <v>7</v>
      </c>
      <c r="F715" s="11">
        <v>45516</v>
      </c>
      <c r="G715" s="7">
        <v>45555</v>
      </c>
      <c r="H715" t="s">
        <v>322</v>
      </c>
      <c r="I715">
        <v>40</v>
      </c>
      <c r="J715" s="5">
        <v>2187.4699999999998</v>
      </c>
      <c r="K715" s="13">
        <v>100</v>
      </c>
      <c r="L715" s="5">
        <v>0</v>
      </c>
      <c r="M715" s="5">
        <f>Table1[[#This Row],[Open Value]]/Table1[[#This Row],[Shares]]/Table1[[#This Row],[Multiplier]]</f>
        <v>0.54686749999999995</v>
      </c>
      <c r="N715" s="5">
        <f>Table1[[#This Row],[Close Value]]/Table1[[#This Row],[Shares]]/Table1[[#This Row],[Multiplier]]</f>
        <v>0</v>
      </c>
      <c r="O715" s="5">
        <f>Table1[[#This Row],[Close Value]]-Table1[[#This Row],[Open Value]]</f>
        <v>-2187.4699999999998</v>
      </c>
      <c r="P715" s="3">
        <f>Table1[[#This Row],[PnL]]/Table1[[#This Row],[Open Value]]</f>
        <v>-1</v>
      </c>
      <c r="Q715" s="14">
        <f t="shared" si="12"/>
        <v>4783.2899999999863</v>
      </c>
      <c r="R715" s="5" t="str">
        <f>TEXT(Table1[[#This Row],[Closing Date]],"yyyy")</f>
        <v>2024</v>
      </c>
      <c r="S715" s="5" t="str">
        <f>TEXT(Table1[[#This Row],[Closing Date]],"mmmm")</f>
        <v>September</v>
      </c>
      <c r="T715" s="5"/>
      <c r="U715" s="5"/>
    </row>
    <row r="716" spans="1:21" x14ac:dyDescent="0.25">
      <c r="B716" t="s">
        <v>197</v>
      </c>
      <c r="C716" t="s">
        <v>302</v>
      </c>
      <c r="D716" t="s">
        <v>99</v>
      </c>
      <c r="E716" t="s">
        <v>7</v>
      </c>
      <c r="F716" s="11">
        <v>45534</v>
      </c>
      <c r="G716" s="7">
        <v>45555</v>
      </c>
      <c r="H716" t="s">
        <v>206</v>
      </c>
      <c r="I716">
        <v>50</v>
      </c>
      <c r="J716" s="5">
        <v>4022.34</v>
      </c>
      <c r="K716" s="13">
        <v>100</v>
      </c>
      <c r="L716" s="5">
        <f>5672.23</f>
        <v>5672.23</v>
      </c>
      <c r="M716" s="5">
        <f>J716/I716/K716</f>
        <v>0.80446799999999996</v>
      </c>
      <c r="N716" s="5">
        <f>Table1[[#This Row],[Close Value]]/Table1[[#This Row],[Shares]]/Table1[[#This Row],[Multiplier]]</f>
        <v>1.1344459999999998</v>
      </c>
      <c r="O716" s="5">
        <f>Table1[[#This Row],[Close Value]]-Table1[[#This Row],[Open Value]]</f>
        <v>1649.8899999999994</v>
      </c>
      <c r="P716" s="3">
        <f>Table1[[#This Row],[PnL]]/Table1[[#This Row],[Open Value]]</f>
        <v>0.41018163556536724</v>
      </c>
      <c r="Q716" s="14">
        <f t="shared" si="12"/>
        <v>6433.1799999999857</v>
      </c>
      <c r="R716" s="5" t="str">
        <f>TEXT(Table1[[#This Row],[Closing Date]],"yyyy")</f>
        <v>2024</v>
      </c>
      <c r="S716" s="5" t="str">
        <f>TEXT(Table1[[#This Row],[Closing Date]],"mmmm")</f>
        <v>September</v>
      </c>
      <c r="T716" s="5"/>
      <c r="U716" s="5"/>
    </row>
    <row r="717" spans="1:21" x14ac:dyDescent="0.25">
      <c r="B717" s="18" t="s">
        <v>201</v>
      </c>
      <c r="C717" s="17" t="s">
        <v>303</v>
      </c>
      <c r="D717" s="17" t="s">
        <v>16</v>
      </c>
      <c r="E717" s="17" t="s">
        <v>7</v>
      </c>
      <c r="F717" s="19">
        <v>45539</v>
      </c>
      <c r="G717" s="7">
        <v>45555</v>
      </c>
      <c r="H717" t="s">
        <v>312</v>
      </c>
      <c r="I717">
        <v>3500</v>
      </c>
      <c r="J717" s="5">
        <v>103250</v>
      </c>
      <c r="K717" s="13">
        <v>1</v>
      </c>
      <c r="L717" s="5">
        <f>35500-23.65+65873.32</f>
        <v>101349.67000000001</v>
      </c>
      <c r="M717" s="5">
        <f>J717/I717/K717</f>
        <v>29.5</v>
      </c>
      <c r="N717" s="5">
        <f>Table1[[#This Row],[Close Value]]/Table1[[#This Row],[Shares]]/Table1[[#This Row],[Multiplier]]</f>
        <v>28.957048571428576</v>
      </c>
      <c r="O717" s="5">
        <f>Table1[[#This Row],[Close Value]]-Table1[[#This Row],[Open Value]]</f>
        <v>-1900.3299999999872</v>
      </c>
      <c r="P717" s="3">
        <f>Table1[[#This Row],[PnL]]/Table1[[#This Row],[Open Value]]</f>
        <v>-1.840513317191271E-2</v>
      </c>
      <c r="Q717" s="14">
        <f t="shared" si="12"/>
        <v>4532.8499999999985</v>
      </c>
      <c r="R717" s="5" t="str">
        <f>TEXT(Table1[[#This Row],[Closing Date]],"yyyy")</f>
        <v>2024</v>
      </c>
      <c r="S717" s="5" t="str">
        <f>TEXT(Table1[[#This Row],[Closing Date]],"mmmm")</f>
        <v>September</v>
      </c>
      <c r="T717" s="5"/>
      <c r="U717" s="5"/>
    </row>
    <row r="718" spans="1:21" x14ac:dyDescent="0.25">
      <c r="B718" t="s">
        <v>197</v>
      </c>
      <c r="C718" t="s">
        <v>302</v>
      </c>
      <c r="D718" t="s">
        <v>99</v>
      </c>
      <c r="E718" t="s">
        <v>7</v>
      </c>
      <c r="F718" s="11">
        <v>45547</v>
      </c>
      <c r="G718" s="7">
        <v>45555</v>
      </c>
      <c r="H718" t="s">
        <v>15</v>
      </c>
      <c r="I718">
        <v>100</v>
      </c>
      <c r="J718" s="5">
        <v>1168.6199999999999</v>
      </c>
      <c r="K718" s="13">
        <v>100</v>
      </c>
      <c r="L718" s="5">
        <v>0</v>
      </c>
      <c r="M718" s="5">
        <f>Table1[[#This Row],[Open Value]]/Table1[[#This Row],[Shares]]/Table1[[#This Row],[Multiplier]]</f>
        <v>0.11686199999999999</v>
      </c>
      <c r="N718" s="5">
        <f>Table1[[#This Row],[Close Value]]/Table1[[#This Row],[Shares]]/Table1[[#This Row],[Multiplier]]</f>
        <v>0</v>
      </c>
      <c r="O718" s="5">
        <f>Table1[[#This Row],[Close Value]]-Table1[[#This Row],[Open Value]]</f>
        <v>-1168.6199999999999</v>
      </c>
      <c r="P718" s="3">
        <f>Table1[[#This Row],[PnL]]/Table1[[#This Row],[Open Value]]</f>
        <v>-1</v>
      </c>
      <c r="Q718" s="14">
        <f t="shared" si="12"/>
        <v>3364.2299999999987</v>
      </c>
      <c r="R718" s="5" t="str">
        <f>TEXT(Table1[[#This Row],[Closing Date]],"yyyy")</f>
        <v>2024</v>
      </c>
      <c r="S718" s="5" t="str">
        <f>TEXT(Table1[[#This Row],[Closing Date]],"mmmm")</f>
        <v>September</v>
      </c>
      <c r="T718" s="5"/>
      <c r="U718" s="5"/>
    </row>
    <row r="719" spans="1:21" x14ac:dyDescent="0.25">
      <c r="A719" s="16">
        <v>45562</v>
      </c>
      <c r="B719" t="s">
        <v>197</v>
      </c>
      <c r="C719" t="s">
        <v>302</v>
      </c>
      <c r="D719" t="s">
        <v>99</v>
      </c>
      <c r="E719" t="s">
        <v>7</v>
      </c>
      <c r="F719" s="21">
        <v>45547</v>
      </c>
      <c r="G719" s="7">
        <v>45555</v>
      </c>
      <c r="H719" t="s">
        <v>15</v>
      </c>
      <c r="I719">
        <v>100</v>
      </c>
      <c r="J719" s="5">
        <v>3809.39</v>
      </c>
      <c r="K719" s="13">
        <v>100</v>
      </c>
      <c r="L719" s="5">
        <v>1</v>
      </c>
      <c r="M719" s="5">
        <f>Table1[[#This Row],[Open Value]]/Table1[[#This Row],[Shares]]/Table1[[#This Row],[Multiplier]]</f>
        <v>0.38093899999999997</v>
      </c>
      <c r="N719" s="5">
        <f>Table1[[#This Row],[Close Value]]/Table1[[#This Row],[Shares]]/Table1[[#This Row],[Multiplier]]</f>
        <v>1E-4</v>
      </c>
      <c r="O719" s="5">
        <f>Table1[[#This Row],[Close Value]]-Table1[[#This Row],[Open Value]]</f>
        <v>-3808.39</v>
      </c>
      <c r="P719" s="3">
        <f>Table1[[#This Row],[PnL]]/Table1[[#This Row],[Open Value]]</f>
        <v>-0.99973749077936358</v>
      </c>
      <c r="Q719" s="14">
        <f t="shared" si="12"/>
        <v>-444.16000000000122</v>
      </c>
      <c r="R719" s="5" t="str">
        <f>TEXT(Table1[[#This Row],[Closing Date]],"yyyy")</f>
        <v>2024</v>
      </c>
      <c r="S719" s="5" t="str">
        <f>TEXT(Table1[[#This Row],[Closing Date]],"mmmm")</f>
        <v>September</v>
      </c>
      <c r="T719" s="5"/>
      <c r="U719" s="5"/>
    </row>
    <row r="720" spans="1:21" x14ac:dyDescent="0.25">
      <c r="B720" t="s">
        <v>197</v>
      </c>
      <c r="C720" s="17" t="s">
        <v>302</v>
      </c>
      <c r="D720" s="17" t="s">
        <v>99</v>
      </c>
      <c r="E720" s="17" t="s">
        <v>7</v>
      </c>
      <c r="F720" s="11">
        <v>45555</v>
      </c>
      <c r="G720" s="7">
        <v>45555</v>
      </c>
      <c r="H720" t="s">
        <v>177</v>
      </c>
      <c r="I720">
        <v>100</v>
      </c>
      <c r="J720" s="5">
        <v>5514.67</v>
      </c>
      <c r="K720" s="13">
        <v>100</v>
      </c>
      <c r="L720" s="5">
        <f>Table1[[#This Row],[Open Value]]-1142</f>
        <v>4372.67</v>
      </c>
      <c r="N720" s="5"/>
      <c r="Q720" s="14">
        <f t="shared" si="12"/>
        <v>-444.16000000000122</v>
      </c>
      <c r="R720" s="5" t="str">
        <f>TEXT(Table1[[#This Row],[Closing Date]],"yyyy")</f>
        <v>2024</v>
      </c>
      <c r="S720" s="5" t="str">
        <f>TEXT(Table1[[#This Row],[Closing Date]],"mmmm")</f>
        <v>September</v>
      </c>
      <c r="T720" s="5"/>
      <c r="U720" s="5"/>
    </row>
    <row r="721" spans="2:21" x14ac:dyDescent="0.25">
      <c r="B721" t="s">
        <v>201</v>
      </c>
      <c r="C721" t="s">
        <v>303</v>
      </c>
      <c r="D721" t="s">
        <v>16</v>
      </c>
      <c r="E721" t="s">
        <v>7</v>
      </c>
      <c r="F721" s="11">
        <v>45559</v>
      </c>
      <c r="G721" s="7">
        <v>45560</v>
      </c>
      <c r="H721" t="s">
        <v>168</v>
      </c>
      <c r="I721">
        <v>3333</v>
      </c>
      <c r="J721" s="5">
        <v>91052</v>
      </c>
      <c r="K721" s="13">
        <v>1</v>
      </c>
      <c r="L721" s="5">
        <f>Table1[[#This Row],[Open Value]]+633.53</f>
        <v>91685.53</v>
      </c>
      <c r="M721" s="5">
        <f>Table1[[#This Row],[Open Value]]/Table1[[#This Row],[Shares]]/Table1[[#This Row],[Multiplier]]</f>
        <v>27.318331833183318</v>
      </c>
      <c r="N721" s="5">
        <f>Table1[[#This Row],[Close Value]]/Table1[[#This Row],[Shares]]/Table1[[#This Row],[Multiplier]]</f>
        <v>27.508409840984097</v>
      </c>
      <c r="O721" s="5">
        <f>Table1[[#This Row],[Close Value]]-Table1[[#This Row],[Open Value]]</f>
        <v>633.52999999999884</v>
      </c>
      <c r="P721" s="3">
        <f>Table1[[#This Row],[PnL]]/Table1[[#This Row],[Open Value]]</f>
        <v>6.957892193471849E-3</v>
      </c>
      <c r="Q721" s="14">
        <f t="shared" si="12"/>
        <v>189.36999999999762</v>
      </c>
      <c r="R721" s="5" t="str">
        <f>TEXT(Table1[[#This Row],[Closing Date]],"yyyy")</f>
        <v>2024</v>
      </c>
      <c r="S721" s="5" t="str">
        <f>TEXT(Table1[[#This Row],[Closing Date]],"mmmm")</f>
        <v>September</v>
      </c>
      <c r="T721" s="5"/>
      <c r="U721" s="5"/>
    </row>
    <row r="722" spans="2:21" x14ac:dyDescent="0.25">
      <c r="B722" t="s">
        <v>197</v>
      </c>
      <c r="C722" t="s">
        <v>302</v>
      </c>
      <c r="D722" t="s">
        <v>99</v>
      </c>
      <c r="E722" t="s">
        <v>7</v>
      </c>
      <c r="F722" s="21">
        <v>45540</v>
      </c>
      <c r="G722" s="7">
        <v>45562</v>
      </c>
      <c r="H722" t="s">
        <v>105</v>
      </c>
      <c r="I722">
        <v>12</v>
      </c>
      <c r="J722" s="25">
        <f>Table1[[#This Row],[Shares]]*Table1[[#This Row],[Multiplier]]*4.25</f>
        <v>5100</v>
      </c>
      <c r="K722" s="26">
        <v>100</v>
      </c>
      <c r="L722" s="25">
        <f>Table1[[#This Row],[Multiplier]]*5.6*4</f>
        <v>2240</v>
      </c>
      <c r="M722" s="5">
        <f>J722/I722/K722</f>
        <v>4.25</v>
      </c>
      <c r="N722" s="5">
        <f>Table1[[#This Row],[Close Value]]/Table1[[#This Row],[Shares]]/Table1[[#This Row],[Multiplier]]</f>
        <v>1.8666666666666665</v>
      </c>
      <c r="O722" s="5">
        <f>Table1[[#This Row],[Close Value]]-Table1[[#This Row],[Open Value]]</f>
        <v>-2860</v>
      </c>
      <c r="P722" s="3">
        <f>Table1[[#This Row],[PnL]]/Table1[[#This Row],[Open Value]]</f>
        <v>-0.5607843137254902</v>
      </c>
      <c r="Q722" s="27">
        <f t="shared" si="12"/>
        <v>-2670.6300000000024</v>
      </c>
      <c r="R722" s="25" t="str">
        <f>TEXT(Table1[[#This Row],[Closing Date]],"yyyy")</f>
        <v>2024</v>
      </c>
      <c r="S722" s="25" t="str">
        <f>TEXT(Table1[[#This Row],[Closing Date]],"mmmm")</f>
        <v>September</v>
      </c>
      <c r="T722" s="25"/>
      <c r="U722" s="25"/>
    </row>
    <row r="723" spans="2:21" x14ac:dyDescent="0.25">
      <c r="B723" t="s">
        <v>197</v>
      </c>
      <c r="C723" s="24" t="s">
        <v>302</v>
      </c>
      <c r="D723" s="24" t="s">
        <v>99</v>
      </c>
      <c r="E723" s="24" t="s">
        <v>7</v>
      </c>
      <c r="F723" s="11">
        <v>45555</v>
      </c>
      <c r="G723" s="7">
        <v>45562</v>
      </c>
      <c r="H723" t="s">
        <v>105</v>
      </c>
      <c r="I723">
        <v>200</v>
      </c>
      <c r="J723" s="5">
        <v>5514.67</v>
      </c>
      <c r="K723" s="13">
        <v>100</v>
      </c>
      <c r="L723" s="5">
        <v>0</v>
      </c>
      <c r="M723" s="5">
        <f>Table1[[#This Row],[Open Value]]/Table1[[#This Row],[Shares]]/Table1[[#This Row],[Multiplier]]</f>
        <v>0.27573350000000002</v>
      </c>
      <c r="N723" s="5">
        <f>Table1[[#This Row],[Close Value]]/Table1[[#This Row],[Shares]]/Table1[[#This Row],[Multiplier]]</f>
        <v>0</v>
      </c>
      <c r="O723" s="5">
        <f>Table1[[#This Row],[Close Value]]-Table1[[#This Row],[Open Value]]</f>
        <v>-5514.67</v>
      </c>
      <c r="P723" s="3">
        <f>Table1[[#This Row],[PnL]]/Table1[[#This Row],[Open Value]]</f>
        <v>-1</v>
      </c>
      <c r="Q723" s="14">
        <f t="shared" si="12"/>
        <v>-8185.3000000000029</v>
      </c>
      <c r="R723" s="5" t="str">
        <f>TEXT(Table1[[#This Row],[Closing Date]],"yyyy")</f>
        <v>2024</v>
      </c>
      <c r="S723" s="5" t="str">
        <f>TEXT(Table1[[#This Row],[Closing Date]],"mmmm")</f>
        <v>September</v>
      </c>
      <c r="T723" s="5"/>
      <c r="U723" s="5"/>
    </row>
    <row r="724" spans="2:21" x14ac:dyDescent="0.25">
      <c r="B724" t="s">
        <v>201</v>
      </c>
      <c r="C724" t="s">
        <v>303</v>
      </c>
      <c r="D724" t="s">
        <v>16</v>
      </c>
      <c r="E724" t="s">
        <v>7</v>
      </c>
      <c r="F724" s="11">
        <v>45560</v>
      </c>
      <c r="G724" s="7">
        <v>45562</v>
      </c>
      <c r="H724" t="s">
        <v>333</v>
      </c>
      <c r="I724">
        <v>5000</v>
      </c>
      <c r="J724" s="5">
        <f>103940.31+11564</f>
        <v>115504.31</v>
      </c>
      <c r="K724" s="13">
        <v>1</v>
      </c>
      <c r="L724" s="5">
        <v>103940.31</v>
      </c>
      <c r="M724" s="5">
        <f>Table1[[#This Row],[Open Value]]/Table1[[#This Row],[Shares]]/Table1[[#This Row],[Multiplier]]</f>
        <v>23.100861999999999</v>
      </c>
      <c r="N724" s="5">
        <f>Table1[[#This Row],[Close Value]]/Table1[[#This Row],[Shares]]/Table1[[#This Row],[Multiplier]]</f>
        <v>20.788062</v>
      </c>
      <c r="O724" s="5">
        <f>Table1[[#This Row],[Close Value]]-Table1[[#This Row],[Open Value]]</f>
        <v>-11564</v>
      </c>
      <c r="P724" s="3">
        <f>Table1[[#This Row],[PnL]]/Table1[[#This Row],[Open Value]]</f>
        <v>-0.100117476135739</v>
      </c>
      <c r="Q724" s="14">
        <f t="shared" si="12"/>
        <v>-19749.300000000003</v>
      </c>
      <c r="R724" s="5" t="str">
        <f>TEXT(Table1[[#This Row],[Closing Date]],"yyyy")</f>
        <v>2024</v>
      </c>
      <c r="S724" s="5" t="str">
        <f>TEXT(Table1[[#This Row],[Closing Date]],"mmmm")</f>
        <v>September</v>
      </c>
      <c r="T724" s="5"/>
      <c r="U724" s="5"/>
    </row>
    <row r="725" spans="2:21" x14ac:dyDescent="0.25">
      <c r="B725" t="s">
        <v>197</v>
      </c>
      <c r="C725" t="s">
        <v>302</v>
      </c>
      <c r="D725" t="s">
        <v>99</v>
      </c>
      <c r="E725" t="s">
        <v>7</v>
      </c>
      <c r="F725" s="11">
        <v>45560</v>
      </c>
      <c r="G725" s="7">
        <v>45566</v>
      </c>
      <c r="H725" t="s">
        <v>10</v>
      </c>
      <c r="I725">
        <v>150</v>
      </c>
      <c r="J725" s="5">
        <v>4902.5</v>
      </c>
      <c r="K725" s="13">
        <v>100</v>
      </c>
      <c r="L725" s="5">
        <v>0</v>
      </c>
      <c r="M725" s="5">
        <f>Table1[[#This Row],[Open Value]]/Table1[[#This Row],[Shares]]/Table1[[#This Row],[Multiplier]]</f>
        <v>0.32683333333333331</v>
      </c>
      <c r="N725" s="5">
        <f>Table1[[#This Row],[Close Value]]/Table1[[#This Row],[Shares]]/Table1[[#This Row],[Multiplier]]</f>
        <v>0</v>
      </c>
      <c r="O725" s="5">
        <f>Table1[[#This Row],[Close Value]]-Table1[[#This Row],[Open Value]]</f>
        <v>-4902.5</v>
      </c>
      <c r="P725" s="3">
        <f>Table1[[#This Row],[PnL]]/Table1[[#This Row],[Open Value]]</f>
        <v>-1</v>
      </c>
      <c r="Q725" s="14">
        <f t="shared" si="12"/>
        <v>-24651.800000000003</v>
      </c>
      <c r="R725" s="5" t="str">
        <f>TEXT(Table1[[#This Row],[Closing Date]],"yyyy")</f>
        <v>2024</v>
      </c>
      <c r="S725" s="5" t="str">
        <f>TEXT(Table1[[#This Row],[Closing Date]],"mmmm")</f>
        <v>October</v>
      </c>
      <c r="T725" s="5"/>
      <c r="U725" s="5"/>
    </row>
    <row r="726" spans="2:21" x14ac:dyDescent="0.25">
      <c r="B726" t="s">
        <v>201</v>
      </c>
      <c r="C726" t="s">
        <v>303</v>
      </c>
      <c r="D726" t="s">
        <v>12</v>
      </c>
      <c r="E726" t="s">
        <v>7</v>
      </c>
      <c r="F726" s="11">
        <v>45562</v>
      </c>
      <c r="G726" s="7">
        <v>45566</v>
      </c>
      <c r="H726" t="s">
        <v>89</v>
      </c>
      <c r="I726">
        <v>3</v>
      </c>
      <c r="J726" s="5">
        <v>339156.6</v>
      </c>
      <c r="K726" s="13">
        <v>50</v>
      </c>
      <c r="L726" s="5">
        <v>333353.40000000002</v>
      </c>
      <c r="M726" s="5">
        <f>Table1[[#This Row],[Open Value]]/Table1[[#This Row],[Shares]]/Table1[[#This Row],[Multiplier]]</f>
        <v>2261.0439999999999</v>
      </c>
      <c r="N726" s="5">
        <f>Table1[[#This Row],[Close Value]]/Table1[[#This Row],[Shares]]/Table1[[#This Row],[Multiplier]]</f>
        <v>2222.3560000000002</v>
      </c>
      <c r="O726" s="5">
        <f>Table1[[#This Row],[Close Value]]-Table1[[#This Row],[Open Value]]</f>
        <v>-5803.1999999999534</v>
      </c>
      <c r="P726" s="3">
        <f>Table1[[#This Row],[PnL]]/Table1[[#This Row],[Open Value]]</f>
        <v>-1.7110679845239497E-2</v>
      </c>
      <c r="Q726" s="14">
        <f t="shared" si="12"/>
        <v>-30454.999999999956</v>
      </c>
      <c r="R726" s="5" t="str">
        <f>TEXT(Table1[[#This Row],[Closing Date]],"yyyy")</f>
        <v>2024</v>
      </c>
      <c r="S726" s="5" t="str">
        <f>TEXT(Table1[[#This Row],[Closing Date]],"mmmm")</f>
        <v>October</v>
      </c>
      <c r="T726" s="5"/>
      <c r="U726" s="5"/>
    </row>
    <row r="727" spans="2:21" x14ac:dyDescent="0.25">
      <c r="B727" t="s">
        <v>201</v>
      </c>
      <c r="C727" t="s">
        <v>303</v>
      </c>
      <c r="D727" t="s">
        <v>16</v>
      </c>
      <c r="E727" t="s">
        <v>7</v>
      </c>
      <c r="F727" s="11">
        <v>45560</v>
      </c>
      <c r="G727" s="7">
        <v>45567</v>
      </c>
      <c r="H727" t="s">
        <v>217</v>
      </c>
      <c r="I727">
        <v>610</v>
      </c>
      <c r="J727" s="5">
        <v>87428.5</v>
      </c>
      <c r="K727" s="13">
        <v>1</v>
      </c>
      <c r="L727" s="5">
        <v>82164.62</v>
      </c>
      <c r="M727" s="5">
        <f>Table1[[#This Row],[Open Value]]/Table1[[#This Row],[Shares]]/Table1[[#This Row],[Multiplier]]</f>
        <v>143.32540983606557</v>
      </c>
      <c r="N727" s="5">
        <f>Table1[[#This Row],[Close Value]]/Table1[[#This Row],[Shares]]/Table1[[#This Row],[Multiplier]]</f>
        <v>134.69609836065572</v>
      </c>
      <c r="O727" s="5">
        <f>Table1[[#This Row],[Close Value]]-Table1[[#This Row],[Open Value]]</f>
        <v>-5263.8800000000047</v>
      </c>
      <c r="P727" s="3">
        <f>Table1[[#This Row],[PnL]]/Table1[[#This Row],[Open Value]]</f>
        <v>-6.0207826967178947E-2</v>
      </c>
      <c r="Q727" s="14">
        <f t="shared" si="12"/>
        <v>-35718.879999999961</v>
      </c>
      <c r="R727" s="5" t="str">
        <f>TEXT(Table1[[#This Row],[Closing Date]],"yyyy")</f>
        <v>2024</v>
      </c>
      <c r="S727" s="5" t="str">
        <f>TEXT(Table1[[#This Row],[Closing Date]],"mmmm")</f>
        <v>October</v>
      </c>
      <c r="T727" s="5"/>
      <c r="U727" s="5"/>
    </row>
    <row r="728" spans="2:21" x14ac:dyDescent="0.25">
      <c r="B728" t="s">
        <v>197</v>
      </c>
      <c r="C728" t="s">
        <v>305</v>
      </c>
      <c r="D728" t="s">
        <v>16</v>
      </c>
      <c r="E728" t="s">
        <v>7</v>
      </c>
      <c r="F728" s="11">
        <v>46444</v>
      </c>
      <c r="G728" s="7">
        <v>45572</v>
      </c>
      <c r="H728" t="s">
        <v>210</v>
      </c>
      <c r="I728">
        <v>16</v>
      </c>
      <c r="J728" s="5">
        <v>29290.400000000001</v>
      </c>
      <c r="K728" s="13">
        <v>100</v>
      </c>
      <c r="L728" s="5">
        <v>71827.600000000006</v>
      </c>
      <c r="M728" s="5">
        <f>Table1[[#This Row],[Open Value]]/Table1[[#This Row],[Shares]]/Table1[[#This Row],[Multiplier]]</f>
        <v>18.3065</v>
      </c>
      <c r="N728" s="5">
        <f>Table1[[#This Row],[Close Value]]/Table1[[#This Row],[Shares]]/Table1[[#This Row],[Multiplier]]</f>
        <v>44.892250000000004</v>
      </c>
      <c r="O728" s="5">
        <f>Table1[[#This Row],[Close Value]]-Table1[[#This Row],[Open Value]]</f>
        <v>42537.200000000004</v>
      </c>
      <c r="P728" s="3">
        <f>Table1[[#This Row],[PnL]]/Table1[[#This Row],[Open Value]]</f>
        <v>1.4522573949143747</v>
      </c>
      <c r="Q728" s="14">
        <f t="shared" si="12"/>
        <v>6818.3200000000434</v>
      </c>
      <c r="R728" s="5" t="str">
        <f>TEXT(Table1[[#This Row],[Closing Date]],"yyyy")</f>
        <v>2024</v>
      </c>
      <c r="S728" s="5" t="str">
        <f>TEXT(Table1[[#This Row],[Closing Date]],"mmmm")</f>
        <v>October</v>
      </c>
      <c r="T728" s="5"/>
      <c r="U728" s="5"/>
    </row>
    <row r="729" spans="2:21" x14ac:dyDescent="0.25">
      <c r="B729" t="s">
        <v>197</v>
      </c>
      <c r="C729" t="s">
        <v>303</v>
      </c>
      <c r="D729" t="s">
        <v>102</v>
      </c>
      <c r="E729" t="s">
        <v>7</v>
      </c>
      <c r="F729" s="11">
        <v>45539</v>
      </c>
      <c r="G729" s="7">
        <v>45574</v>
      </c>
      <c r="H729" t="s">
        <v>37</v>
      </c>
      <c r="I729">
        <v>6</v>
      </c>
      <c r="J729" s="5">
        <v>5104.13</v>
      </c>
      <c r="K729" s="13">
        <v>100</v>
      </c>
      <c r="L729" s="5">
        <v>5443.61</v>
      </c>
      <c r="M729" s="5">
        <f>J729/I729/K729</f>
        <v>8.5068833333333345</v>
      </c>
      <c r="N729" s="5">
        <f>Table1[[#This Row],[Close Value]]/Table1[[#This Row],[Shares]]/Table1[[#This Row],[Multiplier]]</f>
        <v>9.0726833333333339</v>
      </c>
      <c r="O729" s="5">
        <f>Table1[[#This Row],[Close Value]]-Table1[[#This Row],[Open Value]]</f>
        <v>339.47999999999956</v>
      </c>
      <c r="P729" s="3">
        <f>Table1[[#This Row],[PnL]]/Table1[[#This Row],[Open Value]]</f>
        <v>6.6510845139132344E-2</v>
      </c>
      <c r="Q729" s="14">
        <f t="shared" si="12"/>
        <v>7157.8000000000429</v>
      </c>
      <c r="R729" s="5" t="str">
        <f>TEXT(Table1[[#This Row],[Closing Date]],"yyyy")</f>
        <v>2024</v>
      </c>
      <c r="S729" s="5" t="str">
        <f>TEXT(Table1[[#This Row],[Closing Date]],"mmmm")</f>
        <v>October</v>
      </c>
      <c r="T729" s="5"/>
      <c r="U729" s="5"/>
    </row>
    <row r="730" spans="2:21" x14ac:dyDescent="0.25">
      <c r="B730" t="s">
        <v>201</v>
      </c>
      <c r="C730" t="s">
        <v>302</v>
      </c>
      <c r="D730" t="s">
        <v>12</v>
      </c>
      <c r="E730" t="s">
        <v>5</v>
      </c>
      <c r="F730" s="11">
        <v>45546</v>
      </c>
      <c r="G730" s="7">
        <v>45575</v>
      </c>
      <c r="H730" t="s">
        <v>82</v>
      </c>
      <c r="I730">
        <v>2</v>
      </c>
      <c r="J730" s="5">
        <v>553795.5</v>
      </c>
      <c r="K730" s="13">
        <v>50</v>
      </c>
      <c r="L730" s="5">
        <f>Table1[[#This Row],[Open Value]]+Table1[[#This Row],[PnL]]</f>
        <v>530707.5</v>
      </c>
      <c r="M730" s="5">
        <f>Table1[[#This Row],[Open Value]]/Table1[[#This Row],[Shares]]/Table1[[#This Row],[Multiplier]]</f>
        <v>5537.9549999999999</v>
      </c>
      <c r="N730" s="5">
        <f>Table1[[#This Row],[Close Value]]/Table1[[#This Row],[Shares]]/Table1[[#This Row],[Multiplier]]</f>
        <v>5307.0749999999998</v>
      </c>
      <c r="O730" s="5">
        <f>-16204-6884</f>
        <v>-23088</v>
      </c>
      <c r="P730" s="3">
        <f>Table1[[#This Row],[PnL]]/Table1[[#This Row],[Open Value]]</f>
        <v>-4.1690479608447524E-2</v>
      </c>
      <c r="Q730" s="14">
        <f t="shared" si="12"/>
        <v>-15930.199999999957</v>
      </c>
      <c r="R730" s="5" t="str">
        <f>TEXT(Table1[[#This Row],[Closing Date]],"yyyy")</f>
        <v>2024</v>
      </c>
      <c r="S730" s="5" t="str">
        <f>TEXT(Table1[[#This Row],[Closing Date]],"mmmm")</f>
        <v>October</v>
      </c>
      <c r="T730" s="5"/>
      <c r="U730" s="5"/>
    </row>
    <row r="731" spans="2:21" x14ac:dyDescent="0.25">
      <c r="B731" t="s">
        <v>197</v>
      </c>
      <c r="C731" t="s">
        <v>302</v>
      </c>
      <c r="D731" t="s">
        <v>98</v>
      </c>
      <c r="E731" t="s">
        <v>7</v>
      </c>
      <c r="F731" s="11">
        <v>45551</v>
      </c>
      <c r="G731" s="7">
        <v>45576</v>
      </c>
      <c r="H731" t="s">
        <v>332</v>
      </c>
      <c r="I731">
        <v>100</v>
      </c>
      <c r="J731" s="5">
        <v>4841.49</v>
      </c>
      <c r="K731" s="13">
        <v>100</v>
      </c>
      <c r="L731" s="5">
        <f>1779.4+2745.91+1788.67+7124.55</f>
        <v>13438.529999999999</v>
      </c>
      <c r="M731" s="5">
        <f>Table1[[#This Row],[Open Value]]/Table1[[#This Row],[Shares]]/Table1[[#This Row],[Multiplier]]</f>
        <v>0.48414899999999994</v>
      </c>
      <c r="N731" s="5">
        <f>Table1[[#This Row],[Close Value]]/Table1[[#This Row],[Shares]]/Table1[[#This Row],[Multiplier]]</f>
        <v>1.343853</v>
      </c>
      <c r="O731" s="5">
        <f>Table1[[#This Row],[Close Value]]-Table1[[#This Row],[Open Value]]</f>
        <v>8597.0399999999991</v>
      </c>
      <c r="P731" s="3">
        <f>Table1[[#This Row],[PnL]]/Table1[[#This Row],[Open Value]]</f>
        <v>1.7757012820433378</v>
      </c>
      <c r="Q731" s="14">
        <f t="shared" si="12"/>
        <v>-7333.159999999958</v>
      </c>
      <c r="R731" s="5" t="str">
        <f>TEXT(Table1[[#This Row],[Closing Date]],"yyyy")</f>
        <v>2024</v>
      </c>
      <c r="S731" s="5" t="str">
        <f>TEXT(Table1[[#This Row],[Closing Date]],"mmmm")</f>
        <v>October</v>
      </c>
      <c r="T731" s="5"/>
      <c r="U731" s="5"/>
    </row>
    <row r="732" spans="2:21" x14ac:dyDescent="0.25">
      <c r="B732" t="s">
        <v>197</v>
      </c>
      <c r="C732" t="s">
        <v>303</v>
      </c>
      <c r="D732" t="s">
        <v>102</v>
      </c>
      <c r="E732" t="s">
        <v>7</v>
      </c>
      <c r="F732" s="11">
        <v>45307</v>
      </c>
      <c r="G732" s="7">
        <v>45580</v>
      </c>
      <c r="H732" t="s">
        <v>339</v>
      </c>
      <c r="I732">
        <v>120</v>
      </c>
      <c r="J732" s="5">
        <v>30078</v>
      </c>
      <c r="K732" s="13">
        <v>100</v>
      </c>
      <c r="L732" s="5">
        <v>46720.7</v>
      </c>
      <c r="M732" s="5">
        <f>Table1[[#This Row],[Open Value]]/Table1[[#This Row],[Shares]]/Table1[[#This Row],[Multiplier]]</f>
        <v>2.5065</v>
      </c>
      <c r="N732" s="5">
        <f>Table1[[#This Row],[Close Value]]/Table1[[#This Row],[Shares]]/Table1[[#This Row],[Multiplier]]</f>
        <v>3.8933916666666666</v>
      </c>
      <c r="O732" s="5">
        <f>Table1[[#This Row],[Close Value]]-Table1[[#This Row],[Open Value]]</f>
        <v>16642.699999999997</v>
      </c>
      <c r="P732" s="3">
        <f>Table1[[#This Row],[PnL]]/Table1[[#This Row],[Open Value]]</f>
        <v>0.55331803976328209</v>
      </c>
      <c r="Q732" s="14">
        <f t="shared" si="12"/>
        <v>9309.5400000000391</v>
      </c>
      <c r="R732" s="5" t="str">
        <f>TEXT(Table1[[#This Row],[Closing Date]],"yyyy")</f>
        <v>2024</v>
      </c>
      <c r="S732" s="5" t="str">
        <f>TEXT(Table1[[#This Row],[Closing Date]],"mmmm")</f>
        <v>October</v>
      </c>
      <c r="T732" s="5" t="s">
        <v>240</v>
      </c>
      <c r="U732" s="5" t="s">
        <v>203</v>
      </c>
    </row>
    <row r="733" spans="2:21" x14ac:dyDescent="0.25">
      <c r="B733" t="s">
        <v>201</v>
      </c>
      <c r="C733" t="s">
        <v>303</v>
      </c>
      <c r="D733" t="s">
        <v>12</v>
      </c>
      <c r="E733" t="s">
        <v>5</v>
      </c>
      <c r="F733" s="11">
        <v>45556</v>
      </c>
      <c r="G733" s="7">
        <v>45582</v>
      </c>
      <c r="H733" t="s">
        <v>92</v>
      </c>
      <c r="I733">
        <v>2</v>
      </c>
      <c r="J733" s="5">
        <f>541864.94-11050</f>
        <v>530814.93999999994</v>
      </c>
      <c r="K733" s="13">
        <v>1000</v>
      </c>
      <c r="L733" s="5">
        <v>541864.93999999994</v>
      </c>
      <c r="M733" s="5">
        <f>Table1[[#This Row],[Open Value]]/Table1[[#This Row],[Shares]]/Table1[[#This Row],[Multiplier]]</f>
        <v>265.40746999999999</v>
      </c>
      <c r="N733" s="5">
        <f>Table1[[#This Row],[Close Value]]/Table1[[#This Row],[Shares]]/Table1[[#This Row],[Multiplier]]</f>
        <v>270.93246999999997</v>
      </c>
      <c r="O733" s="5">
        <f>-11050</f>
        <v>-11050</v>
      </c>
      <c r="P733" s="3">
        <f>Table1[[#This Row],[PnL]]/Table1[[#This Row],[Open Value]]</f>
        <v>-2.0817047839685902E-2</v>
      </c>
      <c r="Q733" s="14">
        <f t="shared" si="12"/>
        <v>-1740.4599999999609</v>
      </c>
      <c r="R733" s="5" t="str">
        <f>TEXT(Table1[[#This Row],[Closing Date]],"yyyy")</f>
        <v>2024</v>
      </c>
      <c r="S733" s="5" t="str">
        <f>TEXT(Table1[[#This Row],[Closing Date]],"mmmm")</f>
        <v>October</v>
      </c>
      <c r="T733" s="5"/>
      <c r="U733" s="5"/>
    </row>
    <row r="734" spans="2:21" x14ac:dyDescent="0.25">
      <c r="B734" t="s">
        <v>197</v>
      </c>
      <c r="C734" t="s">
        <v>303</v>
      </c>
      <c r="D734" t="s">
        <v>102</v>
      </c>
      <c r="E734" t="s">
        <v>7</v>
      </c>
      <c r="F734" s="11">
        <v>45459</v>
      </c>
      <c r="G734" s="7">
        <v>45583</v>
      </c>
      <c r="H734" t="s">
        <v>9</v>
      </c>
      <c r="I734">
        <v>20</v>
      </c>
      <c r="J734" s="5">
        <v>10302.69</v>
      </c>
      <c r="K734" s="13">
        <v>100</v>
      </c>
      <c r="L734" s="5">
        <v>0</v>
      </c>
      <c r="M734" s="5">
        <f>Table1[[#This Row],[Open Value]]/Table1[[#This Row],[Shares]]/Table1[[#This Row],[Multiplier]]</f>
        <v>5.1513450000000001</v>
      </c>
      <c r="N734" s="5">
        <f>Table1[[#This Row],[Close Value]]/Table1[[#This Row],[Shares]]/Table1[[#This Row],[Multiplier]]</f>
        <v>0</v>
      </c>
      <c r="O734" s="5">
        <f>Table1[[#This Row],[Close Value]]-Table1[[#This Row],[Open Value]]</f>
        <v>-10302.69</v>
      </c>
      <c r="P734" s="3">
        <f>Table1[[#This Row],[PnL]]/Table1[[#This Row],[Open Value]]</f>
        <v>-1</v>
      </c>
      <c r="Q734" s="14">
        <f t="shared" si="12"/>
        <v>-12043.149999999961</v>
      </c>
      <c r="R734" s="5" t="str">
        <f>TEXT(Table1[[#This Row],[Closing Date]],"yyyy")</f>
        <v>2024</v>
      </c>
      <c r="S734" s="5" t="str">
        <f>TEXT(Table1[[#This Row],[Closing Date]],"mmmm")</f>
        <v>October</v>
      </c>
      <c r="T734" s="5"/>
      <c r="U734" s="5"/>
    </row>
    <row r="735" spans="2:21" x14ac:dyDescent="0.25">
      <c r="B735" t="s">
        <v>197</v>
      </c>
      <c r="C735" t="s">
        <v>302</v>
      </c>
      <c r="D735" t="s">
        <v>99</v>
      </c>
      <c r="E735" t="s">
        <v>7</v>
      </c>
      <c r="F735" s="11">
        <v>45524</v>
      </c>
      <c r="G735" s="7">
        <v>45590</v>
      </c>
      <c r="H735" t="s">
        <v>136</v>
      </c>
      <c r="I735">
        <v>100</v>
      </c>
      <c r="J735" s="5">
        <v>5469.94</v>
      </c>
      <c r="K735" s="13">
        <v>100</v>
      </c>
      <c r="L735" s="5">
        <f>2690.91+1502.91+1393+1343.09</f>
        <v>6929.91</v>
      </c>
      <c r="M735" s="5">
        <f>Table1[[#This Row],[Open Value]]/Table1[[#This Row],[Shares]]/Table1[[#This Row],[Multiplier]]</f>
        <v>0.54699399999999998</v>
      </c>
      <c r="N735" s="5">
        <f>Table1[[#This Row],[Close Value]]/Table1[[#This Row],[Shares]]/Table1[[#This Row],[Multiplier]]</f>
        <v>0.69299099999999991</v>
      </c>
      <c r="O735" s="5">
        <f>Table1[[#This Row],[Close Value]]-Table1[[#This Row],[Open Value]]</f>
        <v>1459.9700000000003</v>
      </c>
      <c r="P735" s="3">
        <f>Table1[[#This Row],[PnL]]/Table1[[#This Row],[Open Value]]</f>
        <v>0.2669078637060005</v>
      </c>
      <c r="Q735" s="14">
        <f t="shared" si="12"/>
        <v>-10583.17999999996</v>
      </c>
      <c r="R735" s="5" t="str">
        <f>TEXT(Table1[[#This Row],[Closing Date]],"yyyy")</f>
        <v>2024</v>
      </c>
      <c r="S735" s="5" t="str">
        <f>TEXT(Table1[[#This Row],[Closing Date]],"mmmm")</f>
        <v>October</v>
      </c>
      <c r="T735" s="5"/>
      <c r="U735" s="5"/>
    </row>
    <row r="736" spans="2:21" x14ac:dyDescent="0.25">
      <c r="B736" t="s">
        <v>197</v>
      </c>
      <c r="C736" t="s">
        <v>302</v>
      </c>
      <c r="D736" t="s">
        <v>99</v>
      </c>
      <c r="E736" t="s">
        <v>7</v>
      </c>
      <c r="F736" s="11">
        <v>45581</v>
      </c>
      <c r="G736" s="7">
        <v>45590</v>
      </c>
      <c r="H736" t="s">
        <v>10</v>
      </c>
      <c r="I736">
        <v>100</v>
      </c>
      <c r="J736" s="5">
        <f>1899+171.3</f>
        <v>2070.3000000000002</v>
      </c>
      <c r="K736" s="13">
        <v>100</v>
      </c>
      <c r="L736" s="5">
        <v>171.3</v>
      </c>
      <c r="M736" s="5">
        <f>Table1[[#This Row],[Open Value]]/Table1[[#This Row],[Shares]]/Table1[[#This Row],[Multiplier]]</f>
        <v>0.20703000000000002</v>
      </c>
      <c r="N736" s="5">
        <f>Table1[[#This Row],[Close Value]]/Table1[[#This Row],[Shares]]/Table1[[#This Row],[Multiplier]]</f>
        <v>1.7129999999999999E-2</v>
      </c>
      <c r="O736" s="5">
        <f>Table1[[#This Row],[Close Value]]-Table1[[#This Row],[Open Value]]</f>
        <v>-1899.0000000000002</v>
      </c>
      <c r="P736" s="3">
        <f>Table1[[#This Row],[PnL]]/Table1[[#This Row],[Open Value]]</f>
        <v>-0.9172583683524127</v>
      </c>
      <c r="Q736" s="14">
        <f t="shared" si="12"/>
        <v>-12482.17999999996</v>
      </c>
      <c r="R736" s="5" t="str">
        <f>TEXT(Table1[[#This Row],[Closing Date]],"yyyy")</f>
        <v>2024</v>
      </c>
      <c r="S736" s="5" t="str">
        <f>TEXT(Table1[[#This Row],[Closing Date]],"mmmm")</f>
        <v>October</v>
      </c>
      <c r="T736" s="5"/>
      <c r="U736" s="5"/>
    </row>
    <row r="737" spans="2:21" x14ac:dyDescent="0.25">
      <c r="B737" t="s">
        <v>197</v>
      </c>
      <c r="C737" t="s">
        <v>302</v>
      </c>
      <c r="D737" t="s">
        <v>99</v>
      </c>
      <c r="E737" t="s">
        <v>7</v>
      </c>
      <c r="F737" s="11">
        <v>45581</v>
      </c>
      <c r="G737" s="7">
        <v>45590</v>
      </c>
      <c r="H737" t="s">
        <v>10</v>
      </c>
      <c r="I737">
        <v>55</v>
      </c>
      <c r="J737" s="5">
        <f>Table1[[#This Row],[Close Value]]-506</f>
        <v>3533.23</v>
      </c>
      <c r="K737" s="13">
        <v>100</v>
      </c>
      <c r="L737" s="5">
        <f>4115-75.77</f>
        <v>4039.23</v>
      </c>
      <c r="M737" s="5">
        <f>Table1[[#This Row],[Open Value]]/Table1[[#This Row],[Shares]]/Table1[[#This Row],[Multiplier]]</f>
        <v>0.6424054545454545</v>
      </c>
      <c r="N737" s="5">
        <f>Table1[[#This Row],[Close Value]]/Table1[[#This Row],[Shares]]/Table1[[#This Row],[Multiplier]]</f>
        <v>0.73440545454545458</v>
      </c>
      <c r="O737" s="5">
        <f>Table1[[#This Row],[Close Value]]-Table1[[#This Row],[Open Value]]</f>
        <v>506</v>
      </c>
      <c r="P737" s="3">
        <f>Table1[[#This Row],[PnL]]/Table1[[#This Row],[Open Value]]</f>
        <v>0.14321173543754581</v>
      </c>
      <c r="Q737" s="14">
        <f t="shared" si="12"/>
        <v>-11976.17999999996</v>
      </c>
      <c r="R737" s="5" t="str">
        <f>TEXT(Table1[[#This Row],[Closing Date]],"yyyy")</f>
        <v>2024</v>
      </c>
      <c r="S737" s="5" t="str">
        <f>TEXT(Table1[[#This Row],[Closing Date]],"mmmm")</f>
        <v>October</v>
      </c>
      <c r="T737" s="5"/>
      <c r="U737" s="5"/>
    </row>
    <row r="738" spans="2:21" x14ac:dyDescent="0.25">
      <c r="B738" t="s">
        <v>201</v>
      </c>
      <c r="C738" t="s">
        <v>303</v>
      </c>
      <c r="D738" t="s">
        <v>16</v>
      </c>
      <c r="E738" t="s">
        <v>7</v>
      </c>
      <c r="F738" s="11">
        <v>45580</v>
      </c>
      <c r="G738" s="7">
        <v>45590</v>
      </c>
      <c r="H738" t="s">
        <v>168</v>
      </c>
      <c r="I738">
        <v>3200</v>
      </c>
      <c r="J738" s="5">
        <v>70522.28</v>
      </c>
      <c r="K738" s="13">
        <v>1</v>
      </c>
      <c r="L738" s="5">
        <f>Table1[[#This Row],[Open Value]]-5000</f>
        <v>65522.28</v>
      </c>
      <c r="M738" s="5">
        <f>Table1[[#This Row],[Open Value]]/Table1[[#This Row],[Shares]]/Table1[[#This Row],[Multiplier]]</f>
        <v>22.0382125</v>
      </c>
      <c r="N738" s="5">
        <f>Table1[[#This Row],[Close Value]]/Table1[[#This Row],[Shares]]/Table1[[#This Row],[Multiplier]]</f>
        <v>20.4757125</v>
      </c>
      <c r="O738" s="5">
        <f>Table1[[#This Row],[Close Value]]-Table1[[#This Row],[Open Value]]</f>
        <v>-5000</v>
      </c>
      <c r="P738" s="3">
        <f>Table1[[#This Row],[PnL]]/Table1[[#This Row],[Open Value]]</f>
        <v>-7.0899579537133509E-2</v>
      </c>
      <c r="Q738" s="14">
        <f t="shared" si="12"/>
        <v>-16976.17999999996</v>
      </c>
      <c r="R738" s="5" t="str">
        <f>TEXT(Table1[[#This Row],[Closing Date]],"yyyy")</f>
        <v>2024</v>
      </c>
      <c r="S738" s="5" t="str">
        <f>TEXT(Table1[[#This Row],[Closing Date]],"mmmm")</f>
        <v>October</v>
      </c>
      <c r="T738" s="5"/>
      <c r="U738" s="5"/>
    </row>
    <row r="739" spans="2:21" x14ac:dyDescent="0.25">
      <c r="B739" t="s">
        <v>201</v>
      </c>
      <c r="C739" t="s">
        <v>302</v>
      </c>
      <c r="D739" t="s">
        <v>16</v>
      </c>
      <c r="E739" t="s">
        <v>7</v>
      </c>
      <c r="F739" s="11">
        <v>45580</v>
      </c>
      <c r="G739" s="7">
        <v>45593</v>
      </c>
      <c r="H739" t="s">
        <v>151</v>
      </c>
      <c r="I739">
        <v>1000</v>
      </c>
      <c r="J739" s="5">
        <f>Table1[[#This Row],[Shares]]*85.64+5</f>
        <v>85645</v>
      </c>
      <c r="K739" s="13">
        <v>1</v>
      </c>
      <c r="L739" s="5">
        <v>77848.429999999993</v>
      </c>
      <c r="M739" s="5">
        <f>Table1[[#This Row],[Open Value]]/Table1[[#This Row],[Shares]]/Table1[[#This Row],[Multiplier]]</f>
        <v>85.644999999999996</v>
      </c>
      <c r="N739" s="5">
        <f>Table1[[#This Row],[Close Value]]/Table1[[#This Row],[Shares]]/Table1[[#This Row],[Multiplier]]</f>
        <v>77.848429999999993</v>
      </c>
      <c r="O739" s="5">
        <f>Table1[[#This Row],[Close Value]]-Table1[[#This Row],[Open Value]]</f>
        <v>-7796.570000000007</v>
      </c>
      <c r="P739" s="3">
        <f>Table1[[#This Row],[PnL]]/Table1[[#This Row],[Open Value]]</f>
        <v>-9.1033568801447917E-2</v>
      </c>
      <c r="Q739" s="14">
        <f t="shared" si="12"/>
        <v>-24772.749999999967</v>
      </c>
      <c r="R739" s="5" t="str">
        <f>TEXT(Table1[[#This Row],[Closing Date]],"yyyy")</f>
        <v>2024</v>
      </c>
      <c r="S739" s="5" t="str">
        <f>TEXT(Table1[[#This Row],[Closing Date]],"mmmm")</f>
        <v>October</v>
      </c>
      <c r="T739" s="5"/>
      <c r="U739" s="5"/>
    </row>
    <row r="740" spans="2:21" x14ac:dyDescent="0.25">
      <c r="B740" t="s">
        <v>201</v>
      </c>
      <c r="C740" t="s">
        <v>303</v>
      </c>
      <c r="D740" t="s">
        <v>12</v>
      </c>
      <c r="E740" t="s">
        <v>7</v>
      </c>
      <c r="F740" s="11">
        <v>45567</v>
      </c>
      <c r="G740" s="7">
        <v>45595</v>
      </c>
      <c r="H740" t="s">
        <v>86</v>
      </c>
      <c r="I740">
        <v>50</v>
      </c>
      <c r="J740" s="5">
        <v>189134</v>
      </c>
      <c r="K740" s="13">
        <v>1000</v>
      </c>
      <c r="L740" s="5">
        <f>Table1[[#This Row],[Open Value]]+23456</f>
        <v>212590</v>
      </c>
      <c r="M740" s="5">
        <f>Table1[[#This Row],[Open Value]]/Table1[[#This Row],[Shares]]/Table1[[#This Row],[Multiplier]]</f>
        <v>3.78268</v>
      </c>
      <c r="N740" s="5">
        <f>Table1[[#This Row],[Close Value]]/Table1[[#This Row],[Shares]]/Table1[[#This Row],[Multiplier]]</f>
        <v>4.2518000000000002</v>
      </c>
      <c r="O740" s="5">
        <f>Table1[[#This Row],[Close Value]]-Table1[[#This Row],[Open Value]]</f>
        <v>23456</v>
      </c>
      <c r="P740" s="3">
        <f>Table1[[#This Row],[PnL]]/Table1[[#This Row],[Open Value]]</f>
        <v>0.12401789207651717</v>
      </c>
      <c r="Q740" s="14">
        <f t="shared" si="12"/>
        <v>-1316.7499999999673</v>
      </c>
      <c r="R740" s="5" t="str">
        <f>TEXT(Table1[[#This Row],[Closing Date]],"yyyy")</f>
        <v>2024</v>
      </c>
      <c r="S740" s="5" t="str">
        <f>TEXT(Table1[[#This Row],[Closing Date]],"mmmm")</f>
        <v>October</v>
      </c>
      <c r="T740" s="5"/>
      <c r="U740" s="5"/>
    </row>
    <row r="741" spans="2:21" x14ac:dyDescent="0.25">
      <c r="B741" t="s">
        <v>201</v>
      </c>
      <c r="C741" t="s">
        <v>303</v>
      </c>
      <c r="D741" t="s">
        <v>16</v>
      </c>
      <c r="E741" t="s">
        <v>7</v>
      </c>
      <c r="F741" s="11">
        <v>45560</v>
      </c>
      <c r="G741" s="7">
        <v>45596</v>
      </c>
      <c r="H741" t="s">
        <v>153</v>
      </c>
      <c r="I741">
        <v>1500</v>
      </c>
      <c r="J741" s="5">
        <v>53017.5</v>
      </c>
      <c r="K741" s="13">
        <v>1</v>
      </c>
      <c r="L741" s="5">
        <v>47990.84</v>
      </c>
      <c r="M741" s="5">
        <f>Table1[[#This Row],[Open Value]]/Table1[[#This Row],[Shares]]/Table1[[#This Row],[Multiplier]]</f>
        <v>35.344999999999999</v>
      </c>
      <c r="N741" s="5">
        <f>Table1[[#This Row],[Close Value]]/Table1[[#This Row],[Shares]]/Table1[[#This Row],[Multiplier]]</f>
        <v>31.993893333333332</v>
      </c>
      <c r="O741" s="5">
        <f>Table1[[#This Row],[Close Value]]-Table1[[#This Row],[Open Value]]</f>
        <v>-5026.6600000000035</v>
      </c>
      <c r="P741" s="3">
        <f>Table1[[#This Row],[PnL]]/Table1[[#This Row],[Open Value]]</f>
        <v>-9.4811335879662437E-2</v>
      </c>
      <c r="Q741" s="14">
        <f t="shared" si="12"/>
        <v>-6343.4099999999708</v>
      </c>
      <c r="R741" s="5" t="str">
        <f>TEXT(Table1[[#This Row],[Closing Date]],"yyyy")</f>
        <v>2024</v>
      </c>
      <c r="S741" s="5" t="str">
        <f>TEXT(Table1[[#This Row],[Closing Date]],"mmmm")</f>
        <v>October</v>
      </c>
      <c r="T741" s="5"/>
      <c r="U741" s="5"/>
    </row>
    <row r="742" spans="2:21" x14ac:dyDescent="0.25">
      <c r="B742" t="s">
        <v>201</v>
      </c>
      <c r="C742" t="s">
        <v>303</v>
      </c>
      <c r="D742" t="s">
        <v>16</v>
      </c>
      <c r="E742" t="s">
        <v>7</v>
      </c>
      <c r="F742" s="11">
        <v>45560</v>
      </c>
      <c r="G742" s="7">
        <v>45597</v>
      </c>
      <c r="H742" t="s">
        <v>312</v>
      </c>
      <c r="I742">
        <v>1000</v>
      </c>
      <c r="J742" s="5">
        <v>26653.1</v>
      </c>
      <c r="K742" s="13">
        <v>1</v>
      </c>
      <c r="L742" s="5">
        <v>23916.62</v>
      </c>
      <c r="M742" s="5">
        <f>Table1[[#This Row],[Open Value]]/Table1[[#This Row],[Shares]]/Table1[[#This Row],[Multiplier]]</f>
        <v>26.653099999999998</v>
      </c>
      <c r="N742" s="5">
        <f>Table1[[#This Row],[Close Value]]/Table1[[#This Row],[Shares]]/Table1[[#This Row],[Multiplier]]</f>
        <v>23.916619999999998</v>
      </c>
      <c r="O742" s="5">
        <f>Table1[[#This Row],[Close Value]]-Table1[[#This Row],[Open Value]]</f>
        <v>-2736.4799999999996</v>
      </c>
      <c r="P742" s="3">
        <f>Table1[[#This Row],[PnL]]/Table1[[#This Row],[Open Value]]</f>
        <v>-0.1026702334812836</v>
      </c>
      <c r="Q742" s="14">
        <f t="shared" ref="Q742:Q773" si="13">O742+Q741</f>
        <v>-9079.8899999999703</v>
      </c>
      <c r="R742" s="5" t="str">
        <f>TEXT(Table1[[#This Row],[Closing Date]],"yyyy")</f>
        <v>2024</v>
      </c>
      <c r="S742" s="5" t="str">
        <f>TEXT(Table1[[#This Row],[Closing Date]],"mmmm")</f>
        <v>November</v>
      </c>
      <c r="T742" s="5"/>
      <c r="U742" s="5"/>
    </row>
    <row r="743" spans="2:21" x14ac:dyDescent="0.25">
      <c r="B743" t="s">
        <v>197</v>
      </c>
      <c r="C743" t="s">
        <v>302</v>
      </c>
      <c r="D743" t="s">
        <v>102</v>
      </c>
      <c r="E743" t="s">
        <v>7</v>
      </c>
      <c r="F743" s="11">
        <v>45580</v>
      </c>
      <c r="G743" s="7">
        <v>45597</v>
      </c>
      <c r="H743" t="s">
        <v>23</v>
      </c>
      <c r="I743">
        <v>100</v>
      </c>
      <c r="J743" s="5">
        <f>2885.15+2985.15</f>
        <v>5870.3</v>
      </c>
      <c r="K743" s="13">
        <v>100</v>
      </c>
      <c r="L743" s="5">
        <f>12171.73+1521.43+498.85+1069.37</f>
        <v>15261.380000000001</v>
      </c>
      <c r="M743" s="5">
        <f>Table1[[#This Row],[Open Value]]/Table1[[#This Row],[Shares]]/Table1[[#This Row],[Multiplier]]</f>
        <v>0.58703000000000005</v>
      </c>
      <c r="N743" s="5">
        <f>Table1[[#This Row],[Close Value]]/Table1[[#This Row],[Shares]]/Table1[[#This Row],[Multiplier]]</f>
        <v>1.526138</v>
      </c>
      <c r="O743" s="5">
        <f>Table1[[#This Row],[Close Value]]-Table1[[#This Row],[Open Value]]</f>
        <v>9391.0800000000017</v>
      </c>
      <c r="P743" s="3">
        <f>Table1[[#This Row],[PnL]]/Table1[[#This Row],[Open Value]]</f>
        <v>1.5997615113367292</v>
      </c>
      <c r="Q743" s="14">
        <f t="shared" si="13"/>
        <v>311.19000000003143</v>
      </c>
      <c r="R743" s="5" t="str">
        <f>TEXT(Table1[[#This Row],[Closing Date]],"yyyy")</f>
        <v>2024</v>
      </c>
      <c r="S743" s="5" t="str">
        <f>TEXT(Table1[[#This Row],[Closing Date]],"mmmm")</f>
        <v>November</v>
      </c>
      <c r="T743" s="5"/>
      <c r="U743" s="5"/>
    </row>
    <row r="744" spans="2:21" x14ac:dyDescent="0.25">
      <c r="B744" t="s">
        <v>197</v>
      </c>
      <c r="C744" t="s">
        <v>302</v>
      </c>
      <c r="D744" t="s">
        <v>97</v>
      </c>
      <c r="E744" t="s">
        <v>7</v>
      </c>
      <c r="F744" s="11">
        <v>45589</v>
      </c>
      <c r="G744" s="7">
        <v>45597</v>
      </c>
      <c r="H744" t="s">
        <v>335</v>
      </c>
      <c r="I744">
        <v>20</v>
      </c>
      <c r="J744" s="5">
        <v>6016.57</v>
      </c>
      <c r="K744" s="13">
        <v>100</v>
      </c>
      <c r="L744" s="5">
        <v>0</v>
      </c>
      <c r="M744" s="5">
        <f>Table1[[#This Row],[Open Value]]/Table1[[#This Row],[Shares]]/Table1[[#This Row],[Multiplier]]</f>
        <v>3.0082849999999994</v>
      </c>
      <c r="N744" s="5">
        <f>Table1[[#This Row],[Close Value]]/Table1[[#This Row],[Shares]]/Table1[[#This Row],[Multiplier]]</f>
        <v>0</v>
      </c>
      <c r="O744" s="5">
        <f>Table1[[#This Row],[Close Value]]-Table1[[#This Row],[Open Value]]</f>
        <v>-6016.57</v>
      </c>
      <c r="P744" s="3">
        <f>Table1[[#This Row],[PnL]]/Table1[[#This Row],[Open Value]]</f>
        <v>-1</v>
      </c>
      <c r="Q744" s="14">
        <f t="shared" si="13"/>
        <v>-5705.3799999999683</v>
      </c>
      <c r="R744" s="5" t="str">
        <f>TEXT(Table1[[#This Row],[Closing Date]],"yyyy")</f>
        <v>2024</v>
      </c>
      <c r="S744" s="5" t="str">
        <f>TEXT(Table1[[#This Row],[Closing Date]],"mmmm")</f>
        <v>November</v>
      </c>
      <c r="T744" s="5"/>
      <c r="U744" s="5"/>
    </row>
    <row r="745" spans="2:21" x14ac:dyDescent="0.25">
      <c r="B745" t="s">
        <v>197</v>
      </c>
      <c r="C745" t="s">
        <v>302</v>
      </c>
      <c r="D745" t="s">
        <v>99</v>
      </c>
      <c r="E745" t="s">
        <v>7</v>
      </c>
      <c r="F745" s="11">
        <v>45597</v>
      </c>
      <c r="G745" s="7">
        <v>45597</v>
      </c>
      <c r="H745" t="s">
        <v>10</v>
      </c>
      <c r="I745">
        <v>80</v>
      </c>
      <c r="J745" s="5">
        <v>3950</v>
      </c>
      <c r="K745" s="13">
        <v>100</v>
      </c>
      <c r="L745" s="5">
        <f>Table1[[#This Row],[Open Value]]-3587</f>
        <v>363</v>
      </c>
      <c r="M745" s="5">
        <f>Table1[[#This Row],[Open Value]]/Table1[[#This Row],[Shares]]/Table1[[#This Row],[Multiplier]]</f>
        <v>0.49375000000000002</v>
      </c>
      <c r="N745" s="5">
        <f>Table1[[#This Row],[Close Value]]/Table1[[#This Row],[Shares]]/Table1[[#This Row],[Multiplier]]</f>
        <v>4.5374999999999999E-2</v>
      </c>
      <c r="O745" s="5">
        <f>Table1[[#This Row],[Close Value]]-Table1[[#This Row],[Open Value]]</f>
        <v>-3587</v>
      </c>
      <c r="P745" s="3">
        <f>Table1[[#This Row],[PnL]]/Table1[[#This Row],[Open Value]]</f>
        <v>-0.90810126582278483</v>
      </c>
      <c r="Q745" s="14">
        <f t="shared" si="13"/>
        <v>-9292.3799999999683</v>
      </c>
      <c r="R745" s="5" t="str">
        <f>TEXT(Table1[[#This Row],[Closing Date]],"yyyy")</f>
        <v>2024</v>
      </c>
      <c r="S745" s="5" t="str">
        <f>TEXT(Table1[[#This Row],[Closing Date]],"mmmm")</f>
        <v>November</v>
      </c>
      <c r="T745" s="5"/>
      <c r="U745" s="5"/>
    </row>
    <row r="746" spans="2:21" x14ac:dyDescent="0.25">
      <c r="B746" t="s">
        <v>201</v>
      </c>
      <c r="C746" t="s">
        <v>305</v>
      </c>
      <c r="D746" t="s">
        <v>16</v>
      </c>
      <c r="E746" t="s">
        <v>7</v>
      </c>
      <c r="F746" s="11">
        <v>45593</v>
      </c>
      <c r="G746" s="7">
        <v>45597</v>
      </c>
      <c r="H746" t="s">
        <v>335</v>
      </c>
      <c r="I746">
        <v>245</v>
      </c>
      <c r="J746" s="5">
        <v>100940</v>
      </c>
      <c r="K746" s="13">
        <v>1</v>
      </c>
      <c r="L746" s="5">
        <v>98119.77</v>
      </c>
      <c r="M746" s="5">
        <f>Table1[[#This Row],[Open Value]]/Table1[[#This Row],[Shares]]/Table1[[#This Row],[Multiplier]]</f>
        <v>412</v>
      </c>
      <c r="N746" s="5">
        <f>Table1[[#This Row],[Close Value]]/Table1[[#This Row],[Shares]]/Table1[[#This Row],[Multiplier]]</f>
        <v>400.48885714285717</v>
      </c>
      <c r="O746" s="5">
        <f>Table1[[#This Row],[Close Value]]-Table1[[#This Row],[Open Value]]</f>
        <v>-2820.2299999999959</v>
      </c>
      <c r="P746" s="3">
        <f>Table1[[#This Row],[PnL]]/Table1[[#This Row],[Open Value]]</f>
        <v>-2.7939667128987478E-2</v>
      </c>
      <c r="Q746" s="14">
        <f t="shared" si="13"/>
        <v>-12112.609999999964</v>
      </c>
      <c r="R746" s="5" t="str">
        <f>TEXT(Table1[[#This Row],[Closing Date]],"yyyy")</f>
        <v>2024</v>
      </c>
      <c r="S746" s="5" t="str">
        <f>TEXT(Table1[[#This Row],[Closing Date]],"mmmm")</f>
        <v>November</v>
      </c>
      <c r="T746" s="5" t="s">
        <v>240</v>
      </c>
      <c r="U746" s="5" t="s">
        <v>203</v>
      </c>
    </row>
    <row r="747" spans="2:21" x14ac:dyDescent="0.25">
      <c r="B747" t="s">
        <v>197</v>
      </c>
      <c r="C747" t="s">
        <v>302</v>
      </c>
      <c r="D747" t="s">
        <v>99</v>
      </c>
      <c r="E747" t="s">
        <v>7</v>
      </c>
      <c r="F747" s="11">
        <v>45602</v>
      </c>
      <c r="G747" s="7">
        <v>45604</v>
      </c>
      <c r="H747" t="s">
        <v>17</v>
      </c>
      <c r="I747">
        <v>300</v>
      </c>
      <c r="J747" s="5">
        <v>10910.16</v>
      </c>
      <c r="K747" s="13">
        <v>100</v>
      </c>
      <c r="L747" s="5">
        <v>0</v>
      </c>
      <c r="M747" s="5">
        <f>Table1[[#This Row],[Open Value]]/Table1[[#This Row],[Shares]]/Table1[[#This Row],[Multiplier]]</f>
        <v>0.363672</v>
      </c>
      <c r="N747" s="5">
        <f>Table1[[#This Row],[Close Value]]/Table1[[#This Row],[Shares]]/Table1[[#This Row],[Multiplier]]</f>
        <v>0</v>
      </c>
      <c r="O747" s="5">
        <f>Table1[[#This Row],[Close Value]]-Table1[[#This Row],[Open Value]]</f>
        <v>-10910.16</v>
      </c>
      <c r="P747" s="3">
        <f>Table1[[#This Row],[PnL]]/Table1[[#This Row],[Open Value]]</f>
        <v>-1</v>
      </c>
      <c r="Q747" s="14">
        <f t="shared" si="13"/>
        <v>-23022.769999999964</v>
      </c>
      <c r="R747" s="5" t="str">
        <f>TEXT(Table1[[#This Row],[Closing Date]],"yyyy")</f>
        <v>2024</v>
      </c>
      <c r="S747" s="5" t="str">
        <f>TEXT(Table1[[#This Row],[Closing Date]],"mmmm")</f>
        <v>November</v>
      </c>
      <c r="T747" s="5"/>
      <c r="U747" s="5"/>
    </row>
    <row r="748" spans="2:21" x14ac:dyDescent="0.25">
      <c r="B748" t="s">
        <v>201</v>
      </c>
      <c r="C748" t="s">
        <v>303</v>
      </c>
      <c r="D748" t="s">
        <v>16</v>
      </c>
      <c r="E748" t="s">
        <v>7</v>
      </c>
      <c r="F748" s="11">
        <v>45588</v>
      </c>
      <c r="G748" s="7">
        <v>45610</v>
      </c>
      <c r="H748" t="s">
        <v>192</v>
      </c>
      <c r="I748">
        <v>3000</v>
      </c>
      <c r="J748" s="5">
        <v>58050</v>
      </c>
      <c r="K748" s="13">
        <v>1</v>
      </c>
      <c r="L748" s="5">
        <v>54376.49</v>
      </c>
      <c r="M748" s="5">
        <f>Table1[[#This Row],[Open Value]]/Table1[[#This Row],[Shares]]/Table1[[#This Row],[Multiplier]]</f>
        <v>19.350000000000001</v>
      </c>
      <c r="N748" s="5">
        <f>Table1[[#This Row],[Close Value]]/Table1[[#This Row],[Shares]]/Table1[[#This Row],[Multiplier]]</f>
        <v>18.125496666666667</v>
      </c>
      <c r="O748" s="5">
        <f>Table1[[#This Row],[Close Value]]-Table1[[#This Row],[Open Value]]</f>
        <v>-3673.510000000002</v>
      </c>
      <c r="P748" s="3">
        <f>Table1[[#This Row],[PnL]]/Table1[[#This Row],[Open Value]]</f>
        <v>-6.3281826012058603E-2</v>
      </c>
      <c r="Q748" s="14">
        <f t="shared" si="13"/>
        <v>-26696.279999999966</v>
      </c>
      <c r="R748" s="5" t="str">
        <f>TEXT(Table1[[#This Row],[Closing Date]],"yyyy")</f>
        <v>2024</v>
      </c>
      <c r="S748" s="5" t="str">
        <f>TEXT(Table1[[#This Row],[Closing Date]],"mmmm")</f>
        <v>November</v>
      </c>
      <c r="T748" s="5"/>
      <c r="U748" s="5"/>
    </row>
    <row r="749" spans="2:21" x14ac:dyDescent="0.25">
      <c r="B749" t="s">
        <v>197</v>
      </c>
      <c r="C749" t="s">
        <v>302</v>
      </c>
      <c r="D749" t="s">
        <v>99</v>
      </c>
      <c r="E749" t="s">
        <v>7</v>
      </c>
      <c r="F749" s="11">
        <v>45604</v>
      </c>
      <c r="G749" s="7">
        <v>45611</v>
      </c>
      <c r="H749" t="s">
        <v>10</v>
      </c>
      <c r="I749">
        <v>5</v>
      </c>
      <c r="J749" s="5">
        <f>2715+2440+1653.46</f>
        <v>6808.46</v>
      </c>
      <c r="K749" s="13">
        <v>100</v>
      </c>
      <c r="L749" s="5">
        <f>Table1[[#This Row],[Open Value]]+1135.96-983.61</f>
        <v>6960.81</v>
      </c>
      <c r="M749" s="5">
        <f>Table1[[#This Row],[Open Value]]/Table1[[#This Row],[Shares]]/Table1[[#This Row],[Multiplier]]</f>
        <v>13.61692</v>
      </c>
      <c r="N749" s="5">
        <f>Table1[[#This Row],[Close Value]]/Table1[[#This Row],[Shares]]/Table1[[#This Row],[Multiplier]]</f>
        <v>13.921620000000001</v>
      </c>
      <c r="O749" s="5">
        <f>Table1[[#This Row],[Close Value]]-Table1[[#This Row],[Open Value]]</f>
        <v>152.35000000000036</v>
      </c>
      <c r="P749" s="3">
        <f>Table1[[#This Row],[PnL]]/Table1[[#This Row],[Open Value]]</f>
        <v>2.2376572675759328E-2</v>
      </c>
      <c r="Q749" s="14">
        <f t="shared" si="13"/>
        <v>-26543.929999999964</v>
      </c>
      <c r="R749" s="5" t="str">
        <f>TEXT(Table1[[#This Row],[Closing Date]],"yyyy")</f>
        <v>2024</v>
      </c>
      <c r="S749" s="5" t="str">
        <f>TEXT(Table1[[#This Row],[Closing Date]],"mmmm")</f>
        <v>November</v>
      </c>
      <c r="T749" s="5"/>
      <c r="U749" s="5"/>
    </row>
    <row r="750" spans="2:21" x14ac:dyDescent="0.25">
      <c r="B750" t="s">
        <v>197</v>
      </c>
      <c r="C750" t="s">
        <v>302</v>
      </c>
      <c r="D750" t="s">
        <v>98</v>
      </c>
      <c r="E750" t="s">
        <v>7</v>
      </c>
      <c r="F750" s="11">
        <v>45607</v>
      </c>
      <c r="G750" s="7">
        <v>45614</v>
      </c>
      <c r="H750" t="s">
        <v>29</v>
      </c>
      <c r="I750">
        <v>150</v>
      </c>
      <c r="J750" s="5">
        <v>9327.42</v>
      </c>
      <c r="K750" s="13">
        <v>100</v>
      </c>
      <c r="L750" s="5">
        <f>Table1[[#This Row],[Open Value]]+10350.04-550.91</f>
        <v>19126.55</v>
      </c>
      <c r="M750" s="5">
        <f>Table1[[#This Row],[Open Value]]/Table1[[#This Row],[Shares]]/Table1[[#This Row],[Multiplier]]</f>
        <v>0.62182800000000005</v>
      </c>
      <c r="N750" s="5">
        <f>Table1[[#This Row],[Close Value]]/Table1[[#This Row],[Shares]]/Table1[[#This Row],[Multiplier]]</f>
        <v>1.2751033333333333</v>
      </c>
      <c r="O750" s="5">
        <f>Table1[[#This Row],[Close Value]]-Table1[[#This Row],[Open Value]]</f>
        <v>9799.1299999999992</v>
      </c>
      <c r="P750" s="3">
        <f>Table1[[#This Row],[PnL]]/Table1[[#This Row],[Open Value]]</f>
        <v>1.0505723983695383</v>
      </c>
      <c r="Q750" s="14">
        <f t="shared" si="13"/>
        <v>-16744.799999999967</v>
      </c>
      <c r="R750" s="5" t="str">
        <f>TEXT(Table1[[#This Row],[Closing Date]],"yyyy")</f>
        <v>2024</v>
      </c>
      <c r="S750" s="5" t="str">
        <f>TEXT(Table1[[#This Row],[Closing Date]],"mmmm")</f>
        <v>November</v>
      </c>
      <c r="T750" s="5"/>
      <c r="U750" s="5"/>
    </row>
    <row r="751" spans="2:21" x14ac:dyDescent="0.25">
      <c r="B751" t="s">
        <v>201</v>
      </c>
      <c r="C751" t="s">
        <v>303</v>
      </c>
      <c r="D751" t="s">
        <v>16</v>
      </c>
      <c r="E751" t="s">
        <v>7</v>
      </c>
      <c r="F751" s="11">
        <v>45609</v>
      </c>
      <c r="G751" s="7">
        <v>45614</v>
      </c>
      <c r="H751" t="s">
        <v>312</v>
      </c>
      <c r="I751">
        <v>1700</v>
      </c>
      <c r="J751" s="5">
        <v>55123</v>
      </c>
      <c r="K751" s="13">
        <v>1</v>
      </c>
      <c r="L751" s="5">
        <f>Table1[[#This Row],[Shares]]*24.13</f>
        <v>41021</v>
      </c>
      <c r="M751" s="5">
        <f>Table1[[#This Row],[Open Value]]/Table1[[#This Row],[Shares]]/Table1[[#This Row],[Multiplier]]</f>
        <v>32.425294117647056</v>
      </c>
      <c r="N751" s="5">
        <f>Table1[[#This Row],[Close Value]]/Table1[[#This Row],[Shares]]/Table1[[#This Row],[Multiplier]]</f>
        <v>24.13</v>
      </c>
      <c r="O751" s="5">
        <f>Table1[[#This Row],[Close Value]]-Table1[[#This Row],[Open Value]]</f>
        <v>-14102</v>
      </c>
      <c r="P751" s="3">
        <f>Table1[[#This Row],[PnL]]/Table1[[#This Row],[Open Value]]</f>
        <v>-0.25582787584130035</v>
      </c>
      <c r="Q751" s="14">
        <f t="shared" si="13"/>
        <v>-30846.799999999967</v>
      </c>
      <c r="R751" s="5" t="str">
        <f>TEXT(Table1[[#This Row],[Closing Date]],"yyyy")</f>
        <v>2024</v>
      </c>
      <c r="S751" s="5" t="str">
        <f>TEXT(Table1[[#This Row],[Closing Date]],"mmmm")</f>
        <v>November</v>
      </c>
      <c r="T751" s="5"/>
      <c r="U751" s="5"/>
    </row>
    <row r="752" spans="2:21" x14ac:dyDescent="0.25">
      <c r="B752" t="s">
        <v>201</v>
      </c>
      <c r="C752" t="s">
        <v>303</v>
      </c>
      <c r="D752" t="s">
        <v>12</v>
      </c>
      <c r="E752" t="s">
        <v>7</v>
      </c>
      <c r="F752" s="11">
        <v>45580</v>
      </c>
      <c r="G752" s="7">
        <v>45615</v>
      </c>
      <c r="H752" t="s">
        <v>44</v>
      </c>
      <c r="I752">
        <v>1</v>
      </c>
      <c r="J752" s="5">
        <f>Table1[[#This Row],[Multiplier]]*40200*Table1[[#This Row],[Shares]]</f>
        <v>201000</v>
      </c>
      <c r="K752" s="13">
        <v>5</v>
      </c>
      <c r="L752" s="5">
        <f>Table1[[#This Row],[Open Value]]-8953</f>
        <v>192047</v>
      </c>
      <c r="M752" s="5">
        <f>Table1[[#This Row],[Open Value]]/Table1[[#This Row],[Shares]]/Table1[[#This Row],[Multiplier]]</f>
        <v>40200</v>
      </c>
      <c r="N752" s="5">
        <f>Table1[[#This Row],[Close Value]]/Table1[[#This Row],[Shares]]/Table1[[#This Row],[Multiplier]]</f>
        <v>38409.4</v>
      </c>
      <c r="O752" s="5">
        <f>Table1[[#This Row],[Close Value]]-Table1[[#This Row],[Open Value]]</f>
        <v>-8953</v>
      </c>
      <c r="P752" s="3">
        <f>Table1[[#This Row],[PnL]]/Table1[[#This Row],[Open Value]]</f>
        <v>-4.4542288557213927E-2</v>
      </c>
      <c r="Q752" s="14">
        <f t="shared" si="13"/>
        <v>-39799.799999999967</v>
      </c>
      <c r="R752" s="5" t="str">
        <f>TEXT(Table1[[#This Row],[Closing Date]],"yyyy")</f>
        <v>2024</v>
      </c>
      <c r="S752" s="5" t="str">
        <f>TEXT(Table1[[#This Row],[Closing Date]],"mmmm")</f>
        <v>November</v>
      </c>
      <c r="T752" s="5"/>
      <c r="U752" s="5"/>
    </row>
    <row r="753" spans="2:21" x14ac:dyDescent="0.25">
      <c r="B753" t="s">
        <v>201</v>
      </c>
      <c r="C753" t="s">
        <v>303</v>
      </c>
      <c r="D753" t="s">
        <v>12</v>
      </c>
      <c r="E753" t="s">
        <v>7</v>
      </c>
      <c r="F753" s="11">
        <v>45609</v>
      </c>
      <c r="G753" s="7">
        <v>45615</v>
      </c>
      <c r="H753" t="s">
        <v>86</v>
      </c>
      <c r="I753">
        <v>50</v>
      </c>
      <c r="J753" s="5">
        <v>219278.5</v>
      </c>
      <c r="K753" s="13">
        <v>1000</v>
      </c>
      <c r="L753" s="5">
        <v>218721.5</v>
      </c>
      <c r="M753" s="5">
        <f>Table1[[#This Row],[Open Value]]/Table1[[#This Row],[Shares]]/Table1[[#This Row],[Multiplier]]</f>
        <v>4.3855699999999995</v>
      </c>
      <c r="N753" s="5">
        <f>Table1[[#This Row],[Close Value]]/Table1[[#This Row],[Shares]]/Table1[[#This Row],[Multiplier]]</f>
        <v>4.3744300000000003</v>
      </c>
      <c r="O753" s="5">
        <f>Table1[[#This Row],[Close Value]]-Table1[[#This Row],[Open Value]]</f>
        <v>-557</v>
      </c>
      <c r="P753" s="3">
        <f>Table1[[#This Row],[PnL]]/Table1[[#This Row],[Open Value]]</f>
        <v>-2.5401487149902978E-3</v>
      </c>
      <c r="Q753" s="14">
        <f t="shared" si="13"/>
        <v>-40356.799999999967</v>
      </c>
      <c r="R753" s="5" t="str">
        <f>TEXT(Table1[[#This Row],[Closing Date]],"yyyy")</f>
        <v>2024</v>
      </c>
      <c r="S753" s="5" t="str">
        <f>TEXT(Table1[[#This Row],[Closing Date]],"mmmm")</f>
        <v>November</v>
      </c>
      <c r="T753" s="5"/>
      <c r="U753" s="5"/>
    </row>
    <row r="754" spans="2:21" x14ac:dyDescent="0.25">
      <c r="B754" t="s">
        <v>201</v>
      </c>
      <c r="C754" t="s">
        <v>303</v>
      </c>
      <c r="D754" t="s">
        <v>12</v>
      </c>
      <c r="E754" t="s">
        <v>7</v>
      </c>
      <c r="F754" s="11">
        <v>45609</v>
      </c>
      <c r="G754" s="7">
        <v>45617</v>
      </c>
      <c r="H754" t="s">
        <v>43</v>
      </c>
      <c r="I754">
        <v>2</v>
      </c>
      <c r="J754" s="5">
        <f>Table1[[#This Row],[Shares]]*Table1[[#This Row],[Multiplier]]*2.9003</f>
        <v>58006</v>
      </c>
      <c r="K754" s="13">
        <v>10000</v>
      </c>
      <c r="L754" s="5">
        <f>Table1[[#This Row],[Multiplier]]*Table1[[#This Row],[Shares]]*3.443</f>
        <v>68860</v>
      </c>
      <c r="M754" s="5">
        <f>Table1[[#This Row],[Open Value]]/Table1[[#This Row],[Shares]]/Table1[[#This Row],[Multiplier]]</f>
        <v>2.9003000000000001</v>
      </c>
      <c r="N754" s="5">
        <f>Table1[[#This Row],[Close Value]]/Table1[[#This Row],[Shares]]/Table1[[#This Row],[Multiplier]]</f>
        <v>3.4430000000000001</v>
      </c>
      <c r="O754" s="5">
        <f>Table1[[#This Row],[Close Value]]-Table1[[#This Row],[Open Value]]</f>
        <v>10854</v>
      </c>
      <c r="P754" s="3">
        <f>Table1[[#This Row],[PnL]]/Table1[[#This Row],[Open Value]]</f>
        <v>0.18711857394062684</v>
      </c>
      <c r="Q754" s="14">
        <f t="shared" si="13"/>
        <v>-29502.799999999967</v>
      </c>
      <c r="R754" s="5" t="str">
        <f>TEXT(Table1[[#This Row],[Closing Date]],"yyyy")</f>
        <v>2024</v>
      </c>
      <c r="S754" s="5" t="str">
        <f>TEXT(Table1[[#This Row],[Closing Date]],"mmmm")</f>
        <v>November</v>
      </c>
      <c r="T754" s="5"/>
      <c r="U754" s="5"/>
    </row>
    <row r="755" spans="2:21" x14ac:dyDescent="0.25">
      <c r="B755" t="s">
        <v>201</v>
      </c>
      <c r="C755" t="s">
        <v>303</v>
      </c>
      <c r="D755" t="s">
        <v>16</v>
      </c>
      <c r="E755" t="s">
        <v>7</v>
      </c>
      <c r="F755" s="11">
        <v>45589</v>
      </c>
      <c r="G755" s="7">
        <v>45617</v>
      </c>
      <c r="H755" t="s">
        <v>336</v>
      </c>
      <c r="I755">
        <v>2000</v>
      </c>
      <c r="J755" s="5">
        <f>Table1[[#This Row],[Shares]]*70.739</f>
        <v>141478</v>
      </c>
      <c r="K755" s="13">
        <v>1</v>
      </c>
      <c r="L755" s="5">
        <f>108780+48139.53</f>
        <v>156919.53</v>
      </c>
      <c r="M755" s="5">
        <f>Table1[[#This Row],[Open Value]]/Table1[[#This Row],[Shares]]/Table1[[#This Row],[Multiplier]]</f>
        <v>70.739000000000004</v>
      </c>
      <c r="N755" s="5">
        <f>Table1[[#This Row],[Close Value]]/Table1[[#This Row],[Shares]]/Table1[[#This Row],[Multiplier]]</f>
        <v>78.459765000000004</v>
      </c>
      <c r="O755" s="5">
        <f>Table1[[#This Row],[Close Value]]-Table1[[#This Row],[Open Value]]</f>
        <v>15441.529999999999</v>
      </c>
      <c r="P755" s="3">
        <f>Table1[[#This Row],[PnL]]/Table1[[#This Row],[Open Value]]</f>
        <v>0.10914438994048543</v>
      </c>
      <c r="Q755" s="14">
        <f t="shared" si="13"/>
        <v>-14061.269999999968</v>
      </c>
      <c r="R755" s="5" t="str">
        <f>TEXT(Table1[[#This Row],[Closing Date]],"yyyy")</f>
        <v>2024</v>
      </c>
      <c r="S755" s="5" t="str">
        <f>TEXT(Table1[[#This Row],[Closing Date]],"mmmm")</f>
        <v>November</v>
      </c>
      <c r="T755" s="5"/>
      <c r="U755" s="5"/>
    </row>
    <row r="756" spans="2:21" x14ac:dyDescent="0.25">
      <c r="B756" t="s">
        <v>201</v>
      </c>
      <c r="C756" t="s">
        <v>303</v>
      </c>
      <c r="D756" t="s">
        <v>12</v>
      </c>
      <c r="E756" t="s">
        <v>7</v>
      </c>
      <c r="F756" s="11">
        <v>45617</v>
      </c>
      <c r="G756" s="7">
        <v>45621</v>
      </c>
      <c r="H756" t="s">
        <v>92</v>
      </c>
      <c r="I756">
        <v>1</v>
      </c>
      <c r="J756" s="5">
        <v>263540</v>
      </c>
      <c r="K756" s="13">
        <v>1000</v>
      </c>
      <c r="L756" s="5">
        <v>262947.53000000003</v>
      </c>
      <c r="M756" s="5">
        <f>Table1[[#This Row],[Open Value]]/Table1[[#This Row],[Shares]]/Table1[[#This Row],[Multiplier]]</f>
        <v>263.54000000000002</v>
      </c>
      <c r="N756" s="5">
        <f>Table1[[#This Row],[Close Value]]/Table1[[#This Row],[Shares]]/Table1[[#This Row],[Multiplier]]</f>
        <v>262.94753000000003</v>
      </c>
      <c r="O756" s="5">
        <f>Table1[[#This Row],[Close Value]]-Table1[[#This Row],[Open Value]]</f>
        <v>-592.46999999997206</v>
      </c>
      <c r="P756" s="3">
        <f>Table1[[#This Row],[PnL]]/Table1[[#This Row],[Open Value]]</f>
        <v>-2.2481217272519241E-3</v>
      </c>
      <c r="Q756" s="14">
        <f t="shared" si="13"/>
        <v>-14653.73999999994</v>
      </c>
      <c r="R756" s="5" t="str">
        <f>TEXT(Table1[[#This Row],[Closing Date]],"yyyy")</f>
        <v>2024</v>
      </c>
      <c r="S756" s="5" t="str">
        <f>TEXT(Table1[[#This Row],[Closing Date]],"mmmm")</f>
        <v>November</v>
      </c>
      <c r="T756" s="5"/>
      <c r="U756" s="5"/>
    </row>
    <row r="757" spans="2:21" x14ac:dyDescent="0.25">
      <c r="B757" t="s">
        <v>201</v>
      </c>
      <c r="C757" t="s">
        <v>303</v>
      </c>
      <c r="D757" t="s">
        <v>16</v>
      </c>
      <c r="E757" t="s">
        <v>7</v>
      </c>
      <c r="F757" s="21">
        <v>45519</v>
      </c>
      <c r="G757" s="7">
        <v>45622</v>
      </c>
      <c r="H757" t="s">
        <v>323</v>
      </c>
      <c r="I757">
        <v>5000</v>
      </c>
      <c r="J757" s="5">
        <f>155950+523</f>
        <v>156473</v>
      </c>
      <c r="K757" s="13">
        <v>1</v>
      </c>
      <c r="L757" s="5">
        <f>96521.67+64487.78</f>
        <v>161009.45000000001</v>
      </c>
      <c r="M757" s="5">
        <f>Table1[[#This Row],[Open Value]]/Table1[[#This Row],[Shares]]/Table1[[#This Row],[Multiplier]]</f>
        <v>31.294599999999999</v>
      </c>
      <c r="N757" s="5">
        <f>Table1[[#This Row],[Close Value]]/Table1[[#This Row],[Shares]]/Table1[[#This Row],[Multiplier]]</f>
        <v>32.201889999999999</v>
      </c>
      <c r="O757" s="5">
        <f>Table1[[#This Row],[Close Value]]-Table1[[#This Row],[Open Value]]</f>
        <v>4536.4500000000116</v>
      </c>
      <c r="P757" s="3">
        <f>Table1[[#This Row],[PnL]]/Table1[[#This Row],[Open Value]]</f>
        <v>2.8991902756386159E-2</v>
      </c>
      <c r="Q757" s="14">
        <f t="shared" si="13"/>
        <v>-10117.289999999928</v>
      </c>
      <c r="R757" s="5" t="str">
        <f>TEXT(Table1[[#This Row],[Closing Date]],"yyyy")</f>
        <v>2024</v>
      </c>
      <c r="S757" s="5" t="str">
        <f>TEXT(Table1[[#This Row],[Closing Date]],"mmmm")</f>
        <v>November</v>
      </c>
      <c r="T757" s="5"/>
      <c r="U757" s="5"/>
    </row>
    <row r="758" spans="2:21" x14ac:dyDescent="0.25">
      <c r="B758" t="s">
        <v>201</v>
      </c>
      <c r="C758" t="s">
        <v>303</v>
      </c>
      <c r="D758" t="s">
        <v>12</v>
      </c>
      <c r="E758" t="s">
        <v>7</v>
      </c>
      <c r="F758" s="11">
        <v>45594</v>
      </c>
      <c r="G758" s="7">
        <v>45622</v>
      </c>
      <c r="H758" t="s">
        <v>271</v>
      </c>
      <c r="I758">
        <v>350</v>
      </c>
      <c r="J758" s="5">
        <f>88746+6890</f>
        <v>95636</v>
      </c>
      <c r="K758" s="13">
        <v>0.1</v>
      </c>
      <c r="L758" s="5">
        <f>23735.6+93387.8</f>
        <v>117123.4</v>
      </c>
      <c r="M758" s="5">
        <f>Table1[[#This Row],[Open Value]]/Table1[[#This Row],[Shares]]/Table1[[#This Row],[Multiplier]]</f>
        <v>2732.457142857143</v>
      </c>
      <c r="N758" s="5">
        <f>Table1[[#This Row],[Close Value]]/Table1[[#This Row],[Shares]]/Table1[[#This Row],[Multiplier]]</f>
        <v>3346.3828571428567</v>
      </c>
      <c r="O758" s="5">
        <f>Table1[[#This Row],[Close Value]]-Table1[[#This Row],[Open Value]]</f>
        <v>21487.399999999994</v>
      </c>
      <c r="P758" s="3">
        <f>Table1[[#This Row],[PnL]]/Table1[[#This Row],[Open Value]]</f>
        <v>0.22467899117487133</v>
      </c>
      <c r="Q758" s="14">
        <f t="shared" si="13"/>
        <v>11370.110000000066</v>
      </c>
      <c r="R758" s="5" t="str">
        <f>TEXT(Table1[[#This Row],[Closing Date]],"yyyy")</f>
        <v>2024</v>
      </c>
      <c r="S758" s="5" t="str">
        <f>TEXT(Table1[[#This Row],[Closing Date]],"mmmm")</f>
        <v>November</v>
      </c>
      <c r="T758" s="5"/>
      <c r="U758" s="5"/>
    </row>
    <row r="759" spans="2:21" x14ac:dyDescent="0.25">
      <c r="B759" t="s">
        <v>201</v>
      </c>
      <c r="C759" t="s">
        <v>303</v>
      </c>
      <c r="D759" t="s">
        <v>12</v>
      </c>
      <c r="E759" t="s">
        <v>7</v>
      </c>
      <c r="F759" s="11">
        <v>45602</v>
      </c>
      <c r="G759" s="7">
        <v>45622</v>
      </c>
      <c r="H759" t="s">
        <v>85</v>
      </c>
      <c r="I759">
        <v>10</v>
      </c>
      <c r="J759" s="5">
        <v>74926.7</v>
      </c>
      <c r="K759" s="13">
        <v>0.1</v>
      </c>
      <c r="L759" s="5">
        <f>17553.46+75494.34</f>
        <v>93047.799999999988</v>
      </c>
      <c r="M759" s="5">
        <f>Table1[[#This Row],[Open Value]]/Table1[[#This Row],[Shares]]/Table1[[#This Row],[Multiplier]]</f>
        <v>74926.7</v>
      </c>
      <c r="N759" s="5">
        <f>Table1[[#This Row],[Close Value]]/Table1[[#This Row],[Shares]]/Table1[[#This Row],[Multiplier]]</f>
        <v>93047.799999999988</v>
      </c>
      <c r="O759" s="5">
        <f>Table1[[#This Row],[Close Value]]-Table1[[#This Row],[Open Value]]</f>
        <v>18121.099999999991</v>
      </c>
      <c r="P759" s="3">
        <f>Table1[[#This Row],[PnL]]/Table1[[#This Row],[Open Value]]</f>
        <v>0.24185103574560193</v>
      </c>
      <c r="Q759" s="14">
        <f t="shared" si="13"/>
        <v>29491.210000000057</v>
      </c>
      <c r="R759" s="5" t="str">
        <f>TEXT(Table1[[#This Row],[Closing Date]],"yyyy")</f>
        <v>2024</v>
      </c>
      <c r="S759" s="5" t="str">
        <f>TEXT(Table1[[#This Row],[Closing Date]],"mmmm")</f>
        <v>November</v>
      </c>
      <c r="T759" s="5"/>
      <c r="U759" s="5"/>
    </row>
    <row r="760" spans="2:21" x14ac:dyDescent="0.25">
      <c r="B760" t="s">
        <v>201</v>
      </c>
      <c r="C760" t="s">
        <v>303</v>
      </c>
      <c r="D760" t="s">
        <v>16</v>
      </c>
      <c r="E760" t="s">
        <v>7</v>
      </c>
      <c r="F760" s="11">
        <v>45614</v>
      </c>
      <c r="G760" s="7">
        <v>45629</v>
      </c>
      <c r="H760" t="s">
        <v>165</v>
      </c>
      <c r="I760">
        <v>1000</v>
      </c>
      <c r="J760" s="5">
        <v>173595.05</v>
      </c>
      <c r="K760" s="13">
        <v>1</v>
      </c>
      <c r="L760" s="5">
        <f>Table1[[#This Row],[Open Value]]+3679.81</f>
        <v>177274.86</v>
      </c>
      <c r="M760" s="5">
        <f>Table1[[#This Row],[Open Value]]/Table1[[#This Row],[Shares]]/Table1[[#This Row],[Multiplier]]</f>
        <v>173.59504999999999</v>
      </c>
      <c r="N760" s="5">
        <f>Table1[[#This Row],[Close Value]]/Table1[[#This Row],[Shares]]/Table1[[#This Row],[Multiplier]]</f>
        <v>177.27485999999999</v>
      </c>
      <c r="O760" s="5">
        <f>Table1[[#This Row],[Close Value]]-Table1[[#This Row],[Open Value]]</f>
        <v>3679.8099999999977</v>
      </c>
      <c r="P760" s="3">
        <f>Table1[[#This Row],[PnL]]/Table1[[#This Row],[Open Value]]</f>
        <v>2.1197666638536051E-2</v>
      </c>
      <c r="Q760" s="14">
        <f t="shared" si="13"/>
        <v>33171.020000000055</v>
      </c>
      <c r="R760" s="5" t="str">
        <f>TEXT(Table1[[#This Row],[Closing Date]],"yyyy")</f>
        <v>2024</v>
      </c>
      <c r="S760" s="5" t="str">
        <f>TEXT(Table1[[#This Row],[Closing Date]],"mmmm")</f>
        <v>December</v>
      </c>
      <c r="T760" s="5"/>
      <c r="U760" s="5"/>
    </row>
    <row r="761" spans="2:21" x14ac:dyDescent="0.25">
      <c r="B761" t="s">
        <v>197</v>
      </c>
      <c r="C761" t="s">
        <v>303</v>
      </c>
      <c r="D761" t="s">
        <v>102</v>
      </c>
      <c r="E761" t="s">
        <v>7</v>
      </c>
      <c r="F761" s="11">
        <v>45574</v>
      </c>
      <c r="G761" s="7">
        <v>45631</v>
      </c>
      <c r="H761" t="s">
        <v>37</v>
      </c>
      <c r="I761">
        <v>4</v>
      </c>
      <c r="J761" s="5">
        <v>6202.77</v>
      </c>
      <c r="K761" s="13">
        <v>100</v>
      </c>
      <c r="L761" s="5">
        <f>Table1[[#This Row],[Open Value]]+27297.79</f>
        <v>33500.559999999998</v>
      </c>
      <c r="M761" s="5">
        <f>Table1[[#This Row],[Open Value]]/Table1[[#This Row],[Shares]]/Table1[[#This Row],[Multiplier]]</f>
        <v>15.506925000000001</v>
      </c>
      <c r="N761" s="5">
        <f>Table1[[#This Row],[Close Value]]/Table1[[#This Row],[Shares]]/Table1[[#This Row],[Multiplier]]</f>
        <v>83.75139999999999</v>
      </c>
      <c r="O761" s="5">
        <f>Table1[[#This Row],[Close Value]]-Table1[[#This Row],[Open Value]]</f>
        <v>27297.789999999997</v>
      </c>
      <c r="P761" s="3">
        <f>Table1[[#This Row],[PnL]]/Table1[[#This Row],[Open Value]]</f>
        <v>4.4009031448852687</v>
      </c>
      <c r="Q761" s="14">
        <f t="shared" si="13"/>
        <v>60468.810000000056</v>
      </c>
      <c r="R761" s="5" t="str">
        <f>TEXT(Table1[[#This Row],[Closing Date]],"yyyy")</f>
        <v>2024</v>
      </c>
      <c r="S761" s="5" t="str">
        <f>TEXT(Table1[[#This Row],[Closing Date]],"mmmm")</f>
        <v>December</v>
      </c>
      <c r="T761" s="5"/>
      <c r="U761" s="5"/>
    </row>
    <row r="762" spans="2:21" x14ac:dyDescent="0.25">
      <c r="B762" t="s">
        <v>201</v>
      </c>
      <c r="C762" t="s">
        <v>306</v>
      </c>
      <c r="D762" t="s">
        <v>12</v>
      </c>
      <c r="E762" t="s">
        <v>7</v>
      </c>
      <c r="F762" s="11">
        <v>45567</v>
      </c>
      <c r="G762" s="7">
        <v>45632</v>
      </c>
      <c r="H762" t="s">
        <v>50</v>
      </c>
      <c r="I762">
        <v>8</v>
      </c>
      <c r="J762" s="5">
        <f>504811.5+321135</f>
        <v>825946.5</v>
      </c>
      <c r="K762" s="13">
        <v>1000</v>
      </c>
      <c r="L762" s="5">
        <f>Table1[[#This Row],[Open Value]]+20650.04</f>
        <v>846596.54</v>
      </c>
      <c r="M762" s="5">
        <f>Table1[[#This Row],[Open Value]]/Table1[[#This Row],[Shares]]/Table1[[#This Row],[Multiplier]]</f>
        <v>103.2433125</v>
      </c>
      <c r="N762" s="5">
        <f>Table1[[#This Row],[Close Value]]/Table1[[#This Row],[Shares]]/Table1[[#This Row],[Multiplier]]</f>
        <v>105.8245675</v>
      </c>
      <c r="O762" s="5">
        <f>Table1[[#This Row],[Close Value]]-Table1[[#This Row],[Open Value]]</f>
        <v>20650.040000000037</v>
      </c>
      <c r="P762" s="3">
        <f>Table1[[#This Row],[PnL]]/Table1[[#This Row],[Open Value]]</f>
        <v>2.500166778356714E-2</v>
      </c>
      <c r="Q762" s="14">
        <f t="shared" si="13"/>
        <v>81118.850000000093</v>
      </c>
      <c r="R762" s="5" t="str">
        <f>TEXT(Table1[[#This Row],[Closing Date]],"yyyy")</f>
        <v>2024</v>
      </c>
      <c r="S762" s="5" t="str">
        <f>TEXT(Table1[[#This Row],[Closing Date]],"mmmm")</f>
        <v>December</v>
      </c>
      <c r="T762" s="5"/>
      <c r="U762" s="5"/>
    </row>
    <row r="763" spans="2:21" x14ac:dyDescent="0.25">
      <c r="B763" t="s">
        <v>201</v>
      </c>
      <c r="C763" t="s">
        <v>302</v>
      </c>
      <c r="D763" t="s">
        <v>16</v>
      </c>
      <c r="E763" t="s">
        <v>7</v>
      </c>
      <c r="F763" s="11">
        <v>45616</v>
      </c>
      <c r="G763" s="7">
        <v>45632</v>
      </c>
      <c r="H763" t="s">
        <v>340</v>
      </c>
      <c r="I763">
        <v>3000</v>
      </c>
      <c r="J763" s="5">
        <f>Table1[[#This Row],[Shares]]*45.11</f>
        <v>135330</v>
      </c>
      <c r="K763" s="13">
        <v>1</v>
      </c>
      <c r="L763" s="5">
        <f>Table1[[#This Row],[Open Value]]+9736.54</f>
        <v>145066.54</v>
      </c>
      <c r="M763" s="5">
        <f>Table1[[#This Row],[Open Value]]/Table1[[#This Row],[Shares]]/Table1[[#This Row],[Multiplier]]</f>
        <v>45.11</v>
      </c>
      <c r="N763" s="5">
        <f>Table1[[#This Row],[Close Value]]/Table1[[#This Row],[Shares]]/Table1[[#This Row],[Multiplier]]</f>
        <v>48.355513333333334</v>
      </c>
      <c r="O763" s="5">
        <f>Table1[[#This Row],[Close Value]]-Table1[[#This Row],[Open Value]]</f>
        <v>9736.5400000000081</v>
      </c>
      <c r="P763" s="3">
        <f>Table1[[#This Row],[PnL]]/Table1[[#This Row],[Open Value]]</f>
        <v>7.1946648932239773E-2</v>
      </c>
      <c r="Q763" s="14">
        <f t="shared" si="13"/>
        <v>90855.390000000101</v>
      </c>
      <c r="R763" s="5" t="str">
        <f>TEXT(Table1[[#This Row],[Closing Date]],"yyyy")</f>
        <v>2024</v>
      </c>
      <c r="S763" s="5" t="str">
        <f>TEXT(Table1[[#This Row],[Closing Date]],"mmmm")</f>
        <v>December</v>
      </c>
      <c r="T763" s="5"/>
      <c r="U763" s="5"/>
    </row>
    <row r="764" spans="2:21" x14ac:dyDescent="0.25">
      <c r="B764" t="s">
        <v>201</v>
      </c>
      <c r="C764" t="s">
        <v>303</v>
      </c>
      <c r="D764" t="s">
        <v>12</v>
      </c>
      <c r="E764" t="s">
        <v>5</v>
      </c>
      <c r="F764" s="11">
        <v>45589</v>
      </c>
      <c r="G764" s="7">
        <v>45632</v>
      </c>
      <c r="H764" t="s">
        <v>267</v>
      </c>
      <c r="I764">
        <v>10</v>
      </c>
      <c r="J764" s="5">
        <f>Table1[[#This Row],[Shares]]*Table1[[#This Row],[Multiplier]]*96.889</f>
        <v>2422225</v>
      </c>
      <c r="K764" s="13">
        <v>2500</v>
      </c>
      <c r="L764" s="5">
        <f>Table1[[#This Row],[Open Value]]-20145.1</f>
        <v>2402079.9</v>
      </c>
      <c r="M764" s="5">
        <f>Table1[[#This Row],[Open Value]]/Table1[[#This Row],[Shares]]/Table1[[#This Row],[Multiplier]]</f>
        <v>96.888999999999996</v>
      </c>
      <c r="N764" s="5">
        <f>Table1[[#This Row],[Close Value]]/Table1[[#This Row],[Shares]]/Table1[[#This Row],[Multiplier]]</f>
        <v>96.083196000000001</v>
      </c>
      <c r="O764" s="5">
        <f>Table1[[#This Row],[Open Value]]-Table1[[#This Row],[Close Value]]</f>
        <v>20145.100000000093</v>
      </c>
      <c r="P764" s="3">
        <f>Table1[[#This Row],[PnL]]/Table1[[#This Row],[Open Value]]</f>
        <v>8.3167748660839085E-3</v>
      </c>
      <c r="Q764" s="14">
        <f t="shared" si="13"/>
        <v>111000.49000000019</v>
      </c>
      <c r="R764" s="5" t="str">
        <f>TEXT(Table1[[#This Row],[Closing Date]],"yyyy")</f>
        <v>2024</v>
      </c>
      <c r="S764" s="5" t="str">
        <f>TEXT(Table1[[#This Row],[Closing Date]],"mmmm")</f>
        <v>December</v>
      </c>
      <c r="T764" s="5"/>
      <c r="U764" s="5"/>
    </row>
    <row r="765" spans="2:21" x14ac:dyDescent="0.25">
      <c r="B765" t="s">
        <v>201</v>
      </c>
      <c r="C765" t="s">
        <v>303</v>
      </c>
      <c r="D765" t="s">
        <v>16</v>
      </c>
      <c r="E765" t="s">
        <v>7</v>
      </c>
      <c r="F765" s="11">
        <v>45617</v>
      </c>
      <c r="G765" s="7">
        <v>45635</v>
      </c>
      <c r="H765" t="s">
        <v>341</v>
      </c>
      <c r="I765">
        <v>3700</v>
      </c>
      <c r="J765" s="5">
        <v>116235.5</v>
      </c>
      <c r="K765" s="13">
        <v>1</v>
      </c>
      <c r="L765" s="5">
        <f>Table1[[#This Row],[Open Value]]-5699.68</f>
        <v>110535.82</v>
      </c>
      <c r="M765" s="5">
        <f>Table1[[#This Row],[Open Value]]/Table1[[#This Row],[Shares]]/Table1[[#This Row],[Multiplier]]</f>
        <v>31.414999999999999</v>
      </c>
      <c r="N765" s="5">
        <f>Table1[[#This Row],[Close Value]]/Table1[[#This Row],[Shares]]/Table1[[#This Row],[Multiplier]]</f>
        <v>29.874545945945947</v>
      </c>
      <c r="O765" s="5">
        <f>Table1[[#This Row],[Close Value]]-Table1[[#This Row],[Open Value]]</f>
        <v>-5699.679999999993</v>
      </c>
      <c r="P765" s="3">
        <f>Table1[[#This Row],[PnL]]/Table1[[#This Row],[Open Value]]</f>
        <v>-4.9035621647431235E-2</v>
      </c>
      <c r="Q765" s="14">
        <f t="shared" si="13"/>
        <v>105300.8100000002</v>
      </c>
      <c r="R765" s="5" t="str">
        <f>TEXT(Table1[[#This Row],[Closing Date]],"yyyy")</f>
        <v>2024</v>
      </c>
      <c r="S765" s="5" t="str">
        <f>TEXT(Table1[[#This Row],[Closing Date]],"mmmm")</f>
        <v>December</v>
      </c>
      <c r="T765" s="5"/>
      <c r="U765" s="5"/>
    </row>
    <row r="766" spans="2:21" x14ac:dyDescent="0.25">
      <c r="B766" t="s">
        <v>201</v>
      </c>
      <c r="C766" t="s">
        <v>303</v>
      </c>
      <c r="D766" t="s">
        <v>16</v>
      </c>
      <c r="E766" t="s">
        <v>7</v>
      </c>
      <c r="F766" s="11">
        <v>45580</v>
      </c>
      <c r="G766" s="7">
        <v>45635</v>
      </c>
      <c r="H766" t="s">
        <v>334</v>
      </c>
      <c r="I766">
        <v>300</v>
      </c>
      <c r="J766" s="5">
        <v>82961</v>
      </c>
      <c r="K766" s="13">
        <v>1</v>
      </c>
      <c r="L766" s="5">
        <f>Table1[[#This Row],[Open Value]]+17263.28</f>
        <v>100224.28</v>
      </c>
      <c r="M766" s="5">
        <f>Table1[[#This Row],[Open Value]]/Table1[[#This Row],[Shares]]/Table1[[#This Row],[Multiplier]]</f>
        <v>276.53666666666669</v>
      </c>
      <c r="N766" s="5">
        <f>Table1[[#This Row],[Close Value]]/Table1[[#This Row],[Shares]]/Table1[[#This Row],[Multiplier]]</f>
        <v>334.08093333333335</v>
      </c>
      <c r="O766" s="5">
        <f>Table1[[#This Row],[Close Value]]-Table1[[#This Row],[Open Value]]</f>
        <v>17263.28</v>
      </c>
      <c r="P766" s="3">
        <f>Table1[[#This Row],[PnL]]/Table1[[#This Row],[Open Value]]</f>
        <v>0.20808910210821951</v>
      </c>
      <c r="Q766" s="14">
        <f t="shared" si="13"/>
        <v>122564.0900000002</v>
      </c>
      <c r="R766" s="5" t="str">
        <f>TEXT(Table1[[#This Row],[Closing Date]],"yyyy")</f>
        <v>2024</v>
      </c>
      <c r="S766" s="5" t="str">
        <f>TEXT(Table1[[#This Row],[Closing Date]],"mmmm")</f>
        <v>December</v>
      </c>
      <c r="T766" s="5"/>
      <c r="U766" s="5"/>
    </row>
    <row r="767" spans="2:21" x14ac:dyDescent="0.25">
      <c r="B767" t="s">
        <v>201</v>
      </c>
      <c r="C767" t="s">
        <v>303</v>
      </c>
      <c r="D767" t="s">
        <v>12</v>
      </c>
      <c r="E767" t="s">
        <v>7</v>
      </c>
      <c r="F767" s="11">
        <v>45594</v>
      </c>
      <c r="G767" s="7">
        <v>45638</v>
      </c>
      <c r="H767" t="s">
        <v>89</v>
      </c>
      <c r="I767">
        <v>5</v>
      </c>
      <c r="J767" s="5">
        <f>352161.75+222954.4</f>
        <v>575116.15</v>
      </c>
      <c r="K767" s="13">
        <v>50</v>
      </c>
      <c r="L767" s="5">
        <f>Table1[[#This Row],[Open Value]]+14364.4</f>
        <v>589480.55000000005</v>
      </c>
      <c r="M767" s="5">
        <f>Table1[[#This Row],[Open Value]]/Table1[[#This Row],[Shares]]/Table1[[#This Row],[Multiplier]]</f>
        <v>2300.4646000000002</v>
      </c>
      <c r="N767" s="5">
        <f>Table1[[#This Row],[Close Value]]/Table1[[#This Row],[Shares]]/Table1[[#This Row],[Multiplier]]</f>
        <v>2357.9222000000004</v>
      </c>
      <c r="O767" s="5">
        <f>Table1[[#This Row],[Close Value]]-Table1[[#This Row],[Open Value]]</f>
        <v>14364.400000000023</v>
      </c>
      <c r="P767" s="3">
        <f>Table1[[#This Row],[PnL]]/Table1[[#This Row],[Open Value]]</f>
        <v>2.497651996035935E-2</v>
      </c>
      <c r="Q767" s="14">
        <f t="shared" si="13"/>
        <v>136928.49000000022</v>
      </c>
      <c r="R767" s="5" t="str">
        <f>TEXT(Table1[[#This Row],[Closing Date]],"yyyy")</f>
        <v>2024</v>
      </c>
      <c r="S767" s="5" t="str">
        <f>TEXT(Table1[[#This Row],[Closing Date]],"mmmm")</f>
        <v>December</v>
      </c>
      <c r="T767" s="5"/>
      <c r="U767" s="5"/>
    </row>
    <row r="768" spans="2:21" x14ac:dyDescent="0.25">
      <c r="B768" t="s">
        <v>201</v>
      </c>
      <c r="C768" t="s">
        <v>303</v>
      </c>
      <c r="D768" t="s">
        <v>12</v>
      </c>
      <c r="E768" t="s">
        <v>7</v>
      </c>
      <c r="F768" s="11">
        <v>45622</v>
      </c>
      <c r="G768" s="7">
        <v>45639</v>
      </c>
      <c r="H768" t="s">
        <v>88</v>
      </c>
      <c r="I768">
        <v>2</v>
      </c>
      <c r="J768" s="5">
        <v>48277.94</v>
      </c>
      <c r="K768" s="13">
        <v>1000</v>
      </c>
      <c r="L768" s="5">
        <f>Table1[[#This Row],[Open Value]]-2005.48</f>
        <v>46272.46</v>
      </c>
      <c r="M768" s="5">
        <f>Table1[[#This Row],[Open Value]]/Table1[[#This Row],[Shares]]/Table1[[#This Row],[Multiplier]]</f>
        <v>24.13897</v>
      </c>
      <c r="N768" s="5">
        <f>Table1[[#This Row],[Close Value]]/Table1[[#This Row],[Shares]]/Table1[[#This Row],[Multiplier]]</f>
        <v>23.136230000000001</v>
      </c>
      <c r="O768" s="5">
        <f>Table1[[#This Row],[Close Value]]-Table1[[#This Row],[Open Value]]</f>
        <v>-2005.4800000000032</v>
      </c>
      <c r="P768" s="3">
        <f>Table1[[#This Row],[PnL]]/Table1[[#This Row],[Open Value]]</f>
        <v>-4.1540297701186155E-2</v>
      </c>
      <c r="Q768" s="14">
        <f t="shared" si="13"/>
        <v>134923.01000000021</v>
      </c>
      <c r="R768" s="5" t="str">
        <f>TEXT(Table1[[#This Row],[Closing Date]],"yyyy")</f>
        <v>2024</v>
      </c>
      <c r="S768" s="5" t="str">
        <f>TEXT(Table1[[#This Row],[Closing Date]],"mmmm")</f>
        <v>December</v>
      </c>
      <c r="T768" s="5"/>
      <c r="U768" s="5"/>
    </row>
    <row r="769" spans="2:21" x14ac:dyDescent="0.25">
      <c r="B769" t="s">
        <v>201</v>
      </c>
      <c r="C769" t="s">
        <v>303</v>
      </c>
      <c r="D769" t="s">
        <v>16</v>
      </c>
      <c r="E769" t="s">
        <v>7</v>
      </c>
      <c r="F769" s="11">
        <v>45631</v>
      </c>
      <c r="G769" s="7">
        <v>45639</v>
      </c>
      <c r="H769" t="s">
        <v>349</v>
      </c>
      <c r="I769">
        <v>10000</v>
      </c>
      <c r="J769" s="5">
        <v>101635</v>
      </c>
      <c r="K769" s="13">
        <v>1</v>
      </c>
      <c r="L769" s="5">
        <f>Table1[[#This Row],[Open Value]]-11644.23</f>
        <v>89990.77</v>
      </c>
      <c r="M769" s="5">
        <f>Table1[[#This Row],[Open Value]]/Table1[[#This Row],[Shares]]/Table1[[#This Row],[Multiplier]]</f>
        <v>10.163500000000001</v>
      </c>
      <c r="N769" s="5">
        <f>Table1[[#This Row],[Close Value]]/Table1[[#This Row],[Shares]]/Table1[[#This Row],[Multiplier]]</f>
        <v>8.9990769999999998</v>
      </c>
      <c r="O769" s="5">
        <f>Table1[[#This Row],[Close Value]]-Table1[[#This Row],[Open Value]]</f>
        <v>-11644.229999999996</v>
      </c>
      <c r="P769" s="3">
        <f>Table1[[#This Row],[PnL]]/Table1[[#This Row],[Open Value]]</f>
        <v>-0.11456909529197615</v>
      </c>
      <c r="Q769" s="14">
        <f t="shared" si="13"/>
        <v>123278.78000000022</v>
      </c>
      <c r="R769" s="5" t="str">
        <f>TEXT(Table1[[#This Row],[Closing Date]],"yyyy")</f>
        <v>2024</v>
      </c>
      <c r="S769" s="5" t="str">
        <f>TEXT(Table1[[#This Row],[Closing Date]],"mmmm")</f>
        <v>December</v>
      </c>
      <c r="T769" s="5"/>
      <c r="U769" s="5"/>
    </row>
    <row r="770" spans="2:21" x14ac:dyDescent="0.25">
      <c r="B770" t="s">
        <v>201</v>
      </c>
      <c r="C770" t="s">
        <v>303</v>
      </c>
      <c r="D770" t="s">
        <v>16</v>
      </c>
      <c r="E770" t="s">
        <v>7</v>
      </c>
      <c r="F770" s="11">
        <v>45625</v>
      </c>
      <c r="G770" s="7">
        <v>45639</v>
      </c>
      <c r="H770" t="s">
        <v>336</v>
      </c>
      <c r="I770">
        <v>1500</v>
      </c>
      <c r="J770" s="5">
        <v>108585</v>
      </c>
      <c r="K770" s="13">
        <v>1</v>
      </c>
      <c r="L770" s="5">
        <f>Table1[[#This Row],[Open Value]]-6154.23+1578.82+1195.12</f>
        <v>105204.71</v>
      </c>
      <c r="M770" s="5">
        <f>Table1[[#This Row],[Open Value]]/Table1[[#This Row],[Shares]]/Table1[[#This Row],[Multiplier]]</f>
        <v>72.39</v>
      </c>
      <c r="N770" s="5">
        <f>Table1[[#This Row],[Close Value]]/Table1[[#This Row],[Shares]]/Table1[[#This Row],[Multiplier]]</f>
        <v>70.136473333333342</v>
      </c>
      <c r="O770" s="5">
        <f>Table1[[#This Row],[Close Value]]-Table1[[#This Row],[Open Value]]</f>
        <v>-3380.2899999999936</v>
      </c>
      <c r="P770" s="3">
        <f>Table1[[#This Row],[PnL]]/Table1[[#This Row],[Open Value]]</f>
        <v>-3.1130358705161797E-2</v>
      </c>
      <c r="Q770" s="14">
        <f t="shared" si="13"/>
        <v>119898.49000000022</v>
      </c>
      <c r="R770" s="5" t="str">
        <f>TEXT(Table1[[#This Row],[Closing Date]],"yyyy")</f>
        <v>2024</v>
      </c>
      <c r="S770" s="5" t="str">
        <f>TEXT(Table1[[#This Row],[Closing Date]],"mmmm")</f>
        <v>December</v>
      </c>
      <c r="T770" s="5"/>
      <c r="U770" s="5"/>
    </row>
    <row r="771" spans="2:21" x14ac:dyDescent="0.25">
      <c r="B771" t="s">
        <v>201</v>
      </c>
      <c r="C771" t="s">
        <v>302</v>
      </c>
      <c r="D771" t="s">
        <v>16</v>
      </c>
      <c r="E771" t="s">
        <v>7</v>
      </c>
      <c r="F771" s="11">
        <v>45632</v>
      </c>
      <c r="G771" s="7">
        <v>45644</v>
      </c>
      <c r="H771" t="s">
        <v>300</v>
      </c>
      <c r="I771">
        <v>500</v>
      </c>
      <c r="J771" s="5">
        <v>57036.25</v>
      </c>
      <c r="K771" s="13">
        <v>1</v>
      </c>
      <c r="L771" s="5">
        <f>Table1[[#This Row],[Open Value]]-3667.01</f>
        <v>53369.24</v>
      </c>
      <c r="M771" s="5">
        <f>Table1[[#This Row],[Open Value]]/Table1[[#This Row],[Shares]]/Table1[[#This Row],[Multiplier]]</f>
        <v>114.07250000000001</v>
      </c>
      <c r="N771" s="5">
        <f>Table1[[#This Row],[Close Value]]/Table1[[#This Row],[Shares]]/Table1[[#This Row],[Multiplier]]</f>
        <v>106.73848</v>
      </c>
      <c r="O771" s="5">
        <f>Table1[[#This Row],[Close Value]]-Table1[[#This Row],[Open Value]]</f>
        <v>-3667.010000000002</v>
      </c>
      <c r="P771" s="3">
        <f>Table1[[#This Row],[PnL]]/Table1[[#This Row],[Open Value]]</f>
        <v>-6.4292620920905597E-2</v>
      </c>
      <c r="Q771" s="14">
        <f t="shared" si="13"/>
        <v>116231.48000000021</v>
      </c>
      <c r="R771" s="5" t="str">
        <f>TEXT(Table1[[#This Row],[Closing Date]],"yyyy")</f>
        <v>2024</v>
      </c>
      <c r="S771" s="5" t="str">
        <f>TEXT(Table1[[#This Row],[Closing Date]],"mmmm")</f>
        <v>December</v>
      </c>
      <c r="T771" s="5"/>
      <c r="U771" s="5"/>
    </row>
    <row r="772" spans="2:21" x14ac:dyDescent="0.25">
      <c r="B772" t="s">
        <v>201</v>
      </c>
      <c r="C772" t="s">
        <v>303</v>
      </c>
      <c r="D772" t="s">
        <v>16</v>
      </c>
      <c r="E772" t="s">
        <v>7</v>
      </c>
      <c r="F772" s="11">
        <v>45639</v>
      </c>
      <c r="G772" s="7">
        <v>45644</v>
      </c>
      <c r="H772" t="s">
        <v>153</v>
      </c>
      <c r="I772">
        <v>2000</v>
      </c>
      <c r="J772" s="5">
        <v>62400</v>
      </c>
      <c r="K772" s="13">
        <v>1</v>
      </c>
      <c r="L772" s="5">
        <v>55000</v>
      </c>
      <c r="M772" s="5">
        <f>Table1[[#This Row],[Open Value]]/Table1[[#This Row],[Shares]]/Table1[[#This Row],[Multiplier]]</f>
        <v>31.2</v>
      </c>
      <c r="N772" s="5">
        <f>Table1[[#This Row],[Close Value]]/Table1[[#This Row],[Shares]]/Table1[[#This Row],[Multiplier]]</f>
        <v>27.5</v>
      </c>
      <c r="O772" s="5">
        <f>Table1[[#This Row],[Close Value]]-Table1[[#This Row],[Open Value]]</f>
        <v>-7400</v>
      </c>
      <c r="P772" s="3">
        <f>Table1[[#This Row],[PnL]]/Table1[[#This Row],[Open Value]]</f>
        <v>-0.11858974358974358</v>
      </c>
      <c r="Q772" s="14">
        <f t="shared" si="13"/>
        <v>108831.48000000021</v>
      </c>
      <c r="R772" s="5" t="str">
        <f>TEXT(Table1[[#This Row],[Closing Date]],"yyyy")</f>
        <v>2024</v>
      </c>
      <c r="S772" s="5" t="str">
        <f>TEXT(Table1[[#This Row],[Closing Date]],"mmmm")</f>
        <v>December</v>
      </c>
      <c r="T772" s="5"/>
      <c r="U772" s="5"/>
    </row>
    <row r="773" spans="2:21" x14ac:dyDescent="0.25">
      <c r="B773" t="s">
        <v>201</v>
      </c>
      <c r="C773" t="s">
        <v>303</v>
      </c>
      <c r="D773" t="s">
        <v>16</v>
      </c>
      <c r="E773" t="s">
        <v>7</v>
      </c>
      <c r="F773" s="11">
        <v>45625</v>
      </c>
      <c r="G773" s="7">
        <v>45644</v>
      </c>
      <c r="H773" t="s">
        <v>297</v>
      </c>
      <c r="I773">
        <f>570+560</f>
        <v>1130</v>
      </c>
      <c r="J773" s="5">
        <v>201600</v>
      </c>
      <c r="K773" s="13">
        <v>1</v>
      </c>
      <c r="L773" s="5">
        <f>Table1[[#This Row],[Open Value]]+5013.6</f>
        <v>206613.6</v>
      </c>
      <c r="M773" s="5">
        <f>Table1[[#This Row],[Open Value]]/Table1[[#This Row],[Shares]]/Table1[[#This Row],[Multiplier]]</f>
        <v>178.40707964601771</v>
      </c>
      <c r="N773" s="5">
        <f>Table1[[#This Row],[Close Value]]/Table1[[#This Row],[Shares]]/Table1[[#This Row],[Multiplier]]</f>
        <v>182.84389380530973</v>
      </c>
      <c r="O773" s="5">
        <f>Table1[[#This Row],[Close Value]]-Table1[[#This Row],[Open Value]]</f>
        <v>5013.6000000000058</v>
      </c>
      <c r="P773" s="3">
        <f>Table1[[#This Row],[PnL]]/Table1[[#This Row],[Open Value]]</f>
        <v>2.4869047619047648E-2</v>
      </c>
      <c r="Q773" s="14">
        <f t="shared" si="13"/>
        <v>113845.08000000022</v>
      </c>
      <c r="R773" s="5" t="str">
        <f>TEXT(Table1[[#This Row],[Closing Date]],"yyyy")</f>
        <v>2024</v>
      </c>
      <c r="S773" s="5" t="str">
        <f>TEXT(Table1[[#This Row],[Closing Date]],"mmmm")</f>
        <v>December</v>
      </c>
      <c r="T773" s="5"/>
      <c r="U773" s="5"/>
    </row>
    <row r="774" spans="2:21" x14ac:dyDescent="0.25">
      <c r="B774" t="s">
        <v>201</v>
      </c>
      <c r="C774" t="s">
        <v>303</v>
      </c>
      <c r="D774" t="s">
        <v>16</v>
      </c>
      <c r="E774" t="s">
        <v>7</v>
      </c>
      <c r="F774" s="11">
        <v>45637</v>
      </c>
      <c r="G774" s="7">
        <v>45644</v>
      </c>
      <c r="H774" t="s">
        <v>352</v>
      </c>
      <c r="I774">
        <v>300</v>
      </c>
      <c r="J774" s="5">
        <v>49641.9</v>
      </c>
      <c r="K774" s="13">
        <v>1</v>
      </c>
      <c r="L774" s="5">
        <f>Table1[[#This Row],[Open Value]]-12159.93</f>
        <v>37481.97</v>
      </c>
      <c r="M774" s="5">
        <f>Table1[[#This Row],[Open Value]]/Table1[[#This Row],[Shares]]/Table1[[#This Row],[Multiplier]]</f>
        <v>165.47300000000001</v>
      </c>
      <c r="N774" s="5">
        <f>Table1[[#This Row],[Close Value]]/Table1[[#This Row],[Shares]]/Table1[[#This Row],[Multiplier]]</f>
        <v>124.93990000000001</v>
      </c>
      <c r="O774" s="5">
        <f>Table1[[#This Row],[Close Value]]-Table1[[#This Row],[Open Value]]</f>
        <v>-12159.93</v>
      </c>
      <c r="P774" s="3">
        <f>Table1[[#This Row],[PnL]]/Table1[[#This Row],[Open Value]]</f>
        <v>-0.24495295304974224</v>
      </c>
      <c r="Q774" s="14">
        <f t="shared" ref="Q774:Q805" si="14">O774+Q773</f>
        <v>101685.15000000023</v>
      </c>
      <c r="R774" s="5" t="str">
        <f>TEXT(Table1[[#This Row],[Closing Date]],"yyyy")</f>
        <v>2024</v>
      </c>
      <c r="S774" s="5" t="str">
        <f>TEXT(Table1[[#This Row],[Closing Date]],"mmmm")</f>
        <v>December</v>
      </c>
      <c r="T774" s="5"/>
      <c r="U774" s="5"/>
    </row>
    <row r="775" spans="2:21" x14ac:dyDescent="0.25">
      <c r="B775" t="s">
        <v>201</v>
      </c>
      <c r="C775" t="s">
        <v>302</v>
      </c>
      <c r="D775" t="s">
        <v>12</v>
      </c>
      <c r="E775" t="s">
        <v>7</v>
      </c>
      <c r="F775" s="11">
        <v>45586</v>
      </c>
      <c r="G775" s="7">
        <v>45646</v>
      </c>
      <c r="H775" t="s">
        <v>82</v>
      </c>
      <c r="I775">
        <v>2</v>
      </c>
      <c r="J775" s="5">
        <v>589929.5</v>
      </c>
      <c r="K775" s="13">
        <v>50</v>
      </c>
      <c r="L775" s="5">
        <f>Table1[[#This Row],[Open Value]]-5908</f>
        <v>584021.5</v>
      </c>
      <c r="M775" s="5">
        <f>Table1[[#This Row],[Open Value]]/Table1[[#This Row],[Shares]]/Table1[[#This Row],[Multiplier]]</f>
        <v>5899.2950000000001</v>
      </c>
      <c r="N775" s="5">
        <f>Table1[[#This Row],[Close Value]]/Table1[[#This Row],[Shares]]/Table1[[#This Row],[Multiplier]]</f>
        <v>5840.2150000000001</v>
      </c>
      <c r="O775" s="5">
        <f>Table1[[#This Row],[Close Value]]-Table1[[#This Row],[Open Value]]</f>
        <v>-5908</v>
      </c>
      <c r="P775" s="3">
        <f>Table1[[#This Row],[PnL]]/Table1[[#This Row],[Open Value]]</f>
        <v>-1.0014756000505146E-2</v>
      </c>
      <c r="Q775" s="14">
        <f t="shared" si="14"/>
        <v>95777.150000000227</v>
      </c>
      <c r="R775" s="5" t="str">
        <f>TEXT(Table1[[#This Row],[Closing Date]],"yyyy")</f>
        <v>2024</v>
      </c>
      <c r="S775" s="5" t="str">
        <f>TEXT(Table1[[#This Row],[Closing Date]],"mmmm")</f>
        <v>December</v>
      </c>
      <c r="T775" s="5"/>
      <c r="U775" s="5"/>
    </row>
    <row r="776" spans="2:21" x14ac:dyDescent="0.25">
      <c r="B776" t="s">
        <v>201</v>
      </c>
      <c r="C776" t="s">
        <v>346</v>
      </c>
      <c r="D776" t="s">
        <v>12</v>
      </c>
      <c r="E776" t="s">
        <v>5</v>
      </c>
      <c r="F776" s="11">
        <v>45644</v>
      </c>
      <c r="G776" s="7">
        <v>45646</v>
      </c>
      <c r="H776" t="s">
        <v>90</v>
      </c>
      <c r="I776">
        <v>4</v>
      </c>
      <c r="J776" s="5">
        <v>1787075</v>
      </c>
      <c r="K776" s="13">
        <v>20</v>
      </c>
      <c r="L776" s="5">
        <f>Table1[[#This Row],[Open Value]]-36576-33561</f>
        <v>1716938</v>
      </c>
      <c r="M776" s="5">
        <f>Table1[[#This Row],[Open Value]]/Table1[[#This Row],[Shares]]/Table1[[#This Row],[Multiplier]]</f>
        <v>22338.4375</v>
      </c>
      <c r="N776" s="5">
        <f>Table1[[#This Row],[Close Value]]/Table1[[#This Row],[Shares]]/Table1[[#This Row],[Multiplier]]</f>
        <v>21461.724999999999</v>
      </c>
      <c r="O776" s="5">
        <f>Table1[[#This Row],[Open Value]]-Table1[[#This Row],[Close Value]]</f>
        <v>70137</v>
      </c>
      <c r="P776" s="3">
        <f>Table1[[#This Row],[PnL]]/Table1[[#This Row],[Open Value]]</f>
        <v>3.9246813927787026E-2</v>
      </c>
      <c r="Q776" s="14">
        <f t="shared" si="14"/>
        <v>165914.15000000023</v>
      </c>
      <c r="R776" s="5" t="str">
        <f>TEXT(Table1[[#This Row],[Closing Date]],"yyyy")</f>
        <v>2024</v>
      </c>
      <c r="S776" s="5" t="str">
        <f>TEXT(Table1[[#This Row],[Closing Date]],"mmmm")</f>
        <v>December</v>
      </c>
      <c r="T776" s="5"/>
      <c r="U776" s="5"/>
    </row>
    <row r="777" spans="2:21" x14ac:dyDescent="0.25">
      <c r="B777" t="s">
        <v>201</v>
      </c>
      <c r="C777" t="s">
        <v>303</v>
      </c>
      <c r="D777" t="s">
        <v>16</v>
      </c>
      <c r="E777" t="s">
        <v>7</v>
      </c>
      <c r="F777" s="11">
        <v>45635</v>
      </c>
      <c r="G777" s="7">
        <v>45646</v>
      </c>
      <c r="H777" t="s">
        <v>356</v>
      </c>
      <c r="I777">
        <v>6500</v>
      </c>
      <c r="J777" s="5">
        <v>101985</v>
      </c>
      <c r="K777" s="13">
        <v>1</v>
      </c>
      <c r="L777" s="5">
        <v>95095</v>
      </c>
      <c r="M777" s="5">
        <f>Table1[[#This Row],[Open Value]]/Table1[[#This Row],[Shares]]/Table1[[#This Row],[Multiplier]]</f>
        <v>15.69</v>
      </c>
      <c r="N777" s="5">
        <f>Table1[[#This Row],[Close Value]]/Table1[[#This Row],[Shares]]/Table1[[#This Row],[Multiplier]]</f>
        <v>14.63</v>
      </c>
      <c r="O777" s="5">
        <f>Table1[[#This Row],[Close Value]]-Table1[[#This Row],[Open Value]]</f>
        <v>-6890</v>
      </c>
      <c r="P777" s="3">
        <f>Table1[[#This Row],[PnL]]/Table1[[#This Row],[Open Value]]</f>
        <v>-6.7558954748247288E-2</v>
      </c>
      <c r="Q777" s="14">
        <f t="shared" si="14"/>
        <v>159024.15000000023</v>
      </c>
      <c r="R777" s="5" t="str">
        <f>TEXT(Table1[[#This Row],[Closing Date]],"yyyy")</f>
        <v>2024</v>
      </c>
      <c r="S777" s="5" t="str">
        <f>TEXT(Table1[[#This Row],[Closing Date]],"mmmm")</f>
        <v>December</v>
      </c>
      <c r="T777" s="5"/>
      <c r="U777" s="5"/>
    </row>
    <row r="778" spans="2:21" x14ac:dyDescent="0.25">
      <c r="B778" t="s">
        <v>201</v>
      </c>
      <c r="C778" t="s">
        <v>303</v>
      </c>
      <c r="D778" t="s">
        <v>12</v>
      </c>
      <c r="E778" t="s">
        <v>7</v>
      </c>
      <c r="F778" s="11">
        <v>45617</v>
      </c>
      <c r="G778" s="7">
        <v>45650</v>
      </c>
      <c r="H778" t="s">
        <v>43</v>
      </c>
      <c r="I778">
        <v>2</v>
      </c>
      <c r="J778" s="5">
        <f>Table1[[#This Row],[Multiplier]]*Table1[[#This Row],[Shares]]*3.5784+192840</f>
        <v>264408</v>
      </c>
      <c r="K778" s="13">
        <v>10000</v>
      </c>
      <c r="L778" s="5">
        <f>Table1[[#This Row],[Open Value]]+22995.42</f>
        <v>287403.42</v>
      </c>
      <c r="M778" s="5">
        <f>Table1[[#This Row],[Open Value]]/Table1[[#This Row],[Shares]]/Table1[[#This Row],[Multiplier]]</f>
        <v>13.2204</v>
      </c>
      <c r="N778" s="5">
        <f>Table1[[#This Row],[Close Value]]/Table1[[#This Row],[Shares]]/Table1[[#This Row],[Multiplier]]</f>
        <v>14.370170999999999</v>
      </c>
      <c r="O778" s="5">
        <f>Table1[[#This Row],[Close Value]]-Table1[[#This Row],[Open Value]]</f>
        <v>22995.419999999984</v>
      </c>
      <c r="P778" s="3">
        <f>Table1[[#This Row],[PnL]]/Table1[[#This Row],[Open Value]]</f>
        <v>8.6969456294817032E-2</v>
      </c>
      <c r="Q778" s="14">
        <f t="shared" si="14"/>
        <v>182019.57000000021</v>
      </c>
      <c r="R778" s="5" t="str">
        <f>TEXT(Table1[[#This Row],[Closing Date]],"yyyy")</f>
        <v>2024</v>
      </c>
      <c r="S778" s="5" t="str">
        <f>TEXT(Table1[[#This Row],[Closing Date]],"mmmm")</f>
        <v>December</v>
      </c>
      <c r="T778" s="5"/>
      <c r="U778" s="5"/>
    </row>
    <row r="779" spans="2:21" x14ac:dyDescent="0.25">
      <c r="B779" t="s">
        <v>201</v>
      </c>
      <c r="C779" t="s">
        <v>303</v>
      </c>
      <c r="D779" t="s">
        <v>12</v>
      </c>
      <c r="E779" t="s">
        <v>7</v>
      </c>
      <c r="F779" s="11">
        <v>45622</v>
      </c>
      <c r="G779" s="7">
        <v>45650</v>
      </c>
      <c r="H779" t="s">
        <v>85</v>
      </c>
      <c r="I779">
        <v>6</v>
      </c>
      <c r="J779" s="5">
        <v>57298.62</v>
      </c>
      <c r="K779" s="13">
        <v>0.1</v>
      </c>
      <c r="L779" s="5">
        <f>Table1[[#This Row],[Open Value]]+1802.76</f>
        <v>59101.380000000005</v>
      </c>
      <c r="M779" s="5">
        <f>Table1[[#This Row],[Open Value]]/Table1[[#This Row],[Shares]]/Table1[[#This Row],[Multiplier]]</f>
        <v>95497.7</v>
      </c>
      <c r="N779" s="5">
        <f>Table1[[#This Row],[Close Value]]/Table1[[#This Row],[Shares]]/Table1[[#This Row],[Multiplier]]</f>
        <v>98502.3</v>
      </c>
      <c r="O779" s="5">
        <f>Table1[[#This Row],[Close Value]]-Table1[[#This Row],[Open Value]]</f>
        <v>1802.760000000002</v>
      </c>
      <c r="P779" s="3">
        <f>Table1[[#This Row],[PnL]]/Table1[[#This Row],[Open Value]]</f>
        <v>3.1462537841225532E-2</v>
      </c>
      <c r="Q779" s="14">
        <f t="shared" si="14"/>
        <v>183822.33000000022</v>
      </c>
      <c r="R779" s="5" t="str">
        <f>TEXT(Table1[[#This Row],[Closing Date]],"yyyy")</f>
        <v>2024</v>
      </c>
      <c r="S779" s="5" t="str">
        <f>TEXT(Table1[[#This Row],[Closing Date]],"mmmm")</f>
        <v>December</v>
      </c>
      <c r="T779" s="5"/>
      <c r="U779" s="5"/>
    </row>
    <row r="780" spans="2:21" x14ac:dyDescent="0.25">
      <c r="B780" t="s">
        <v>201</v>
      </c>
      <c r="C780" t="s">
        <v>303</v>
      </c>
      <c r="D780" t="s">
        <v>12</v>
      </c>
      <c r="E780" t="s">
        <v>7</v>
      </c>
      <c r="F780" s="11">
        <v>45622</v>
      </c>
      <c r="G780" s="7">
        <v>45650</v>
      </c>
      <c r="H780" t="s">
        <v>271</v>
      </c>
      <c r="I780">
        <v>200</v>
      </c>
      <c r="J780" s="5">
        <v>67714</v>
      </c>
      <c r="K780" s="13">
        <v>0.1</v>
      </c>
      <c r="L780" s="5">
        <f>Table1[[#This Row],[Open Value]]+2284.25</f>
        <v>69998.25</v>
      </c>
      <c r="M780" s="5">
        <f>Table1[[#This Row],[Open Value]]/Table1[[#This Row],[Shares]]/Table1[[#This Row],[Multiplier]]</f>
        <v>3385.7</v>
      </c>
      <c r="N780" s="5">
        <f>Table1[[#This Row],[Close Value]]/Table1[[#This Row],[Shares]]/Table1[[#This Row],[Multiplier]]</f>
        <v>3499.9124999999995</v>
      </c>
      <c r="O780" s="5">
        <f>Table1[[#This Row],[Close Value]]-Table1[[#This Row],[Open Value]]</f>
        <v>2284.25</v>
      </c>
      <c r="P780" s="3">
        <f>Table1[[#This Row],[PnL]]/Table1[[#This Row],[Open Value]]</f>
        <v>3.3733792125705174E-2</v>
      </c>
      <c r="Q780" s="14">
        <f t="shared" si="14"/>
        <v>186106.58000000022</v>
      </c>
      <c r="R780" s="5" t="str">
        <f>TEXT(Table1[[#This Row],[Closing Date]],"yyyy")</f>
        <v>2024</v>
      </c>
      <c r="S780" s="5" t="str">
        <f>TEXT(Table1[[#This Row],[Closing Date]],"mmmm")</f>
        <v>December</v>
      </c>
      <c r="T780" s="5"/>
      <c r="U780" s="5"/>
    </row>
    <row r="781" spans="2:21" x14ac:dyDescent="0.25">
      <c r="B781" t="s">
        <v>201</v>
      </c>
      <c r="C781" t="s">
        <v>303</v>
      </c>
      <c r="D781" t="s">
        <v>12</v>
      </c>
      <c r="E781" t="s">
        <v>7</v>
      </c>
      <c r="F781" s="11">
        <v>45644</v>
      </c>
      <c r="G781" s="7">
        <v>45650</v>
      </c>
      <c r="H781" t="s">
        <v>86</v>
      </c>
      <c r="I781">
        <v>100</v>
      </c>
      <c r="J781" s="5">
        <v>462097</v>
      </c>
      <c r="K781" s="13">
        <v>1000</v>
      </c>
      <c r="L781" s="5">
        <f>Table1[[#This Row],[Open Value]]+13911</f>
        <v>476008</v>
      </c>
      <c r="M781" s="5">
        <f>Table1[[#This Row],[Open Value]]/Table1[[#This Row],[Shares]]/Table1[[#This Row],[Multiplier]]</f>
        <v>4.6209700000000007</v>
      </c>
      <c r="N781" s="5">
        <f>Table1[[#This Row],[Close Value]]/Table1[[#This Row],[Shares]]/Table1[[#This Row],[Multiplier]]</f>
        <v>4.7600800000000003</v>
      </c>
      <c r="O781" s="5">
        <f>Table1[[#This Row],[Close Value]]-Table1[[#This Row],[Open Value]]</f>
        <v>13911</v>
      </c>
      <c r="P781" s="3">
        <f>Table1[[#This Row],[PnL]]/Table1[[#This Row],[Open Value]]</f>
        <v>3.0104069059093654E-2</v>
      </c>
      <c r="Q781" s="14">
        <f t="shared" si="14"/>
        <v>200017.58000000022</v>
      </c>
      <c r="R781" s="5" t="str">
        <f>TEXT(Table1[[#This Row],[Closing Date]],"yyyy")</f>
        <v>2024</v>
      </c>
      <c r="S781" s="5" t="str">
        <f>TEXT(Table1[[#This Row],[Closing Date]],"mmmm")</f>
        <v>December</v>
      </c>
      <c r="T781" s="5"/>
      <c r="U781" s="5"/>
    </row>
    <row r="782" spans="2:21" x14ac:dyDescent="0.25">
      <c r="B782" t="s">
        <v>201</v>
      </c>
      <c r="C782" t="s">
        <v>303</v>
      </c>
      <c r="D782" t="s">
        <v>16</v>
      </c>
      <c r="E782" t="s">
        <v>7</v>
      </c>
      <c r="F782" s="11">
        <v>45635</v>
      </c>
      <c r="G782" s="7">
        <v>45650</v>
      </c>
      <c r="H782" t="s">
        <v>312</v>
      </c>
      <c r="I782">
        <v>2000</v>
      </c>
      <c r="J782" s="5">
        <v>55674.12</v>
      </c>
      <c r="K782" s="13">
        <v>1</v>
      </c>
      <c r="L782" s="5">
        <f>Table1[[#This Row],[Open Value]]-4213</f>
        <v>51461.120000000003</v>
      </c>
      <c r="M782" s="5">
        <f>Table1[[#This Row],[Open Value]]/Table1[[#This Row],[Shares]]/Table1[[#This Row],[Multiplier]]</f>
        <v>27.837060000000001</v>
      </c>
      <c r="N782" s="5">
        <f>Table1[[#This Row],[Close Value]]/Table1[[#This Row],[Shares]]/Table1[[#This Row],[Multiplier]]</f>
        <v>25.730560000000001</v>
      </c>
      <c r="O782" s="5">
        <f>Table1[[#This Row],[Close Value]]-Table1[[#This Row],[Open Value]]</f>
        <v>-4213</v>
      </c>
      <c r="P782" s="3">
        <f>Table1[[#This Row],[PnL]]/Table1[[#This Row],[Open Value]]</f>
        <v>-7.5672502771485198E-2</v>
      </c>
      <c r="Q782" s="14">
        <f t="shared" si="14"/>
        <v>195804.58000000022</v>
      </c>
      <c r="R782" s="5" t="str">
        <f>TEXT(Table1[[#This Row],[Closing Date]],"yyyy")</f>
        <v>2024</v>
      </c>
      <c r="S782" s="5" t="str">
        <f>TEXT(Table1[[#This Row],[Closing Date]],"mmmm")</f>
        <v>December</v>
      </c>
      <c r="T782" s="5"/>
      <c r="U782" s="5"/>
    </row>
    <row r="783" spans="2:21" x14ac:dyDescent="0.25">
      <c r="B783" t="s">
        <v>201</v>
      </c>
      <c r="C783" t="s">
        <v>303</v>
      </c>
      <c r="D783" t="s">
        <v>12</v>
      </c>
      <c r="E783" t="s">
        <v>7</v>
      </c>
      <c r="F783" s="11">
        <v>45618</v>
      </c>
      <c r="G783" s="7">
        <v>45653</v>
      </c>
      <c r="H783" t="s">
        <v>81</v>
      </c>
      <c r="I783">
        <v>1</v>
      </c>
      <c r="J783" s="5">
        <v>90600</v>
      </c>
      <c r="K783" s="13">
        <v>100</v>
      </c>
      <c r="L783" s="5">
        <f>Table1[[#This Row],[Open Value]]+10704.06</f>
        <v>101304.06</v>
      </c>
      <c r="M783" s="5">
        <f>Table1[[#This Row],[Open Value]]/Table1[[#This Row],[Shares]]/Table1[[#This Row],[Multiplier]]</f>
        <v>906</v>
      </c>
      <c r="N783" s="5">
        <f>Table1[[#This Row],[Close Value]]/Table1[[#This Row],[Shares]]/Table1[[#This Row],[Multiplier]]</f>
        <v>1013.0405999999999</v>
      </c>
      <c r="O783" s="5">
        <f>Table1[[#This Row],[Close Value]]-Table1[[#This Row],[Open Value]]</f>
        <v>10704.059999999998</v>
      </c>
      <c r="P783" s="3">
        <f>Table1[[#This Row],[PnL]]/Table1[[#This Row],[Open Value]]</f>
        <v>0.11814635761589401</v>
      </c>
      <c r="Q783" s="14">
        <f t="shared" si="14"/>
        <v>206508.64000000022</v>
      </c>
      <c r="R783" s="5" t="str">
        <f>TEXT(Table1[[#This Row],[Closing Date]],"yyyy")</f>
        <v>2024</v>
      </c>
      <c r="S783" s="5" t="str">
        <f>TEXT(Table1[[#This Row],[Closing Date]],"mmmm")</f>
        <v>December</v>
      </c>
      <c r="T783" s="5"/>
      <c r="U783" s="5"/>
    </row>
    <row r="784" spans="2:21" x14ac:dyDescent="0.25">
      <c r="B784" t="s">
        <v>201</v>
      </c>
      <c r="C784" t="s">
        <v>303</v>
      </c>
      <c r="D784" t="s">
        <v>16</v>
      </c>
      <c r="E784" t="s">
        <v>7</v>
      </c>
      <c r="F784" s="11">
        <v>45652</v>
      </c>
      <c r="G784" s="7">
        <v>45657</v>
      </c>
      <c r="H784" t="s">
        <v>350</v>
      </c>
      <c r="I784">
        <v>2600</v>
      </c>
      <c r="J784" s="5">
        <v>50165</v>
      </c>
      <c r="K784" s="13">
        <v>1</v>
      </c>
      <c r="L784" s="5">
        <f>Table1[[#This Row],[Open Value]]-7453.25</f>
        <v>42711.75</v>
      </c>
      <c r="M784" s="5">
        <f>Table1[[#This Row],[Open Value]]/Table1[[#This Row],[Shares]]/Table1[[#This Row],[Multiplier]]</f>
        <v>19.294230769230769</v>
      </c>
      <c r="N784" s="5">
        <f>Table1[[#This Row],[Close Value]]/Table1[[#This Row],[Shares]]/Table1[[#This Row],[Multiplier]]</f>
        <v>16.427596153846153</v>
      </c>
      <c r="O784" s="5">
        <f>Table1[[#This Row],[Close Value]]-Table1[[#This Row],[Open Value]]</f>
        <v>-7453.25</v>
      </c>
      <c r="P784" s="3">
        <f>Table1[[#This Row],[PnL]]/Table1[[#This Row],[Open Value]]</f>
        <v>-0.14857470347852089</v>
      </c>
      <c r="Q784" s="14">
        <f t="shared" si="14"/>
        <v>199055.39000000022</v>
      </c>
      <c r="R784" s="5" t="str">
        <f>TEXT(Table1[[#This Row],[Closing Date]],"yyyy")</f>
        <v>2024</v>
      </c>
      <c r="S784" s="5" t="str">
        <f>TEXT(Table1[[#This Row],[Closing Date]],"mmmm")</f>
        <v>December</v>
      </c>
      <c r="T784" s="5"/>
      <c r="U784" s="5"/>
    </row>
    <row r="785" spans="2:21" x14ac:dyDescent="0.25">
      <c r="B785" t="s">
        <v>201</v>
      </c>
      <c r="C785" t="s">
        <v>303</v>
      </c>
      <c r="D785" t="s">
        <v>16</v>
      </c>
      <c r="E785" t="s">
        <v>7</v>
      </c>
      <c r="F785" s="11">
        <v>45622</v>
      </c>
      <c r="G785" s="7">
        <v>45665</v>
      </c>
      <c r="H785" t="s">
        <v>163</v>
      </c>
      <c r="I785">
        <v>800</v>
      </c>
      <c r="J785" s="5">
        <v>52098.05</v>
      </c>
      <c r="K785" s="13">
        <v>1</v>
      </c>
      <c r="L785" s="5">
        <f>Table1[[#This Row],[Open Value]]+5403.43</f>
        <v>57501.48</v>
      </c>
      <c r="M785" s="5">
        <f>Table1[[#This Row],[Open Value]]/Table1[[#This Row],[Shares]]/Table1[[#This Row],[Multiplier]]</f>
        <v>65.122562500000001</v>
      </c>
      <c r="N785" s="5">
        <f>Table1[[#This Row],[Close Value]]/Table1[[#This Row],[Shares]]/Table1[[#This Row],[Multiplier]]</f>
        <v>71.876850000000005</v>
      </c>
      <c r="O785" s="5">
        <f>Table1[[#This Row],[Close Value]]-Table1[[#This Row],[Open Value]]</f>
        <v>5403.43</v>
      </c>
      <c r="P785" s="3">
        <f>Table1[[#This Row],[PnL]]/Table1[[#This Row],[Open Value]]</f>
        <v>0.10371654985167392</v>
      </c>
      <c r="Q785" s="14">
        <f t="shared" si="14"/>
        <v>204458.82000000021</v>
      </c>
      <c r="R785" s="5" t="str">
        <f>TEXT(Table1[[#This Row],[Closing Date]],"yyyy")</f>
        <v>2025</v>
      </c>
      <c r="S785" s="5" t="str">
        <f>TEXT(Table1[[#This Row],[Closing Date]],"mmmm")</f>
        <v>January</v>
      </c>
      <c r="T785" s="5"/>
      <c r="U785" s="5"/>
    </row>
    <row r="786" spans="2:21" x14ac:dyDescent="0.25">
      <c r="B786" t="s">
        <v>197</v>
      </c>
      <c r="C786" t="s">
        <v>302</v>
      </c>
      <c r="D786" t="s">
        <v>343</v>
      </c>
      <c r="E786" t="s">
        <v>7</v>
      </c>
      <c r="F786" s="11">
        <v>45664</v>
      </c>
      <c r="G786" s="7">
        <v>45665</v>
      </c>
      <c r="H786" t="s">
        <v>10</v>
      </c>
      <c r="I786">
        <v>10</v>
      </c>
      <c r="J786" s="5">
        <f>3217.87+1607.01</f>
        <v>4824.88</v>
      </c>
      <c r="K786" s="13">
        <v>100</v>
      </c>
      <c r="L786" s="5">
        <f>Table1[[#This Row],[Open Value]]+5310.72-3217.87</f>
        <v>6917.7300000000005</v>
      </c>
      <c r="M786" s="5">
        <f>Table1[[#This Row],[Open Value]]/Table1[[#This Row],[Shares]]/Table1[[#This Row],[Multiplier]]</f>
        <v>4.8248800000000003</v>
      </c>
      <c r="N786" s="5">
        <f>Table1[[#This Row],[Close Value]]/Table1[[#This Row],[Shares]]/Table1[[#This Row],[Multiplier]]</f>
        <v>6.9177300000000006</v>
      </c>
      <c r="O786" s="5">
        <f>Table1[[#This Row],[Close Value]]-Table1[[#This Row],[Open Value]]</f>
        <v>2092.8500000000004</v>
      </c>
      <c r="P786" s="3">
        <f>Table1[[#This Row],[PnL]]/Table1[[#This Row],[Open Value]]</f>
        <v>0.43376208320206933</v>
      </c>
      <c r="Q786" s="14">
        <f t="shared" si="14"/>
        <v>206551.67000000022</v>
      </c>
      <c r="R786" s="5" t="str">
        <f>TEXT(Table1[[#This Row],[Closing Date]],"yyyy")</f>
        <v>2025</v>
      </c>
      <c r="S786" s="5" t="str">
        <f>TEXT(Table1[[#This Row],[Closing Date]],"mmmm")</f>
        <v>January</v>
      </c>
      <c r="T786" s="5"/>
      <c r="U786" s="5"/>
    </row>
    <row r="787" spans="2:21" x14ac:dyDescent="0.25">
      <c r="B787" t="s">
        <v>197</v>
      </c>
      <c r="C787" t="s">
        <v>302</v>
      </c>
      <c r="D787" t="s">
        <v>344</v>
      </c>
      <c r="E787" t="s">
        <v>7</v>
      </c>
      <c r="F787" s="11">
        <v>45664</v>
      </c>
      <c r="G787" s="7">
        <v>45665</v>
      </c>
      <c r="H787" t="s">
        <v>345</v>
      </c>
      <c r="I787">
        <v>5</v>
      </c>
      <c r="J787" s="5">
        <f>175+2000</f>
        <v>2175</v>
      </c>
      <c r="K787" s="13">
        <v>100</v>
      </c>
      <c r="L787" s="5">
        <f>Table1[[#This Row],[Open Value]]+3154.74-112.06</f>
        <v>5217.6799999999994</v>
      </c>
      <c r="M787" s="5">
        <f>Table1[[#This Row],[Open Value]]/Table1[[#This Row],[Shares]]/Table1[[#This Row],[Multiplier]]</f>
        <v>4.3499999999999996</v>
      </c>
      <c r="N787" s="5">
        <f>Table1[[#This Row],[Close Value]]/Table1[[#This Row],[Shares]]/Table1[[#This Row],[Multiplier]]</f>
        <v>10.435359999999998</v>
      </c>
      <c r="O787" s="5">
        <f>Table1[[#This Row],[Close Value]]-Table1[[#This Row],[Open Value]]</f>
        <v>3042.6799999999994</v>
      </c>
      <c r="P787" s="3">
        <f>Table1[[#This Row],[PnL]]/Table1[[#This Row],[Open Value]]</f>
        <v>1.3989333333333331</v>
      </c>
      <c r="Q787" s="14">
        <f t="shared" si="14"/>
        <v>209594.35000000021</v>
      </c>
      <c r="R787" s="5" t="str">
        <f>TEXT(Table1[[#This Row],[Closing Date]],"yyyy")</f>
        <v>2025</v>
      </c>
      <c r="S787" s="5" t="str">
        <f>TEXT(Table1[[#This Row],[Closing Date]],"mmmm")</f>
        <v>January</v>
      </c>
      <c r="T787" s="5"/>
      <c r="U787" s="5"/>
    </row>
    <row r="788" spans="2:21" x14ac:dyDescent="0.25">
      <c r="B788" t="s">
        <v>201</v>
      </c>
      <c r="C788" t="s">
        <v>303</v>
      </c>
      <c r="D788" t="s">
        <v>16</v>
      </c>
      <c r="E788" t="s">
        <v>7</v>
      </c>
      <c r="F788" s="11">
        <v>45642</v>
      </c>
      <c r="G788" s="7">
        <v>45665</v>
      </c>
      <c r="H788" t="s">
        <v>107</v>
      </c>
      <c r="I788">
        <v>400</v>
      </c>
      <c r="J788" s="5">
        <v>124532</v>
      </c>
      <c r="K788" s="13">
        <v>1</v>
      </c>
      <c r="L788" s="5">
        <f>Table1[[#This Row],[Open Value]]-17966.36</f>
        <v>106565.64</v>
      </c>
      <c r="M788" s="5">
        <f>Table1[[#This Row],[Open Value]]/Table1[[#This Row],[Shares]]/Table1[[#This Row],[Multiplier]]</f>
        <v>311.33</v>
      </c>
      <c r="N788" s="5">
        <f>Table1[[#This Row],[Close Value]]/Table1[[#This Row],[Shares]]/Table1[[#This Row],[Multiplier]]</f>
        <v>266.41410000000002</v>
      </c>
      <c r="O788" s="5">
        <f>Table1[[#This Row],[Close Value]]-Table1[[#This Row],[Open Value]]</f>
        <v>-17966.36</v>
      </c>
      <c r="P788" s="3">
        <f>Table1[[#This Row],[PnL]]/Table1[[#This Row],[Open Value]]</f>
        <v>-0.14427103073908715</v>
      </c>
      <c r="Q788" s="14">
        <f t="shared" si="14"/>
        <v>191627.99000000022</v>
      </c>
      <c r="R788" s="5" t="str">
        <f>TEXT(Table1[[#This Row],[Closing Date]],"yyyy")</f>
        <v>2025</v>
      </c>
      <c r="S788" s="5" t="str">
        <f>TEXT(Table1[[#This Row],[Closing Date]],"mmmm")</f>
        <v>January</v>
      </c>
      <c r="T788" s="5"/>
      <c r="U788" s="5"/>
    </row>
    <row r="789" spans="2:21" x14ac:dyDescent="0.25">
      <c r="B789" t="s">
        <v>201</v>
      </c>
      <c r="C789" t="s">
        <v>303</v>
      </c>
      <c r="D789" t="s">
        <v>16</v>
      </c>
      <c r="E789" t="s">
        <v>7</v>
      </c>
      <c r="F789" s="11">
        <v>45614</v>
      </c>
      <c r="G789" s="7">
        <v>45667</v>
      </c>
      <c r="H789" t="s">
        <v>140</v>
      </c>
      <c r="I789">
        <f>2200+1280</f>
        <v>3480</v>
      </c>
      <c r="J789" s="5">
        <f>Table1[[#This Row],[Shares]]*29.2</f>
        <v>101616</v>
      </c>
      <c r="K789" s="13">
        <v>1</v>
      </c>
      <c r="L789" s="5">
        <f>Table1[[#This Row],[Open Value]]+16967.1</f>
        <v>118583.1</v>
      </c>
      <c r="M789" s="5">
        <f>Table1[[#This Row],[Open Value]]/Table1[[#This Row],[Shares]]/Table1[[#This Row],[Multiplier]]</f>
        <v>29.2</v>
      </c>
      <c r="N789" s="5">
        <f>Table1[[#This Row],[Close Value]]/Table1[[#This Row],[Shares]]/Table1[[#This Row],[Multiplier]]</f>
        <v>34.075603448275864</v>
      </c>
      <c r="O789" s="5">
        <f>Table1[[#This Row],[Close Value]]-Table1[[#This Row],[Open Value]]</f>
        <v>16967.100000000006</v>
      </c>
      <c r="P789" s="3">
        <f>Table1[[#This Row],[PnL]]/Table1[[#This Row],[Open Value]]</f>
        <v>0.16697272083136519</v>
      </c>
      <c r="Q789" s="14">
        <f t="shared" si="14"/>
        <v>208595.09000000023</v>
      </c>
      <c r="R789" s="5" t="str">
        <f>TEXT(Table1[[#This Row],[Closing Date]],"yyyy")</f>
        <v>2025</v>
      </c>
      <c r="S789" s="5" t="str">
        <f>TEXT(Table1[[#This Row],[Closing Date]],"mmmm")</f>
        <v>January</v>
      </c>
      <c r="T789" s="5"/>
      <c r="U789" s="5"/>
    </row>
    <row r="790" spans="2:21" x14ac:dyDescent="0.25">
      <c r="B790" t="s">
        <v>201</v>
      </c>
      <c r="C790" t="s">
        <v>303</v>
      </c>
      <c r="D790" t="s">
        <v>16</v>
      </c>
      <c r="E790" t="s">
        <v>7</v>
      </c>
      <c r="F790" s="11">
        <v>45615</v>
      </c>
      <c r="G790" s="7">
        <v>45667</v>
      </c>
      <c r="H790" t="s">
        <v>342</v>
      </c>
      <c r="I790">
        <v>5600</v>
      </c>
      <c r="J790" s="5">
        <f>Table1[[#This Row],[Shares]]*17.639</f>
        <v>98778.4</v>
      </c>
      <c r="K790" s="13">
        <v>1</v>
      </c>
      <c r="L790" s="5">
        <f>Table1[[#This Row],[Open Value]]-16587.33</f>
        <v>82191.069999999992</v>
      </c>
      <c r="M790" s="5">
        <f>Table1[[#This Row],[Open Value]]/Table1[[#This Row],[Shares]]/Table1[[#This Row],[Multiplier]]</f>
        <v>17.638999999999999</v>
      </c>
      <c r="N790" s="5">
        <f>Table1[[#This Row],[Close Value]]/Table1[[#This Row],[Shares]]/Table1[[#This Row],[Multiplier]]</f>
        <v>14.676976785714285</v>
      </c>
      <c r="O790" s="5">
        <f>Table1[[#This Row],[Close Value]]-Table1[[#This Row],[Open Value]]</f>
        <v>-16587.330000000002</v>
      </c>
      <c r="P790" s="3">
        <f>Table1[[#This Row],[PnL]]/Table1[[#This Row],[Open Value]]</f>
        <v>-0.16792466774112561</v>
      </c>
      <c r="Q790" s="14">
        <f t="shared" si="14"/>
        <v>192007.76000000024</v>
      </c>
      <c r="R790" s="5" t="str">
        <f>TEXT(Table1[[#This Row],[Closing Date]],"yyyy")</f>
        <v>2025</v>
      </c>
      <c r="S790" s="5" t="str">
        <f>TEXT(Table1[[#This Row],[Closing Date]],"mmmm")</f>
        <v>January</v>
      </c>
      <c r="T790" s="5"/>
      <c r="U790" s="5"/>
    </row>
    <row r="791" spans="2:21" x14ac:dyDescent="0.25">
      <c r="B791" t="s">
        <v>201</v>
      </c>
      <c r="C791" t="s">
        <v>303</v>
      </c>
      <c r="D791" t="s">
        <v>16</v>
      </c>
      <c r="E791" t="s">
        <v>7</v>
      </c>
      <c r="F791" s="11">
        <v>45594</v>
      </c>
      <c r="G791" s="7">
        <v>45667</v>
      </c>
      <c r="H791" t="s">
        <v>114</v>
      </c>
      <c r="I791">
        <v>2300</v>
      </c>
      <c r="J791" s="5">
        <v>98336.61</v>
      </c>
      <c r="K791" s="13">
        <v>1</v>
      </c>
      <c r="L791" s="5">
        <f>Table1[[#This Row],[Open Value]]+40113.75</f>
        <v>138450.35999999999</v>
      </c>
      <c r="M791" s="5">
        <f>Table1[[#This Row],[Open Value]]/Table1[[#This Row],[Shares]]/Table1[[#This Row],[Multiplier]]</f>
        <v>42.755047826086958</v>
      </c>
      <c r="N791" s="5">
        <f>Table1[[#This Row],[Close Value]]/Table1[[#This Row],[Shares]]/Table1[[#This Row],[Multiplier]]</f>
        <v>60.195808695652168</v>
      </c>
      <c r="O791" s="5">
        <f>Table1[[#This Row],[Close Value]]-Table1[[#This Row],[Open Value]]</f>
        <v>40113.749999999985</v>
      </c>
      <c r="P791" s="3">
        <f>Table1[[#This Row],[PnL]]/Table1[[#This Row],[Open Value]]</f>
        <v>0.40792284785900168</v>
      </c>
      <c r="Q791" s="14">
        <f t="shared" si="14"/>
        <v>232121.51000000024</v>
      </c>
      <c r="R791" s="5" t="str">
        <f>TEXT(Table1[[#This Row],[Closing Date]],"yyyy")</f>
        <v>2025</v>
      </c>
      <c r="S791" s="5" t="str">
        <f>TEXT(Table1[[#This Row],[Closing Date]],"mmmm")</f>
        <v>January</v>
      </c>
      <c r="T791" s="5"/>
      <c r="U791" s="5"/>
    </row>
    <row r="792" spans="2:21" x14ac:dyDescent="0.25">
      <c r="B792" t="s">
        <v>201</v>
      </c>
      <c r="C792" t="s">
        <v>303</v>
      </c>
      <c r="D792" t="s">
        <v>16</v>
      </c>
      <c r="E792" t="s">
        <v>7</v>
      </c>
      <c r="F792" s="11">
        <v>45650</v>
      </c>
      <c r="G792" s="7">
        <v>45667</v>
      </c>
      <c r="H792" t="s">
        <v>354</v>
      </c>
      <c r="I792">
        <v>5000</v>
      </c>
      <c r="J792" s="5">
        <v>110700</v>
      </c>
      <c r="K792" s="13">
        <v>1</v>
      </c>
      <c r="L792" s="5">
        <f>Table1[[#This Row],[Open Value]]-4210.11</f>
        <v>106489.89</v>
      </c>
      <c r="M792" s="5">
        <f>Table1[[#This Row],[Open Value]]/Table1[[#This Row],[Shares]]/Table1[[#This Row],[Multiplier]]</f>
        <v>22.14</v>
      </c>
      <c r="N792" s="5">
        <f>Table1[[#This Row],[Close Value]]/Table1[[#This Row],[Shares]]/Table1[[#This Row],[Multiplier]]</f>
        <v>21.297978000000001</v>
      </c>
      <c r="O792" s="5">
        <f>Table1[[#This Row],[Close Value]]-Table1[[#This Row],[Open Value]]</f>
        <v>-4210.1100000000006</v>
      </c>
      <c r="P792" s="3">
        <f>Table1[[#This Row],[PnL]]/Table1[[#This Row],[Open Value]]</f>
        <v>-3.8031707317073178E-2</v>
      </c>
      <c r="Q792" s="14">
        <f t="shared" si="14"/>
        <v>227911.40000000026</v>
      </c>
      <c r="R792" s="5" t="str">
        <f>TEXT(Table1[[#This Row],[Closing Date]],"yyyy")</f>
        <v>2025</v>
      </c>
      <c r="S792" s="5" t="str">
        <f>TEXT(Table1[[#This Row],[Closing Date]],"mmmm")</f>
        <v>January</v>
      </c>
      <c r="T792" s="5"/>
      <c r="U792" s="5"/>
    </row>
    <row r="793" spans="2:21" x14ac:dyDescent="0.25">
      <c r="B793" t="s">
        <v>201</v>
      </c>
      <c r="C793" t="s">
        <v>303</v>
      </c>
      <c r="D793" t="s">
        <v>16</v>
      </c>
      <c r="E793" t="s">
        <v>7</v>
      </c>
      <c r="F793" s="11">
        <v>45646</v>
      </c>
      <c r="G793" s="7">
        <v>45670</v>
      </c>
      <c r="H793" t="s">
        <v>351</v>
      </c>
      <c r="I793">
        <v>4250</v>
      </c>
      <c r="J793" s="5">
        <v>98757</v>
      </c>
      <c r="K793" s="13">
        <v>1</v>
      </c>
      <c r="L793" s="5">
        <f>Table1[[#This Row],[Open Value]]+11114.59</f>
        <v>109871.59</v>
      </c>
      <c r="M793" s="5">
        <f>Table1[[#This Row],[Open Value]]/Table1[[#This Row],[Shares]]/Table1[[#This Row],[Multiplier]]</f>
        <v>23.236941176470587</v>
      </c>
      <c r="N793" s="5">
        <f>Table1[[#This Row],[Close Value]]/Table1[[#This Row],[Shares]]/Table1[[#This Row],[Multiplier]]</f>
        <v>25.852138823529412</v>
      </c>
      <c r="O793" s="5">
        <f>Table1[[#This Row],[Close Value]]-Table1[[#This Row],[Open Value]]</f>
        <v>11114.589999999997</v>
      </c>
      <c r="P793" s="3">
        <f>Table1[[#This Row],[PnL]]/Table1[[#This Row],[Open Value]]</f>
        <v>0.11254483226505459</v>
      </c>
      <c r="Q793" s="14">
        <f t="shared" si="14"/>
        <v>239025.99000000025</v>
      </c>
      <c r="R793" s="5" t="str">
        <f>TEXT(Table1[[#This Row],[Closing Date]],"yyyy")</f>
        <v>2025</v>
      </c>
      <c r="S793" s="5" t="str">
        <f>TEXT(Table1[[#This Row],[Closing Date]],"mmmm")</f>
        <v>January</v>
      </c>
      <c r="T793" s="5"/>
      <c r="U793" s="5"/>
    </row>
    <row r="794" spans="2:21" x14ac:dyDescent="0.25">
      <c r="B794" t="s">
        <v>201</v>
      </c>
      <c r="C794" t="s">
        <v>303</v>
      </c>
      <c r="D794" t="s">
        <v>16</v>
      </c>
      <c r="E794" t="s">
        <v>7</v>
      </c>
      <c r="F794" s="11">
        <v>45622</v>
      </c>
      <c r="G794" s="7">
        <v>45671</v>
      </c>
      <c r="H794" t="s">
        <v>275</v>
      </c>
      <c r="I794">
        <v>1700</v>
      </c>
      <c r="J794" s="5">
        <f>51136-718-382</f>
        <v>50036</v>
      </c>
      <c r="K794" s="13">
        <v>1</v>
      </c>
      <c r="L794" s="5">
        <f>Table1[[#This Row],[Open Value]]-5638.89</f>
        <v>44397.11</v>
      </c>
      <c r="M794" s="5">
        <f>Table1[[#This Row],[Open Value]]/Table1[[#This Row],[Shares]]/Table1[[#This Row],[Multiplier]]</f>
        <v>29.432941176470589</v>
      </c>
      <c r="N794" s="5">
        <f>Table1[[#This Row],[Close Value]]/Table1[[#This Row],[Shares]]/Table1[[#This Row],[Multiplier]]</f>
        <v>26.115947058823529</v>
      </c>
      <c r="O794" s="5">
        <f>Table1[[#This Row],[Close Value]]-Table1[[#This Row],[Open Value]]</f>
        <v>-5638.8899999999994</v>
      </c>
      <c r="P794" s="3">
        <f>Table1[[#This Row],[PnL]]/Table1[[#This Row],[Open Value]]</f>
        <v>-0.11269665840594771</v>
      </c>
      <c r="Q794" s="14">
        <f t="shared" si="14"/>
        <v>233387.10000000027</v>
      </c>
      <c r="R794" s="5" t="str">
        <f>TEXT(Table1[[#This Row],[Closing Date]],"yyyy")</f>
        <v>2025</v>
      </c>
      <c r="S794" s="5" t="str">
        <f>TEXT(Table1[[#This Row],[Closing Date]],"mmmm")</f>
        <v>January</v>
      </c>
      <c r="T794" s="5"/>
      <c r="U794" s="5"/>
    </row>
    <row r="795" spans="2:21" x14ac:dyDescent="0.25">
      <c r="B795" t="s">
        <v>197</v>
      </c>
      <c r="C795" t="s">
        <v>303</v>
      </c>
      <c r="D795" t="s">
        <v>102</v>
      </c>
      <c r="E795" t="s">
        <v>7</v>
      </c>
      <c r="F795" s="11">
        <v>45509</v>
      </c>
      <c r="G795" s="7">
        <v>45672</v>
      </c>
      <c r="H795" t="s">
        <v>313</v>
      </c>
      <c r="I795">
        <v>50</v>
      </c>
      <c r="J795" s="5">
        <v>4989</v>
      </c>
      <c r="K795" s="13">
        <v>100</v>
      </c>
      <c r="L795" s="5">
        <f>Table1[[#This Row],[Open Value]]+9054.36</f>
        <v>14043.36</v>
      </c>
      <c r="M795" s="5">
        <f>Table1[[#This Row],[Open Value]]/Table1[[#This Row],[Shares]]/Table1[[#This Row],[Multiplier]]</f>
        <v>0.99780000000000002</v>
      </c>
      <c r="N795" s="5">
        <f>Table1[[#This Row],[Close Value]]/Table1[[#This Row],[Shares]]/Table1[[#This Row],[Multiplier]]</f>
        <v>2.8086720000000001</v>
      </c>
      <c r="O795" s="5">
        <f>Table1[[#This Row],[Close Value]]-Table1[[#This Row],[Open Value]]</f>
        <v>9054.36</v>
      </c>
      <c r="P795" s="3">
        <f>Table1[[#This Row],[PnL]]/Table1[[#This Row],[Open Value]]</f>
        <v>1.8148647023451594</v>
      </c>
      <c r="Q795" s="14">
        <f t="shared" si="14"/>
        <v>242441.46000000025</v>
      </c>
      <c r="R795" s="5" t="str">
        <f>TEXT(Table1[[#This Row],[Closing Date]],"yyyy")</f>
        <v>2025</v>
      </c>
      <c r="S795" s="5" t="str">
        <f>TEXT(Table1[[#This Row],[Closing Date]],"mmmm")</f>
        <v>January</v>
      </c>
      <c r="T795" s="5"/>
      <c r="U795" s="5"/>
    </row>
    <row r="796" spans="2:21" x14ac:dyDescent="0.25">
      <c r="B796" t="s">
        <v>201</v>
      </c>
      <c r="C796" t="s">
        <v>303</v>
      </c>
      <c r="D796" t="s">
        <v>12</v>
      </c>
      <c r="E796" t="s">
        <v>7</v>
      </c>
      <c r="F796" s="11">
        <v>45650</v>
      </c>
      <c r="G796" s="7">
        <v>45672</v>
      </c>
      <c r="H796" t="s">
        <v>86</v>
      </c>
      <c r="I796">
        <v>100</v>
      </c>
      <c r="J796" s="5">
        <v>462097</v>
      </c>
      <c r="K796" s="13">
        <v>1000</v>
      </c>
      <c r="L796" s="5">
        <f>Table1[[#This Row],[Open Value]]+3220</f>
        <v>465317</v>
      </c>
      <c r="M796" s="5">
        <f>Table1[[#This Row],[Open Value]]/Table1[[#This Row],[Shares]]/Table1[[#This Row],[Multiplier]]</f>
        <v>4.6209700000000007</v>
      </c>
      <c r="N796" s="5">
        <f>Table1[[#This Row],[Close Value]]/Table1[[#This Row],[Shares]]/Table1[[#This Row],[Multiplier]]</f>
        <v>4.6531700000000003</v>
      </c>
      <c r="O796" s="5">
        <f>Table1[[#This Row],[Close Value]]-Table1[[#This Row],[Open Value]]</f>
        <v>3220</v>
      </c>
      <c r="P796" s="3">
        <f>Table1[[#This Row],[PnL]]/Table1[[#This Row],[Open Value]]</f>
        <v>6.9682339422242516E-3</v>
      </c>
      <c r="Q796" s="14">
        <f t="shared" si="14"/>
        <v>245661.46000000025</v>
      </c>
      <c r="R796" s="5" t="str">
        <f>TEXT(Table1[[#This Row],[Closing Date]],"yyyy")</f>
        <v>2025</v>
      </c>
      <c r="S796" s="5" t="str">
        <f>TEXT(Table1[[#This Row],[Closing Date]],"mmmm")</f>
        <v>January</v>
      </c>
      <c r="T796" s="5"/>
      <c r="U796" s="5"/>
    </row>
    <row r="797" spans="2:21" x14ac:dyDescent="0.25">
      <c r="B797" t="s">
        <v>197</v>
      </c>
      <c r="C797" t="s">
        <v>303</v>
      </c>
      <c r="D797" t="s">
        <v>102</v>
      </c>
      <c r="E797" t="s">
        <v>7</v>
      </c>
      <c r="F797" s="11">
        <v>45498</v>
      </c>
      <c r="G797" s="7">
        <v>45674</v>
      </c>
      <c r="H797" t="s">
        <v>206</v>
      </c>
      <c r="I797">
        <v>4</v>
      </c>
      <c r="J797" s="5">
        <v>9521</v>
      </c>
      <c r="K797" s="13">
        <v>100</v>
      </c>
      <c r="L797" s="5">
        <v>0</v>
      </c>
      <c r="M797" s="5">
        <f>Table1[[#This Row],[Open Value]]/Table1[[#This Row],[Shares]]/Table1[[#This Row],[Multiplier]]</f>
        <v>23.802499999999998</v>
      </c>
      <c r="N797" s="5">
        <f>Table1[[#This Row],[Close Value]]/Table1[[#This Row],[Shares]]/Table1[[#This Row],[Multiplier]]</f>
        <v>0</v>
      </c>
      <c r="O797" s="5">
        <f>Table1[[#This Row],[Close Value]]-Table1[[#This Row],[Open Value]]</f>
        <v>-9521</v>
      </c>
      <c r="P797" s="3">
        <f>Table1[[#This Row],[PnL]]/Table1[[#This Row],[Open Value]]</f>
        <v>-1</v>
      </c>
      <c r="Q797" s="14">
        <f t="shared" si="14"/>
        <v>236140.46000000025</v>
      </c>
      <c r="R797" s="5" t="str">
        <f>TEXT(Table1[[#This Row],[Closing Date]],"yyyy")</f>
        <v>2025</v>
      </c>
      <c r="S797" s="5" t="str">
        <f>TEXT(Table1[[#This Row],[Closing Date]],"mmmm")</f>
        <v>January</v>
      </c>
      <c r="T797" s="5"/>
      <c r="U797" s="5"/>
    </row>
    <row r="798" spans="2:21" x14ac:dyDescent="0.25">
      <c r="B798" t="s">
        <v>201</v>
      </c>
      <c r="C798" t="s">
        <v>302</v>
      </c>
      <c r="D798" t="s">
        <v>16</v>
      </c>
      <c r="E798" t="s">
        <v>5</v>
      </c>
      <c r="F798" s="11">
        <v>45632</v>
      </c>
      <c r="G798" s="7">
        <v>45678</v>
      </c>
      <c r="H798" t="s">
        <v>26</v>
      </c>
      <c r="I798">
        <v>1000</v>
      </c>
      <c r="J798" s="5">
        <v>94750</v>
      </c>
      <c r="K798" s="13">
        <v>1</v>
      </c>
      <c r="L798" s="5">
        <f>Table1[[#This Row],[Open Value]]-3368.57</f>
        <v>91381.43</v>
      </c>
      <c r="M798" s="5">
        <f>Table1[[#This Row],[Open Value]]/Table1[[#This Row],[Shares]]/Table1[[#This Row],[Multiplier]]</f>
        <v>94.75</v>
      </c>
      <c r="N798" s="5">
        <f>Table1[[#This Row],[Close Value]]/Table1[[#This Row],[Shares]]/Table1[[#This Row],[Multiplier]]</f>
        <v>91.381429999999995</v>
      </c>
      <c r="O798" s="5">
        <f>Table1[[#This Row],[Open Value]]-Table1[[#This Row],[Close Value]]</f>
        <v>3368.570000000007</v>
      </c>
      <c r="P798" s="3">
        <f>Table1[[#This Row],[PnL]]/Table1[[#This Row],[Open Value]]</f>
        <v>3.5552189973614846E-2</v>
      </c>
      <c r="Q798" s="14">
        <f t="shared" si="14"/>
        <v>239509.03000000026</v>
      </c>
      <c r="R798" s="5" t="str">
        <f>TEXT(Table1[[#This Row],[Closing Date]],"yyyy")</f>
        <v>2025</v>
      </c>
      <c r="S798" s="5" t="str">
        <f>TEXT(Table1[[#This Row],[Closing Date]],"mmmm")</f>
        <v>January</v>
      </c>
      <c r="T798" s="5"/>
      <c r="U798" s="5"/>
    </row>
    <row r="799" spans="2:21" x14ac:dyDescent="0.25">
      <c r="B799" t="s">
        <v>201</v>
      </c>
      <c r="C799" t="s">
        <v>302</v>
      </c>
      <c r="D799" t="s">
        <v>12</v>
      </c>
      <c r="E799" t="s">
        <v>7</v>
      </c>
      <c r="F799" s="11">
        <v>45667</v>
      </c>
      <c r="G799" s="7">
        <v>45679</v>
      </c>
      <c r="H799" t="s">
        <v>82</v>
      </c>
      <c r="I799">
        <v>3</v>
      </c>
      <c r="J799" s="5">
        <v>785240</v>
      </c>
      <c r="K799" s="13">
        <v>50</v>
      </c>
      <c r="L799" s="5">
        <f>Table1[[#This Row],[Open Value]]+30399</f>
        <v>815639</v>
      </c>
      <c r="M799" s="5">
        <f>Table1[[#This Row],[Open Value]]/Table1[[#This Row],[Shares]]/Table1[[#This Row],[Multiplier]]</f>
        <v>5234.9333333333334</v>
      </c>
      <c r="N799" s="5">
        <f>Table1[[#This Row],[Close Value]]/Table1[[#This Row],[Shares]]/Table1[[#This Row],[Multiplier]]</f>
        <v>5437.5933333333342</v>
      </c>
      <c r="O799" s="5">
        <f>Table1[[#This Row],[Close Value]]-Table1[[#This Row],[Open Value]]</f>
        <v>30399</v>
      </c>
      <c r="P799" s="3">
        <f>Table1[[#This Row],[PnL]]/Table1[[#This Row],[Open Value]]</f>
        <v>3.8713004941164482E-2</v>
      </c>
      <c r="Q799" s="14">
        <f t="shared" si="14"/>
        <v>269908.03000000026</v>
      </c>
      <c r="R799" s="5" t="str">
        <f>TEXT(Table1[[#This Row],[Closing Date]],"yyyy")</f>
        <v>2025</v>
      </c>
      <c r="S799" s="5" t="str">
        <f>TEXT(Table1[[#This Row],[Closing Date]],"mmmm")</f>
        <v>January</v>
      </c>
      <c r="T799" s="5"/>
      <c r="U799" s="5"/>
    </row>
    <row r="800" spans="2:21" x14ac:dyDescent="0.25">
      <c r="B800" t="s">
        <v>201</v>
      </c>
      <c r="C800" t="s">
        <v>303</v>
      </c>
      <c r="D800" t="s">
        <v>16</v>
      </c>
      <c r="E800" t="s">
        <v>7</v>
      </c>
      <c r="F800" s="11">
        <v>45602</v>
      </c>
      <c r="G800" s="7">
        <v>45680</v>
      </c>
      <c r="H800" t="s">
        <v>260</v>
      </c>
      <c r="I800">
        <v>1000</v>
      </c>
      <c r="J800" s="5">
        <v>98342.06</v>
      </c>
      <c r="K800" s="13">
        <v>1</v>
      </c>
      <c r="L800" s="5">
        <f>Table1[[#This Row],[Open Value]]+7946.71</f>
        <v>106288.77</v>
      </c>
      <c r="M800" s="5">
        <f>Table1[[#This Row],[Open Value]]/Table1[[#This Row],[Shares]]/Table1[[#This Row],[Multiplier]]</f>
        <v>98.342060000000004</v>
      </c>
      <c r="N800" s="5">
        <f>Table1[[#This Row],[Close Value]]/Table1[[#This Row],[Shares]]/Table1[[#This Row],[Multiplier]]</f>
        <v>106.28877</v>
      </c>
      <c r="O800" s="5">
        <f>Table1[[#This Row],[Close Value]]-Table1[[#This Row],[Open Value]]</f>
        <v>7946.7100000000064</v>
      </c>
      <c r="P800" s="3">
        <f>Table1[[#This Row],[PnL]]/Table1[[#This Row],[Open Value]]</f>
        <v>8.0806828736351533E-2</v>
      </c>
      <c r="Q800" s="14">
        <f t="shared" si="14"/>
        <v>277854.74000000028</v>
      </c>
      <c r="R800" s="5" t="str">
        <f>TEXT(Table1[[#This Row],[Closing Date]],"yyyy")</f>
        <v>2025</v>
      </c>
      <c r="S800" s="5" t="str">
        <f>TEXT(Table1[[#This Row],[Closing Date]],"mmmm")</f>
        <v>January</v>
      </c>
      <c r="T800" s="5"/>
      <c r="U800" s="5"/>
    </row>
    <row r="801" spans="2:21" x14ac:dyDescent="0.25">
      <c r="B801" t="s">
        <v>201</v>
      </c>
      <c r="C801" t="s">
        <v>303</v>
      </c>
      <c r="D801" t="s">
        <v>12</v>
      </c>
      <c r="E801" t="s">
        <v>7</v>
      </c>
      <c r="F801" s="11">
        <v>45650</v>
      </c>
      <c r="G801" s="7">
        <v>45681</v>
      </c>
      <c r="H801" t="s">
        <v>43</v>
      </c>
      <c r="I801">
        <v>3</v>
      </c>
      <c r="J801" s="5">
        <v>104407</v>
      </c>
      <c r="K801" s="13">
        <v>10000</v>
      </c>
      <c r="L801" s="5">
        <f>Table1[[#This Row],[Open Value]]+11985.18</f>
        <v>116392.18</v>
      </c>
      <c r="M801" s="5">
        <f>Table1[[#This Row],[Open Value]]/Table1[[#This Row],[Shares]]/Table1[[#This Row],[Multiplier]]</f>
        <v>3.4802333333333335</v>
      </c>
      <c r="N801" s="5">
        <f>Table1[[#This Row],[Close Value]]/Table1[[#This Row],[Shares]]/Table1[[#This Row],[Multiplier]]</f>
        <v>3.8797393333333332</v>
      </c>
      <c r="O801" s="5">
        <f>Table1[[#This Row],[Close Value]]-Table1[[#This Row],[Open Value]]</f>
        <v>11985.179999999993</v>
      </c>
      <c r="P801" s="3">
        <f>Table1[[#This Row],[PnL]]/Table1[[#This Row],[Open Value]]</f>
        <v>0.11479287787217325</v>
      </c>
      <c r="Q801" s="14">
        <f t="shared" si="14"/>
        <v>289839.92000000027</v>
      </c>
      <c r="R801" s="5" t="str">
        <f>TEXT(Table1[[#This Row],[Closing Date]],"yyyy")</f>
        <v>2025</v>
      </c>
      <c r="S801" s="5" t="str">
        <f>TEXT(Table1[[#This Row],[Closing Date]],"mmmm")</f>
        <v>January</v>
      </c>
      <c r="T801" s="5"/>
      <c r="U801" s="5"/>
    </row>
    <row r="802" spans="2:21" x14ac:dyDescent="0.25">
      <c r="B802" t="s">
        <v>201</v>
      </c>
      <c r="C802" t="s">
        <v>346</v>
      </c>
      <c r="D802" t="s">
        <v>12</v>
      </c>
      <c r="E802" t="s">
        <v>7</v>
      </c>
      <c r="F802" s="11">
        <v>45659</v>
      </c>
      <c r="G802" s="7">
        <v>45681</v>
      </c>
      <c r="H802" t="s">
        <v>90</v>
      </c>
      <c r="I802">
        <v>2</v>
      </c>
      <c r="J802" s="5">
        <f>J801/2</f>
        <v>52203.5</v>
      </c>
      <c r="K802" s="13">
        <v>20</v>
      </c>
      <c r="L802" s="5">
        <f>Table1[[#This Row],[Open Value]]+13275.5+9070.5</f>
        <v>74549.5</v>
      </c>
      <c r="M802" s="5">
        <f>Table1[[#This Row],[Open Value]]/Table1[[#This Row],[Shares]]/Table1[[#This Row],[Multiplier]]</f>
        <v>1305.0875000000001</v>
      </c>
      <c r="N802" s="5">
        <f>Table1[[#This Row],[Close Value]]/Table1[[#This Row],[Shares]]/Table1[[#This Row],[Multiplier]]</f>
        <v>1863.7375</v>
      </c>
      <c r="O802" s="5">
        <f>Table1[[#This Row],[Close Value]]-Table1[[#This Row],[Open Value]]</f>
        <v>22346</v>
      </c>
      <c r="P802" s="3">
        <f>Table1[[#This Row],[PnL]]/Table1[[#This Row],[Open Value]]</f>
        <v>0.42805559014242339</v>
      </c>
      <c r="Q802" s="14">
        <f t="shared" si="14"/>
        <v>312185.92000000027</v>
      </c>
      <c r="R802" s="5" t="str">
        <f>TEXT(Table1[[#This Row],[Closing Date]],"yyyy")</f>
        <v>2025</v>
      </c>
      <c r="S802" s="5" t="str">
        <f>TEXT(Table1[[#This Row],[Closing Date]],"mmmm")</f>
        <v>January</v>
      </c>
      <c r="T802" s="5"/>
      <c r="U802" s="5"/>
    </row>
    <row r="803" spans="2:21" x14ac:dyDescent="0.25">
      <c r="B803" t="s">
        <v>201</v>
      </c>
      <c r="C803" t="s">
        <v>303</v>
      </c>
      <c r="D803" t="s">
        <v>16</v>
      </c>
      <c r="E803" t="s">
        <v>7</v>
      </c>
      <c r="F803" s="11">
        <v>45631</v>
      </c>
      <c r="G803" s="7">
        <v>45685</v>
      </c>
      <c r="H803" t="s">
        <v>348</v>
      </c>
      <c r="I803">
        <v>4200</v>
      </c>
      <c r="J803" s="5">
        <v>101234</v>
      </c>
      <c r="K803" s="13">
        <v>1</v>
      </c>
      <c r="L803" s="5">
        <f>Table1[[#This Row],[Open Value]]-11772.61</f>
        <v>89461.39</v>
      </c>
      <c r="M803" s="5">
        <f>Table1[[#This Row],[Open Value]]/Table1[[#This Row],[Shares]]/Table1[[#This Row],[Multiplier]]</f>
        <v>24.103333333333332</v>
      </c>
      <c r="N803" s="5">
        <f>Table1[[#This Row],[Close Value]]/Table1[[#This Row],[Shares]]/Table1[[#This Row],[Multiplier]]</f>
        <v>21.300330952380953</v>
      </c>
      <c r="O803" s="5">
        <f>Table1[[#This Row],[Close Value]]-Table1[[#This Row],[Open Value]]</f>
        <v>-11772.61</v>
      </c>
      <c r="P803" s="3">
        <f>Table1[[#This Row],[PnL]]/Table1[[#This Row],[Open Value]]</f>
        <v>-0.11629106821818758</v>
      </c>
      <c r="Q803" s="14">
        <f t="shared" si="14"/>
        <v>300413.31000000029</v>
      </c>
      <c r="R803" s="5" t="str">
        <f>TEXT(Table1[[#This Row],[Closing Date]],"yyyy")</f>
        <v>2025</v>
      </c>
      <c r="S803" s="5" t="str">
        <f>TEXT(Table1[[#This Row],[Closing Date]],"mmmm")</f>
        <v>January</v>
      </c>
      <c r="T803" s="5"/>
      <c r="U803" s="5"/>
    </row>
    <row r="804" spans="2:21" x14ac:dyDescent="0.25">
      <c r="B804" t="s">
        <v>201</v>
      </c>
      <c r="C804" t="s">
        <v>306</v>
      </c>
      <c r="D804" t="s">
        <v>12</v>
      </c>
      <c r="E804" t="s">
        <v>7</v>
      </c>
      <c r="F804" s="11">
        <v>45630</v>
      </c>
      <c r="G804" s="7">
        <v>45687</v>
      </c>
      <c r="H804" t="s">
        <v>50</v>
      </c>
      <c r="I804">
        <v>7</v>
      </c>
      <c r="J804" s="5">
        <v>765324</v>
      </c>
      <c r="K804" s="13">
        <v>1000</v>
      </c>
      <c r="L804" s="5">
        <f>Table1[[#This Row],[Open Value]]+3778.92</f>
        <v>769102.92</v>
      </c>
      <c r="M804" s="5">
        <f>Table1[[#This Row],[Open Value]]/Table1[[#This Row],[Shares]]/Table1[[#This Row],[Multiplier]]</f>
        <v>109.33199999999999</v>
      </c>
      <c r="N804" s="5">
        <f>Table1[[#This Row],[Close Value]]/Table1[[#This Row],[Shares]]/Table1[[#This Row],[Multiplier]]</f>
        <v>109.87184571428573</v>
      </c>
      <c r="O804" s="5">
        <f>Table1[[#This Row],[Close Value]]-Table1[[#This Row],[Open Value]]</f>
        <v>3778.9200000000419</v>
      </c>
      <c r="P804" s="3">
        <f>Table1[[#This Row],[PnL]]/Table1[[#This Row],[Open Value]]</f>
        <v>4.9376734559481239E-3</v>
      </c>
      <c r="Q804" s="14">
        <f t="shared" si="14"/>
        <v>304192.23000000033</v>
      </c>
      <c r="R804" s="5" t="str">
        <f>TEXT(Table1[[#This Row],[Closing Date]],"yyyy")</f>
        <v>2025</v>
      </c>
      <c r="S804" s="5" t="str">
        <f>TEXT(Table1[[#This Row],[Closing Date]],"mmmm")</f>
        <v>January</v>
      </c>
      <c r="T804" s="5"/>
      <c r="U804" s="5"/>
    </row>
    <row r="805" spans="2:21" x14ac:dyDescent="0.25">
      <c r="B805" t="s">
        <v>201</v>
      </c>
      <c r="C805" t="s">
        <v>302</v>
      </c>
      <c r="D805" t="s">
        <v>16</v>
      </c>
      <c r="E805" t="s">
        <v>7</v>
      </c>
      <c r="F805" s="11">
        <v>45674</v>
      </c>
      <c r="G805" s="7">
        <v>45687</v>
      </c>
      <c r="H805" t="s">
        <v>353</v>
      </c>
      <c r="I805">
        <v>2000</v>
      </c>
      <c r="J805" s="5">
        <v>54007.83</v>
      </c>
      <c r="K805" s="13">
        <v>1</v>
      </c>
      <c r="N805" s="5"/>
      <c r="Q805" s="14">
        <f t="shared" si="14"/>
        <v>304192.23000000033</v>
      </c>
      <c r="R805" s="5" t="str">
        <f>TEXT(Table1[[#This Row],[Closing Date]],"yyyy")</f>
        <v>2025</v>
      </c>
      <c r="S805" s="5" t="str">
        <f>TEXT(Table1[[#This Row],[Closing Date]],"mmmm")</f>
        <v>January</v>
      </c>
      <c r="T805" s="5"/>
      <c r="U805" s="5"/>
    </row>
    <row r="806" spans="2:21" x14ac:dyDescent="0.25">
      <c r="B806" t="s">
        <v>197</v>
      </c>
      <c r="C806" t="s">
        <v>302</v>
      </c>
      <c r="D806" t="s">
        <v>97</v>
      </c>
      <c r="E806" t="s">
        <v>7</v>
      </c>
      <c r="F806" s="11">
        <v>45501</v>
      </c>
      <c r="H806" t="s">
        <v>52</v>
      </c>
      <c r="I806">
        <v>20</v>
      </c>
      <c r="J806" s="5">
        <v>3442</v>
      </c>
      <c r="K806" s="22">
        <v>100</v>
      </c>
      <c r="N806" s="5"/>
      <c r="Q806" s="14">
        <f t="shared" ref="Q806:Q827" si="15">O806+Q805</f>
        <v>304192.23000000033</v>
      </c>
      <c r="R806" s="5" t="str">
        <f>TEXT(Table1[[#This Row],[Closing Date]],"yyyy")</f>
        <v>1900</v>
      </c>
      <c r="S806" s="5" t="str">
        <f>TEXT(Table1[[#This Row],[Closing Date]],"mmmm")</f>
        <v>January</v>
      </c>
      <c r="T806" s="5"/>
      <c r="U806" s="5"/>
    </row>
    <row r="807" spans="2:21" x14ac:dyDescent="0.25">
      <c r="B807" t="s">
        <v>197</v>
      </c>
      <c r="C807" s="20" t="s">
        <v>306</v>
      </c>
      <c r="D807" t="s">
        <v>102</v>
      </c>
      <c r="E807" t="s">
        <v>7</v>
      </c>
      <c r="F807" s="11">
        <v>45509</v>
      </c>
      <c r="H807" t="s">
        <v>100</v>
      </c>
      <c r="I807">
        <v>10</v>
      </c>
      <c r="J807" s="5">
        <v>10007</v>
      </c>
      <c r="K807" s="22">
        <v>100</v>
      </c>
      <c r="L807" s="5">
        <f>7033.53</f>
        <v>7033.53</v>
      </c>
      <c r="N807" s="5"/>
      <c r="Q807" s="14">
        <f t="shared" si="15"/>
        <v>304192.23000000033</v>
      </c>
      <c r="R807" s="5" t="str">
        <f>TEXT(Table1[[#This Row],[Closing Date]],"yyyy")</f>
        <v>1900</v>
      </c>
      <c r="S807" s="5" t="str">
        <f>TEXT(Table1[[#This Row],[Closing Date]],"mmmm")</f>
        <v>January</v>
      </c>
      <c r="T807" s="5"/>
      <c r="U807" s="5"/>
    </row>
    <row r="808" spans="2:21" x14ac:dyDescent="0.25">
      <c r="B808" t="s">
        <v>197</v>
      </c>
      <c r="C808" t="s">
        <v>305</v>
      </c>
      <c r="D808" t="s">
        <v>16</v>
      </c>
      <c r="E808" t="s">
        <v>7</v>
      </c>
      <c r="F808" s="11">
        <v>45483</v>
      </c>
      <c r="G808" s="7">
        <v>45635</v>
      </c>
      <c r="H808" t="s">
        <v>337</v>
      </c>
      <c r="I808">
        <v>50</v>
      </c>
      <c r="J808" s="5">
        <v>13532.5</v>
      </c>
      <c r="K808" s="13">
        <v>100</v>
      </c>
      <c r="L808" s="5">
        <v>42166.33</v>
      </c>
      <c r="M808" s="5">
        <f>Table1[[#This Row],[Open Value]]/Table1[[#This Row],[Shares]]/Table1[[#This Row],[Multiplier]]</f>
        <v>2.7064999999999997</v>
      </c>
      <c r="N808" s="5">
        <f>Table1[[#This Row],[Close Value]]/Table1[[#This Row],[Shares]]/Table1[[#This Row],[Multiplier]]</f>
        <v>8.4332659999999997</v>
      </c>
      <c r="O808" s="5">
        <f>Table1[[#This Row],[Close Value]]-Table1[[#This Row],[Open Value]]</f>
        <v>28633.83</v>
      </c>
      <c r="P808" s="3">
        <f>Table1[[#This Row],[PnL]]/Table1[[#This Row],[Open Value]]</f>
        <v>2.1159305375946795</v>
      </c>
      <c r="Q808" s="14">
        <f t="shared" si="15"/>
        <v>332826.06000000035</v>
      </c>
      <c r="R808" s="5" t="str">
        <f>TEXT(Table1[[#This Row],[Closing Date]],"yyyy")</f>
        <v>2024</v>
      </c>
      <c r="S808" s="5" t="str">
        <f>TEXT(Table1[[#This Row],[Closing Date]],"mmmm")</f>
        <v>December</v>
      </c>
      <c r="T808" s="5" t="s">
        <v>240</v>
      </c>
      <c r="U808" s="5" t="s">
        <v>203</v>
      </c>
    </row>
    <row r="809" spans="2:21" x14ac:dyDescent="0.25">
      <c r="B809" t="s">
        <v>201</v>
      </c>
      <c r="C809" t="s">
        <v>303</v>
      </c>
      <c r="D809" t="s">
        <v>16</v>
      </c>
      <c r="E809" t="s">
        <v>7</v>
      </c>
      <c r="F809" s="11">
        <v>45568</v>
      </c>
      <c r="G809" s="7">
        <v>45614</v>
      </c>
      <c r="H809" t="s">
        <v>338</v>
      </c>
      <c r="I809">
        <v>360</v>
      </c>
      <c r="J809" s="5">
        <v>98871.23</v>
      </c>
      <c r="K809" s="13">
        <v>1</v>
      </c>
      <c r="L809" s="5">
        <v>82545.710000000006</v>
      </c>
      <c r="M809" s="5">
        <f>Table1[[#This Row],[Open Value]]/Table1[[#This Row],[Shares]]/Table1[[#This Row],[Multiplier]]</f>
        <v>274.64230555555554</v>
      </c>
      <c r="N809" s="5">
        <f>Table1[[#This Row],[Close Value]]/Table1[[#This Row],[Shares]]/Table1[[#This Row],[Multiplier]]</f>
        <v>229.29363888888889</v>
      </c>
      <c r="O809" s="5">
        <f>Table1[[#This Row],[Close Value]]-Table1[[#This Row],[Open Value]]</f>
        <v>-16325.51999999999</v>
      </c>
      <c r="P809" s="3">
        <f>Table1[[#This Row],[PnL]]/Table1[[#This Row],[Open Value]]</f>
        <v>-0.16511901389312128</v>
      </c>
      <c r="Q809" s="14">
        <f t="shared" si="15"/>
        <v>316500.54000000039</v>
      </c>
      <c r="R809" s="5" t="str">
        <f>TEXT(Table1[[#This Row],[Closing Date]],"yyyy")</f>
        <v>2024</v>
      </c>
      <c r="S809" s="5" t="str">
        <f>TEXT(Table1[[#This Row],[Closing Date]],"mmmm")</f>
        <v>November</v>
      </c>
      <c r="T809" s="5" t="s">
        <v>240</v>
      </c>
      <c r="U809" s="5" t="s">
        <v>203</v>
      </c>
    </row>
    <row r="810" spans="2:21" x14ac:dyDescent="0.25">
      <c r="B810" t="s">
        <v>197</v>
      </c>
      <c r="C810" t="s">
        <v>305</v>
      </c>
      <c r="D810" t="s">
        <v>16</v>
      </c>
      <c r="E810" t="s">
        <v>7</v>
      </c>
      <c r="F810" s="11">
        <v>45569</v>
      </c>
      <c r="H810" t="s">
        <v>210</v>
      </c>
      <c r="I810">
        <v>10</v>
      </c>
      <c r="J810" s="5">
        <v>35006.5</v>
      </c>
      <c r="N810" s="5"/>
      <c r="Q810" s="14">
        <f t="shared" si="15"/>
        <v>316500.54000000039</v>
      </c>
      <c r="R810" s="5" t="str">
        <f>TEXT(Table1[[#This Row],[Closing Date]],"yyyy")</f>
        <v>1900</v>
      </c>
      <c r="S810" s="5" t="str">
        <f>TEXT(Table1[[#This Row],[Closing Date]],"mmmm")</f>
        <v>January</v>
      </c>
      <c r="T810" s="5"/>
      <c r="U810" s="5"/>
    </row>
    <row r="811" spans="2:21" x14ac:dyDescent="0.25">
      <c r="B811" t="s">
        <v>201</v>
      </c>
      <c r="C811" t="s">
        <v>303</v>
      </c>
      <c r="D811" t="s">
        <v>12</v>
      </c>
      <c r="E811" t="s">
        <v>7</v>
      </c>
      <c r="F811" s="11">
        <v>45644</v>
      </c>
      <c r="H811" t="s">
        <v>347</v>
      </c>
      <c r="I811">
        <v>8</v>
      </c>
      <c r="N811" s="5"/>
      <c r="Q811" s="14">
        <f t="shared" si="15"/>
        <v>316500.54000000039</v>
      </c>
      <c r="R811" s="5" t="str">
        <f>TEXT(Table1[[#This Row],[Closing Date]],"yyyy")</f>
        <v>1900</v>
      </c>
      <c r="S811" s="5" t="str">
        <f>TEXT(Table1[[#This Row],[Closing Date]],"mmmm")</f>
        <v>January</v>
      </c>
      <c r="T811" s="5"/>
      <c r="U811" s="5"/>
    </row>
    <row r="812" spans="2:21" x14ac:dyDescent="0.25">
      <c r="B812" t="s">
        <v>201</v>
      </c>
      <c r="C812" t="s">
        <v>303</v>
      </c>
      <c r="D812" t="s">
        <v>16</v>
      </c>
      <c r="E812" t="s">
        <v>7</v>
      </c>
      <c r="F812" s="11">
        <v>45637</v>
      </c>
      <c r="H812" t="s">
        <v>146</v>
      </c>
      <c r="I812">
        <v>450</v>
      </c>
      <c r="N812" s="5"/>
      <c r="Q812" s="14">
        <f t="shared" si="15"/>
        <v>316500.54000000039</v>
      </c>
      <c r="R812" s="5" t="str">
        <f>TEXT(Table1[[#This Row],[Closing Date]],"yyyy")</f>
        <v>1900</v>
      </c>
      <c r="S812" s="5" t="str">
        <f>TEXT(Table1[[#This Row],[Closing Date]],"mmmm")</f>
        <v>January</v>
      </c>
      <c r="T812" s="5"/>
      <c r="U812" s="5"/>
    </row>
    <row r="813" spans="2:21" x14ac:dyDescent="0.25">
      <c r="B813" t="s">
        <v>201</v>
      </c>
      <c r="C813" t="s">
        <v>302</v>
      </c>
      <c r="D813" t="s">
        <v>16</v>
      </c>
      <c r="E813" t="s">
        <v>7</v>
      </c>
      <c r="F813" s="11">
        <v>45611</v>
      </c>
      <c r="H813" t="s">
        <v>96</v>
      </c>
      <c r="I813">
        <v>250</v>
      </c>
      <c r="N813" s="5"/>
      <c r="Q813" s="14">
        <f t="shared" si="15"/>
        <v>316500.54000000039</v>
      </c>
      <c r="R813" s="5" t="str">
        <f>TEXT(Table1[[#This Row],[Closing Date]],"yyyy")</f>
        <v>1900</v>
      </c>
      <c r="S813" s="5" t="str">
        <f>TEXT(Table1[[#This Row],[Closing Date]],"mmmm")</f>
        <v>January</v>
      </c>
      <c r="T813" s="5"/>
      <c r="U813" s="5"/>
    </row>
    <row r="814" spans="2:21" x14ac:dyDescent="0.25">
      <c r="B814" t="s">
        <v>201</v>
      </c>
      <c r="C814" t="s">
        <v>303</v>
      </c>
      <c r="D814" t="s">
        <v>16</v>
      </c>
      <c r="E814" t="s">
        <v>7</v>
      </c>
      <c r="F814" s="11">
        <v>45653</v>
      </c>
      <c r="H814" t="s">
        <v>355</v>
      </c>
      <c r="I814">
        <v>140</v>
      </c>
      <c r="N814" s="5"/>
      <c r="Q814" s="14">
        <f t="shared" si="15"/>
        <v>316500.54000000039</v>
      </c>
      <c r="R814" s="5" t="str">
        <f>TEXT(Table1[[#This Row],[Closing Date]],"yyyy")</f>
        <v>1900</v>
      </c>
      <c r="S814" s="5" t="str">
        <f>TEXT(Table1[[#This Row],[Closing Date]],"mmmm")</f>
        <v>January</v>
      </c>
      <c r="T814" s="5"/>
      <c r="U814" s="5"/>
    </row>
    <row r="815" spans="2:21" x14ac:dyDescent="0.25">
      <c r="B815" t="s">
        <v>201</v>
      </c>
      <c r="C815" t="s">
        <v>302</v>
      </c>
      <c r="D815" t="s">
        <v>16</v>
      </c>
      <c r="E815" t="s">
        <v>7</v>
      </c>
      <c r="F815" s="11">
        <v>45674</v>
      </c>
      <c r="H815" t="s">
        <v>353</v>
      </c>
      <c r="I815">
        <v>2000</v>
      </c>
      <c r="N815" s="5"/>
      <c r="Q815" s="14">
        <f t="shared" si="15"/>
        <v>316500.54000000039</v>
      </c>
      <c r="R815" s="5" t="str">
        <f>TEXT(Table1[[#This Row],[Closing Date]],"yyyy")</f>
        <v>1900</v>
      </c>
      <c r="S815" s="5" t="str">
        <f>TEXT(Table1[[#This Row],[Closing Date]],"mmmm")</f>
        <v>January</v>
      </c>
      <c r="T815" s="5"/>
      <c r="U815" s="5"/>
    </row>
    <row r="816" spans="2:21" x14ac:dyDescent="0.25">
      <c r="B816" t="s">
        <v>201</v>
      </c>
      <c r="C816" t="s">
        <v>346</v>
      </c>
      <c r="D816" t="s">
        <v>16</v>
      </c>
      <c r="E816" t="s">
        <v>7</v>
      </c>
      <c r="F816" s="11">
        <v>45602</v>
      </c>
      <c r="H816" t="s">
        <v>251</v>
      </c>
      <c r="I816">
        <v>100</v>
      </c>
      <c r="J816" s="5">
        <v>77500</v>
      </c>
      <c r="K816" s="13">
        <v>1</v>
      </c>
      <c r="N816" s="5"/>
      <c r="Q816" s="14">
        <f t="shared" si="15"/>
        <v>316500.54000000039</v>
      </c>
      <c r="R816" s="5" t="str">
        <f>TEXT(Table1[[#This Row],[Closing Date]],"yyyy")</f>
        <v>1900</v>
      </c>
      <c r="S816" s="5" t="str">
        <f>TEXT(Table1[[#This Row],[Closing Date]],"mmmm")</f>
        <v>January</v>
      </c>
      <c r="T816" s="5"/>
      <c r="U816" s="5"/>
    </row>
    <row r="817" spans="2:21" x14ac:dyDescent="0.25">
      <c r="B817" t="s">
        <v>201</v>
      </c>
      <c r="C817" t="s">
        <v>346</v>
      </c>
      <c r="D817" t="s">
        <v>16</v>
      </c>
      <c r="E817" t="s">
        <v>7</v>
      </c>
      <c r="F817" s="11">
        <v>45602</v>
      </c>
      <c r="H817" t="s">
        <v>49</v>
      </c>
      <c r="I817">
        <v>25</v>
      </c>
      <c r="J817" s="5">
        <v>45000</v>
      </c>
      <c r="K817" s="13">
        <v>1</v>
      </c>
      <c r="N817" s="5"/>
      <c r="Q817" s="14">
        <f t="shared" si="15"/>
        <v>316500.54000000039</v>
      </c>
      <c r="R817" s="5" t="str">
        <f>TEXT(Table1[[#This Row],[Closing Date]],"yyyy")</f>
        <v>1900</v>
      </c>
      <c r="S817" s="5" t="str">
        <f>TEXT(Table1[[#This Row],[Closing Date]],"mmmm")</f>
        <v>January</v>
      </c>
      <c r="T817" s="5"/>
      <c r="U817" s="5"/>
    </row>
    <row r="818" spans="2:21" x14ac:dyDescent="0.25">
      <c r="B818" t="s">
        <v>201</v>
      </c>
      <c r="C818" t="s">
        <v>346</v>
      </c>
      <c r="D818" t="s">
        <v>16</v>
      </c>
      <c r="E818" t="s">
        <v>7</v>
      </c>
      <c r="F818" s="11">
        <v>45597</v>
      </c>
      <c r="G818" s="7">
        <v>45609</v>
      </c>
      <c r="H818" t="s">
        <v>234</v>
      </c>
      <c r="I818">
        <v>1000</v>
      </c>
      <c r="J818" s="5">
        <v>73200</v>
      </c>
      <c r="K818" s="13">
        <v>1</v>
      </c>
      <c r="L818" s="5">
        <v>55318.96</v>
      </c>
      <c r="M818" s="5">
        <f>Table1[[#This Row],[Open Value]]/Table1[[#This Row],[Shares]]/Table1[[#This Row],[Multiplier]]</f>
        <v>73.2</v>
      </c>
      <c r="N818" s="5">
        <f>Table1[[#This Row],[Close Value]]/Table1[[#This Row],[Shares]]/Table1[[#This Row],[Multiplier]]</f>
        <v>55.318959999999997</v>
      </c>
      <c r="O818" s="5">
        <f>Table1[[#This Row],[Close Value]]-Table1[[#This Row],[Open Value]]</f>
        <v>-17881.04</v>
      </c>
      <c r="P818" s="3">
        <f>Table1[[#This Row],[PnL]]/Table1[[#This Row],[Open Value]]</f>
        <v>-0.24427650273224044</v>
      </c>
      <c r="Q818" s="14">
        <f t="shared" si="15"/>
        <v>298619.50000000041</v>
      </c>
      <c r="R818" s="5" t="str">
        <f>TEXT(Table1[[#This Row],[Closing Date]],"yyyy")</f>
        <v>2024</v>
      </c>
      <c r="S818" s="5" t="str">
        <f>TEXT(Table1[[#This Row],[Closing Date]],"mmmm")</f>
        <v>November</v>
      </c>
      <c r="T818" s="5"/>
      <c r="U818" s="5"/>
    </row>
    <row r="819" spans="2:21" x14ac:dyDescent="0.25">
      <c r="B819" t="s">
        <v>201</v>
      </c>
      <c r="C819" t="s">
        <v>303</v>
      </c>
      <c r="D819" t="s">
        <v>16</v>
      </c>
      <c r="E819" t="s">
        <v>7</v>
      </c>
      <c r="F819" s="11">
        <v>45541</v>
      </c>
      <c r="H819" t="s">
        <v>169</v>
      </c>
      <c r="I819">
        <v>4400</v>
      </c>
      <c r="J819" s="5">
        <f>90664+56000</f>
        <v>146664</v>
      </c>
      <c r="K819" s="13">
        <v>1</v>
      </c>
      <c r="L819" s="5">
        <f>53548.51+77177.85+59598.34+22739.37+9667.23+24321.86</f>
        <v>247053.16000000003</v>
      </c>
      <c r="M819" s="5">
        <f>Table1[[#This Row],[Open Value]]/Table1[[#This Row],[Shares]]/Table1[[#This Row],[Multiplier]]</f>
        <v>33.332727272727276</v>
      </c>
      <c r="N819" s="5">
        <f>Table1[[#This Row],[Close Value]]/Table1[[#This Row],[Shares]]/Table1[[#This Row],[Multiplier]]</f>
        <v>56.14844545454546</v>
      </c>
      <c r="O819" s="5">
        <f>Table1[[#This Row],[Close Value]]-Table1[[#This Row],[Open Value]]</f>
        <v>100389.16000000003</v>
      </c>
      <c r="P819" s="3">
        <f>Table1[[#This Row],[PnL]]/Table1[[#This Row],[Open Value]]</f>
        <v>0.68448399061801146</v>
      </c>
      <c r="Q819" s="14">
        <f t="shared" si="15"/>
        <v>399008.66000000044</v>
      </c>
      <c r="R819" s="5" t="str">
        <f>TEXT(Table1[[#This Row],[Closing Date]],"yyyy")</f>
        <v>1900</v>
      </c>
      <c r="S819" s="5" t="str">
        <f>TEXT(Table1[[#This Row],[Closing Date]],"mmmm")</f>
        <v>January</v>
      </c>
      <c r="T819" s="5"/>
      <c r="U819" s="5"/>
    </row>
    <row r="820" spans="2:21" x14ac:dyDescent="0.25">
      <c r="B820" t="s">
        <v>197</v>
      </c>
      <c r="C820" t="s">
        <v>303</v>
      </c>
      <c r="D820" t="s">
        <v>102</v>
      </c>
      <c r="E820" t="s">
        <v>7</v>
      </c>
      <c r="F820" s="11">
        <v>45449</v>
      </c>
      <c r="G820" s="7">
        <v>45674</v>
      </c>
      <c r="H820" t="s">
        <v>357</v>
      </c>
      <c r="I820">
        <v>165</v>
      </c>
      <c r="J820" s="5">
        <v>29807</v>
      </c>
      <c r="K820" s="13">
        <v>100</v>
      </c>
      <c r="L820" s="5">
        <v>0</v>
      </c>
      <c r="M820" s="5">
        <f>Table1[[#This Row],[Open Value]]/Table1[[#This Row],[Shares]]/Table1[[#This Row],[Multiplier]]</f>
        <v>1.8064848484848486</v>
      </c>
      <c r="N820" s="5">
        <f>Table1[[#This Row],[Close Value]]/Table1[[#This Row],[Shares]]/Table1[[#This Row],[Multiplier]]</f>
        <v>0</v>
      </c>
      <c r="O820" s="5">
        <f>Table1[[#This Row],[Close Value]]-Table1[[#This Row],[Open Value]]</f>
        <v>-29807</v>
      </c>
      <c r="P820" s="3">
        <f>Table1[[#This Row],[PnL]]/Table1[[#This Row],[Open Value]]</f>
        <v>-1</v>
      </c>
      <c r="Q820" s="14">
        <f t="shared" si="15"/>
        <v>369201.66000000044</v>
      </c>
      <c r="R820" s="5" t="str">
        <f>TEXT(Table1[[#This Row],[Closing Date]],"yyyy")</f>
        <v>2025</v>
      </c>
      <c r="S820" s="5" t="str">
        <f>TEXT(Table1[[#This Row],[Closing Date]],"mmmm")</f>
        <v>January</v>
      </c>
      <c r="T820" s="5"/>
      <c r="U820" s="5"/>
    </row>
    <row r="821" spans="2:21" x14ac:dyDescent="0.25">
      <c r="B821" t="s">
        <v>197</v>
      </c>
      <c r="C821" t="s">
        <v>303</v>
      </c>
      <c r="D821" t="s">
        <v>102</v>
      </c>
      <c r="E821" t="s">
        <v>7</v>
      </c>
      <c r="F821" s="11">
        <v>45449</v>
      </c>
      <c r="G821" s="7">
        <v>45673</v>
      </c>
      <c r="H821" t="s">
        <v>358</v>
      </c>
      <c r="I821">
        <v>120</v>
      </c>
      <c r="J821" s="5">
        <v>30078</v>
      </c>
      <c r="K821" s="13">
        <v>100</v>
      </c>
      <c r="L821" s="5">
        <v>22121.38</v>
      </c>
      <c r="M821" s="5">
        <f>Table1[[#This Row],[Open Value]]/Table1[[#This Row],[Shares]]/Table1[[#This Row],[Multiplier]]</f>
        <v>2.5065</v>
      </c>
      <c r="N821" s="5">
        <f>Table1[[#This Row],[Close Value]]/Table1[[#This Row],[Shares]]/Table1[[#This Row],[Multiplier]]</f>
        <v>1.8434483333333336</v>
      </c>
      <c r="O821" s="5">
        <f>Table1[[#This Row],[Close Value]]-Table1[[#This Row],[Open Value]]</f>
        <v>-7956.619999999999</v>
      </c>
      <c r="P821" s="3">
        <f>Table1[[#This Row],[PnL]]/Table1[[#This Row],[Open Value]]</f>
        <v>-0.26453288117561002</v>
      </c>
      <c r="Q821" s="14">
        <f t="shared" si="15"/>
        <v>361245.04000000044</v>
      </c>
      <c r="R821" s="5" t="str">
        <f>TEXT(Table1[[#This Row],[Closing Date]],"yyyy")</f>
        <v>2025</v>
      </c>
      <c r="S821" s="5" t="str">
        <f>TEXT(Table1[[#This Row],[Closing Date]],"mmmm")</f>
        <v>January</v>
      </c>
      <c r="T821" s="5"/>
      <c r="U821" s="5"/>
    </row>
    <row r="822" spans="2:21" x14ac:dyDescent="0.25">
      <c r="B822" t="s">
        <v>197</v>
      </c>
      <c r="C822" t="s">
        <v>303</v>
      </c>
      <c r="D822" t="s">
        <v>102</v>
      </c>
      <c r="E822" t="s">
        <v>7</v>
      </c>
      <c r="F822" s="11">
        <v>45449</v>
      </c>
      <c r="G822" s="7">
        <v>45673</v>
      </c>
      <c r="H822" t="s">
        <v>359</v>
      </c>
      <c r="I822">
        <v>60</v>
      </c>
      <c r="J822" s="5">
        <v>21639</v>
      </c>
      <c r="K822" s="13">
        <v>100</v>
      </c>
      <c r="L822" s="5">
        <v>0</v>
      </c>
      <c r="M822" s="5">
        <f>Table1[[#This Row],[Open Value]]/Table1[[#This Row],[Shares]]/Table1[[#This Row],[Multiplier]]</f>
        <v>3.6064999999999996</v>
      </c>
      <c r="N822" s="5">
        <f>Table1[[#This Row],[Close Value]]/Table1[[#This Row],[Shares]]/Table1[[#This Row],[Multiplier]]</f>
        <v>0</v>
      </c>
      <c r="O822" s="5">
        <f>Table1[[#This Row],[Close Value]]-Table1[[#This Row],[Open Value]]</f>
        <v>-21639</v>
      </c>
      <c r="P822" s="3">
        <f>Table1[[#This Row],[PnL]]/Table1[[#This Row],[Open Value]]</f>
        <v>-1</v>
      </c>
      <c r="Q822" s="14">
        <f t="shared" si="15"/>
        <v>339606.04000000044</v>
      </c>
      <c r="R822" s="5" t="str">
        <f>TEXT(Table1[[#This Row],[Closing Date]],"yyyy")</f>
        <v>2025</v>
      </c>
      <c r="S822" s="5" t="str">
        <f>TEXT(Table1[[#This Row],[Closing Date]],"mmmm")</f>
        <v>January</v>
      </c>
      <c r="T822" s="5"/>
      <c r="U822" s="5"/>
    </row>
    <row r="823" spans="2:21" x14ac:dyDescent="0.25">
      <c r="B823" t="s">
        <v>197</v>
      </c>
      <c r="C823" t="s">
        <v>303</v>
      </c>
      <c r="D823" t="s">
        <v>102</v>
      </c>
      <c r="E823" t="s">
        <v>7</v>
      </c>
      <c r="F823" s="11">
        <v>45524</v>
      </c>
      <c r="G823" s="7">
        <v>45673</v>
      </c>
      <c r="H823" t="s">
        <v>195</v>
      </c>
      <c r="I823">
        <v>100</v>
      </c>
      <c r="J823" s="5">
        <v>48665</v>
      </c>
      <c r="K823" s="13">
        <v>100</v>
      </c>
      <c r="L823" s="5">
        <v>35934</v>
      </c>
      <c r="M823" s="5">
        <f>Table1[[#This Row],[Open Value]]/Table1[[#This Row],[Shares]]/Table1[[#This Row],[Multiplier]]</f>
        <v>4.8664999999999994</v>
      </c>
      <c r="N823" s="5">
        <f>Table1[[#This Row],[Close Value]]/Table1[[#This Row],[Shares]]/Table1[[#This Row],[Multiplier]]</f>
        <v>3.5933999999999999</v>
      </c>
      <c r="O823" s="5">
        <f>Table1[[#This Row],[Close Value]]-Table1[[#This Row],[Open Value]]</f>
        <v>-12731</v>
      </c>
      <c r="P823" s="3">
        <f>Table1[[#This Row],[PnL]]/Table1[[#This Row],[Open Value]]</f>
        <v>-0.2616048494811466</v>
      </c>
      <c r="Q823" s="14">
        <f t="shared" si="15"/>
        <v>326875.04000000044</v>
      </c>
      <c r="R823" s="5" t="str">
        <f>TEXT(Table1[[#This Row],[Closing Date]],"yyyy")</f>
        <v>2025</v>
      </c>
      <c r="S823" s="5" t="str">
        <f>TEXT(Table1[[#This Row],[Closing Date]],"mmmm")</f>
        <v>January</v>
      </c>
      <c r="T823" s="5"/>
      <c r="U823" s="5"/>
    </row>
    <row r="824" spans="2:21" x14ac:dyDescent="0.25">
      <c r="B824" t="s">
        <v>201</v>
      </c>
      <c r="C824" t="s">
        <v>303</v>
      </c>
      <c r="D824" t="s">
        <v>16</v>
      </c>
      <c r="E824" t="s">
        <v>7</v>
      </c>
      <c r="F824" s="11">
        <v>45620</v>
      </c>
      <c r="G824" s="7">
        <v>45660</v>
      </c>
      <c r="H824" t="s">
        <v>360</v>
      </c>
      <c r="I824">
        <v>1200</v>
      </c>
      <c r="J824" s="5">
        <v>48360</v>
      </c>
      <c r="K824" s="13">
        <v>1</v>
      </c>
      <c r="L824" s="5">
        <v>45094.75</v>
      </c>
      <c r="M824" s="5">
        <f>Table1[[#This Row],[Open Value]]/Table1[[#This Row],[Shares]]/Table1[[#This Row],[Multiplier]]</f>
        <v>40.299999999999997</v>
      </c>
      <c r="N824" s="5">
        <f>Table1[[#This Row],[Close Value]]/Table1[[#This Row],[Shares]]/Table1[[#This Row],[Multiplier]]</f>
        <v>37.578958333333333</v>
      </c>
      <c r="O824" s="5">
        <f>Table1[[#This Row],[Close Value]]-Table1[[#This Row],[Open Value]]</f>
        <v>-3265.25</v>
      </c>
      <c r="P824" s="3">
        <f>Table1[[#This Row],[PnL]]/Table1[[#This Row],[Open Value]]</f>
        <v>-6.7519644334160467E-2</v>
      </c>
      <c r="Q824" s="14">
        <f t="shared" si="15"/>
        <v>323609.79000000044</v>
      </c>
      <c r="R824" s="5" t="str">
        <f>TEXT(Table1[[#This Row],[Closing Date]],"yyyy")</f>
        <v>2025</v>
      </c>
      <c r="S824" s="5" t="str">
        <f>TEXT(Table1[[#This Row],[Closing Date]],"mmmm")</f>
        <v>January</v>
      </c>
      <c r="T824" s="5"/>
      <c r="U824" s="5"/>
    </row>
    <row r="825" spans="2:21" x14ac:dyDescent="0.25">
      <c r="B825" t="s">
        <v>197</v>
      </c>
      <c r="C825" t="s">
        <v>303</v>
      </c>
      <c r="D825" t="s">
        <v>102</v>
      </c>
      <c r="E825" t="s">
        <v>7</v>
      </c>
      <c r="F825" s="11">
        <v>45214</v>
      </c>
      <c r="G825" s="7">
        <v>45673</v>
      </c>
      <c r="H825" t="s">
        <v>177</v>
      </c>
      <c r="I825">
        <v>100</v>
      </c>
      <c r="J825" s="5">
        <v>20026</v>
      </c>
      <c r="K825" s="13">
        <v>100</v>
      </c>
      <c r="L825" s="5">
        <v>1413.96</v>
      </c>
      <c r="M825" s="5">
        <f>Table1[[#This Row],[Open Value]]/Table1[[#This Row],[Shares]]/Table1[[#This Row],[Multiplier]]</f>
        <v>2.0025999999999997</v>
      </c>
      <c r="N825" s="5">
        <f>Table1[[#This Row],[Close Value]]/Table1[[#This Row],[Shares]]/Table1[[#This Row],[Multiplier]]</f>
        <v>0.14139599999999999</v>
      </c>
      <c r="O825" s="5">
        <f>Table1[[#This Row],[Close Value]]-Table1[[#This Row],[Open Value]]</f>
        <v>-18612.04</v>
      </c>
      <c r="P825" s="3">
        <f>Table1[[#This Row],[PnL]]/Table1[[#This Row],[Open Value]]</f>
        <v>-0.92939378807550188</v>
      </c>
      <c r="Q825" s="14">
        <f t="shared" si="15"/>
        <v>304997.75000000047</v>
      </c>
      <c r="R825" s="5" t="str">
        <f>TEXT(Table1[[#This Row],[Closing Date]],"yyyy")</f>
        <v>2025</v>
      </c>
      <c r="S825" s="5" t="str">
        <f>TEXT(Table1[[#This Row],[Closing Date]],"mmmm")</f>
        <v>January</v>
      </c>
      <c r="T825" s="5"/>
      <c r="U825" s="5"/>
    </row>
    <row r="826" spans="2:21" x14ac:dyDescent="0.25">
      <c r="B826" t="s">
        <v>197</v>
      </c>
      <c r="C826" t="s">
        <v>303</v>
      </c>
      <c r="D826" t="s">
        <v>102</v>
      </c>
      <c r="E826" t="s">
        <v>7</v>
      </c>
      <c r="F826" s="11">
        <v>45618</v>
      </c>
      <c r="H826" t="s">
        <v>361</v>
      </c>
      <c r="I826">
        <v>200</v>
      </c>
      <c r="J826" s="5">
        <f>11282.5+22565+11282.5</f>
        <v>45130</v>
      </c>
      <c r="K826" s="13">
        <v>100</v>
      </c>
      <c r="L826" s="5">
        <f>22966.86+41433.85+14967.08</f>
        <v>79367.789999999994</v>
      </c>
      <c r="N826" s="5"/>
      <c r="Q826" s="14">
        <f t="shared" si="15"/>
        <v>304997.75000000047</v>
      </c>
      <c r="R826" s="5" t="str">
        <f>TEXT(Table1[[#This Row],[Closing Date]],"yyyy")</f>
        <v>1900</v>
      </c>
      <c r="S826" s="5" t="str">
        <f>TEXT(Table1[[#This Row],[Closing Date]],"mmmm")</f>
        <v>January</v>
      </c>
      <c r="T826" s="5"/>
      <c r="U826" s="5"/>
    </row>
    <row r="827" spans="2:21" x14ac:dyDescent="0.25">
      <c r="B827" t="s">
        <v>197</v>
      </c>
      <c r="C827" t="s">
        <v>305</v>
      </c>
      <c r="D827" t="s">
        <v>102</v>
      </c>
      <c r="E827" t="s">
        <v>7</v>
      </c>
      <c r="F827" s="11">
        <v>45569</v>
      </c>
      <c r="H827" t="s">
        <v>210</v>
      </c>
      <c r="L827" s="5">
        <v>17367.57</v>
      </c>
      <c r="N827" s="5"/>
      <c r="Q827" s="14">
        <f t="shared" si="15"/>
        <v>304997.75000000047</v>
      </c>
      <c r="R827" s="5" t="str">
        <f>TEXT(Table1[[#This Row],[Closing Date]],"yyyy")</f>
        <v>1900</v>
      </c>
      <c r="S827" s="5" t="str">
        <f>TEXT(Table1[[#This Row],[Closing Date]],"mmmm")</f>
        <v>January</v>
      </c>
      <c r="T827" s="5"/>
      <c r="U827" s="5"/>
    </row>
    <row r="828" spans="2:21" x14ac:dyDescent="0.25">
      <c r="B828" t="s">
        <v>201</v>
      </c>
      <c r="C828" t="s">
        <v>303</v>
      </c>
      <c r="D828" t="s">
        <v>16</v>
      </c>
      <c r="E828" t="s">
        <v>7</v>
      </c>
      <c r="F828" s="11">
        <v>45617</v>
      </c>
      <c r="G828" s="7">
        <v>45630</v>
      </c>
      <c r="H828" t="s">
        <v>360</v>
      </c>
      <c r="I828">
        <v>300</v>
      </c>
      <c r="J828" s="5">
        <v>12090</v>
      </c>
      <c r="K828" s="13">
        <v>1</v>
      </c>
      <c r="L828" s="28">
        <v>15319.57</v>
      </c>
      <c r="M828" s="5">
        <f>Table1[[#This Row],[Open Value]]/Table1[[#This Row],[Shares]]/Table1[[#This Row],[Multiplier]]</f>
        <v>40.299999999999997</v>
      </c>
      <c r="N828" s="5">
        <f>Table1[[#This Row],[Close Value]]/Table1[[#This Row],[Shares]]/Table1[[#This Row],[Multiplier]]</f>
        <v>51.065233333333332</v>
      </c>
      <c r="O828" s="5">
        <f>Table1[[#This Row],[Close Value]]-Table1[[#This Row],[Open Value]]</f>
        <v>3229.5699999999997</v>
      </c>
      <c r="P828" s="3">
        <f>Table1[[#This Row],[PnL]]/Table1[[#This Row],[Open Value]]</f>
        <v>0.26712737799834574</v>
      </c>
      <c r="Q828" s="14">
        <f>O828+Q827</f>
        <v>308227.32000000047</v>
      </c>
      <c r="R828" s="28" t="str">
        <f>TEXT(Table1[[#This Row],[Closing Date]],"yyyy")</f>
        <v>2024</v>
      </c>
      <c r="S828" s="28" t="str">
        <f>TEXT(Table1[[#This Row],[Closing Date]],"mmmm")</f>
        <v>December</v>
      </c>
      <c r="T828" s="5" t="s">
        <v>240</v>
      </c>
      <c r="U828" s="5" t="s">
        <v>203</v>
      </c>
    </row>
    <row r="829" spans="2:21" x14ac:dyDescent="0.25">
      <c r="B829" t="s">
        <v>201</v>
      </c>
      <c r="C829" t="s">
        <v>303</v>
      </c>
      <c r="D829" t="s">
        <v>16</v>
      </c>
      <c r="E829" t="s">
        <v>7</v>
      </c>
      <c r="F829" s="11">
        <v>45610</v>
      </c>
      <c r="G829" s="7">
        <v>45614</v>
      </c>
      <c r="H829" t="s">
        <v>187</v>
      </c>
      <c r="I829">
        <v>525</v>
      </c>
      <c r="J829" s="5">
        <v>50536.84</v>
      </c>
      <c r="K829" s="13">
        <v>1</v>
      </c>
      <c r="L829" s="28">
        <f>Table1[[#This Row],[Open Value]]-3726.75</f>
        <v>46810.09</v>
      </c>
      <c r="M829" s="5">
        <f>Table1[[#This Row],[Open Value]]/Table1[[#This Row],[Shares]]/Table1[[#This Row],[Multiplier]]</f>
        <v>96.260647619047617</v>
      </c>
      <c r="N829" s="5">
        <f>Table1[[#This Row],[Close Value]]/Table1[[#This Row],[Shares]]/Table1[[#This Row],[Multiplier]]</f>
        <v>89.162076190476185</v>
      </c>
      <c r="O829" s="5">
        <f>Table1[[#This Row],[Close Value]]-Table1[[#This Row],[Open Value]]</f>
        <v>-3726.75</v>
      </c>
      <c r="P829" s="3">
        <f>Table1[[#This Row],[PnL]]/Table1[[#This Row],[Open Value]]</f>
        <v>-7.3743233648957879E-2</v>
      </c>
      <c r="Q829" s="14">
        <f>O829+Q828</f>
        <v>304500.57000000047</v>
      </c>
      <c r="R829" s="28" t="str">
        <f>TEXT(Table1[[#This Row],[Closing Date]],"yyyy")</f>
        <v>2024</v>
      </c>
      <c r="S829" s="28" t="str">
        <f>TEXT(Table1[[#This Row],[Closing Date]],"mmmm")</f>
        <v>November</v>
      </c>
      <c r="T829" s="5" t="s">
        <v>240</v>
      </c>
      <c r="U829" s="5" t="s">
        <v>203</v>
      </c>
    </row>
    <row r="830" spans="2:21" x14ac:dyDescent="0.25">
      <c r="B830" t="s">
        <v>201</v>
      </c>
      <c r="C830" t="s">
        <v>346</v>
      </c>
      <c r="D830" t="s">
        <v>16</v>
      </c>
      <c r="E830" t="s">
        <v>7</v>
      </c>
      <c r="F830" s="11">
        <v>45551</v>
      </c>
      <c r="G830" s="7">
        <v>45616</v>
      </c>
      <c r="H830" t="s">
        <v>17</v>
      </c>
      <c r="I830">
        <v>214</v>
      </c>
      <c r="J830" s="5">
        <v>99938</v>
      </c>
      <c r="K830" s="13">
        <v>1</v>
      </c>
      <c r="L830" s="28">
        <v>105856.67</v>
      </c>
      <c r="M830" s="5">
        <f>Table1[[#This Row],[Open Value]]/Table1[[#This Row],[Shares]]/Table1[[#This Row],[Multiplier]]</f>
        <v>467</v>
      </c>
      <c r="N830" s="5">
        <f>Table1[[#This Row],[Close Value]]/Table1[[#This Row],[Shares]]/Table1[[#This Row],[Multiplier]]</f>
        <v>494.65733644859813</v>
      </c>
      <c r="O830" s="5">
        <f>Table1[[#This Row],[Close Value]]-Table1[[#This Row],[Open Value]]</f>
        <v>5918.6699999999983</v>
      </c>
      <c r="P830" s="3">
        <f>Table1[[#This Row],[PnL]]/Table1[[#This Row],[Open Value]]</f>
        <v>5.9223418519482061E-2</v>
      </c>
      <c r="Q830" s="14">
        <f>O830+Q829</f>
        <v>310419.24000000046</v>
      </c>
      <c r="R830" s="28" t="str">
        <f>TEXT(Table1[[#This Row],[Closing Date]],"yyyy")</f>
        <v>2024</v>
      </c>
      <c r="S830" s="28" t="str">
        <f>TEXT(Table1[[#This Row],[Closing Date]],"mmmm")</f>
        <v>November</v>
      </c>
      <c r="T830" s="5" t="s">
        <v>240</v>
      </c>
      <c r="U830" s="5" t="s">
        <v>203</v>
      </c>
    </row>
    <row r="831" spans="2:21" x14ac:dyDescent="0.25">
      <c r="B831" t="s">
        <v>201</v>
      </c>
      <c r="C831" t="s">
        <v>303</v>
      </c>
      <c r="D831" t="s">
        <v>16</v>
      </c>
      <c r="E831" t="s">
        <v>7</v>
      </c>
      <c r="F831" s="11">
        <v>45432</v>
      </c>
      <c r="G831" s="7">
        <v>45510</v>
      </c>
      <c r="H831" t="s">
        <v>258</v>
      </c>
      <c r="I831">
        <v>5000</v>
      </c>
      <c r="J831" s="5">
        <v>94338.93</v>
      </c>
      <c r="K831" s="13">
        <v>1</v>
      </c>
      <c r="L831" s="28">
        <f>39816.29+52942.45</f>
        <v>92758.739999999991</v>
      </c>
      <c r="M831" s="5">
        <f>Table1[[#This Row],[Open Value]]/Table1[[#This Row],[Shares]]/Table1[[#This Row],[Multiplier]]</f>
        <v>18.867785999999999</v>
      </c>
      <c r="N831" s="5">
        <f>Table1[[#This Row],[Close Value]]/Table1[[#This Row],[Shares]]/Table1[[#This Row],[Multiplier]]</f>
        <v>18.551748</v>
      </c>
      <c r="O831" s="5">
        <f>Table1[[#This Row],[Close Value]]-Table1[[#This Row],[Open Value]]</f>
        <v>-1580.1900000000023</v>
      </c>
      <c r="P831" s="3">
        <f>Table1[[#This Row],[PnL]]/Table1[[#This Row],[Open Value]]</f>
        <v>-1.6750136979505729E-2</v>
      </c>
      <c r="Q831" s="14">
        <f>O831+Q830</f>
        <v>308839.05000000045</v>
      </c>
      <c r="R831" s="28" t="str">
        <f>TEXT(Table1[[#This Row],[Closing Date]],"yyyy")</f>
        <v>2024</v>
      </c>
      <c r="S831" s="28" t="str">
        <f>TEXT(Table1[[#This Row],[Closing Date]],"mmmm")</f>
        <v>August</v>
      </c>
      <c r="T831" s="5" t="s">
        <v>240</v>
      </c>
      <c r="U831" s="5" t="s">
        <v>203</v>
      </c>
    </row>
    <row r="832" spans="2:21" x14ac:dyDescent="0.25">
      <c r="B832" t="s">
        <v>201</v>
      </c>
      <c r="C832" t="s">
        <v>346</v>
      </c>
      <c r="D832" t="s">
        <v>16</v>
      </c>
      <c r="E832" t="s">
        <v>7</v>
      </c>
      <c r="F832" s="11">
        <v>45510</v>
      </c>
      <c r="G832" s="7">
        <v>45687</v>
      </c>
      <c r="H832" t="s">
        <v>49</v>
      </c>
      <c r="I832">
        <v>60</v>
      </c>
      <c r="J832" s="5">
        <f>45000+35000+27675</f>
        <v>107675</v>
      </c>
      <c r="K832" s="13">
        <v>1</v>
      </c>
      <c r="L832" s="28">
        <f>55046.66+48498.65+9776.13</f>
        <v>113321.44</v>
      </c>
      <c r="M832" s="5">
        <f>Table1[[#This Row],[Open Value]]/Table1[[#This Row],[Shares]]/Table1[[#This Row],[Multiplier]]</f>
        <v>1794.5833333333333</v>
      </c>
      <c r="N832" s="5">
        <f>Table1[[#This Row],[Close Value]]/Table1[[#This Row],[Shares]]/Table1[[#This Row],[Multiplier]]</f>
        <v>1888.6906666666666</v>
      </c>
      <c r="O832" s="5">
        <f>Table1[[#This Row],[Close Value]]-Table1[[#This Row],[Open Value]]</f>
        <v>5646.4400000000023</v>
      </c>
      <c r="P832" s="3">
        <f>Table1[[#This Row],[PnL]]/Table1[[#This Row],[Open Value]]</f>
        <v>5.2439656373345737E-2</v>
      </c>
      <c r="Q832" s="14">
        <f>O832+Q831</f>
        <v>314485.49000000046</v>
      </c>
      <c r="R832" s="28" t="str">
        <f>TEXT(Table1[[#This Row],[Closing Date]],"yyyy")</f>
        <v>2025</v>
      </c>
      <c r="S832" s="28" t="str">
        <f>TEXT(Table1[[#This Row],[Closing Date]],"mmmm")</f>
        <v>January</v>
      </c>
      <c r="T832" s="5" t="s">
        <v>240</v>
      </c>
      <c r="U832" s="5" t="s">
        <v>203</v>
      </c>
    </row>
    <row r="833" spans="2:21" x14ac:dyDescent="0.25">
      <c r="B833" t="s">
        <v>201</v>
      </c>
      <c r="C833" t="s">
        <v>303</v>
      </c>
      <c r="D833" t="s">
        <v>16</v>
      </c>
      <c r="E833" t="s">
        <v>7</v>
      </c>
      <c r="F833" s="11">
        <v>45526</v>
      </c>
      <c r="G833" s="7">
        <v>45539</v>
      </c>
      <c r="H833" t="s">
        <v>256</v>
      </c>
      <c r="I833">
        <v>1500</v>
      </c>
      <c r="J833" s="5">
        <v>157140</v>
      </c>
      <c r="K833" s="13">
        <v>1</v>
      </c>
      <c r="L833" s="28">
        <v>139016.14000000001</v>
      </c>
      <c r="M833" s="5">
        <f>Table1[[#This Row],[Open Value]]/Table1[[#This Row],[Shares]]/Table1[[#This Row],[Multiplier]]</f>
        <v>104.76</v>
      </c>
      <c r="N833" s="5">
        <f>Table1[[#This Row],[Close Value]]/Table1[[#This Row],[Shares]]/Table1[[#This Row],[Multiplier]]</f>
        <v>92.677426666666676</v>
      </c>
      <c r="O833" s="5">
        <f>Table1[[#This Row],[Close Value]]-Table1[[#This Row],[Open Value]]</f>
        <v>-18123.859999999986</v>
      </c>
      <c r="P833" s="3">
        <f>Table1[[#This Row],[PnL]]/Table1[[#This Row],[Open Value]]</f>
        <v>-0.11533575155911917</v>
      </c>
      <c r="Q833" s="14">
        <f>O833+Q832</f>
        <v>296361.63000000047</v>
      </c>
      <c r="R833" s="28" t="str">
        <f>TEXT(Table1[[#This Row],[Closing Date]],"yyyy")</f>
        <v>2024</v>
      </c>
      <c r="S833" s="28" t="str">
        <f>TEXT(Table1[[#This Row],[Closing Date]],"mmmm")</f>
        <v>September</v>
      </c>
      <c r="T833" s="5" t="s">
        <v>240</v>
      </c>
      <c r="U833" s="5" t="s">
        <v>203</v>
      </c>
    </row>
    <row r="834" spans="2:21" x14ac:dyDescent="0.25">
      <c r="B834" t="s">
        <v>201</v>
      </c>
      <c r="C834" t="s">
        <v>346</v>
      </c>
      <c r="D834" t="s">
        <v>16</v>
      </c>
      <c r="E834" t="s">
        <v>7</v>
      </c>
      <c r="F834" s="11">
        <v>45597</v>
      </c>
      <c r="G834" s="7">
        <v>45609</v>
      </c>
      <c r="H834" t="s">
        <v>234</v>
      </c>
      <c r="I834">
        <v>1000</v>
      </c>
      <c r="J834" s="5">
        <v>73200</v>
      </c>
      <c r="K834" s="13">
        <v>1</v>
      </c>
      <c r="L834" s="28">
        <v>55318.96</v>
      </c>
      <c r="M834" s="5">
        <f>Table1[[#This Row],[Open Value]]/Table1[[#This Row],[Shares]]/Table1[[#This Row],[Multiplier]]</f>
        <v>73.2</v>
      </c>
      <c r="N834" s="5">
        <f>Table1[[#This Row],[Close Value]]/Table1[[#This Row],[Shares]]/Table1[[#This Row],[Multiplier]]</f>
        <v>55.318959999999997</v>
      </c>
      <c r="O834" s="5">
        <f>Table1[[#This Row],[Close Value]]-Table1[[#This Row],[Open Value]]</f>
        <v>-17881.04</v>
      </c>
      <c r="P834" s="3">
        <f>Table1[[#This Row],[PnL]]/Table1[[#This Row],[Open Value]]</f>
        <v>-0.24427650273224044</v>
      </c>
      <c r="Q834" s="14">
        <f>O834+Q833</f>
        <v>278480.59000000049</v>
      </c>
      <c r="R834" s="28" t="str">
        <f>TEXT(Table1[[#This Row],[Closing Date]],"yyyy")</f>
        <v>2024</v>
      </c>
      <c r="S834" s="28" t="str">
        <f>TEXT(Table1[[#This Row],[Closing Date]],"mmmm")</f>
        <v>November</v>
      </c>
      <c r="T834" s="5" t="s">
        <v>240</v>
      </c>
      <c r="U834" s="5" t="s">
        <v>203</v>
      </c>
    </row>
    <row r="835" spans="2:21" x14ac:dyDescent="0.25">
      <c r="B835" t="s">
        <v>201</v>
      </c>
      <c r="C835" t="s">
        <v>303</v>
      </c>
      <c r="D835" t="s">
        <v>16</v>
      </c>
      <c r="E835" t="s">
        <v>7</v>
      </c>
      <c r="F835" s="11">
        <v>45588</v>
      </c>
      <c r="G835" s="7">
        <v>45611</v>
      </c>
      <c r="H835" t="s">
        <v>192</v>
      </c>
      <c r="I835">
        <v>3000</v>
      </c>
      <c r="J835" s="5">
        <v>54376.49</v>
      </c>
      <c r="K835" s="13">
        <v>1</v>
      </c>
      <c r="L835" s="28">
        <v>55318.96</v>
      </c>
      <c r="M835" s="5">
        <f>Table1[[#This Row],[Open Value]]/Table1[[#This Row],[Shares]]/Table1[[#This Row],[Multiplier]]</f>
        <v>18.125496666666667</v>
      </c>
      <c r="N835" s="5">
        <f>Table1[[#This Row],[Close Value]]/Table1[[#This Row],[Shares]]/Table1[[#This Row],[Multiplier]]</f>
        <v>18.439653333333332</v>
      </c>
      <c r="O835" s="5">
        <f>Table1[[#This Row],[Close Value]]-Table1[[#This Row],[Open Value]]</f>
        <v>942.47000000000116</v>
      </c>
      <c r="P835" s="3">
        <f>Table1[[#This Row],[PnL]]/Table1[[#This Row],[Open Value]]</f>
        <v>1.7332306664148443E-2</v>
      </c>
      <c r="Q835" s="14">
        <f>O835+Q834</f>
        <v>279423.06000000052</v>
      </c>
      <c r="R835" s="28" t="str">
        <f>TEXT(Table1[[#This Row],[Closing Date]],"yyyy")</f>
        <v>2024</v>
      </c>
      <c r="S835" s="28" t="str">
        <f>TEXT(Table1[[#This Row],[Closing Date]],"mmmm")</f>
        <v>November</v>
      </c>
      <c r="T835" s="5" t="s">
        <v>240</v>
      </c>
      <c r="U835" s="5" t="s">
        <v>203</v>
      </c>
    </row>
    <row r="836" spans="2:21" x14ac:dyDescent="0.25">
      <c r="B836" t="s">
        <v>197</v>
      </c>
      <c r="C836" t="s">
        <v>346</v>
      </c>
      <c r="D836" t="s">
        <v>102</v>
      </c>
      <c r="E836" t="s">
        <v>7</v>
      </c>
      <c r="F836" s="11">
        <v>45315</v>
      </c>
      <c r="G836" s="7">
        <v>45618</v>
      </c>
      <c r="H836" t="s">
        <v>362</v>
      </c>
      <c r="I836">
        <v>750</v>
      </c>
      <c r="J836" s="5">
        <v>25031</v>
      </c>
      <c r="K836" s="13">
        <v>100</v>
      </c>
      <c r="L836" s="28">
        <f>20674.42+9837.22</f>
        <v>30511.64</v>
      </c>
      <c r="M836" s="5">
        <f>Table1[[#This Row],[Open Value]]/Table1[[#This Row],[Shares]]/Table1[[#This Row],[Multiplier]]</f>
        <v>0.33374666666666669</v>
      </c>
      <c r="N836" s="5">
        <f>Table1[[#This Row],[Close Value]]/Table1[[#This Row],[Shares]]/Table1[[#This Row],[Multiplier]]</f>
        <v>0.40682186666666664</v>
      </c>
      <c r="O836" s="5">
        <f>Table1[[#This Row],[Close Value]]-Table1[[#This Row],[Open Value]]</f>
        <v>5480.6399999999994</v>
      </c>
      <c r="P836" s="3">
        <f>Table1[[#This Row],[PnL]]/Table1[[#This Row],[Open Value]]</f>
        <v>0.2189540969198194</v>
      </c>
      <c r="Q836" s="14">
        <f>O836+Q835</f>
        <v>284903.70000000054</v>
      </c>
      <c r="R836" s="28" t="str">
        <f>TEXT(Table1[[#This Row],[Closing Date]],"yyyy")</f>
        <v>2024</v>
      </c>
      <c r="S836" s="28" t="str">
        <f>TEXT(Table1[[#This Row],[Closing Date]],"mmmm")</f>
        <v>November</v>
      </c>
      <c r="T836" s="5" t="s">
        <v>240</v>
      </c>
      <c r="U836" s="5" t="s">
        <v>203</v>
      </c>
    </row>
    <row r="837" spans="2:21" x14ac:dyDescent="0.25">
      <c r="B837" t="s">
        <v>201</v>
      </c>
      <c r="C837" t="s">
        <v>303</v>
      </c>
      <c r="D837" t="s">
        <v>16</v>
      </c>
      <c r="E837" t="s">
        <v>7</v>
      </c>
      <c r="F837" s="11">
        <v>45559</v>
      </c>
      <c r="G837" s="7">
        <v>45316</v>
      </c>
      <c r="H837" t="s">
        <v>294</v>
      </c>
      <c r="I837">
        <v>610</v>
      </c>
      <c r="J837" s="5">
        <f>50086.4+50057.68</f>
        <v>100144.08</v>
      </c>
      <c r="K837" s="13">
        <v>1</v>
      </c>
      <c r="L837" s="28">
        <f>34119.09+21324.41+51472.57</f>
        <v>106916.07</v>
      </c>
      <c r="M837" s="5">
        <f>Table1[[#This Row],[Open Value]]/Table1[[#This Row],[Shares]]/Table1[[#This Row],[Multiplier]]</f>
        <v>164.17062295081968</v>
      </c>
      <c r="N837" s="5">
        <f>Table1[[#This Row],[Close Value]]/Table1[[#This Row],[Shares]]/Table1[[#This Row],[Multiplier]]</f>
        <v>175.27224590163937</v>
      </c>
      <c r="O837" s="5">
        <f>Table1[[#This Row],[Close Value]]-Table1[[#This Row],[Open Value]]</f>
        <v>6771.9900000000052</v>
      </c>
      <c r="P837" s="3">
        <f>Table1[[#This Row],[PnL]]/Table1[[#This Row],[Open Value]]</f>
        <v>6.7622469545878347E-2</v>
      </c>
      <c r="Q837" s="14">
        <f>O837+Q836</f>
        <v>291675.69000000053</v>
      </c>
      <c r="R837" s="28" t="str">
        <f>TEXT(Table1[[#This Row],[Closing Date]],"yyyy")</f>
        <v>2024</v>
      </c>
      <c r="S837" s="28" t="str">
        <f>TEXT(Table1[[#This Row],[Closing Date]],"mmmm")</f>
        <v>January</v>
      </c>
      <c r="T837" s="5" t="s">
        <v>240</v>
      </c>
      <c r="U837" s="5" t="s">
        <v>203</v>
      </c>
    </row>
    <row r="838" spans="2:21" x14ac:dyDescent="0.25">
      <c r="B838" t="s">
        <v>201</v>
      </c>
      <c r="C838" t="s">
        <v>303</v>
      </c>
      <c r="D838" t="s">
        <v>16</v>
      </c>
      <c r="E838" t="s">
        <v>7</v>
      </c>
      <c r="F838" s="11">
        <v>45412</v>
      </c>
      <c r="G838" s="7">
        <v>45678</v>
      </c>
      <c r="H838" t="s">
        <v>359</v>
      </c>
      <c r="I838">
        <v>60</v>
      </c>
      <c r="J838" s="5">
        <v>21639</v>
      </c>
      <c r="K838" s="13">
        <v>100</v>
      </c>
      <c r="L838" s="28">
        <v>0</v>
      </c>
      <c r="M838" s="5">
        <f>Table1[[#This Row],[Open Value]]/Table1[[#This Row],[Shares]]/Table1[[#This Row],[Multiplier]]</f>
        <v>3.6064999999999996</v>
      </c>
      <c r="N838" s="5">
        <f>Table1[[#This Row],[Close Value]]/Table1[[#This Row],[Shares]]/Table1[[#This Row],[Multiplier]]</f>
        <v>0</v>
      </c>
      <c r="O838" s="5">
        <f>Table1[[#This Row],[Close Value]]-Table1[[#This Row],[Open Value]]</f>
        <v>-21639</v>
      </c>
      <c r="P838" s="3">
        <f>Table1[[#This Row],[PnL]]/Table1[[#This Row],[Open Value]]</f>
        <v>-1</v>
      </c>
      <c r="Q838" s="14">
        <f>O838+Q837</f>
        <v>270036.69000000053</v>
      </c>
      <c r="R838" s="28" t="str">
        <f>TEXT(Table1[[#This Row],[Closing Date]],"yyyy")</f>
        <v>2025</v>
      </c>
      <c r="S838" s="28" t="str">
        <f>TEXT(Table1[[#This Row],[Closing Date]],"mmmm")</f>
        <v>January</v>
      </c>
      <c r="T838" s="5" t="s">
        <v>240</v>
      </c>
      <c r="U838" s="5" t="s">
        <v>203</v>
      </c>
    </row>
    <row r="839" spans="2:21" x14ac:dyDescent="0.25">
      <c r="B839" t="s">
        <v>201</v>
      </c>
      <c r="C839" t="s">
        <v>303</v>
      </c>
      <c r="D839" t="s">
        <v>16</v>
      </c>
      <c r="E839" t="s">
        <v>7</v>
      </c>
      <c r="F839" s="11">
        <v>45188</v>
      </c>
      <c r="G839" s="7">
        <v>45678</v>
      </c>
      <c r="H839" t="s">
        <v>177</v>
      </c>
      <c r="I839">
        <v>40</v>
      </c>
      <c r="J839" s="5">
        <v>20026</v>
      </c>
      <c r="K839" s="13">
        <v>100</v>
      </c>
      <c r="L839" s="28">
        <v>1413.96</v>
      </c>
      <c r="M839" s="5">
        <f>Table1[[#This Row],[Open Value]]/Table1[[#This Row],[Shares]]/Table1[[#This Row],[Multiplier]]</f>
        <v>5.0065</v>
      </c>
      <c r="N839" s="5">
        <f>Table1[[#This Row],[Close Value]]/Table1[[#This Row],[Shares]]/Table1[[#This Row],[Multiplier]]</f>
        <v>0.35349000000000003</v>
      </c>
      <c r="O839" s="5">
        <f>Table1[[#This Row],[Close Value]]-Table1[[#This Row],[Open Value]]</f>
        <v>-18612.04</v>
      </c>
      <c r="P839" s="3">
        <f>Table1[[#This Row],[PnL]]/Table1[[#This Row],[Open Value]]</f>
        <v>-0.92939378807550188</v>
      </c>
      <c r="Q839" s="14">
        <f>O839+Q838</f>
        <v>251424.65000000052</v>
      </c>
      <c r="R839" s="28" t="str">
        <f>TEXT(Table1[[#This Row],[Closing Date]],"yyyy")</f>
        <v>2025</v>
      </c>
      <c r="S839" s="28" t="str">
        <f>TEXT(Table1[[#This Row],[Closing Date]],"mmmm")</f>
        <v>January</v>
      </c>
      <c r="T839" s="5" t="s">
        <v>240</v>
      </c>
      <c r="U839" s="5" t="s">
        <v>203</v>
      </c>
    </row>
    <row r="840" spans="2:21" x14ac:dyDescent="0.25">
      <c r="B840" t="s">
        <v>201</v>
      </c>
      <c r="C840" t="s">
        <v>346</v>
      </c>
      <c r="D840" t="s">
        <v>16</v>
      </c>
      <c r="E840" t="s">
        <v>7</v>
      </c>
      <c r="F840" s="11">
        <v>45638</v>
      </c>
      <c r="G840" s="7">
        <v>45673</v>
      </c>
      <c r="H840" t="s">
        <v>222</v>
      </c>
      <c r="I840">
        <v>2500</v>
      </c>
      <c r="J840" s="5">
        <v>101250</v>
      </c>
      <c r="K840" s="13">
        <v>1</v>
      </c>
      <c r="L840" s="28">
        <v>83047.69</v>
      </c>
      <c r="M840" s="5">
        <f>Table1[[#This Row],[Open Value]]/Table1[[#This Row],[Shares]]/Table1[[#This Row],[Multiplier]]</f>
        <v>40.5</v>
      </c>
      <c r="N840" s="5">
        <f>Table1[[#This Row],[Close Value]]/Table1[[#This Row],[Shares]]/Table1[[#This Row],[Multiplier]]</f>
        <v>33.219076000000001</v>
      </c>
      <c r="O840" s="5">
        <f>Table1[[#This Row],[Close Value]]-Table1[[#This Row],[Open Value]]</f>
        <v>-18202.309999999998</v>
      </c>
      <c r="P840" s="3">
        <f>Table1[[#This Row],[PnL]]/Table1[[#This Row],[Open Value]]</f>
        <v>-0.17977590123456788</v>
      </c>
      <c r="Q840" s="14">
        <f>O840+Q839</f>
        <v>233222.34000000052</v>
      </c>
      <c r="R840" s="28" t="str">
        <f>TEXT(Table1[[#This Row],[Closing Date]],"yyyy")</f>
        <v>2025</v>
      </c>
      <c r="S840" s="28" t="str">
        <f>TEXT(Table1[[#This Row],[Closing Date]],"mmmm")</f>
        <v>January</v>
      </c>
      <c r="T840" s="5" t="s">
        <v>240</v>
      </c>
      <c r="U840" s="5" t="s">
        <v>203</v>
      </c>
    </row>
    <row r="841" spans="2:21" x14ac:dyDescent="0.25">
      <c r="B841" t="s">
        <v>201</v>
      </c>
      <c r="C841" t="s">
        <v>303</v>
      </c>
      <c r="D841" t="s">
        <v>16</v>
      </c>
      <c r="E841" t="s">
        <v>7</v>
      </c>
      <c r="F841" s="11">
        <v>45636</v>
      </c>
      <c r="G841" s="7">
        <v>45672</v>
      </c>
      <c r="H841" t="s">
        <v>136</v>
      </c>
      <c r="I841">
        <v>300</v>
      </c>
      <c r="J841" s="5">
        <v>49650</v>
      </c>
      <c r="K841" s="13">
        <v>1</v>
      </c>
      <c r="L841" s="28">
        <v>50128.61</v>
      </c>
      <c r="M841" s="5">
        <f>Table1[[#This Row],[Open Value]]/Table1[[#This Row],[Shares]]/Table1[[#This Row],[Multiplier]]</f>
        <v>165.5</v>
      </c>
      <c r="N841" s="5">
        <f>Table1[[#This Row],[Close Value]]/Table1[[#This Row],[Shares]]/Table1[[#This Row],[Multiplier]]</f>
        <v>167.09536666666668</v>
      </c>
      <c r="O841" s="5">
        <f>Table1[[#This Row],[Close Value]]-Table1[[#This Row],[Open Value]]</f>
        <v>478.61000000000058</v>
      </c>
      <c r="P841" s="3">
        <f>Table1[[#This Row],[PnL]]/Table1[[#This Row],[Open Value]]</f>
        <v>9.639677744209478E-3</v>
      </c>
      <c r="Q841" s="14">
        <f>O841+Q840</f>
        <v>233700.95000000054</v>
      </c>
      <c r="R841" s="28" t="str">
        <f>TEXT(Table1[[#This Row],[Closing Date]],"yyyy")</f>
        <v>2025</v>
      </c>
      <c r="S841" s="28" t="str">
        <f>TEXT(Table1[[#This Row],[Closing Date]],"mmmm")</f>
        <v>January</v>
      </c>
      <c r="T841" s="5" t="s">
        <v>240</v>
      </c>
      <c r="U841" s="5" t="s">
        <v>203</v>
      </c>
    </row>
    <row r="842" spans="2:21" x14ac:dyDescent="0.25">
      <c r="B842" t="s">
        <v>201</v>
      </c>
      <c r="C842" t="s">
        <v>303</v>
      </c>
      <c r="D842" t="s">
        <v>16</v>
      </c>
      <c r="E842" t="s">
        <v>7</v>
      </c>
      <c r="F842" s="11">
        <v>45636</v>
      </c>
      <c r="G842" s="7">
        <v>45644</v>
      </c>
      <c r="H842" t="s">
        <v>160</v>
      </c>
      <c r="I842">
        <v>3200</v>
      </c>
      <c r="J842" s="5">
        <f>49834.91+48950.87</f>
        <v>98785.78</v>
      </c>
      <c r="K842" s="13">
        <v>1</v>
      </c>
      <c r="L842" s="28">
        <v>89277.52</v>
      </c>
      <c r="M842" s="5">
        <f>Table1[[#This Row],[Open Value]]/Table1[[#This Row],[Shares]]/Table1[[#This Row],[Multiplier]]</f>
        <v>30.87055625</v>
      </c>
      <c r="N842" s="5">
        <f>Table1[[#This Row],[Close Value]]/Table1[[#This Row],[Shares]]/Table1[[#This Row],[Multiplier]]</f>
        <v>27.899225000000001</v>
      </c>
      <c r="O842" s="5">
        <f>Table1[[#This Row],[Close Value]]-Table1[[#This Row],[Open Value]]</f>
        <v>-9508.2599999999948</v>
      </c>
      <c r="P842" s="3">
        <f>Table1[[#This Row],[PnL]]/Table1[[#This Row],[Open Value]]</f>
        <v>-9.6251302566017036E-2</v>
      </c>
      <c r="Q842" s="14">
        <f>O842+Q841</f>
        <v>224192.69000000053</v>
      </c>
      <c r="R842" s="28" t="str">
        <f>TEXT(Table1[[#This Row],[Closing Date]],"yyyy")</f>
        <v>2024</v>
      </c>
      <c r="S842" s="28" t="str">
        <f>TEXT(Table1[[#This Row],[Closing Date]],"mmmm")</f>
        <v>December</v>
      </c>
      <c r="T842" s="5" t="s">
        <v>240</v>
      </c>
      <c r="U842" s="5" t="s">
        <v>203</v>
      </c>
    </row>
    <row r="843" spans="2:21" x14ac:dyDescent="0.25">
      <c r="B843" t="s">
        <v>197</v>
      </c>
      <c r="C843" t="s">
        <v>303</v>
      </c>
      <c r="D843" t="s">
        <v>102</v>
      </c>
      <c r="E843" t="s">
        <v>7</v>
      </c>
      <c r="F843" s="11">
        <v>45644</v>
      </c>
      <c r="H843" t="s">
        <v>358</v>
      </c>
      <c r="I843">
        <v>120</v>
      </c>
      <c r="J843" s="5">
        <v>30078</v>
      </c>
      <c r="K843" s="13">
        <v>1</v>
      </c>
      <c r="L843" s="28">
        <v>22121.38</v>
      </c>
      <c r="M843" s="5">
        <f>Table1[[#This Row],[Open Value]]/Table1[[#This Row],[Shares]]/Table1[[#This Row],[Multiplier]]</f>
        <v>250.65</v>
      </c>
      <c r="N843" s="5">
        <f>Table1[[#This Row],[Close Value]]/Table1[[#This Row],[Shares]]/Table1[[#This Row],[Multiplier]]</f>
        <v>184.34483333333336</v>
      </c>
      <c r="O843" s="5">
        <f>Table1[[#This Row],[Close Value]]-Table1[[#This Row],[Open Value]]</f>
        <v>-7956.619999999999</v>
      </c>
      <c r="P843" s="3">
        <f>Table1[[#This Row],[PnL]]/Table1[[#This Row],[Open Value]]</f>
        <v>-0.26453288117561002</v>
      </c>
      <c r="Q843" s="14">
        <f>O843+Q842</f>
        <v>216236.07000000053</v>
      </c>
      <c r="R843" s="28" t="str">
        <f>TEXT(Table1[[#This Row],[Closing Date]],"yyyy")</f>
        <v>1900</v>
      </c>
      <c r="S843" s="28" t="str">
        <f>TEXT(Table1[[#This Row],[Closing Date]],"mmmm")</f>
        <v>January</v>
      </c>
      <c r="T843" s="5" t="s">
        <v>240</v>
      </c>
      <c r="U843" s="5" t="s">
        <v>203</v>
      </c>
    </row>
    <row r="844" spans="2:21" x14ac:dyDescent="0.25">
      <c r="B844" t="s">
        <v>197</v>
      </c>
      <c r="C844" t="s">
        <v>303</v>
      </c>
      <c r="D844" t="s">
        <v>102</v>
      </c>
      <c r="E844" t="s">
        <v>7</v>
      </c>
      <c r="F844" s="11">
        <v>45348</v>
      </c>
      <c r="G844" s="7">
        <v>45678</v>
      </c>
      <c r="H844" t="s">
        <v>357</v>
      </c>
      <c r="I844">
        <v>165</v>
      </c>
      <c r="J844" s="5">
        <v>29807.25</v>
      </c>
      <c r="K844" s="13">
        <v>100</v>
      </c>
      <c r="L844" s="28">
        <v>0</v>
      </c>
      <c r="M844" s="5">
        <f>Table1[[#This Row],[Open Value]]/Table1[[#This Row],[Shares]]/Table1[[#This Row],[Multiplier]]</f>
        <v>1.8065</v>
      </c>
      <c r="N844" s="5">
        <f>Table1[[#This Row],[Close Value]]/Table1[[#This Row],[Shares]]/Table1[[#This Row],[Multiplier]]</f>
        <v>0</v>
      </c>
      <c r="O844" s="5">
        <f>Table1[[#This Row],[Close Value]]-Table1[[#This Row],[Open Value]]</f>
        <v>-29807.25</v>
      </c>
      <c r="P844" s="3">
        <f>Table1[[#This Row],[PnL]]/Table1[[#This Row],[Open Value]]</f>
        <v>-1</v>
      </c>
      <c r="Q844" s="14">
        <f>O844+Q843</f>
        <v>186428.82000000053</v>
      </c>
      <c r="R844" s="28" t="str">
        <f>TEXT(Table1[[#This Row],[Closing Date]],"yyyy")</f>
        <v>2025</v>
      </c>
      <c r="S844" s="28" t="str">
        <f>TEXT(Table1[[#This Row],[Closing Date]],"mmmm")</f>
        <v>January</v>
      </c>
      <c r="T844" s="5" t="s">
        <v>240</v>
      </c>
      <c r="U844" s="5" t="s">
        <v>203</v>
      </c>
    </row>
    <row r="845" spans="2:21" x14ac:dyDescent="0.25">
      <c r="B845" t="s">
        <v>201</v>
      </c>
      <c r="C845" t="s">
        <v>305</v>
      </c>
      <c r="D845" t="s">
        <v>16</v>
      </c>
      <c r="E845" t="s">
        <v>7</v>
      </c>
      <c r="F845" s="11">
        <v>45631</v>
      </c>
      <c r="G845" s="7">
        <v>45678</v>
      </c>
      <c r="H845" t="s">
        <v>363</v>
      </c>
      <c r="I845">
        <v>900</v>
      </c>
      <c r="J845" s="5">
        <v>99475.53</v>
      </c>
      <c r="K845" s="13">
        <v>1</v>
      </c>
      <c r="L845" s="28">
        <v>95541.34</v>
      </c>
      <c r="M845" s="5">
        <f>Table1[[#This Row],[Open Value]]/Table1[[#This Row],[Shares]]/Table1[[#This Row],[Multiplier]]</f>
        <v>110.52836666666667</v>
      </c>
      <c r="N845" s="5">
        <f>Table1[[#This Row],[Close Value]]/Table1[[#This Row],[Shares]]/Table1[[#This Row],[Multiplier]]</f>
        <v>106.15704444444444</v>
      </c>
      <c r="O845" s="5">
        <f>Table1[[#This Row],[Close Value]]-Table1[[#This Row],[Open Value]]</f>
        <v>-3934.1900000000023</v>
      </c>
      <c r="P845" s="3">
        <f>Table1[[#This Row],[PnL]]/Table1[[#This Row],[Open Value]]</f>
        <v>-3.9549324341373225E-2</v>
      </c>
      <c r="Q845" s="14">
        <f>O845+Q844</f>
        <v>182494.63000000053</v>
      </c>
      <c r="R845" s="28" t="str">
        <f>TEXT(Table1[[#This Row],[Closing Date]],"yyyy")</f>
        <v>2025</v>
      </c>
      <c r="S845" s="28" t="str">
        <f>TEXT(Table1[[#This Row],[Closing Date]],"mmmm")</f>
        <v>January</v>
      </c>
      <c r="T845" s="5" t="s">
        <v>240</v>
      </c>
      <c r="U845" s="5" t="s">
        <v>203</v>
      </c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3 O683:P701 O724:P724 P702:P723 P725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2025-02-11T15:22:56Z</dcterms:modified>
</cp:coreProperties>
</file>