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smsa\Google Drive\Brightway2\Compost_Utilization\Uncertainty _ Ecoinvent\"/>
    </mc:Choice>
  </mc:AlternateContent>
  <xr:revisionPtr revIDLastSave="0" documentId="13_ncr:1_{8D5301CA-012F-4192-92DA-7BE4CB12523E}" xr6:coauthVersionLast="45" xr6:coauthVersionMax="45" xr10:uidLastSave="{00000000-0000-0000-0000-000000000000}"/>
  <bookViews>
    <workbookView xWindow="-110" yWindow="-110" windowWidth="25820" windowHeight="14020" activeTab="2" xr2:uid="{00000000-000D-0000-FFFF-FFFF00000000}"/>
  </bookViews>
  <sheets>
    <sheet name="Pidegree" sheetId="3" r:id="rId1"/>
    <sheet name="Sheet2" sheetId="2" r:id="rId2"/>
    <sheet name="Ds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4" l="1"/>
  <c r="K10" i="4"/>
  <c r="E18" i="4"/>
  <c r="C18" i="4"/>
  <c r="E17" i="4"/>
  <c r="C17" i="4"/>
  <c r="E16" i="4"/>
  <c r="C16" i="4"/>
  <c r="E15" i="4"/>
  <c r="C15" i="4"/>
  <c r="E14" i="4"/>
  <c r="C14" i="4"/>
  <c r="E8" i="4"/>
  <c r="E6" i="4"/>
  <c r="E19" i="4" l="1"/>
  <c r="E20" i="4" s="1"/>
  <c r="E21" i="4" s="1"/>
  <c r="E22" i="4" s="1"/>
  <c r="D17" i="2"/>
  <c r="E17" i="2" s="1"/>
  <c r="C17" i="2"/>
  <c r="M17" i="2" s="1"/>
  <c r="B17" i="2"/>
  <c r="G16" i="2"/>
  <c r="F16" i="2"/>
  <c r="D16" i="2"/>
  <c r="E16" i="2" s="1"/>
  <c r="C16" i="2"/>
  <c r="P16" i="2" s="1"/>
  <c r="B16" i="2"/>
  <c r="D15" i="2"/>
  <c r="E15" i="2" s="1"/>
  <c r="C15" i="2"/>
  <c r="P15" i="2" s="1"/>
  <c r="B15" i="2"/>
  <c r="D14" i="2"/>
  <c r="G14" i="2" s="1"/>
  <c r="C14" i="2"/>
  <c r="J14" i="2" s="1"/>
  <c r="B14" i="2"/>
  <c r="J13" i="2"/>
  <c r="D13" i="2"/>
  <c r="F13" i="2" s="1"/>
  <c r="C13" i="2"/>
  <c r="M13" i="2" s="1"/>
  <c r="B13" i="2"/>
  <c r="G12" i="2"/>
  <c r="D12" i="2"/>
  <c r="F12" i="2" s="1"/>
  <c r="C12" i="2"/>
  <c r="P12" i="2" s="1"/>
  <c r="B12" i="2"/>
  <c r="M11" i="2"/>
  <c r="J11" i="2"/>
  <c r="D11" i="2"/>
  <c r="G11" i="2" s="1"/>
  <c r="C11" i="2"/>
  <c r="P11" i="2" s="1"/>
  <c r="B11" i="2"/>
  <c r="P10" i="2"/>
  <c r="M10" i="2"/>
  <c r="D10" i="2"/>
  <c r="F10" i="2" s="1"/>
  <c r="C10" i="2"/>
  <c r="J10" i="2" s="1"/>
  <c r="B10" i="2"/>
  <c r="F9" i="2"/>
  <c r="D9" i="2"/>
  <c r="E9" i="2" s="1"/>
  <c r="C9" i="2"/>
  <c r="M9" i="2" s="1"/>
  <c r="B9" i="2"/>
  <c r="M8" i="2"/>
  <c r="F8" i="2"/>
  <c r="E8" i="2"/>
  <c r="D8" i="2"/>
  <c r="G8" i="2" s="1"/>
  <c r="C8" i="2"/>
  <c r="P8" i="2" s="1"/>
  <c r="B8" i="2"/>
  <c r="M7" i="2"/>
  <c r="D7" i="2"/>
  <c r="F7" i="2" s="1"/>
  <c r="C7" i="2"/>
  <c r="P7" i="2" s="1"/>
  <c r="B7" i="2"/>
  <c r="D6" i="2"/>
  <c r="G6" i="2" s="1"/>
  <c r="C6" i="2"/>
  <c r="B6" i="2"/>
  <c r="J6" i="2" l="1"/>
  <c r="M6" i="2"/>
  <c r="E11" i="2"/>
  <c r="J12" i="2"/>
  <c r="G13" i="2"/>
  <c r="F11" i="2"/>
  <c r="E12" i="2"/>
  <c r="P6" i="2"/>
  <c r="J7" i="2"/>
  <c r="J8" i="2"/>
  <c r="P13" i="2"/>
  <c r="P14" i="2"/>
  <c r="J15" i="2"/>
  <c r="J16" i="2"/>
  <c r="M15" i="2"/>
  <c r="M16" i="2"/>
  <c r="F17" i="2"/>
  <c r="E7" i="2"/>
  <c r="G17" i="2"/>
  <c r="E14" i="2"/>
  <c r="M14" i="2"/>
  <c r="F15" i="2"/>
  <c r="P17" i="2"/>
  <c r="F6" i="2"/>
  <c r="G7" i="2"/>
  <c r="E13" i="2"/>
  <c r="F14" i="2"/>
  <c r="G15" i="2"/>
  <c r="G10" i="2"/>
  <c r="G9" i="2"/>
  <c r="E6" i="2"/>
  <c r="P9" i="2"/>
  <c r="J9" i="2"/>
  <c r="M12" i="2"/>
  <c r="J17" i="2"/>
  <c r="E10" i="2"/>
  <c r="L16" i="2" l="1"/>
  <c r="K15" i="2"/>
  <c r="I13" i="2"/>
  <c r="H12" i="2"/>
  <c r="O11" i="2"/>
  <c r="N10" i="2"/>
  <c r="L8" i="2"/>
  <c r="K7" i="2"/>
  <c r="L17" i="2"/>
  <c r="K16" i="2"/>
  <c r="I14" i="2"/>
  <c r="H13" i="2"/>
  <c r="O12" i="2"/>
  <c r="N11" i="2"/>
  <c r="L9" i="2"/>
  <c r="K8" i="2"/>
  <c r="I6" i="2"/>
  <c r="K17" i="2"/>
  <c r="H14" i="2"/>
  <c r="L10" i="2"/>
  <c r="I16" i="2"/>
  <c r="H15" i="2"/>
  <c r="O14" i="2"/>
  <c r="N13" i="2"/>
  <c r="L11" i="2"/>
  <c r="K10" i="2"/>
  <c r="I8" i="2"/>
  <c r="H7" i="2"/>
  <c r="O6" i="2"/>
  <c r="H17" i="2"/>
  <c r="O16" i="2"/>
  <c r="I10" i="2"/>
  <c r="O8" i="2"/>
  <c r="N7" i="2"/>
  <c r="O17" i="2"/>
  <c r="N16" i="2"/>
  <c r="K13" i="2"/>
  <c r="H10" i="2"/>
  <c r="O9" i="2"/>
  <c r="L6" i="2"/>
  <c r="K14" i="2"/>
  <c r="H11" i="2"/>
  <c r="K6" i="2"/>
  <c r="K9" i="2"/>
  <c r="I17" i="2"/>
  <c r="H16" i="2"/>
  <c r="O15" i="2"/>
  <c r="N14" i="2"/>
  <c r="L12" i="2"/>
  <c r="K11" i="2"/>
  <c r="I9" i="2"/>
  <c r="H8" i="2"/>
  <c r="O7" i="2"/>
  <c r="N6" i="2"/>
  <c r="N15" i="2"/>
  <c r="L13" i="2"/>
  <c r="K12" i="2"/>
  <c r="H9" i="2"/>
  <c r="L14" i="2"/>
  <c r="I11" i="2"/>
  <c r="N8" i="2"/>
  <c r="N17" i="2"/>
  <c r="L15" i="2"/>
  <c r="I12" i="2"/>
  <c r="O10" i="2"/>
  <c r="N9" i="2"/>
  <c r="L7" i="2"/>
  <c r="I15" i="2"/>
  <c r="O13" i="2"/>
  <c r="N12" i="2"/>
  <c r="I7" i="2"/>
  <c r="H6" i="2"/>
</calcChain>
</file>

<file path=xl/sharedStrings.xml><?xml version="1.0" encoding="utf-8"?>
<sst xmlns="http://schemas.openxmlformats.org/spreadsheetml/2006/main" count="83" uniqueCount="58">
  <si>
    <t>sigma</t>
  </si>
  <si>
    <t>sigma*</t>
  </si>
  <si>
    <t>mu</t>
  </si>
  <si>
    <t>deterministic value</t>
  </si>
  <si>
    <t>formula</t>
  </si>
  <si>
    <t>value</t>
  </si>
  <si>
    <t>basic uncertainty</t>
  </si>
  <si>
    <t>Reliability</t>
  </si>
  <si>
    <t>Completeness</t>
  </si>
  <si>
    <t>Temporal correlation</t>
  </si>
  <si>
    <t>Geographical correlation</t>
  </si>
  <si>
    <t>Further technological correlation</t>
  </si>
  <si>
    <t>(from table 10.5)</t>
  </si>
  <si>
    <t>Geometric mean</t>
  </si>
  <si>
    <t>ln(deterministic value)</t>
  </si>
  <si>
    <t>Standard deviation (SD95)</t>
  </si>
  <si>
    <t>Mathematical name</t>
  </si>
  <si>
    <t>ecoEditor/ecoQuery name</t>
  </si>
  <si>
    <t>Variance of log-transformed data</t>
  </si>
  <si>
    <r>
      <t>exp((Variance of log-transformed data)</t>
    </r>
    <r>
      <rPr>
        <vertAlign val="superscript"/>
        <sz val="11"/>
        <color theme="1"/>
        <rFont val="Calibri"/>
        <family val="2"/>
        <scheme val="minor"/>
      </rPr>
      <t>0.5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</si>
  <si>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t>Variance of data with pedigree</t>
  </si>
  <si>
    <t>Variance of log-transformed data + additional uncertainties</t>
  </si>
  <si>
    <t>CI/2wP, half range of confidence interval</t>
  </si>
  <si>
    <t>ln(sigma*)</t>
  </si>
  <si>
    <t>(entered by user)</t>
  </si>
  <si>
    <t>Values in yellow: to be entered by user</t>
  </si>
  <si>
    <t>exp((Variance of data with pedigree)**0.5)**2</t>
  </si>
  <si>
    <t>(CI/2wP)**0.5</t>
  </si>
  <si>
    <t>Pedigree values from table 10.5, data quality guidelines</t>
  </si>
  <si>
    <t>Mean</t>
  </si>
  <si>
    <t>Median</t>
  </si>
  <si>
    <t>Mode</t>
  </si>
  <si>
    <t>Deterministic value</t>
  </si>
  <si>
    <t>Variance with pedigree matrix</t>
  </si>
  <si>
    <t>GSD2</t>
  </si>
  <si>
    <t>mode</t>
  </si>
  <si>
    <t>median</t>
  </si>
  <si>
    <t>mean</t>
  </si>
  <si>
    <t>Confidence 68.3% lower bound</t>
  </si>
  <si>
    <t>Confidence 68.3% upper bound</t>
  </si>
  <si>
    <t>upper/lower 68.3%</t>
  </si>
  <si>
    <t>Confidence 95.5% lower bound</t>
  </si>
  <si>
    <t>Confidence 95.5% upper bound</t>
  </si>
  <si>
    <t>upper/lower 95.5%</t>
  </si>
  <si>
    <t>Confidence 99.7% lower bound</t>
  </si>
  <si>
    <t>Confidence 99.7% upper bound</t>
  </si>
  <si>
    <t>upper/lower 99.7%</t>
  </si>
  <si>
    <t>Diesel fuel use for application compost (L/Mg)</t>
  </si>
  <si>
    <t>Diesel fuel use for application N fertilizer (L/Mg N fert.)</t>
  </si>
  <si>
    <t>Diesel fuel use for application P fertilizer (L/Mg P fert.)</t>
  </si>
  <si>
    <t>Diesel fuel use for application K fertilizer (L/Mg K fert.)</t>
  </si>
  <si>
    <t>GM</t>
  </si>
  <si>
    <t>Thickness of daily cover form soil (cm)</t>
  </si>
  <si>
    <t>Thickness of daily cover form compost (cm)</t>
  </si>
  <si>
    <r>
      <t>Fraction of N that is emitted to groundwater as NH</t>
    </r>
    <r>
      <rPr>
        <vertAlign val="subscript"/>
        <sz val="10"/>
        <color theme="1"/>
        <rFont val="Times New Roman"/>
        <family val="1"/>
      </rPr>
      <t xml:space="preserve">4 </t>
    </r>
    <r>
      <rPr>
        <sz val="10"/>
        <color theme="1"/>
        <rFont val="Times New Roman"/>
        <family val="1"/>
      </rPr>
      <t xml:space="preserve">in ADC </t>
    </r>
  </si>
  <si>
    <r>
      <t>Fraction of N that is emitted to surface water as NH</t>
    </r>
    <r>
      <rPr>
        <vertAlign val="subscript"/>
        <sz val="10"/>
        <color theme="1"/>
        <rFont val="Times New Roman"/>
        <family val="1"/>
      </rPr>
      <t xml:space="preserve">4 </t>
    </r>
    <r>
      <rPr>
        <sz val="10"/>
        <color theme="1"/>
        <rFont val="Times New Roman"/>
        <family val="1"/>
      </rPr>
      <t xml:space="preserve">in ADC </t>
    </r>
  </si>
  <si>
    <t>Log-normal</t>
  </si>
  <si>
    <t>Pidegree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</si>
</sst>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7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1" xfId="0" applyFont="1" applyBorder="1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2" fontId="0" fillId="0" borderId="0" xfId="0" applyNumberFormat="1"/>
    <xf numFmtId="164" fontId="0" fillId="0" borderId="0" xfId="0" applyNumberFormat="1"/>
    <xf numFmtId="164" fontId="0" fillId="0" borderId="5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1" fontId="0" fillId="0" borderId="0" xfId="0" applyNumberFormat="1" applyAlignment="1">
      <alignment horizontal="left"/>
    </xf>
    <xf numFmtId="11" fontId="0" fillId="0" borderId="5" xfId="0" applyNumberFormat="1" applyBorder="1" applyAlignment="1">
      <alignment horizontal="left"/>
    </xf>
    <xf numFmtId="11" fontId="0" fillId="0" borderId="0" xfId="0" applyNumberFormat="1" applyBorder="1" applyAlignment="1">
      <alignment horizontal="left"/>
    </xf>
    <xf numFmtId="11" fontId="0" fillId="0" borderId="6" xfId="0" applyNumberFormat="1" applyBorder="1" applyAlignment="1">
      <alignment horizontal="left"/>
    </xf>
    <xf numFmtId="11" fontId="0" fillId="0" borderId="7" xfId="0" applyNumberFormat="1" applyBorder="1" applyAlignment="1">
      <alignment horizontal="left"/>
    </xf>
    <xf numFmtId="11" fontId="0" fillId="0" borderId="8" xfId="0" applyNumberFormat="1" applyBorder="1" applyAlignment="1">
      <alignment horizontal="left"/>
    </xf>
    <xf numFmtId="11" fontId="0" fillId="0" borderId="9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166" fontId="0" fillId="0" borderId="1" xfId="0" applyNumberFormat="1" applyBorder="1"/>
    <xf numFmtId="165" fontId="0" fillId="3" borderId="1" xfId="0" applyNumberFormat="1" applyFill="1" applyBorder="1"/>
    <xf numFmtId="0" fontId="3" fillId="0" borderId="0" xfId="0" applyFont="1" applyAlignment="1">
      <alignment vertical="center" wrapText="1"/>
    </xf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17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321236</xdr:colOff>
      <xdr:row>1</xdr:row>
      <xdr:rowOff>64994</xdr:rowOff>
    </xdr:from>
    <xdr:to>
      <xdr:col>15</xdr:col>
      <xdr:colOff>512216</xdr:colOff>
      <xdr:row>36</xdr:row>
      <xdr:rowOff>103428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51626D-1890-46DF-89F1-ED2857E86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236" y="251759"/>
          <a:ext cx="9379804" cy="6575198"/>
        </a:xfrm>
        <a:prstGeom prst="rect">
          <a:avLst/>
        </a:prstGeom>
      </xdr:spPr>
    </xdr:pic>
    <xdr:clientData/>
  </xdr:twoCellAnchor>
  <xdr:twoCellAnchor editAs="oneCell">
    <xdr:from>
      <xdr:col>16</xdr:col>
      <xdr:colOff>201706</xdr:colOff>
      <xdr:row>0</xdr:row>
      <xdr:rowOff>169583</xdr:rowOff>
    </xdr:from>
    <xdr:to>
      <xdr:col>29</xdr:col>
      <xdr:colOff>182317</xdr:colOff>
      <xdr:row>38</xdr:row>
      <xdr:rowOff>95985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816514-793D-4D9E-BB85-3F6B915AC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3118" y="169583"/>
          <a:ext cx="7944258" cy="7023461"/>
        </a:xfrm>
        <a:prstGeom prst="rect">
          <a:avLst/>
        </a:prstGeom>
      </xdr:spPr>
    </xdr:pic>
    <xdr:clientData/>
  </xdr:twoCellAnchor>
  <xdr:twoCellAnchor editAs="oneCell">
    <xdr:from>
      <xdr:col>16</xdr:col>
      <xdr:colOff>328705</xdr:colOff>
      <xdr:row>39</xdr:row>
      <xdr:rowOff>44823</xdr:rowOff>
    </xdr:from>
    <xdr:to>
      <xdr:col>28</xdr:col>
      <xdr:colOff>578987</xdr:colOff>
      <xdr:row>50</xdr:row>
      <xdr:rowOff>54268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13CBE6-3035-4CDE-BE54-1AEE18AFD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30117" y="7328647"/>
          <a:ext cx="7601341" cy="20638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0</xdr:row>
      <xdr:rowOff>38100</xdr:rowOff>
    </xdr:from>
    <xdr:to>
      <xdr:col>1</xdr:col>
      <xdr:colOff>601980</xdr:colOff>
      <xdr:row>1</xdr:row>
      <xdr:rowOff>53340</xdr:rowOff>
    </xdr:to>
    <xdr:pic>
      <xdr:nvPicPr>
        <xdr:cNvPr id="2" name="Picture 1" descr="e^{\mu+\sigma^2/2}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5940" y="38100"/>
          <a:ext cx="55626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121920</xdr:colOff>
      <xdr:row>1</xdr:row>
      <xdr:rowOff>68580</xdr:rowOff>
    </xdr:from>
    <xdr:to>
      <xdr:col>1</xdr:col>
      <xdr:colOff>297180</xdr:colOff>
      <xdr:row>2</xdr:row>
      <xdr:rowOff>30480</xdr:rowOff>
    </xdr:to>
    <xdr:pic>
      <xdr:nvPicPr>
        <xdr:cNvPr id="3" name="Picture 2" descr="e^{\mu}\,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342900"/>
          <a:ext cx="1752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106680</xdr:colOff>
      <xdr:row>2</xdr:row>
      <xdr:rowOff>30480</xdr:rowOff>
    </xdr:from>
    <xdr:to>
      <xdr:col>1</xdr:col>
      <xdr:colOff>518160</xdr:colOff>
      <xdr:row>3</xdr:row>
      <xdr:rowOff>45720</xdr:rowOff>
    </xdr:to>
    <xdr:pic>
      <xdr:nvPicPr>
        <xdr:cNvPr id="4" name="Picture 3" descr="e^{\mu-\sigma^2}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571500"/>
          <a:ext cx="41148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8</xdr:col>
      <xdr:colOff>241300</xdr:colOff>
      <xdr:row>3</xdr:row>
      <xdr:rowOff>146050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AD26943-0A80-4624-AA01-9E076273B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1650" y="5918200"/>
          <a:ext cx="2413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</xdr:row>
      <xdr:rowOff>0</xdr:rowOff>
    </xdr:from>
    <xdr:to>
      <xdr:col>8</xdr:col>
      <xdr:colOff>336550</xdr:colOff>
      <xdr:row>4</xdr:row>
      <xdr:rowOff>165100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C188CFB-D89E-4E99-82A6-E67332549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1650" y="6743700"/>
          <a:ext cx="3365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8</xdr:col>
      <xdr:colOff>330200</xdr:colOff>
      <xdr:row>5</xdr:row>
      <xdr:rowOff>165100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069C433-0AAD-4AC2-92A5-34B8EC625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1650" y="7899400"/>
          <a:ext cx="330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6</xdr:row>
      <xdr:rowOff>0</xdr:rowOff>
    </xdr:from>
    <xdr:to>
      <xdr:col>8</xdr:col>
      <xdr:colOff>336550</xdr:colOff>
      <xdr:row>6</xdr:row>
      <xdr:rowOff>165100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451B305-F705-4C4A-BEE5-B5470C803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1650" y="9055100"/>
          <a:ext cx="3365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7</xdr:row>
      <xdr:rowOff>0</xdr:rowOff>
    </xdr:from>
    <xdr:to>
      <xdr:col>8</xdr:col>
      <xdr:colOff>393700</xdr:colOff>
      <xdr:row>7</xdr:row>
      <xdr:rowOff>146050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4B6FA8B-5D44-413E-82F7-D278D4FC6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1650" y="1289050"/>
          <a:ext cx="3937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8</xdr:row>
      <xdr:rowOff>0</xdr:rowOff>
    </xdr:from>
    <xdr:to>
      <xdr:col>8</xdr:col>
      <xdr:colOff>469900</xdr:colOff>
      <xdr:row>8</xdr:row>
      <xdr:rowOff>146050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0B180A3-1C48-49DB-B0BB-92AF3E488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1650" y="1498600"/>
          <a:ext cx="4699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9</xdr:row>
      <xdr:rowOff>0</xdr:rowOff>
    </xdr:from>
    <xdr:to>
      <xdr:col>8</xdr:col>
      <xdr:colOff>774700</xdr:colOff>
      <xdr:row>9</xdr:row>
      <xdr:rowOff>165100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520F453-6B71-4107-94AB-A2884078A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1650" y="1682750"/>
          <a:ext cx="7747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10</xdr:row>
      <xdr:rowOff>0</xdr:rowOff>
    </xdr:from>
    <xdr:to>
      <xdr:col>8</xdr:col>
      <xdr:colOff>768350</xdr:colOff>
      <xdr:row>10</xdr:row>
      <xdr:rowOff>165100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2040E90-3F25-4121-9926-23EA9A800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1650" y="1873250"/>
          <a:ext cx="7683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06BD2-DADD-4C8C-8E80-B796D7E386F7}">
  <dimension ref="A1"/>
  <sheetViews>
    <sheetView zoomScale="85" zoomScaleNormal="85" workbookViewId="0">
      <selection activeCell="O45" sqref="O4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>
      <selection activeCell="C9" sqref="C9"/>
    </sheetView>
  </sheetViews>
  <sheetFormatPr defaultRowHeight="14.5" x14ac:dyDescent="0.35"/>
  <cols>
    <col min="1" max="1" width="26" bestFit="1" customWidth="1"/>
    <col min="5" max="6" width="8.81640625" bestFit="1" customWidth="1"/>
    <col min="7" max="7" width="9.54296875" customWidth="1"/>
    <col min="8" max="16" width="10" customWidth="1"/>
  </cols>
  <sheetData>
    <row r="1" spans="1:16" x14ac:dyDescent="0.35">
      <c r="A1" t="s">
        <v>29</v>
      </c>
    </row>
    <row r="2" spans="1:16" x14ac:dyDescent="0.35">
      <c r="A2" t="s">
        <v>30</v>
      </c>
    </row>
    <row r="3" spans="1:16" x14ac:dyDescent="0.35">
      <c r="A3" t="s">
        <v>31</v>
      </c>
    </row>
    <row r="4" spans="1:16" ht="15" thickBot="1" x14ac:dyDescent="0.4">
      <c r="A4" t="s">
        <v>32</v>
      </c>
      <c r="B4">
        <v>1</v>
      </c>
    </row>
    <row r="5" spans="1:16" ht="58" x14ac:dyDescent="0.35">
      <c r="A5" t="s">
        <v>33</v>
      </c>
      <c r="B5" t="s">
        <v>34</v>
      </c>
      <c r="C5" t="s">
        <v>1</v>
      </c>
      <c r="D5" t="s">
        <v>2</v>
      </c>
      <c r="E5" t="s">
        <v>35</v>
      </c>
      <c r="F5" t="s">
        <v>36</v>
      </c>
      <c r="G5" t="s">
        <v>37</v>
      </c>
      <c r="H5" s="9" t="s">
        <v>38</v>
      </c>
      <c r="I5" s="10" t="s">
        <v>39</v>
      </c>
      <c r="J5" s="11" t="s">
        <v>40</v>
      </c>
      <c r="K5" s="9" t="s">
        <v>41</v>
      </c>
      <c r="L5" s="10" t="s">
        <v>42</v>
      </c>
      <c r="M5" s="11" t="s">
        <v>43</v>
      </c>
      <c r="N5" s="9" t="s">
        <v>44</v>
      </c>
      <c r="O5" s="10" t="s">
        <v>45</v>
      </c>
      <c r="P5" s="11" t="s">
        <v>46</v>
      </c>
    </row>
    <row r="6" spans="1:16" x14ac:dyDescent="0.35">
      <c r="A6">
        <v>0.2</v>
      </c>
      <c r="B6">
        <f>POWER(EXP(SQRT(A6)),2)</f>
        <v>2.4459343349170868</v>
      </c>
      <c r="C6">
        <f>EXP(A6)</f>
        <v>1.2214027581601699</v>
      </c>
      <c r="D6">
        <f>LN($B$4)</f>
        <v>0</v>
      </c>
      <c r="E6" s="12">
        <f t="shared" ref="E6:E17" si="0">EXP(D6-A6*A6)</f>
        <v>0.96078943915232318</v>
      </c>
      <c r="F6" s="12">
        <f t="shared" ref="F6:F16" si="1">EXP(D6)</f>
        <v>1</v>
      </c>
      <c r="G6" s="24">
        <f t="shared" ref="G6:G17" si="2">EXP(D6+A6*A6/2)</f>
        <v>1.0202013400267558</v>
      </c>
      <c r="H6" s="14">
        <f>$F$6/POWER($C6,1)</f>
        <v>0.81873075307798182</v>
      </c>
      <c r="I6" s="15">
        <f>$F$6*POWER($C6,1)</f>
        <v>1.2214027581601699</v>
      </c>
      <c r="J6" s="16">
        <f>POWER($C6,2*1)</f>
        <v>1.4918246976412703</v>
      </c>
      <c r="K6" s="14">
        <f>$F$6/POWER($C6,2)</f>
        <v>0.67032004603563933</v>
      </c>
      <c r="L6" s="15">
        <f>$F$6*POWER($C6,2)</f>
        <v>1.4918246976412703</v>
      </c>
      <c r="M6" s="16">
        <f>POWER($C6,2*2)</f>
        <v>2.2255409284924679</v>
      </c>
      <c r="N6" s="14">
        <f>$F$6/POWER($C6,3)</f>
        <v>0.54881163609402639</v>
      </c>
      <c r="O6" s="15">
        <f>$F$6*POWER($C6,3)</f>
        <v>1.8221188003905091</v>
      </c>
      <c r="P6" s="16">
        <f>POWER($C6,2*3)</f>
        <v>3.3201169227365481</v>
      </c>
    </row>
    <row r="7" spans="1:16" x14ac:dyDescent="0.35">
      <c r="A7">
        <v>0.5</v>
      </c>
      <c r="B7">
        <f t="shared" ref="B7:B17" si="3">POWER(EXP(SQRT(A7)),2)</f>
        <v>4.1132503787829284</v>
      </c>
      <c r="C7">
        <f t="shared" ref="C7:C17" si="4">EXP(A7)</f>
        <v>1.6487212707001282</v>
      </c>
      <c r="D7">
        <f t="shared" ref="D7:D17" si="5">LN($B$4)</f>
        <v>0</v>
      </c>
      <c r="E7" s="12">
        <f t="shared" si="0"/>
        <v>0.77880078307140488</v>
      </c>
      <c r="F7" s="12">
        <f t="shared" si="1"/>
        <v>1</v>
      </c>
      <c r="G7" s="24">
        <f t="shared" si="2"/>
        <v>1.1331484530668263</v>
      </c>
      <c r="H7" s="14">
        <f t="shared" ref="H7:H17" si="6">$F$6/POWER($C7,1)</f>
        <v>0.60653065971263342</v>
      </c>
      <c r="I7" s="15">
        <f t="shared" ref="I7:I17" si="7">$F$6*POWER($C7,1)</f>
        <v>1.6487212707001282</v>
      </c>
      <c r="J7" s="16">
        <f t="shared" ref="J7:J17" si="8">POWER($C7,2*1)</f>
        <v>2.7182818284590455</v>
      </c>
      <c r="K7" s="14">
        <f t="shared" ref="K7:K17" si="9">$F$6/POWER($C7,2)</f>
        <v>0.36787944117144228</v>
      </c>
      <c r="L7" s="15">
        <f t="shared" ref="L7:L17" si="10">$F$6*POWER($C7,2)</f>
        <v>2.7182818284590455</v>
      </c>
      <c r="M7" s="16">
        <f t="shared" ref="M7:M17" si="11">POWER($C7,2*2)</f>
        <v>7.3890560989306522</v>
      </c>
      <c r="N7" s="14">
        <f t="shared" ref="N7:N17" si="12">$F$6/POWER($C7,3)</f>
        <v>0.22313016014842979</v>
      </c>
      <c r="O7" s="15">
        <f t="shared" ref="O7:O17" si="13">$F$6*POWER($C7,3)</f>
        <v>4.4816890703380654</v>
      </c>
      <c r="P7" s="16">
        <f t="shared" ref="P7:P17" si="14">POWER($C7,2*3)</f>
        <v>20.085536923187675</v>
      </c>
    </row>
    <row r="8" spans="1:16" x14ac:dyDescent="0.35">
      <c r="A8">
        <v>1</v>
      </c>
      <c r="B8">
        <f t="shared" si="3"/>
        <v>7.3890560989306495</v>
      </c>
      <c r="C8">
        <f t="shared" si="4"/>
        <v>2.7182818284590451</v>
      </c>
      <c r="D8">
        <f t="shared" si="5"/>
        <v>0</v>
      </c>
      <c r="E8" s="12">
        <f t="shared" si="0"/>
        <v>0.36787944117144233</v>
      </c>
      <c r="F8" s="12">
        <f t="shared" si="1"/>
        <v>1</v>
      </c>
      <c r="G8" s="24">
        <f t="shared" si="2"/>
        <v>1.6487212707001282</v>
      </c>
      <c r="H8" s="14">
        <f t="shared" si="6"/>
        <v>0.36787944117144233</v>
      </c>
      <c r="I8" s="15">
        <f t="shared" si="7"/>
        <v>2.7182818284590451</v>
      </c>
      <c r="J8" s="16">
        <f t="shared" si="8"/>
        <v>7.3890560989306495</v>
      </c>
      <c r="K8" s="14">
        <f t="shared" si="9"/>
        <v>0.1353352832366127</v>
      </c>
      <c r="L8" s="15">
        <f t="shared" si="10"/>
        <v>7.3890560989306495</v>
      </c>
      <c r="M8" s="16">
        <f t="shared" si="11"/>
        <v>54.598150033144229</v>
      </c>
      <c r="N8" s="14">
        <f t="shared" si="12"/>
        <v>4.9787068367863951E-2</v>
      </c>
      <c r="O8" s="15">
        <f t="shared" si="13"/>
        <v>20.085536923187664</v>
      </c>
      <c r="P8" s="16">
        <f t="shared" si="14"/>
        <v>403.428793492735</v>
      </c>
    </row>
    <row r="9" spans="1:16" x14ac:dyDescent="0.35">
      <c r="A9">
        <v>2</v>
      </c>
      <c r="B9">
        <f t="shared" si="3"/>
        <v>16.918828678557897</v>
      </c>
      <c r="C9">
        <f t="shared" si="4"/>
        <v>7.3890560989306504</v>
      </c>
      <c r="D9">
        <f t="shared" si="5"/>
        <v>0</v>
      </c>
      <c r="E9" s="12">
        <f t="shared" si="0"/>
        <v>1.8315638888734179E-2</v>
      </c>
      <c r="F9" s="12">
        <f t="shared" si="1"/>
        <v>1</v>
      </c>
      <c r="G9" s="24">
        <f t="shared" si="2"/>
        <v>7.3890560989306504</v>
      </c>
      <c r="H9" s="14">
        <f t="shared" si="6"/>
        <v>0.1353352832366127</v>
      </c>
      <c r="I9" s="15">
        <f t="shared" si="7"/>
        <v>7.3890560989306504</v>
      </c>
      <c r="J9" s="16">
        <f t="shared" si="8"/>
        <v>54.598150033144243</v>
      </c>
      <c r="K9" s="14">
        <f t="shared" si="9"/>
        <v>1.8315638888734179E-2</v>
      </c>
      <c r="L9" s="15">
        <f t="shared" si="10"/>
        <v>54.598150033144243</v>
      </c>
      <c r="M9" s="16">
        <f t="shared" si="11"/>
        <v>2980.9579870417288</v>
      </c>
      <c r="N9" s="14">
        <f t="shared" si="12"/>
        <v>2.4787521766663581E-3</v>
      </c>
      <c r="O9" s="15">
        <f t="shared" si="13"/>
        <v>403.42879349273517</v>
      </c>
      <c r="P9" s="16">
        <f t="shared" si="14"/>
        <v>162754.79141900397</v>
      </c>
    </row>
    <row r="10" spans="1:16" x14ac:dyDescent="0.35">
      <c r="A10">
        <v>3</v>
      </c>
      <c r="B10">
        <f t="shared" si="3"/>
        <v>31.947745505884924</v>
      </c>
      <c r="C10">
        <f t="shared" si="4"/>
        <v>20.085536923187668</v>
      </c>
      <c r="D10">
        <f t="shared" si="5"/>
        <v>0</v>
      </c>
      <c r="E10" s="13">
        <f t="shared" si="0"/>
        <v>1.2340980408667956E-4</v>
      </c>
      <c r="F10" s="13">
        <f t="shared" si="1"/>
        <v>1</v>
      </c>
      <c r="G10" s="17">
        <f t="shared" si="2"/>
        <v>90.017131300521811</v>
      </c>
      <c r="H10" s="18">
        <f t="shared" si="6"/>
        <v>4.9787068367863944E-2</v>
      </c>
      <c r="I10" s="19">
        <f t="shared" si="7"/>
        <v>20.085536923187668</v>
      </c>
      <c r="J10" s="20">
        <f t="shared" si="8"/>
        <v>403.42879349273511</v>
      </c>
      <c r="K10" s="18">
        <f t="shared" si="9"/>
        <v>2.4787521766663585E-3</v>
      </c>
      <c r="L10" s="19">
        <f t="shared" si="10"/>
        <v>403.42879349273511</v>
      </c>
      <c r="M10" s="20">
        <f t="shared" si="11"/>
        <v>162754.79141900392</v>
      </c>
      <c r="N10" s="18">
        <f t="shared" si="12"/>
        <v>1.2340980408667953E-4</v>
      </c>
      <c r="O10" s="19">
        <f t="shared" si="13"/>
        <v>8103.0839275753842</v>
      </c>
      <c r="P10" s="20">
        <f t="shared" si="14"/>
        <v>65659969.13733051</v>
      </c>
    </row>
    <row r="11" spans="1:16" x14ac:dyDescent="0.35">
      <c r="A11">
        <v>4</v>
      </c>
      <c r="B11">
        <f t="shared" si="3"/>
        <v>54.598150033144243</v>
      </c>
      <c r="C11">
        <f t="shared" si="4"/>
        <v>54.598150033144236</v>
      </c>
      <c r="D11">
        <f t="shared" si="5"/>
        <v>0</v>
      </c>
      <c r="E11" s="13">
        <f t="shared" si="0"/>
        <v>1.1253517471925912E-7</v>
      </c>
      <c r="F11" s="13">
        <f t="shared" si="1"/>
        <v>1</v>
      </c>
      <c r="G11" s="17">
        <f t="shared" si="2"/>
        <v>2980.9579870417283</v>
      </c>
      <c r="H11" s="18">
        <f t="shared" si="6"/>
        <v>1.8315638888734182E-2</v>
      </c>
      <c r="I11" s="19">
        <f t="shared" si="7"/>
        <v>54.598150033144236</v>
      </c>
      <c r="J11" s="20">
        <f t="shared" si="8"/>
        <v>2980.9579870417278</v>
      </c>
      <c r="K11" s="18">
        <f t="shared" si="9"/>
        <v>3.3546262790251191E-4</v>
      </c>
      <c r="L11" s="19">
        <f t="shared" si="10"/>
        <v>2980.9579870417278</v>
      </c>
      <c r="M11" s="20">
        <f t="shared" si="11"/>
        <v>8886110.5205078702</v>
      </c>
      <c r="N11" s="18">
        <f t="shared" si="12"/>
        <v>6.1442123533282107E-6</v>
      </c>
      <c r="O11" s="19">
        <f t="shared" si="13"/>
        <v>162754.79141900389</v>
      </c>
      <c r="P11" s="20">
        <f t="shared" si="14"/>
        <v>26489122129.84346</v>
      </c>
    </row>
    <row r="12" spans="1:16" x14ac:dyDescent="0.35">
      <c r="A12">
        <v>5</v>
      </c>
      <c r="B12">
        <f t="shared" si="3"/>
        <v>87.543512458617244</v>
      </c>
      <c r="C12">
        <f t="shared" si="4"/>
        <v>148.4131591025766</v>
      </c>
      <c r="D12">
        <f t="shared" si="5"/>
        <v>0</v>
      </c>
      <c r="E12" s="13">
        <f t="shared" si="0"/>
        <v>1.3887943864964021E-11</v>
      </c>
      <c r="F12" s="13">
        <f t="shared" si="1"/>
        <v>1</v>
      </c>
      <c r="G12" s="17">
        <f t="shared" si="2"/>
        <v>268337.28652087448</v>
      </c>
      <c r="H12" s="18">
        <f t="shared" si="6"/>
        <v>6.737946999085467E-3</v>
      </c>
      <c r="I12" s="19">
        <f t="shared" si="7"/>
        <v>148.4131591025766</v>
      </c>
      <c r="J12" s="20">
        <f t="shared" si="8"/>
        <v>22026.465794806714</v>
      </c>
      <c r="K12" s="18">
        <f t="shared" si="9"/>
        <v>4.5399929762484854E-5</v>
      </c>
      <c r="L12" s="19">
        <f t="shared" si="10"/>
        <v>22026.465794806714</v>
      </c>
      <c r="M12" s="20">
        <f t="shared" si="11"/>
        <v>485165195.40979016</v>
      </c>
      <c r="N12" s="18">
        <f t="shared" si="12"/>
        <v>3.0590232050182584E-7</v>
      </c>
      <c r="O12" s="19">
        <f t="shared" si="13"/>
        <v>3269017.3724721102</v>
      </c>
      <c r="P12" s="20">
        <f t="shared" si="14"/>
        <v>10686474581524.459</v>
      </c>
    </row>
    <row r="13" spans="1:16" x14ac:dyDescent="0.35">
      <c r="A13">
        <v>6</v>
      </c>
      <c r="B13">
        <f t="shared" si="3"/>
        <v>134.15280493072066</v>
      </c>
      <c r="C13">
        <f t="shared" si="4"/>
        <v>403.42879349273511</v>
      </c>
      <c r="D13">
        <f t="shared" si="5"/>
        <v>0</v>
      </c>
      <c r="E13" s="13">
        <f t="shared" si="0"/>
        <v>2.3195228302435691E-16</v>
      </c>
      <c r="F13" s="13">
        <f t="shared" si="1"/>
        <v>1</v>
      </c>
      <c r="G13" s="17">
        <f t="shared" si="2"/>
        <v>65659969.13733051</v>
      </c>
      <c r="H13" s="18">
        <f t="shared" si="6"/>
        <v>2.4787521766663585E-3</v>
      </c>
      <c r="I13" s="19">
        <f t="shared" si="7"/>
        <v>403.42879349273511</v>
      </c>
      <c r="J13" s="20">
        <f t="shared" si="8"/>
        <v>162754.79141900392</v>
      </c>
      <c r="K13" s="18">
        <f t="shared" si="9"/>
        <v>6.1442123533282098E-6</v>
      </c>
      <c r="L13" s="19">
        <f t="shared" si="10"/>
        <v>162754.79141900392</v>
      </c>
      <c r="M13" s="20">
        <f t="shared" si="11"/>
        <v>26489122129.843472</v>
      </c>
      <c r="N13" s="18">
        <f t="shared" si="12"/>
        <v>1.5229979744712629E-8</v>
      </c>
      <c r="O13" s="19">
        <f t="shared" si="13"/>
        <v>65659969.13733051</v>
      </c>
      <c r="P13" s="20">
        <f t="shared" si="14"/>
        <v>4311231547115195</v>
      </c>
    </row>
    <row r="14" spans="1:16" x14ac:dyDescent="0.35">
      <c r="A14">
        <v>7</v>
      </c>
      <c r="B14">
        <f t="shared" si="3"/>
        <v>198.641684658934</v>
      </c>
      <c r="C14">
        <f t="shared" si="4"/>
        <v>1096.6331584284585</v>
      </c>
      <c r="D14">
        <f t="shared" si="5"/>
        <v>0</v>
      </c>
      <c r="E14" s="13">
        <f t="shared" si="0"/>
        <v>5.2428856633634639E-22</v>
      </c>
      <c r="F14" s="13">
        <f t="shared" si="1"/>
        <v>1</v>
      </c>
      <c r="G14" s="17">
        <f t="shared" si="2"/>
        <v>43673179097.646416</v>
      </c>
      <c r="H14" s="18">
        <f t="shared" si="6"/>
        <v>9.1188196555451624E-4</v>
      </c>
      <c r="I14" s="19">
        <f t="shared" si="7"/>
        <v>1096.6331584284585</v>
      </c>
      <c r="J14" s="20">
        <f t="shared" si="8"/>
        <v>1202604.2841647766</v>
      </c>
      <c r="K14" s="18">
        <f t="shared" si="9"/>
        <v>8.3152871910356798E-7</v>
      </c>
      <c r="L14" s="19">
        <f t="shared" si="10"/>
        <v>1202604.2841647766</v>
      </c>
      <c r="M14" s="20">
        <f t="shared" si="11"/>
        <v>1446257064291.4746</v>
      </c>
      <c r="N14" s="18">
        <f t="shared" si="12"/>
        <v>7.5825604279119087E-10</v>
      </c>
      <c r="O14" s="19">
        <f t="shared" si="13"/>
        <v>1318815734.4832144</v>
      </c>
      <c r="P14" s="20">
        <f t="shared" si="14"/>
        <v>1.7392749415205E+18</v>
      </c>
    </row>
    <row r="15" spans="1:16" x14ac:dyDescent="0.35">
      <c r="A15">
        <v>8</v>
      </c>
      <c r="B15">
        <f t="shared" si="3"/>
        <v>286.24676385439329</v>
      </c>
      <c r="C15">
        <f t="shared" si="4"/>
        <v>2980.9579870417283</v>
      </c>
      <c r="D15">
        <f t="shared" si="5"/>
        <v>0</v>
      </c>
      <c r="E15" s="13">
        <f t="shared" si="0"/>
        <v>1.6038108905486379E-28</v>
      </c>
      <c r="F15" s="13">
        <f t="shared" si="1"/>
        <v>1</v>
      </c>
      <c r="G15" s="17">
        <f t="shared" si="2"/>
        <v>78962960182680.688</v>
      </c>
      <c r="H15" s="18">
        <f t="shared" si="6"/>
        <v>3.3546262790251185E-4</v>
      </c>
      <c r="I15" s="19">
        <f t="shared" si="7"/>
        <v>2980.9579870417283</v>
      </c>
      <c r="J15" s="20">
        <f t="shared" si="8"/>
        <v>8886110.5205078721</v>
      </c>
      <c r="K15" s="18">
        <f t="shared" si="9"/>
        <v>1.1253517471925912E-7</v>
      </c>
      <c r="L15" s="19">
        <f t="shared" si="10"/>
        <v>8886110.5205078721</v>
      </c>
      <c r="M15" s="20">
        <f t="shared" si="11"/>
        <v>78962960182680.688</v>
      </c>
      <c r="N15" s="18">
        <f t="shared" si="12"/>
        <v>3.7751345442790977E-11</v>
      </c>
      <c r="O15" s="19">
        <f t="shared" si="13"/>
        <v>26489122129.843472</v>
      </c>
      <c r="P15" s="20">
        <f t="shared" si="14"/>
        <v>7.0167359120976301E+20</v>
      </c>
    </row>
    <row r="16" spans="1:16" x14ac:dyDescent="0.35">
      <c r="A16">
        <v>9</v>
      </c>
      <c r="B16">
        <f t="shared" si="3"/>
        <v>403.42879349273511</v>
      </c>
      <c r="C16">
        <f t="shared" si="4"/>
        <v>8103.0839275753842</v>
      </c>
      <c r="D16">
        <f t="shared" si="5"/>
        <v>0</v>
      </c>
      <c r="E16" s="13">
        <f t="shared" si="0"/>
        <v>6.6396771995807348E-36</v>
      </c>
      <c r="F16" s="13">
        <f t="shared" si="1"/>
        <v>1</v>
      </c>
      <c r="G16" s="17">
        <f t="shared" si="2"/>
        <v>3.8808469624362035E+17</v>
      </c>
      <c r="H16" s="18">
        <f t="shared" si="6"/>
        <v>1.2340980408667953E-4</v>
      </c>
      <c r="I16" s="19">
        <f t="shared" si="7"/>
        <v>8103.0839275753842</v>
      </c>
      <c r="J16" s="20">
        <f t="shared" si="8"/>
        <v>65659969.137330517</v>
      </c>
      <c r="K16" s="18">
        <f t="shared" si="9"/>
        <v>1.5229979744712626E-8</v>
      </c>
      <c r="L16" s="19">
        <f t="shared" si="10"/>
        <v>65659969.137330517</v>
      </c>
      <c r="M16" s="20">
        <f t="shared" si="11"/>
        <v>4311231547115196</v>
      </c>
      <c r="N16" s="18">
        <f t="shared" si="12"/>
        <v>1.8795288165390828E-12</v>
      </c>
      <c r="O16" s="19">
        <f t="shared" si="13"/>
        <v>532048240601.79871</v>
      </c>
      <c r="P16" s="20">
        <f t="shared" si="14"/>
        <v>2.8307533032746946E+23</v>
      </c>
    </row>
    <row r="17" spans="1:16" ht="15" thickBot="1" x14ac:dyDescent="0.4">
      <c r="A17">
        <v>10</v>
      </c>
      <c r="B17">
        <f t="shared" si="3"/>
        <v>558.1095784970928</v>
      </c>
      <c r="C17">
        <f t="shared" si="4"/>
        <v>22026.465794806718</v>
      </c>
      <c r="D17">
        <f t="shared" si="5"/>
        <v>0</v>
      </c>
      <c r="E17" s="13">
        <f t="shared" si="0"/>
        <v>3.7200759760208361E-44</v>
      </c>
      <c r="F17" s="13">
        <f t="shared" ref="F17" si="15">EXP(D17)</f>
        <v>1</v>
      </c>
      <c r="G17" s="17">
        <f t="shared" si="2"/>
        <v>5.184705528587072E+21</v>
      </c>
      <c r="H17" s="21">
        <f t="shared" si="6"/>
        <v>4.5399929762484847E-5</v>
      </c>
      <c r="I17" s="22">
        <f t="shared" si="7"/>
        <v>22026.465794806718</v>
      </c>
      <c r="J17" s="23">
        <f t="shared" si="8"/>
        <v>485165195.40979034</v>
      </c>
      <c r="K17" s="21">
        <f t="shared" si="9"/>
        <v>2.0611536224385575E-9</v>
      </c>
      <c r="L17" s="22">
        <f t="shared" si="10"/>
        <v>485165195.40979034</v>
      </c>
      <c r="M17" s="23">
        <f t="shared" si="11"/>
        <v>2.3538526683702003E+17</v>
      </c>
      <c r="N17" s="21">
        <f t="shared" si="12"/>
        <v>9.3576229688401723E-14</v>
      </c>
      <c r="O17" s="22">
        <f t="shared" si="13"/>
        <v>10686474581524.465</v>
      </c>
      <c r="P17" s="23">
        <f t="shared" si="14"/>
        <v>1.1420073898156846E+26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B944-6400-4C8D-917D-543CDC4652DB}">
  <dimension ref="B1:R30"/>
  <sheetViews>
    <sheetView tabSelected="1" topLeftCell="D1" zoomScaleNormal="100" workbookViewId="0">
      <selection activeCell="M11" sqref="M11"/>
    </sheetView>
  </sheetViews>
  <sheetFormatPr defaultRowHeight="14.5" x14ac:dyDescent="0.35"/>
  <cols>
    <col min="2" max="2" width="20" customWidth="1"/>
    <col min="3" max="3" width="38.81640625" customWidth="1"/>
    <col min="4" max="4" width="50.1796875" bestFit="1" customWidth="1"/>
    <col min="7" max="7" width="8.7265625" customWidth="1"/>
    <col min="9" max="9" width="13.26953125" customWidth="1"/>
    <col min="10" max="10" width="45" bestFit="1" customWidth="1"/>
    <col min="11" max="11" width="8.7265625" customWidth="1"/>
  </cols>
  <sheetData>
    <row r="1" spans="2:18" x14ac:dyDescent="0.35">
      <c r="B1" s="8" t="s">
        <v>25</v>
      </c>
    </row>
    <row r="2" spans="2:18" x14ac:dyDescent="0.35">
      <c r="K2" s="32" t="s">
        <v>56</v>
      </c>
      <c r="L2" s="32"/>
      <c r="M2" s="32"/>
      <c r="N2" s="32" t="s">
        <v>57</v>
      </c>
      <c r="O2" s="32"/>
      <c r="P2" s="32"/>
      <c r="Q2" s="32"/>
      <c r="R2" s="32"/>
    </row>
    <row r="3" spans="2:18" x14ac:dyDescent="0.35">
      <c r="I3" s="28"/>
      <c r="J3" s="28"/>
      <c r="K3" t="s">
        <v>51</v>
      </c>
      <c r="L3" t="s">
        <v>2</v>
      </c>
      <c r="M3" t="s">
        <v>0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11</v>
      </c>
    </row>
    <row r="4" spans="2:18" x14ac:dyDescent="0.35">
      <c r="B4" s="3" t="s">
        <v>16</v>
      </c>
      <c r="C4" s="3" t="s">
        <v>17</v>
      </c>
      <c r="D4" s="3" t="s">
        <v>4</v>
      </c>
      <c r="E4" s="3" t="s">
        <v>5</v>
      </c>
      <c r="I4" s="29"/>
      <c r="J4" s="30" t="s">
        <v>47</v>
      </c>
      <c r="K4">
        <v>0.08</v>
      </c>
      <c r="L4" s="33">
        <v>-0.22314355131420971</v>
      </c>
      <c r="M4" s="33">
        <v>0.18601075237738268</v>
      </c>
      <c r="N4" s="7">
        <v>4</v>
      </c>
      <c r="O4" s="7">
        <v>5</v>
      </c>
      <c r="P4" s="7">
        <v>4</v>
      </c>
      <c r="Q4" s="7">
        <v>5</v>
      </c>
      <c r="R4" s="7">
        <v>3</v>
      </c>
    </row>
    <row r="5" spans="2:18" x14ac:dyDescent="0.35">
      <c r="B5" s="4" t="s">
        <v>3</v>
      </c>
      <c r="C5" s="4" t="s">
        <v>13</v>
      </c>
      <c r="D5" s="4" t="s">
        <v>24</v>
      </c>
      <c r="E5" s="7">
        <v>3.5970000000000004E-3</v>
      </c>
      <c r="I5" s="29"/>
      <c r="J5" s="30" t="s">
        <v>48</v>
      </c>
      <c r="K5">
        <v>2.29</v>
      </c>
      <c r="L5" s="33">
        <v>0.82855181756614826</v>
      </c>
      <c r="M5" s="33">
        <v>0.18601075237738268</v>
      </c>
      <c r="N5" s="7">
        <v>4</v>
      </c>
      <c r="O5" s="7">
        <v>5</v>
      </c>
      <c r="P5" s="7">
        <v>4</v>
      </c>
      <c r="Q5" s="7">
        <v>5</v>
      </c>
      <c r="R5" s="7">
        <v>3</v>
      </c>
    </row>
    <row r="6" spans="2:18" x14ac:dyDescent="0.35">
      <c r="B6" s="4" t="s">
        <v>2</v>
      </c>
      <c r="C6" s="4" t="s">
        <v>2</v>
      </c>
      <c r="D6" s="4" t="s">
        <v>14</v>
      </c>
      <c r="E6" s="25">
        <f>LN(E5)</f>
        <v>-5.6276551142686504</v>
      </c>
      <c r="I6" s="29"/>
      <c r="J6" s="30" t="s">
        <v>49</v>
      </c>
      <c r="K6">
        <v>1.86</v>
      </c>
      <c r="L6" s="33">
        <v>0.62057648772510998</v>
      </c>
      <c r="M6" s="33">
        <v>0.18601075237738268</v>
      </c>
      <c r="N6" s="7">
        <v>4</v>
      </c>
      <c r="O6" s="7">
        <v>5</v>
      </c>
      <c r="P6" s="7">
        <v>4</v>
      </c>
      <c r="Q6" s="7">
        <v>5</v>
      </c>
      <c r="R6" s="7">
        <v>3</v>
      </c>
    </row>
    <row r="7" spans="2:18" x14ac:dyDescent="0.35">
      <c r="B7" s="4" t="s">
        <v>6</v>
      </c>
      <c r="C7" s="4" t="s">
        <v>18</v>
      </c>
      <c r="D7" s="4" t="s">
        <v>24</v>
      </c>
      <c r="E7" s="26">
        <v>0.04</v>
      </c>
      <c r="I7" s="29"/>
      <c r="J7" s="30" t="s">
        <v>50</v>
      </c>
      <c r="K7">
        <v>1.25</v>
      </c>
      <c r="L7" s="33">
        <v>0.22314355131420976</v>
      </c>
      <c r="M7" s="33">
        <v>0.18601075237738268</v>
      </c>
      <c r="N7" s="7">
        <v>4</v>
      </c>
      <c r="O7" s="7">
        <v>5</v>
      </c>
      <c r="P7" s="7">
        <v>4</v>
      </c>
      <c r="Q7" s="7">
        <v>5</v>
      </c>
      <c r="R7" s="7">
        <v>3</v>
      </c>
    </row>
    <row r="8" spans="2:18" ht="16.5" x14ac:dyDescent="0.35">
      <c r="B8" s="4"/>
      <c r="C8" s="4" t="s">
        <v>15</v>
      </c>
      <c r="D8" s="4" t="s">
        <v>19</v>
      </c>
      <c r="E8" s="4">
        <f>POWER(EXP(SQRT(E7)),2)</f>
        <v>1.4918246976412703</v>
      </c>
      <c r="I8" s="29"/>
      <c r="J8" s="30" t="s">
        <v>52</v>
      </c>
      <c r="K8">
        <v>15</v>
      </c>
      <c r="L8" s="33">
        <v>2.7080502011022101</v>
      </c>
      <c r="M8" s="33">
        <v>2.4494897427831869E-2</v>
      </c>
      <c r="N8" s="7">
        <v>1</v>
      </c>
      <c r="O8" s="7">
        <v>1</v>
      </c>
      <c r="P8" s="7">
        <v>1</v>
      </c>
      <c r="Q8" s="7">
        <v>1</v>
      </c>
      <c r="R8" s="7">
        <v>1</v>
      </c>
    </row>
    <row r="9" spans="2:18" x14ac:dyDescent="0.35">
      <c r="B9" s="4"/>
      <c r="C9" s="4" t="s">
        <v>7</v>
      </c>
      <c r="D9" s="4" t="s">
        <v>24</v>
      </c>
      <c r="E9" s="7">
        <v>2</v>
      </c>
      <c r="I9" s="29"/>
      <c r="J9" s="30" t="s">
        <v>53</v>
      </c>
      <c r="K9">
        <v>22.5</v>
      </c>
      <c r="L9" s="33">
        <v>3.2188758248682006</v>
      </c>
      <c r="M9" s="33">
        <v>0.115</v>
      </c>
      <c r="N9" s="7">
        <v>4</v>
      </c>
      <c r="O9" s="7">
        <v>4</v>
      </c>
      <c r="P9" s="7">
        <v>3</v>
      </c>
      <c r="Q9" s="7">
        <v>2</v>
      </c>
      <c r="R9" s="7">
        <v>2</v>
      </c>
    </row>
    <row r="10" spans="2:18" ht="15" x14ac:dyDescent="0.35">
      <c r="B10" s="4"/>
      <c r="C10" s="4" t="s">
        <v>8</v>
      </c>
      <c r="D10" s="4" t="s">
        <v>24</v>
      </c>
      <c r="E10" s="7">
        <v>3</v>
      </c>
      <c r="I10" s="29"/>
      <c r="J10" s="30" t="s">
        <v>54</v>
      </c>
      <c r="K10" s="31">
        <f>0.0051/100</f>
        <v>5.1000000000000006E-5</v>
      </c>
      <c r="L10" s="33">
        <v>-9.8836849252399475</v>
      </c>
      <c r="M10" s="33">
        <v>0.20934421415458318</v>
      </c>
      <c r="N10" s="7">
        <v>2</v>
      </c>
      <c r="O10" s="7">
        <v>3</v>
      </c>
      <c r="P10" s="7">
        <v>3</v>
      </c>
      <c r="Q10" s="7">
        <v>2</v>
      </c>
      <c r="R10" s="7">
        <v>2</v>
      </c>
    </row>
    <row r="11" spans="2:18" ht="15" x14ac:dyDescent="0.35">
      <c r="B11" s="4"/>
      <c r="C11" s="4" t="s">
        <v>9</v>
      </c>
      <c r="D11" s="4" t="s">
        <v>24</v>
      </c>
      <c r="E11" s="7">
        <v>3</v>
      </c>
      <c r="I11" s="29"/>
      <c r="J11" s="30" t="s">
        <v>55</v>
      </c>
      <c r="K11">
        <f>0.3597/100</f>
        <v>3.5970000000000004E-3</v>
      </c>
      <c r="L11" s="33">
        <v>-5.6276551142686504</v>
      </c>
      <c r="M11" s="33">
        <v>0.20934421415458318</v>
      </c>
      <c r="N11" s="7">
        <v>2</v>
      </c>
      <c r="O11" s="7">
        <v>3</v>
      </c>
      <c r="P11" s="7">
        <v>3</v>
      </c>
      <c r="Q11" s="7">
        <v>2</v>
      </c>
      <c r="R11" s="7">
        <v>2</v>
      </c>
    </row>
    <row r="12" spans="2:18" x14ac:dyDescent="0.35">
      <c r="B12" s="4"/>
      <c r="C12" s="4" t="s">
        <v>10</v>
      </c>
      <c r="D12" s="4" t="s">
        <v>24</v>
      </c>
      <c r="E12" s="7">
        <v>2</v>
      </c>
      <c r="G12" s="2"/>
      <c r="I12" s="27"/>
    </row>
    <row r="13" spans="2:18" x14ac:dyDescent="0.35">
      <c r="B13" s="4"/>
      <c r="C13" s="4" t="s">
        <v>11</v>
      </c>
      <c r="D13" s="4" t="s">
        <v>24</v>
      </c>
      <c r="E13" s="7">
        <v>2</v>
      </c>
    </row>
    <row r="14" spans="2:18" x14ac:dyDescent="0.35">
      <c r="B14" s="4"/>
      <c r="C14" s="4" t="str">
        <f>CONCATENATE("Additional uncertainty, ",C9)</f>
        <v>Additional uncertainty, Reliability</v>
      </c>
      <c r="D14" s="4" t="s">
        <v>12</v>
      </c>
      <c r="E14" s="4">
        <f>VLOOKUP(C9,$B$25:$G$30,MATCH(E9,$B$25:$G$25,0),0)</f>
        <v>5.9999999999999995E-4</v>
      </c>
    </row>
    <row r="15" spans="2:18" x14ac:dyDescent="0.35">
      <c r="B15" s="4"/>
      <c r="C15" s="4" t="str">
        <f>CONCATENATE("Additional uncertainty, ",C10)</f>
        <v>Additional uncertainty, Completeness</v>
      </c>
      <c r="D15" s="4" t="s">
        <v>12</v>
      </c>
      <c r="E15" s="4">
        <f>VLOOKUP(C10,$B$25:$G$30,MATCH(E10,$B$25:$G$25,0),0)</f>
        <v>5.9999999999999995E-4</v>
      </c>
    </row>
    <row r="16" spans="2:18" x14ac:dyDescent="0.35">
      <c r="B16" s="4"/>
      <c r="C16" s="4" t="str">
        <f>CONCATENATE("Additional uncertainty, ",C11)</f>
        <v>Additional uncertainty, Temporal correlation</v>
      </c>
      <c r="D16" s="4" t="s">
        <v>12</v>
      </c>
      <c r="E16" s="4">
        <f>VLOOKUP(C11,$B$25:$G$30,MATCH(E11,$B$25:$G$25,0),0)</f>
        <v>2E-3</v>
      </c>
    </row>
    <row r="17" spans="2:7" x14ac:dyDescent="0.35">
      <c r="B17" s="4"/>
      <c r="C17" s="4" t="str">
        <f>CONCATENATE("Additional uncertainty, ",C12)</f>
        <v>Additional uncertainty, Geographical correlation</v>
      </c>
      <c r="D17" s="4" t="s">
        <v>12</v>
      </c>
      <c r="E17" s="4">
        <f>VLOOKUP(C12,$B$25:$G$30,MATCH(E12,$B$25:$G$25,0),0)</f>
        <v>2.5000000000000001E-5</v>
      </c>
      <c r="F17" s="1"/>
    </row>
    <row r="18" spans="2:7" x14ac:dyDescent="0.35">
      <c r="B18" s="4"/>
      <c r="C18" s="4" t="str">
        <f>CONCATENATE("Additional uncertainty, ",C13)</f>
        <v>Additional uncertainty, Further technological correlation</v>
      </c>
      <c r="D18" s="4" t="s">
        <v>12</v>
      </c>
      <c r="E18" s="4">
        <f>VLOOKUP(C13,$B$25:$G$30,MATCH(E13,$B$25:$G$25,0),0)</f>
        <v>5.9999999999999995E-4</v>
      </c>
    </row>
    <row r="19" spans="2:7" x14ac:dyDescent="0.35">
      <c r="B19" s="4"/>
      <c r="C19" s="4" t="s">
        <v>20</v>
      </c>
      <c r="D19" s="4" t="s">
        <v>21</v>
      </c>
      <c r="E19" s="4">
        <f>SUM(E14:E18,E7)</f>
        <v>4.3825000000000003E-2</v>
      </c>
    </row>
    <row r="20" spans="2:7" x14ac:dyDescent="0.35">
      <c r="B20" s="4"/>
      <c r="C20" s="4" t="s">
        <v>22</v>
      </c>
      <c r="D20" s="4" t="s">
        <v>26</v>
      </c>
      <c r="E20" s="4">
        <f>POWER(EXP(SQRT(E19)),2)</f>
        <v>1.5199667024102106</v>
      </c>
    </row>
    <row r="21" spans="2:7" x14ac:dyDescent="0.35">
      <c r="B21" s="4" t="s">
        <v>1</v>
      </c>
      <c r="C21" s="4"/>
      <c r="D21" s="4" t="s">
        <v>27</v>
      </c>
      <c r="E21" s="4">
        <f>SQRT(E20)</f>
        <v>1.2328692965639994</v>
      </c>
    </row>
    <row r="22" spans="2:7" x14ac:dyDescent="0.35">
      <c r="B22" s="4" t="s">
        <v>0</v>
      </c>
      <c r="C22" s="4"/>
      <c r="D22" s="4" t="s">
        <v>23</v>
      </c>
      <c r="E22" s="25">
        <f>LN(E21)</f>
        <v>0.20934421415458318</v>
      </c>
    </row>
    <row r="24" spans="2:7" x14ac:dyDescent="0.35">
      <c r="B24" t="s">
        <v>28</v>
      </c>
    </row>
    <row r="25" spans="2:7" x14ac:dyDescent="0.35">
      <c r="B25" s="6"/>
      <c r="C25" s="6">
        <v>1</v>
      </c>
      <c r="D25" s="6">
        <v>2</v>
      </c>
      <c r="E25" s="6">
        <v>3</v>
      </c>
      <c r="F25" s="6">
        <v>4</v>
      </c>
      <c r="G25" s="6">
        <v>5</v>
      </c>
    </row>
    <row r="26" spans="2:7" x14ac:dyDescent="0.35">
      <c r="B26" s="6" t="s">
        <v>7</v>
      </c>
      <c r="C26" s="4">
        <v>0</v>
      </c>
      <c r="D26" s="4">
        <v>5.9999999999999995E-4</v>
      </c>
      <c r="E26" s="4">
        <v>2E-3</v>
      </c>
      <c r="F26" s="4">
        <v>8.0000000000000002E-3</v>
      </c>
      <c r="G26" s="4">
        <v>0.04</v>
      </c>
    </row>
    <row r="27" spans="2:7" x14ac:dyDescent="0.35">
      <c r="B27" s="6" t="s">
        <v>8</v>
      </c>
      <c r="C27" s="4">
        <v>0</v>
      </c>
      <c r="D27" s="4">
        <v>1E-4</v>
      </c>
      <c r="E27" s="4">
        <v>5.9999999999999995E-4</v>
      </c>
      <c r="F27" s="4">
        <v>2E-3</v>
      </c>
      <c r="G27" s="4">
        <v>8.0000000000000002E-3</v>
      </c>
    </row>
    <row r="28" spans="2:7" x14ac:dyDescent="0.35">
      <c r="B28" s="6" t="s">
        <v>9</v>
      </c>
      <c r="C28" s="4">
        <v>0</v>
      </c>
      <c r="D28" s="4">
        <v>2.0000000000000001E-4</v>
      </c>
      <c r="E28" s="4">
        <v>2E-3</v>
      </c>
      <c r="F28" s="4">
        <v>8.0000000000000002E-3</v>
      </c>
      <c r="G28" s="4">
        <v>0.04</v>
      </c>
    </row>
    <row r="29" spans="2:7" x14ac:dyDescent="0.35">
      <c r="B29" s="6" t="s">
        <v>10</v>
      </c>
      <c r="C29" s="4">
        <v>0</v>
      </c>
      <c r="D29" s="5">
        <v>2.5000000000000001E-5</v>
      </c>
      <c r="E29" s="4">
        <v>1E-4</v>
      </c>
      <c r="F29" s="4">
        <v>5.9999999999999995E-4</v>
      </c>
      <c r="G29" s="4">
        <v>2E-3</v>
      </c>
    </row>
    <row r="30" spans="2:7" x14ac:dyDescent="0.35">
      <c r="B30" s="6" t="s">
        <v>11</v>
      </c>
      <c r="C30" s="4">
        <v>0</v>
      </c>
      <c r="D30" s="4">
        <v>5.9999999999999995E-4</v>
      </c>
      <c r="E30" s="4">
        <v>8.0000000000000002E-3</v>
      </c>
      <c r="F30" s="4">
        <v>0.04</v>
      </c>
      <c r="G30" s="4">
        <v>0.12</v>
      </c>
    </row>
  </sheetData>
  <mergeCells count="2">
    <mergeCell ref="K2:M2"/>
    <mergeCell ref="N2:R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Pidegree</vt:lpstr>
      <vt:lpstr>Sheet2</vt:lpstr>
      <vt:lpstr>Dsl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Mojtaba Sardarmehni</cp:lastModifiedBy>
  <dcterms:created xsi:type="dcterms:W3CDTF">2014-11-18T12:31:10Z</dcterms:created>
  <dcterms:modified xsi:type="dcterms:W3CDTF">2020-05-01T15:52:42Z</dcterms:modified>
</cp:coreProperties>
</file>