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ate\Downloads\"/>
    </mc:Choice>
  </mc:AlternateContent>
  <xr:revisionPtr revIDLastSave="0" documentId="13_ncr:1_{E0399078-201C-4C0B-AE7F-CA21552B7BA1}" xr6:coauthVersionLast="47" xr6:coauthVersionMax="47" xr10:uidLastSave="{00000000-0000-0000-0000-000000000000}"/>
  <bookViews>
    <workbookView xWindow="34440" yWindow="15" windowWidth="29040" windowHeight="15720" activeTab="1" xr2:uid="{00000000-000D-0000-FFFF-FFFF00000000}"/>
  </bookViews>
  <sheets>
    <sheet name="Revenue" sheetId="18" r:id="rId1"/>
    <sheet name="Streamlit" sheetId="83" r:id="rId2"/>
    <sheet name="Sheet1" sheetId="84" r:id="rId3"/>
    <sheet name="Bin by Year" sheetId="79" r:id="rId4"/>
    <sheet name="$ per Bin" sheetId="80" r:id="rId5"/>
    <sheet name="2025 Checks" sheetId="81" r:id="rId6"/>
    <sheet name="Sheet4" sheetId="82" r:id="rId7"/>
    <sheet name="2024 Checks" sheetId="76" r:id="rId8"/>
    <sheet name="2023 Checks" sheetId="70" r:id="rId9"/>
    <sheet name="2022 - Checks" sheetId="68" r:id="rId10"/>
    <sheet name="2021 - Checks" sheetId="58" r:id="rId11"/>
    <sheet name="2020 - Checks" sheetId="55" r:id="rId12"/>
    <sheet name="2019 - Checks" sheetId="51" r:id="rId13"/>
    <sheet name="2018 - Checks" sheetId="50" r:id="rId14"/>
    <sheet name="2017 - Checks" sheetId="35" r:id="rId15"/>
    <sheet name="2016 - Checks" sheetId="29" r:id="rId16"/>
    <sheet name="2015 - Checks" sheetId="24" r:id="rId17"/>
    <sheet name="2014 - Checks" sheetId="22" r:id="rId18"/>
    <sheet name="2013 - Checks" sheetId="20" r:id="rId19"/>
  </sheets>
  <definedNames>
    <definedName name="_xlnm.Print_Area" localSheetId="0">Revenue!$B$2:$AF$104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83" l="1" a="1"/>
  <c r="E46" i="83" s="1"/>
  <c r="E24" i="83" a="1"/>
  <c r="E24" i="83" s="1"/>
  <c r="E2" i="83" a="1"/>
  <c r="E2" i="83" s="1"/>
  <c r="E1" i="83" a="1"/>
  <c r="E1" i="83" s="1"/>
  <c r="E288" i="83" a="1"/>
  <c r="E288" i="83" s="1"/>
  <c r="I160" i="18"/>
  <c r="J160" i="18"/>
  <c r="K160" i="18"/>
  <c r="L160" i="18"/>
  <c r="M160" i="18"/>
  <c r="N160" i="18"/>
  <c r="O160" i="18"/>
  <c r="P160" i="18"/>
  <c r="Q160" i="18"/>
  <c r="R160" i="18"/>
  <c r="S160" i="18"/>
  <c r="T160" i="18"/>
  <c r="U160" i="18"/>
  <c r="V160" i="18"/>
  <c r="W160" i="18"/>
  <c r="X160" i="18"/>
  <c r="Y160" i="18"/>
  <c r="Z160" i="18"/>
  <c r="AA160" i="18"/>
  <c r="H160" i="18"/>
  <c r="I159" i="18"/>
  <c r="J159" i="18"/>
  <c r="K159" i="18"/>
  <c r="L159" i="18"/>
  <c r="M159" i="18"/>
  <c r="N159" i="18"/>
  <c r="O159" i="18"/>
  <c r="P159" i="18"/>
  <c r="Q159" i="18"/>
  <c r="R159" i="18"/>
  <c r="S159" i="18"/>
  <c r="T159" i="18"/>
  <c r="U159" i="18"/>
  <c r="V159" i="18"/>
  <c r="W159" i="18"/>
  <c r="X159" i="18"/>
  <c r="Y159" i="18"/>
  <c r="Z159" i="18"/>
  <c r="AA159" i="18"/>
  <c r="H159" i="18"/>
  <c r="H148" i="18"/>
  <c r="E244" i="83" a="1"/>
  <c r="E244" i="83" s="1"/>
  <c r="E266" i="83" a="1"/>
  <c r="E266" i="83" s="1"/>
  <c r="E222" i="83" a="1"/>
  <c r="E222" i="83" s="1"/>
  <c r="E200" i="83" a="1"/>
  <c r="E200" i="83" s="1"/>
  <c r="E178" i="83" a="1"/>
  <c r="E178" i="83" s="1"/>
  <c r="E156" i="83" a="1"/>
  <c r="E156" i="83" s="1"/>
  <c r="E134" i="83" a="1"/>
  <c r="E134" i="83" s="1"/>
  <c r="E112" i="83" a="1"/>
  <c r="E112" i="83" s="1"/>
  <c r="E90" i="83" a="1"/>
  <c r="E90" i="83" s="1"/>
  <c r="E68" i="83" a="1"/>
  <c r="E68" i="83" s="1"/>
  <c r="K161" i="18" l="1"/>
  <c r="K162" i="18"/>
  <c r="J19" i="79"/>
  <c r="P153" i="18"/>
  <c r="K164" i="18"/>
  <c r="H151" i="18"/>
  <c r="S161" i="18"/>
  <c r="S162" i="18"/>
  <c r="O3" i="81"/>
  <c r="O11" i="81"/>
  <c r="E47" i="76" l="1"/>
  <c r="E48" i="76"/>
  <c r="E49" i="76"/>
  <c r="E50" i="76"/>
  <c r="E51" i="76"/>
  <c r="E52" i="76"/>
  <c r="E53" i="76"/>
  <c r="E54" i="76"/>
  <c r="E55" i="76"/>
  <c r="E56" i="76"/>
  <c r="E57" i="76"/>
  <c r="E58" i="76"/>
  <c r="D58" i="76"/>
  <c r="D48" i="76"/>
  <c r="D49" i="76"/>
  <c r="D50" i="76"/>
  <c r="D51" i="76"/>
  <c r="D52" i="76"/>
  <c r="D53" i="76"/>
  <c r="D54" i="76"/>
  <c r="D55" i="76"/>
  <c r="D56" i="76"/>
  <c r="D57" i="76"/>
  <c r="D47" i="76"/>
  <c r="C48" i="76"/>
  <c r="C49" i="76"/>
  <c r="C50" i="76"/>
  <c r="C51" i="76"/>
  <c r="C52" i="76"/>
  <c r="C53" i="76"/>
  <c r="C54" i="76"/>
  <c r="C55" i="76"/>
  <c r="C56" i="76"/>
  <c r="C57" i="76"/>
  <c r="C58" i="76"/>
  <c r="C47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2" i="76"/>
  <c r="X161" i="18"/>
  <c r="X162" i="18" s="1"/>
  <c r="T162" i="18"/>
  <c r="T161" i="18"/>
  <c r="J162" i="18"/>
  <c r="U162" i="18"/>
  <c r="H162" i="18"/>
  <c r="I6" i="82"/>
  <c r="I5" i="82"/>
  <c r="I4" i="82"/>
  <c r="I3" i="82"/>
  <c r="I2" i="82"/>
  <c r="O5" i="81" l="1"/>
  <c r="O6" i="81"/>
  <c r="O7" i="81"/>
  <c r="O8" i="81"/>
  <c r="O9" i="81"/>
  <c r="O10" i="81"/>
  <c r="O12" i="81"/>
  <c r="O13" i="81"/>
  <c r="M18" i="81"/>
  <c r="N18" i="81" s="1"/>
  <c r="P18" i="81" s="1"/>
  <c r="M19" i="81"/>
  <c r="N19" i="81" s="1"/>
  <c r="P19" i="81" s="1"/>
  <c r="E6" i="82" l="1"/>
  <c r="E5" i="82"/>
  <c r="E4" i="82"/>
  <c r="E3" i="82"/>
  <c r="E2" i="82"/>
  <c r="B6" i="82"/>
  <c r="B5" i="82"/>
  <c r="B4" i="82"/>
  <c r="B3" i="82"/>
  <c r="B2" i="82"/>
  <c r="C67" i="81"/>
  <c r="C64" i="81"/>
  <c r="C63" i="81"/>
  <c r="C57" i="81"/>
  <c r="C56" i="81"/>
  <c r="C70" i="81" s="1"/>
  <c r="C53" i="81"/>
  <c r="C52" i="81"/>
  <c r="C51" i="81"/>
  <c r="M17" i="81"/>
  <c r="N17" i="81" s="1"/>
  <c r="M16" i="81"/>
  <c r="N16" i="81" s="1"/>
  <c r="P16" i="81" s="1"/>
  <c r="M15" i="81"/>
  <c r="N15" i="81" s="1"/>
  <c r="P15" i="81" s="1"/>
  <c r="M14" i="81"/>
  <c r="N14" i="81" s="1"/>
  <c r="M13" i="81"/>
  <c r="N13" i="81" s="1"/>
  <c r="P13" i="81" s="1"/>
  <c r="M12" i="81"/>
  <c r="N12" i="81" s="1"/>
  <c r="M11" i="81"/>
  <c r="N11" i="81" s="1"/>
  <c r="P11" i="81" s="1"/>
  <c r="M10" i="81"/>
  <c r="N10" i="81" s="1"/>
  <c r="P10" i="81" s="1"/>
  <c r="M9" i="81"/>
  <c r="N9" i="81" s="1"/>
  <c r="M8" i="81"/>
  <c r="N8" i="81" s="1"/>
  <c r="P8" i="81" s="1"/>
  <c r="M7" i="81"/>
  <c r="N7" i="81" s="1"/>
  <c r="M6" i="81"/>
  <c r="N6" i="81" s="1"/>
  <c r="M5" i="81"/>
  <c r="N5" i="81" s="1"/>
  <c r="M4" i="81"/>
  <c r="N4" i="81" s="1"/>
  <c r="M3" i="81"/>
  <c r="N3" i="81" s="1"/>
  <c r="P3" i="81" s="1"/>
  <c r="M2" i="81"/>
  <c r="P5" i="81" l="1"/>
  <c r="P4" i="81"/>
  <c r="P9" i="81"/>
  <c r="P14" i="81"/>
  <c r="P6" i="81"/>
  <c r="M23" i="81"/>
  <c r="M25" i="81" s="1"/>
  <c r="P7" i="81"/>
  <c r="P12" i="81"/>
  <c r="P17" i="81"/>
  <c r="N2" i="81"/>
  <c r="P2" i="81" s="1"/>
  <c r="C19" i="79" l="1"/>
  <c r="P19" i="79"/>
  <c r="T19" i="79"/>
  <c r="O19" i="79"/>
  <c r="S19" i="79"/>
  <c r="M19" i="79"/>
  <c r="R19" i="79"/>
  <c r="N19" i="79"/>
  <c r="K19" i="79"/>
  <c r="U19" i="79"/>
  <c r="C4" i="79"/>
  <c r="D4" i="79"/>
  <c r="E4" i="79"/>
  <c r="F4" i="79"/>
  <c r="G4" i="79"/>
  <c r="H4" i="79"/>
  <c r="I4" i="79"/>
  <c r="J4" i="79"/>
  <c r="K4" i="79"/>
  <c r="L4" i="79"/>
  <c r="M4" i="79"/>
  <c r="N4" i="79"/>
  <c r="O4" i="79"/>
  <c r="P4" i="79"/>
  <c r="Q4" i="79"/>
  <c r="R4" i="79"/>
  <c r="S4" i="79"/>
  <c r="T4" i="79"/>
  <c r="U4" i="79"/>
  <c r="B4" i="79"/>
  <c r="R18" i="80"/>
  <c r="P19" i="80"/>
  <c r="M175" i="18"/>
  <c r="N175" i="18"/>
  <c r="O175" i="18"/>
  <c r="P175" i="18"/>
  <c r="Q175" i="18"/>
  <c r="S175" i="18"/>
  <c r="Y175" i="18"/>
  <c r="H175" i="18"/>
  <c r="W173" i="18"/>
  <c r="W172" i="18" s="1"/>
  <c r="AC177" i="18"/>
  <c r="Y171" i="18"/>
  <c r="X171" i="18"/>
  <c r="U171" i="18"/>
  <c r="T171" i="18"/>
  <c r="S171" i="18"/>
  <c r="R171" i="18"/>
  <c r="Q171" i="18"/>
  <c r="P171" i="18"/>
  <c r="O171" i="18"/>
  <c r="N171" i="18"/>
  <c r="M171" i="18"/>
  <c r="L171" i="18"/>
  <c r="K171" i="18"/>
  <c r="J171" i="18"/>
  <c r="I171" i="18"/>
  <c r="H171" i="18"/>
  <c r="AB170" i="18"/>
  <c r="C19" i="80"/>
  <c r="I175" i="18" s="1"/>
  <c r="D19" i="80"/>
  <c r="J175" i="18" s="1"/>
  <c r="F19" i="80"/>
  <c r="L175" i="18" s="1"/>
  <c r="G19" i="80"/>
  <c r="H19" i="80"/>
  <c r="I19" i="80"/>
  <c r="J19" i="80"/>
  <c r="K19" i="80"/>
  <c r="M19" i="80"/>
  <c r="N19" i="80"/>
  <c r="O19" i="80"/>
  <c r="U175" i="18" s="1"/>
  <c r="R19" i="80"/>
  <c r="S19" i="80"/>
  <c r="U19" i="80"/>
  <c r="AA175" i="18" s="1"/>
  <c r="B19" i="80"/>
  <c r="I164" i="18"/>
  <c r="L164" i="18"/>
  <c r="M164" i="18"/>
  <c r="N164" i="18"/>
  <c r="O164" i="18"/>
  <c r="P164" i="18"/>
  <c r="Q164" i="18"/>
  <c r="S164" i="18"/>
  <c r="U164" i="18"/>
  <c r="Y164" i="18"/>
  <c r="Z164" i="18"/>
  <c r="H164" i="18"/>
  <c r="Q18" i="80"/>
  <c r="W164" i="18" s="1"/>
  <c r="T19" i="80"/>
  <c r="Z175" i="18" s="1"/>
  <c r="U18" i="80"/>
  <c r="AA164" i="18" s="1"/>
  <c r="V164" i="18"/>
  <c r="U17" i="80"/>
  <c r="T17" i="80"/>
  <c r="Q17" i="80"/>
  <c r="P17" i="80"/>
  <c r="U16" i="80"/>
  <c r="T16" i="80"/>
  <c r="S16" i="80"/>
  <c r="R16" i="80"/>
  <c r="Q16" i="80"/>
  <c r="P16" i="80"/>
  <c r="O16" i="80"/>
  <c r="N16" i="80"/>
  <c r="M16" i="80"/>
  <c r="L16" i="80"/>
  <c r="K16" i="80"/>
  <c r="J16" i="80"/>
  <c r="I16" i="80"/>
  <c r="H16" i="80"/>
  <c r="G16" i="80"/>
  <c r="F16" i="80"/>
  <c r="E16" i="80"/>
  <c r="D16" i="80"/>
  <c r="C16" i="80"/>
  <c r="B16" i="80"/>
  <c r="U15" i="80"/>
  <c r="T15" i="80"/>
  <c r="S15" i="80"/>
  <c r="R15" i="80"/>
  <c r="Q15" i="80"/>
  <c r="P15" i="80"/>
  <c r="O15" i="80"/>
  <c r="N15" i="80"/>
  <c r="M15" i="80"/>
  <c r="L15" i="80"/>
  <c r="K15" i="80"/>
  <c r="J15" i="80"/>
  <c r="I15" i="80"/>
  <c r="H15" i="80"/>
  <c r="G15" i="80"/>
  <c r="F15" i="80"/>
  <c r="E15" i="80"/>
  <c r="D15" i="80"/>
  <c r="C15" i="80"/>
  <c r="B15" i="80"/>
  <c r="U14" i="80"/>
  <c r="T14" i="80"/>
  <c r="S14" i="80"/>
  <c r="R14" i="80"/>
  <c r="Q14" i="80"/>
  <c r="P14" i="80"/>
  <c r="O14" i="80"/>
  <c r="N14" i="80"/>
  <c r="M14" i="80"/>
  <c r="L14" i="80"/>
  <c r="K14" i="80"/>
  <c r="J14" i="80"/>
  <c r="I14" i="80"/>
  <c r="H14" i="80"/>
  <c r="G14" i="80"/>
  <c r="F14" i="80"/>
  <c r="E14" i="80"/>
  <c r="D14" i="80"/>
  <c r="C14" i="80"/>
  <c r="B14" i="80"/>
  <c r="U13" i="80"/>
  <c r="T13" i="80"/>
  <c r="S13" i="80"/>
  <c r="R13" i="80"/>
  <c r="Q13" i="80"/>
  <c r="P13" i="80"/>
  <c r="O13" i="80"/>
  <c r="N13" i="80"/>
  <c r="M13" i="80"/>
  <c r="L13" i="80"/>
  <c r="K13" i="80"/>
  <c r="J13" i="80"/>
  <c r="I13" i="80"/>
  <c r="H13" i="80"/>
  <c r="G13" i="80"/>
  <c r="F13" i="80"/>
  <c r="E13" i="80"/>
  <c r="D13" i="80"/>
  <c r="C13" i="80"/>
  <c r="B13" i="80"/>
  <c r="U12" i="80"/>
  <c r="T12" i="80"/>
  <c r="S12" i="80"/>
  <c r="R12" i="80"/>
  <c r="Q12" i="80"/>
  <c r="P12" i="80"/>
  <c r="O12" i="80"/>
  <c r="N12" i="80"/>
  <c r="M12" i="80"/>
  <c r="L12" i="80"/>
  <c r="K12" i="80"/>
  <c r="J12" i="80"/>
  <c r="I12" i="80"/>
  <c r="H12" i="80"/>
  <c r="G12" i="80"/>
  <c r="F12" i="80"/>
  <c r="E12" i="80"/>
  <c r="D12" i="80"/>
  <c r="C12" i="80"/>
  <c r="B12" i="80"/>
  <c r="U11" i="80"/>
  <c r="T11" i="80"/>
  <c r="S11" i="80"/>
  <c r="R11" i="80"/>
  <c r="Q11" i="80"/>
  <c r="P11" i="80"/>
  <c r="O11" i="80"/>
  <c r="N11" i="80"/>
  <c r="M11" i="80"/>
  <c r="L11" i="80"/>
  <c r="K11" i="80"/>
  <c r="J11" i="80"/>
  <c r="I11" i="80"/>
  <c r="H11" i="80"/>
  <c r="G11" i="80"/>
  <c r="F11" i="80"/>
  <c r="E11" i="80"/>
  <c r="D11" i="80"/>
  <c r="C11" i="80"/>
  <c r="B11" i="80"/>
  <c r="U10" i="80"/>
  <c r="T10" i="80"/>
  <c r="S10" i="80"/>
  <c r="R10" i="80"/>
  <c r="Q10" i="80"/>
  <c r="P10" i="80"/>
  <c r="O10" i="80"/>
  <c r="N10" i="80"/>
  <c r="M10" i="80"/>
  <c r="L10" i="80"/>
  <c r="K10" i="80"/>
  <c r="J10" i="80"/>
  <c r="I10" i="80"/>
  <c r="H10" i="80"/>
  <c r="G10" i="80"/>
  <c r="F10" i="80"/>
  <c r="E10" i="80"/>
  <c r="D10" i="80"/>
  <c r="C10" i="80"/>
  <c r="B10" i="80"/>
  <c r="U9" i="80"/>
  <c r="T9" i="80"/>
  <c r="S9" i="80"/>
  <c r="R9" i="80"/>
  <c r="Q9" i="80"/>
  <c r="P9" i="80"/>
  <c r="O9" i="80"/>
  <c r="N9" i="80"/>
  <c r="M9" i="80"/>
  <c r="L9" i="80"/>
  <c r="K9" i="80"/>
  <c r="J9" i="80"/>
  <c r="I9" i="80"/>
  <c r="H9" i="80"/>
  <c r="G9" i="80"/>
  <c r="F9" i="80"/>
  <c r="E9" i="80"/>
  <c r="D9" i="80"/>
  <c r="C9" i="80"/>
  <c r="B9" i="80"/>
  <c r="U8" i="80"/>
  <c r="T8" i="80"/>
  <c r="S8" i="80"/>
  <c r="R8" i="80"/>
  <c r="Q8" i="80"/>
  <c r="P8" i="80"/>
  <c r="O8" i="80"/>
  <c r="N8" i="80"/>
  <c r="M8" i="80"/>
  <c r="L8" i="80"/>
  <c r="K8" i="80"/>
  <c r="J8" i="80"/>
  <c r="I8" i="80"/>
  <c r="H8" i="80"/>
  <c r="G8" i="80"/>
  <c r="F8" i="80"/>
  <c r="E8" i="80"/>
  <c r="D8" i="80"/>
  <c r="C8" i="80"/>
  <c r="B8" i="80"/>
  <c r="U7" i="80"/>
  <c r="T7" i="80"/>
  <c r="S7" i="80"/>
  <c r="R7" i="80"/>
  <c r="Q7" i="80"/>
  <c r="P7" i="80"/>
  <c r="O7" i="80"/>
  <c r="N7" i="80"/>
  <c r="M7" i="80"/>
  <c r="L7" i="80"/>
  <c r="K7" i="80"/>
  <c r="J7" i="80"/>
  <c r="I7" i="80"/>
  <c r="H7" i="80"/>
  <c r="G7" i="80"/>
  <c r="F7" i="80"/>
  <c r="E7" i="80"/>
  <c r="D7" i="80"/>
  <c r="C7" i="80"/>
  <c r="B7" i="80"/>
  <c r="U6" i="80"/>
  <c r="T6" i="80"/>
  <c r="S6" i="80"/>
  <c r="R6" i="80"/>
  <c r="Q6" i="80"/>
  <c r="P6" i="80"/>
  <c r="O6" i="80"/>
  <c r="N6" i="80"/>
  <c r="M6" i="80"/>
  <c r="L6" i="80"/>
  <c r="K6" i="80"/>
  <c r="J6" i="80"/>
  <c r="I6" i="80"/>
  <c r="H6" i="80"/>
  <c r="G6" i="80"/>
  <c r="F6" i="80"/>
  <c r="E6" i="80"/>
  <c r="D6" i="80"/>
  <c r="C6" i="80"/>
  <c r="B6" i="80"/>
  <c r="U5" i="80"/>
  <c r="T5" i="80"/>
  <c r="S5" i="80"/>
  <c r="R5" i="80"/>
  <c r="Q5" i="80"/>
  <c r="P5" i="80"/>
  <c r="O5" i="80"/>
  <c r="N5" i="80"/>
  <c r="M5" i="80"/>
  <c r="L5" i="80"/>
  <c r="K5" i="80"/>
  <c r="J5" i="80"/>
  <c r="I5" i="80"/>
  <c r="H5" i="80"/>
  <c r="G5" i="80"/>
  <c r="F5" i="80"/>
  <c r="E5" i="80"/>
  <c r="D5" i="80"/>
  <c r="C5" i="80"/>
  <c r="B5" i="80"/>
  <c r="Q19" i="80" l="1"/>
  <c r="W175" i="18" s="1"/>
  <c r="W177" i="18" s="1"/>
  <c r="V175" i="18"/>
  <c r="V162" i="18"/>
  <c r="V161" i="18" s="1"/>
  <c r="V166" i="18" s="1"/>
  <c r="W162" i="18"/>
  <c r="W161" i="18" s="1"/>
  <c r="W166" i="18" s="1"/>
  <c r="Y162" i="18"/>
  <c r="Y161" i="18" s="1"/>
  <c r="Y166" i="18" s="1"/>
  <c r="Z162" i="18"/>
  <c r="Z161" i="18" s="1"/>
  <c r="Z166" i="18" s="1"/>
  <c r="AA162" i="18"/>
  <c r="AA161" i="18" s="1"/>
  <c r="AA166" i="18" s="1"/>
  <c r="AC166" i="18"/>
  <c r="C5" i="79"/>
  <c r="C4" i="80" s="1"/>
  <c r="D5" i="79"/>
  <c r="D4" i="80" s="1"/>
  <c r="E5" i="79"/>
  <c r="E4" i="80" s="1"/>
  <c r="F5" i="79"/>
  <c r="F4" i="80" s="1"/>
  <c r="G5" i="79"/>
  <c r="G4" i="80" s="1"/>
  <c r="H5" i="79"/>
  <c r="H4" i="80" s="1"/>
  <c r="I5" i="79"/>
  <c r="I4" i="80" s="1"/>
  <c r="J5" i="79"/>
  <c r="J4" i="80" s="1"/>
  <c r="K5" i="79"/>
  <c r="K4" i="80" s="1"/>
  <c r="L5" i="79"/>
  <c r="L4" i="80" s="1"/>
  <c r="M5" i="79"/>
  <c r="M4" i="80" s="1"/>
  <c r="N5" i="79"/>
  <c r="N4" i="80" s="1"/>
  <c r="O5" i="79"/>
  <c r="O4" i="80" s="1"/>
  <c r="P5" i="79"/>
  <c r="P4" i="80" s="1"/>
  <c r="Q5" i="79"/>
  <c r="Q4" i="80" s="1"/>
  <c r="R5" i="79"/>
  <c r="R4" i="80" s="1"/>
  <c r="S5" i="79"/>
  <c r="S4" i="80" s="1"/>
  <c r="T5" i="79"/>
  <c r="T4" i="80" s="1"/>
  <c r="U5" i="79"/>
  <c r="U4" i="80" s="1"/>
  <c r="B5" i="79"/>
  <c r="B4" i="80" s="1"/>
  <c r="C6" i="79"/>
  <c r="D6" i="79"/>
  <c r="E6" i="79"/>
  <c r="F6" i="79"/>
  <c r="G6" i="79"/>
  <c r="H6" i="79"/>
  <c r="I6" i="79"/>
  <c r="J6" i="79"/>
  <c r="K6" i="79"/>
  <c r="L6" i="79"/>
  <c r="M6" i="79"/>
  <c r="N6" i="79"/>
  <c r="O6" i="79"/>
  <c r="P6" i="79"/>
  <c r="Q6" i="79"/>
  <c r="R6" i="79"/>
  <c r="S6" i="79"/>
  <c r="T6" i="79"/>
  <c r="U6" i="79"/>
  <c r="C7" i="79"/>
  <c r="D7" i="79"/>
  <c r="E7" i="79"/>
  <c r="F7" i="79"/>
  <c r="G7" i="79"/>
  <c r="H7" i="79"/>
  <c r="I7" i="79"/>
  <c r="J7" i="79"/>
  <c r="K7" i="79"/>
  <c r="L7" i="79"/>
  <c r="M7" i="79"/>
  <c r="N7" i="79"/>
  <c r="O7" i="79"/>
  <c r="P7" i="79"/>
  <c r="Q7" i="79"/>
  <c r="R7" i="79"/>
  <c r="S7" i="79"/>
  <c r="T7" i="79"/>
  <c r="U7" i="79"/>
  <c r="C8" i="79"/>
  <c r="D8" i="79"/>
  <c r="E8" i="79"/>
  <c r="F8" i="79"/>
  <c r="G8" i="79"/>
  <c r="H8" i="79"/>
  <c r="I8" i="79"/>
  <c r="J8" i="79"/>
  <c r="K8" i="79"/>
  <c r="L8" i="79"/>
  <c r="M8" i="79"/>
  <c r="N8" i="79"/>
  <c r="O8" i="79"/>
  <c r="P8" i="79"/>
  <c r="Q8" i="79"/>
  <c r="R8" i="79"/>
  <c r="S8" i="79"/>
  <c r="T8" i="79"/>
  <c r="U8" i="79"/>
  <c r="C9" i="79"/>
  <c r="D9" i="79"/>
  <c r="E9" i="79"/>
  <c r="F9" i="79"/>
  <c r="G9" i="79"/>
  <c r="H9" i="79"/>
  <c r="I9" i="79"/>
  <c r="J9" i="79"/>
  <c r="K9" i="79"/>
  <c r="L9" i="79"/>
  <c r="M9" i="79"/>
  <c r="N9" i="79"/>
  <c r="O9" i="79"/>
  <c r="P9" i="79"/>
  <c r="Q9" i="79"/>
  <c r="R9" i="79"/>
  <c r="S9" i="79"/>
  <c r="T9" i="79"/>
  <c r="U9" i="79"/>
  <c r="C10" i="79"/>
  <c r="D10" i="79"/>
  <c r="E10" i="79"/>
  <c r="F10" i="79"/>
  <c r="G10" i="79"/>
  <c r="H10" i="79"/>
  <c r="I10" i="79"/>
  <c r="J10" i="79"/>
  <c r="K10" i="79"/>
  <c r="L10" i="79"/>
  <c r="M10" i="79"/>
  <c r="N10" i="79"/>
  <c r="X166" i="18" s="1"/>
  <c r="O10" i="79"/>
  <c r="P10" i="79"/>
  <c r="Q10" i="79"/>
  <c r="R10" i="79"/>
  <c r="S10" i="79"/>
  <c r="T10" i="79"/>
  <c r="U10" i="79"/>
  <c r="C11" i="79"/>
  <c r="D11" i="79"/>
  <c r="E11" i="79"/>
  <c r="F11" i="79"/>
  <c r="G11" i="79"/>
  <c r="H11" i="79"/>
  <c r="I11" i="79"/>
  <c r="J11" i="79"/>
  <c r="K11" i="79"/>
  <c r="L11" i="79"/>
  <c r="M11" i="79"/>
  <c r="N11" i="79"/>
  <c r="O11" i="79"/>
  <c r="P11" i="79"/>
  <c r="Q11" i="79"/>
  <c r="R11" i="79"/>
  <c r="S11" i="79"/>
  <c r="T11" i="79"/>
  <c r="U11" i="79"/>
  <c r="C12" i="79"/>
  <c r="D12" i="79"/>
  <c r="E12" i="79"/>
  <c r="F12" i="79"/>
  <c r="G12" i="79"/>
  <c r="H12" i="79"/>
  <c r="I12" i="79"/>
  <c r="J12" i="79"/>
  <c r="K12" i="79"/>
  <c r="L12" i="79"/>
  <c r="M12" i="79"/>
  <c r="N12" i="79"/>
  <c r="O12" i="79"/>
  <c r="P12" i="79"/>
  <c r="Q12" i="79"/>
  <c r="R12" i="79"/>
  <c r="S12" i="79"/>
  <c r="T12" i="79"/>
  <c r="U12" i="79"/>
  <c r="C13" i="79"/>
  <c r="D13" i="79"/>
  <c r="D19" i="79" s="1"/>
  <c r="E13" i="79"/>
  <c r="F13" i="79"/>
  <c r="G13" i="79"/>
  <c r="H13" i="79"/>
  <c r="I13" i="79"/>
  <c r="J13" i="79"/>
  <c r="K13" i="79"/>
  <c r="L13" i="79"/>
  <c r="M13" i="79"/>
  <c r="N13" i="79"/>
  <c r="O13" i="79"/>
  <c r="P13" i="79"/>
  <c r="Q13" i="79"/>
  <c r="R13" i="79"/>
  <c r="S13" i="79"/>
  <c r="T13" i="79"/>
  <c r="U13" i="79"/>
  <c r="C14" i="79"/>
  <c r="D14" i="79"/>
  <c r="E14" i="79"/>
  <c r="F14" i="79"/>
  <c r="G14" i="79"/>
  <c r="H14" i="79"/>
  <c r="I14" i="79"/>
  <c r="J14" i="79"/>
  <c r="K14" i="79"/>
  <c r="L14" i="79"/>
  <c r="M14" i="79"/>
  <c r="N14" i="79"/>
  <c r="O14" i="79"/>
  <c r="P14" i="79"/>
  <c r="Q14" i="79"/>
  <c r="R14" i="79"/>
  <c r="S14" i="79"/>
  <c r="T14" i="79"/>
  <c r="U14" i="79"/>
  <c r="C15" i="79"/>
  <c r="D15" i="79"/>
  <c r="E15" i="79"/>
  <c r="F15" i="79"/>
  <c r="G15" i="79"/>
  <c r="H15" i="79"/>
  <c r="I15" i="79"/>
  <c r="J15" i="79"/>
  <c r="K15" i="79"/>
  <c r="L15" i="79"/>
  <c r="M15" i="79"/>
  <c r="N15" i="79"/>
  <c r="O15" i="79"/>
  <c r="P15" i="79"/>
  <c r="Q15" i="79"/>
  <c r="R15" i="79"/>
  <c r="S15" i="79"/>
  <c r="T15" i="79"/>
  <c r="U15" i="79"/>
  <c r="C16" i="79"/>
  <c r="D16" i="79"/>
  <c r="E16" i="79"/>
  <c r="F16" i="79"/>
  <c r="G16" i="79"/>
  <c r="H16" i="79"/>
  <c r="I16" i="79"/>
  <c r="J16" i="79"/>
  <c r="K16" i="79"/>
  <c r="L16" i="79"/>
  <c r="M16" i="79"/>
  <c r="N16" i="79"/>
  <c r="O16" i="79"/>
  <c r="P16" i="79"/>
  <c r="Q16" i="79"/>
  <c r="R16" i="79"/>
  <c r="S16" i="79"/>
  <c r="T16" i="79"/>
  <c r="U16" i="79"/>
  <c r="C17" i="79"/>
  <c r="D17" i="79"/>
  <c r="E17" i="79"/>
  <c r="F17" i="79"/>
  <c r="G17" i="79"/>
  <c r="H17" i="79"/>
  <c r="I17" i="79"/>
  <c r="J17" i="79"/>
  <c r="K17" i="79"/>
  <c r="L17" i="79"/>
  <c r="M17" i="79"/>
  <c r="N17" i="79"/>
  <c r="O17" i="79"/>
  <c r="P17" i="79"/>
  <c r="Q17" i="79"/>
  <c r="R17" i="79"/>
  <c r="S17" i="79"/>
  <c r="T17" i="79"/>
  <c r="U17" i="79"/>
  <c r="P18" i="79"/>
  <c r="Q18" i="79"/>
  <c r="T18" i="79"/>
  <c r="U18" i="79"/>
  <c r="B17" i="79"/>
  <c r="B16" i="79"/>
  <c r="B15" i="79"/>
  <c r="B14" i="79"/>
  <c r="B13" i="79"/>
  <c r="B12" i="79"/>
  <c r="B11" i="79"/>
  <c r="B10" i="79"/>
  <c r="B9" i="79"/>
  <c r="B8" i="79"/>
  <c r="B7" i="79"/>
  <c r="B6" i="79"/>
  <c r="B23" i="79"/>
  <c r="C23" i="79"/>
  <c r="D23" i="79"/>
  <c r="E23" i="79"/>
  <c r="F23" i="79"/>
  <c r="G23" i="79"/>
  <c r="H23" i="79"/>
  <c r="I23" i="79"/>
  <c r="J23" i="79"/>
  <c r="K23" i="79"/>
  <c r="L23" i="79"/>
  <c r="M23" i="79"/>
  <c r="N23" i="79"/>
  <c r="O23" i="79"/>
  <c r="P23" i="79"/>
  <c r="Q23" i="79"/>
  <c r="R23" i="79"/>
  <c r="S23" i="79"/>
  <c r="T23" i="79"/>
  <c r="U23" i="79"/>
  <c r="C22" i="79"/>
  <c r="C24" i="79" s="1"/>
  <c r="D22" i="79"/>
  <c r="D24" i="79" s="1"/>
  <c r="E22" i="79"/>
  <c r="E24" i="79" s="1"/>
  <c r="F22" i="79"/>
  <c r="F24" i="79" s="1"/>
  <c r="G22" i="79"/>
  <c r="G24" i="79" s="1"/>
  <c r="H22" i="79"/>
  <c r="H24" i="79" s="1"/>
  <c r="I22" i="79"/>
  <c r="I24" i="79" s="1"/>
  <c r="J22" i="79"/>
  <c r="J24" i="79" s="1"/>
  <c r="K22" i="79"/>
  <c r="K24" i="79" s="1"/>
  <c r="L22" i="79"/>
  <c r="L24" i="79" s="1"/>
  <c r="M22" i="79"/>
  <c r="M24" i="79" s="1"/>
  <c r="N22" i="79"/>
  <c r="N24" i="79" s="1"/>
  <c r="O24" i="79"/>
  <c r="P22" i="79"/>
  <c r="P24" i="79" s="1"/>
  <c r="Q22" i="79"/>
  <c r="Q24" i="79" s="1"/>
  <c r="R22" i="79"/>
  <c r="R24" i="79" s="1"/>
  <c r="S22" i="79"/>
  <c r="S24" i="79" s="1"/>
  <c r="T22" i="79"/>
  <c r="T24" i="79" s="1"/>
  <c r="U22" i="79"/>
  <c r="U24" i="79" s="1"/>
  <c r="B22" i="79"/>
  <c r="B24" i="79" s="1"/>
  <c r="N3" i="79"/>
  <c r="N3" i="80" s="1"/>
  <c r="O3" i="79"/>
  <c r="O3" i="80" s="1"/>
  <c r="P3" i="79"/>
  <c r="P3" i="80" s="1"/>
  <c r="Q3" i="79"/>
  <c r="Q3" i="80" s="1"/>
  <c r="R3" i="79"/>
  <c r="R3" i="80" s="1"/>
  <c r="S3" i="79"/>
  <c r="S3" i="80" s="1"/>
  <c r="T3" i="79"/>
  <c r="T3" i="80" s="1"/>
  <c r="U3" i="79"/>
  <c r="U3" i="80" s="1"/>
  <c r="C3" i="79"/>
  <c r="C3" i="80" s="1"/>
  <c r="D3" i="79"/>
  <c r="D3" i="80" s="1"/>
  <c r="E3" i="79"/>
  <c r="E3" i="80" s="1"/>
  <c r="F3" i="79"/>
  <c r="F3" i="80" s="1"/>
  <c r="G3" i="79"/>
  <c r="G3" i="80" s="1"/>
  <c r="H3" i="79"/>
  <c r="H3" i="80" s="1"/>
  <c r="I3" i="79"/>
  <c r="I3" i="80" s="1"/>
  <c r="J3" i="79"/>
  <c r="J3" i="80" s="1"/>
  <c r="K3" i="79"/>
  <c r="K3" i="80" s="1"/>
  <c r="L3" i="79"/>
  <c r="L3" i="80" s="1"/>
  <c r="M3" i="79"/>
  <c r="M3" i="80" s="1"/>
  <c r="B3" i="79"/>
  <c r="B3" i="80" s="1"/>
  <c r="G6" i="82" l="1"/>
  <c r="T166" i="18"/>
  <c r="G4" i="82" s="1"/>
  <c r="N20" i="79"/>
  <c r="D20" i="79"/>
  <c r="J173" i="18" s="1"/>
  <c r="J172" i="18" s="1"/>
  <c r="J177" i="18" s="1"/>
  <c r="B20" i="79"/>
  <c r="H173" i="18" s="1"/>
  <c r="H172" i="18" s="1"/>
  <c r="I162" i="18"/>
  <c r="I161" i="18" s="1"/>
  <c r="I166" i="18" s="1"/>
  <c r="C20" i="79"/>
  <c r="M20" i="79" l="1"/>
  <c r="S173" i="18" s="1"/>
  <c r="S172" i="18" s="1"/>
  <c r="S177" i="18" s="1"/>
  <c r="S20" i="79"/>
  <c r="Y173" i="18" s="1"/>
  <c r="Y172" i="18" s="1"/>
  <c r="Y177" i="18" s="1"/>
  <c r="I173" i="18"/>
  <c r="I172" i="18" s="1"/>
  <c r="I177" i="18" s="1"/>
  <c r="H177" i="18"/>
  <c r="R20" i="79"/>
  <c r="X173" i="18" s="1"/>
  <c r="X172" i="18" s="1"/>
  <c r="X177" i="18" s="1"/>
  <c r="T173" i="18"/>
  <c r="T172" i="18" s="1"/>
  <c r="T177" i="18" s="1"/>
  <c r="Q162" i="18"/>
  <c r="Q161" i="18" s="1"/>
  <c r="Q166" i="18" s="1"/>
  <c r="K20" i="79"/>
  <c r="AB159" i="18"/>
  <c r="O20" i="79" l="1"/>
  <c r="Q173" i="18"/>
  <c r="Q172" i="18" s="1"/>
  <c r="Q177" i="18" s="1"/>
  <c r="U20" i="79"/>
  <c r="AA173" i="18" s="1"/>
  <c r="AA172" i="18" s="1"/>
  <c r="AA177" i="18" s="1"/>
  <c r="P2" i="76"/>
  <c r="H2" i="82" s="1"/>
  <c r="P11" i="76"/>
  <c r="P12" i="76"/>
  <c r="D70" i="76"/>
  <c r="D67" i="76"/>
  <c r="P10" i="76"/>
  <c r="H7" i="76"/>
  <c r="AC155" i="18"/>
  <c r="H12" i="76"/>
  <c r="H13" i="76"/>
  <c r="H14" i="76"/>
  <c r="H16" i="76"/>
  <c r="H17" i="76"/>
  <c r="H19" i="76"/>
  <c r="H20" i="76"/>
  <c r="H22" i="76"/>
  <c r="H23" i="76"/>
  <c r="H25" i="76"/>
  <c r="H26" i="76"/>
  <c r="H4" i="76"/>
  <c r="H5" i="76"/>
  <c r="H6" i="76"/>
  <c r="H10" i="76"/>
  <c r="H11" i="76"/>
  <c r="H41" i="76"/>
  <c r="H40" i="76"/>
  <c r="H39" i="76"/>
  <c r="H38" i="76"/>
  <c r="H37" i="76"/>
  <c r="H36" i="76"/>
  <c r="H35" i="76"/>
  <c r="H34" i="76"/>
  <c r="H30" i="76"/>
  <c r="H31" i="76"/>
  <c r="H32" i="76"/>
  <c r="H33" i="76"/>
  <c r="H29" i="76"/>
  <c r="H3" i="76"/>
  <c r="H2" i="76"/>
  <c r="H28" i="76"/>
  <c r="H27" i="76"/>
  <c r="P13" i="76"/>
  <c r="S150" i="18" s="1"/>
  <c r="H21" i="76"/>
  <c r="P4" i="76"/>
  <c r="P5" i="76" l="1"/>
  <c r="K150" i="18" s="1"/>
  <c r="J150" i="18"/>
  <c r="H3" i="82"/>
  <c r="P14" i="76"/>
  <c r="H4" i="82" s="1"/>
  <c r="P3" i="76"/>
  <c r="U172" i="18"/>
  <c r="P20" i="79"/>
  <c r="I150" i="18"/>
  <c r="P16" i="76"/>
  <c r="P9" i="76"/>
  <c r="O150" i="18" s="1"/>
  <c r="O148" i="18" s="1"/>
  <c r="P7" i="76"/>
  <c r="M150" i="18" s="1"/>
  <c r="P17" i="76"/>
  <c r="Y150" i="18" s="1"/>
  <c r="N14" i="76"/>
  <c r="C4" i="82" s="1"/>
  <c r="D4" i="82" s="1"/>
  <c r="P15" i="76"/>
  <c r="R150" i="18"/>
  <c r="R151" i="18" s="1"/>
  <c r="L18" i="79" s="1"/>
  <c r="L19" i="79" s="1"/>
  <c r="N11" i="76"/>
  <c r="O11" i="76" s="1"/>
  <c r="Q155" i="18" s="1"/>
  <c r="P8" i="76"/>
  <c r="N150" i="18" s="1"/>
  <c r="P6" i="76"/>
  <c r="L150" i="18" s="1"/>
  <c r="P150" i="18"/>
  <c r="P151" i="18" s="1"/>
  <c r="J18" i="79" s="1"/>
  <c r="S151" i="18"/>
  <c r="M18" i="79" s="1"/>
  <c r="S166" i="18" s="1"/>
  <c r="S148" i="18"/>
  <c r="S149" i="18" s="1"/>
  <c r="H15" i="76"/>
  <c r="H9" i="76"/>
  <c r="H8" i="76"/>
  <c r="X150" i="18" l="1"/>
  <c r="X148" i="18" s="1"/>
  <c r="X149" i="18" s="1"/>
  <c r="H6" i="82"/>
  <c r="U150" i="18"/>
  <c r="H5" i="82"/>
  <c r="P162" i="18"/>
  <c r="P161" i="18" s="1"/>
  <c r="J20" i="79"/>
  <c r="P173" i="18" s="1"/>
  <c r="P172" i="18" s="1"/>
  <c r="P177" i="18" s="1"/>
  <c r="I151" i="18"/>
  <c r="C18" i="79" s="1"/>
  <c r="R162" i="18"/>
  <c r="R161" i="18" s="1"/>
  <c r="L20" i="79"/>
  <c r="R173" i="18" s="1"/>
  <c r="R172" i="18" s="1"/>
  <c r="Y151" i="18"/>
  <c r="S18" i="79" s="1"/>
  <c r="X151" i="18"/>
  <c r="R18" i="79" s="1"/>
  <c r="V172" i="18"/>
  <c r="V177" i="18" s="1"/>
  <c r="T20" i="79"/>
  <c r="Z173" i="18" s="1"/>
  <c r="Z172" i="18" s="1"/>
  <c r="Z177" i="18" s="1"/>
  <c r="U177" i="18"/>
  <c r="Y148" i="18"/>
  <c r="Y149" i="18" s="1"/>
  <c r="I148" i="18"/>
  <c r="I149" i="18" s="1"/>
  <c r="T155" i="18"/>
  <c r="O14" i="76"/>
  <c r="R148" i="18"/>
  <c r="R149" i="18" s="1"/>
  <c r="H150" i="18"/>
  <c r="P148" i="18"/>
  <c r="P149" i="18" s="1"/>
  <c r="H24" i="76"/>
  <c r="H3" i="70"/>
  <c r="G3" i="70"/>
  <c r="H149" i="18" l="1"/>
  <c r="B18" i="79"/>
  <c r="P166" i="18"/>
  <c r="H18" i="76"/>
  <c r="N2" i="76"/>
  <c r="H155" i="18" l="1"/>
  <c r="C2" i="82"/>
  <c r="D2" i="82" s="1"/>
  <c r="F2" i="82" s="1"/>
  <c r="T150" i="18"/>
  <c r="Q14" i="76"/>
  <c r="Q11" i="76"/>
  <c r="Q150" i="18"/>
  <c r="O2" i="76"/>
  <c r="Q2" i="76" s="1"/>
  <c r="D54" i="55"/>
  <c r="F42" i="35"/>
  <c r="F40" i="35"/>
  <c r="C60" i="35"/>
  <c r="K70" i="18"/>
  <c r="K68" i="18" s="1"/>
  <c r="T148" i="18" l="1"/>
  <c r="T149" i="18" s="1"/>
  <c r="T151" i="18"/>
  <c r="N18" i="79" s="1"/>
  <c r="Q151" i="18"/>
  <c r="K18" i="79" s="1"/>
  <c r="Q148" i="18"/>
  <c r="Q149" i="18" s="1"/>
  <c r="Q153" i="18"/>
  <c r="K17" i="80" s="1"/>
  <c r="AB150" i="18"/>
  <c r="K151" i="18"/>
  <c r="E18" i="79" s="1"/>
  <c r="E19" i="79" s="1"/>
  <c r="N17" i="76"/>
  <c r="O17" i="76" s="1"/>
  <c r="N16" i="76"/>
  <c r="C6" i="82" s="1"/>
  <c r="D6" i="82" s="1"/>
  <c r="N15" i="76"/>
  <c r="O15" i="76" l="1"/>
  <c r="C5" i="82"/>
  <c r="D5" i="82" s="1"/>
  <c r="F5" i="82" s="1"/>
  <c r="E20" i="79"/>
  <c r="K173" i="18" s="1"/>
  <c r="K172" i="18" s="1"/>
  <c r="X155" i="18"/>
  <c r="O16" i="76"/>
  <c r="Q16" i="76" s="1"/>
  <c r="Y155" i="18"/>
  <c r="Y153" i="18" s="1"/>
  <c r="S17" i="80" s="1"/>
  <c r="Q17" i="76"/>
  <c r="Q15" i="76"/>
  <c r="U155" i="18"/>
  <c r="U153" i="18" s="1"/>
  <c r="O17" i="80" s="1"/>
  <c r="N13" i="76"/>
  <c r="N12" i="76"/>
  <c r="O12" i="76" s="1"/>
  <c r="N10" i="76"/>
  <c r="O10" i="76" s="1"/>
  <c r="N9" i="76"/>
  <c r="N8" i="76"/>
  <c r="N7" i="76"/>
  <c r="N6" i="76"/>
  <c r="N5" i="76"/>
  <c r="N4" i="76"/>
  <c r="C3" i="82" s="1"/>
  <c r="D3" i="82" s="1"/>
  <c r="F3" i="82" s="1"/>
  <c r="N3" i="76"/>
  <c r="F63" i="68"/>
  <c r="G10" i="70"/>
  <c r="N37" i="18"/>
  <c r="H135" i="18"/>
  <c r="H133" i="18" s="1"/>
  <c r="H134" i="18" s="1"/>
  <c r="K133" i="18"/>
  <c r="O9" i="76" l="1"/>
  <c r="Q9" i="76" s="1"/>
  <c r="O155" i="18"/>
  <c r="Q10" i="76"/>
  <c r="P155" i="18"/>
  <c r="J17" i="80" s="1"/>
  <c r="R155" i="18"/>
  <c r="R153" i="18" s="1"/>
  <c r="L17" i="80" s="1"/>
  <c r="L18" i="80" s="1"/>
  <c r="Q12" i="76"/>
  <c r="O13" i="76"/>
  <c r="Q13" i="76" s="1"/>
  <c r="I155" i="18"/>
  <c r="O3" i="76"/>
  <c r="Q3" i="76" s="1"/>
  <c r="O4" i="76"/>
  <c r="Q4" i="76" s="1"/>
  <c r="K155" i="18"/>
  <c r="O5" i="76"/>
  <c r="Q5" i="76" s="1"/>
  <c r="L155" i="18"/>
  <c r="L153" i="18" s="1"/>
  <c r="F17" i="80" s="1"/>
  <c r="O6" i="76"/>
  <c r="Q6" i="76" s="1"/>
  <c r="O7" i="76"/>
  <c r="Q7" i="76" s="1"/>
  <c r="M155" i="18"/>
  <c r="O8" i="76"/>
  <c r="Q8" i="76" s="1"/>
  <c r="N155" i="18"/>
  <c r="N23" i="76"/>
  <c r="N25" i="76" s="1"/>
  <c r="S155" i="18"/>
  <c r="S153" i="18" s="1"/>
  <c r="M17" i="80" s="1"/>
  <c r="D59" i="70"/>
  <c r="H140" i="18"/>
  <c r="H138" i="18" s="1"/>
  <c r="H136" i="18"/>
  <c r="L19" i="80" l="1"/>
  <c r="R175" i="18" s="1"/>
  <c r="R177" i="18" s="1"/>
  <c r="R164" i="18"/>
  <c r="R166" i="18" s="1"/>
  <c r="I140" i="18"/>
  <c r="U151" i="18"/>
  <c r="O18" i="79" s="1"/>
  <c r="J155" i="18"/>
  <c r="J153" i="18" s="1"/>
  <c r="H153" i="18"/>
  <c r="B17" i="80" s="1"/>
  <c r="D17" i="80" l="1"/>
  <c r="J164" i="18"/>
  <c r="J166" i="18" s="1"/>
  <c r="G3" i="82" s="1"/>
  <c r="AB155" i="18"/>
  <c r="AE155" i="18" s="1"/>
  <c r="M27" i="81" s="1"/>
  <c r="M28" i="81" s="1"/>
  <c r="J151" i="18" l="1"/>
  <c r="D18" i="79" s="1"/>
  <c r="B19" i="79" s="1"/>
  <c r="L151" i="18"/>
  <c r="F18" i="79" s="1"/>
  <c r="F19" i="79" s="1"/>
  <c r="M151" i="18"/>
  <c r="G18" i="79" s="1"/>
  <c r="G19" i="79" s="1"/>
  <c r="N151" i="18"/>
  <c r="H18" i="79" s="1"/>
  <c r="H19" i="79" s="1"/>
  <c r="O151" i="18"/>
  <c r="I18" i="79" s="1"/>
  <c r="I19" i="79" s="1"/>
  <c r="U148" i="18"/>
  <c r="U149" i="18" s="1"/>
  <c r="O149" i="18"/>
  <c r="N148" i="18"/>
  <c r="N149" i="18" s="1"/>
  <c r="M148" i="18"/>
  <c r="M149" i="18" s="1"/>
  <c r="L148" i="18"/>
  <c r="L149" i="18" s="1"/>
  <c r="K148" i="18"/>
  <c r="K149" i="18" s="1"/>
  <c r="J148" i="18"/>
  <c r="J149" i="18" s="1"/>
  <c r="Q140" i="18"/>
  <c r="AC143" i="18"/>
  <c r="D56" i="70"/>
  <c r="O143" i="18"/>
  <c r="O144" i="18" s="1"/>
  <c r="N143" i="18"/>
  <c r="M143" i="18"/>
  <c r="L143" i="18"/>
  <c r="L144" i="18" s="1"/>
  <c r="O138" i="18"/>
  <c r="L138" i="18"/>
  <c r="X140" i="18"/>
  <c r="T140" i="18"/>
  <c r="R140" i="18"/>
  <c r="P135" i="18"/>
  <c r="P140" i="18"/>
  <c r="G20" i="79" l="1"/>
  <c r="M173" i="18" s="1"/>
  <c r="M172" i="18" s="1"/>
  <c r="M177" i="18" s="1"/>
  <c r="M162" i="18"/>
  <c r="M161" i="18" s="1"/>
  <c r="L162" i="18"/>
  <c r="L161" i="18" s="1"/>
  <c r="F20" i="79"/>
  <c r="L173" i="18" s="1"/>
  <c r="L172" i="18" s="1"/>
  <c r="O162" i="18"/>
  <c r="O161" i="18" s="1"/>
  <c r="I20" i="79"/>
  <c r="O173" i="18" s="1"/>
  <c r="O172" i="18" s="1"/>
  <c r="O177" i="18" s="1"/>
  <c r="H20" i="79"/>
  <c r="N173" i="18" s="1"/>
  <c r="N172" i="18" s="1"/>
  <c r="N177" i="18" s="1"/>
  <c r="N162" i="18"/>
  <c r="N161" i="18" s="1"/>
  <c r="H166" i="18"/>
  <c r="P138" i="18"/>
  <c r="S140" i="18"/>
  <c r="N135" i="18"/>
  <c r="N138" i="18" s="1"/>
  <c r="M135" i="18"/>
  <c r="M138" i="18" s="1"/>
  <c r="G36" i="70"/>
  <c r="I36" i="70" s="1"/>
  <c r="G2" i="82" l="1"/>
  <c r="N166" i="18"/>
  <c r="O166" i="18"/>
  <c r="L177" i="18"/>
  <c r="AB172" i="18"/>
  <c r="L166" i="18"/>
  <c r="M166" i="18"/>
  <c r="AB148" i="18"/>
  <c r="N144" i="18"/>
  <c r="M144" i="18"/>
  <c r="U140" i="18"/>
  <c r="K140" i="18"/>
  <c r="H28" i="70"/>
  <c r="H27" i="70"/>
  <c r="G28" i="70"/>
  <c r="G27" i="70"/>
  <c r="G25" i="70"/>
  <c r="I25" i="70" s="1"/>
  <c r="K143" i="18" l="1"/>
  <c r="K144" i="18" s="1"/>
  <c r="K138" i="18"/>
  <c r="I27" i="70"/>
  <c r="I28" i="70"/>
  <c r="G21" i="70"/>
  <c r="H23" i="70" l="1"/>
  <c r="G23" i="70"/>
  <c r="H21" i="70"/>
  <c r="H20" i="70"/>
  <c r="H19" i="70"/>
  <c r="G20" i="70"/>
  <c r="G19" i="70"/>
  <c r="J140" i="18"/>
  <c r="H14" i="70"/>
  <c r="H13" i="70"/>
  <c r="G14" i="70"/>
  <c r="G13" i="70"/>
  <c r="H11" i="70"/>
  <c r="H10" i="70"/>
  <c r="G11" i="70"/>
  <c r="H8" i="70"/>
  <c r="H7" i="70"/>
  <c r="G8" i="70"/>
  <c r="G7" i="70"/>
  <c r="H5" i="70"/>
  <c r="H4" i="70"/>
  <c r="G4" i="70"/>
  <c r="G5" i="70"/>
  <c r="X135" i="18"/>
  <c r="U135" i="18"/>
  <c r="T135" i="18"/>
  <c r="S135" i="18"/>
  <c r="R135" i="18"/>
  <c r="Q135" i="18"/>
  <c r="J135" i="18"/>
  <c r="I135" i="18"/>
  <c r="U129" i="18"/>
  <c r="U127" i="18" s="1"/>
  <c r="T129" i="18"/>
  <c r="T127" i="18" s="1"/>
  <c r="S129" i="18"/>
  <c r="S127" i="18" s="1"/>
  <c r="R129" i="18"/>
  <c r="Q129" i="18"/>
  <c r="P129" i="18"/>
  <c r="O129" i="18"/>
  <c r="N129" i="18"/>
  <c r="M129" i="18"/>
  <c r="L129" i="18"/>
  <c r="K129" i="18"/>
  <c r="J129" i="18"/>
  <c r="I129" i="18"/>
  <c r="I127" i="18" s="1"/>
  <c r="F77" i="68"/>
  <c r="F73" i="68"/>
  <c r="F75" i="68"/>
  <c r="F64" i="68"/>
  <c r="F65" i="68"/>
  <c r="F66" i="68"/>
  <c r="F67" i="68"/>
  <c r="F68" i="68"/>
  <c r="F69" i="68"/>
  <c r="F70" i="68"/>
  <c r="F71" i="68"/>
  <c r="F72" i="68"/>
  <c r="F74" i="68"/>
  <c r="F76" i="68"/>
  <c r="P143" i="18" l="1"/>
  <c r="P144" i="18" s="1"/>
  <c r="H143" i="18"/>
  <c r="AB140" i="18"/>
  <c r="R138" i="18"/>
  <c r="R143" i="18"/>
  <c r="R144" i="18" s="1"/>
  <c r="U138" i="18"/>
  <c r="U143" i="18"/>
  <c r="U144" i="18" s="1"/>
  <c r="I138" i="18"/>
  <c r="I143" i="18"/>
  <c r="I144" i="18" s="1"/>
  <c r="Q138" i="18"/>
  <c r="Q143" i="18"/>
  <c r="Q144" i="18" s="1"/>
  <c r="J143" i="18"/>
  <c r="J144" i="18" s="1"/>
  <c r="S138" i="18"/>
  <c r="S143" i="18"/>
  <c r="S144" i="18" s="1"/>
  <c r="T138" i="18"/>
  <c r="T143" i="18"/>
  <c r="T144" i="18" s="1"/>
  <c r="X143" i="18"/>
  <c r="X144" i="18" s="1"/>
  <c r="I5" i="70"/>
  <c r="X136" i="18"/>
  <c r="X138" i="18"/>
  <c r="I4" i="70"/>
  <c r="I11" i="70"/>
  <c r="I14" i="70"/>
  <c r="I20" i="70"/>
  <c r="J138" i="18"/>
  <c r="I8" i="70"/>
  <c r="I10" i="70"/>
  <c r="I7" i="70"/>
  <c r="I13" i="70"/>
  <c r="I19" i="70"/>
  <c r="X133" i="18"/>
  <c r="X134" i="18" s="1"/>
  <c r="I23" i="70"/>
  <c r="I21" i="70"/>
  <c r="I3" i="70"/>
  <c r="M127" i="18"/>
  <c r="O127" i="18"/>
  <c r="N127" i="18"/>
  <c r="I136" i="18"/>
  <c r="J136" i="18"/>
  <c r="K136" i="18"/>
  <c r="M136" i="18"/>
  <c r="N136" i="18"/>
  <c r="O136" i="18"/>
  <c r="P136" i="18"/>
  <c r="Q136" i="18"/>
  <c r="R136" i="18"/>
  <c r="S136" i="18"/>
  <c r="T136" i="18"/>
  <c r="U136" i="18"/>
  <c r="U133" i="18"/>
  <c r="U134" i="18" s="1"/>
  <c r="T133" i="18"/>
  <c r="T134" i="18" s="1"/>
  <c r="S133" i="18"/>
  <c r="S134" i="18" s="1"/>
  <c r="R133" i="18"/>
  <c r="R134" i="18" s="1"/>
  <c r="Q133" i="18"/>
  <c r="Q134" i="18" s="1"/>
  <c r="P133" i="18"/>
  <c r="P134" i="18" s="1"/>
  <c r="O133" i="18"/>
  <c r="O134" i="18" s="1"/>
  <c r="N133" i="18"/>
  <c r="N134" i="18" s="1"/>
  <c r="M133" i="18"/>
  <c r="M134" i="18" s="1"/>
  <c r="J133" i="18"/>
  <c r="J134" i="18" s="1"/>
  <c r="I133" i="18"/>
  <c r="I134" i="18" s="1"/>
  <c r="R127" i="18"/>
  <c r="P127" i="18"/>
  <c r="L124" i="18"/>
  <c r="K127" i="18"/>
  <c r="J127" i="18"/>
  <c r="H129" i="18"/>
  <c r="H127" i="18" s="1"/>
  <c r="F33" i="68"/>
  <c r="G33" i="68"/>
  <c r="Q127" i="18"/>
  <c r="F26" i="68"/>
  <c r="G27" i="68"/>
  <c r="G26" i="68"/>
  <c r="G25" i="68"/>
  <c r="F27" i="68"/>
  <c r="F25" i="68"/>
  <c r="G20" i="68"/>
  <c r="F20" i="68"/>
  <c r="H144" i="18" l="1"/>
  <c r="AB143" i="18"/>
  <c r="AE143" i="18" s="1"/>
  <c r="K134" i="18"/>
  <c r="L127" i="18"/>
  <c r="AB135" i="18"/>
  <c r="H33" i="68"/>
  <c r="H26" i="68"/>
  <c r="H25" i="68"/>
  <c r="H27" i="68"/>
  <c r="H20" i="68"/>
  <c r="L133" i="18" l="1"/>
  <c r="AB133" i="18" s="1"/>
  <c r="L136" i="18"/>
  <c r="G18" i="68"/>
  <c r="F18" i="68"/>
  <c r="D16" i="68"/>
  <c r="G15" i="68"/>
  <c r="G14" i="68"/>
  <c r="F15" i="68"/>
  <c r="F14" i="68"/>
  <c r="D12" i="68"/>
  <c r="G11" i="68"/>
  <c r="F11" i="68"/>
  <c r="F10" i="68"/>
  <c r="G10" i="68"/>
  <c r="D8" i="68"/>
  <c r="G7" i="68"/>
  <c r="G6" i="68"/>
  <c r="G5" i="68"/>
  <c r="F6" i="68"/>
  <c r="F7" i="68"/>
  <c r="F5" i="68"/>
  <c r="G3" i="68"/>
  <c r="E103" i="68"/>
  <c r="D101" i="68"/>
  <c r="D102" i="68" s="1"/>
  <c r="E102" i="68" s="1"/>
  <c r="D100" i="68"/>
  <c r="H100" i="68" s="1"/>
  <c r="F3" i="68"/>
  <c r="AB124" i="18"/>
  <c r="U122" i="18"/>
  <c r="U123" i="18" s="1"/>
  <c r="U125" i="18"/>
  <c r="N125" i="18"/>
  <c r="O122" i="18"/>
  <c r="O123" i="18" s="1"/>
  <c r="H125" i="18"/>
  <c r="H122" i="18"/>
  <c r="H123" i="18" s="1"/>
  <c r="J125" i="18"/>
  <c r="L125" i="18"/>
  <c r="P125" i="18"/>
  <c r="Q125" i="18"/>
  <c r="R125" i="18"/>
  <c r="S125" i="18"/>
  <c r="I125" i="18"/>
  <c r="S122" i="18"/>
  <c r="S123" i="18" s="1"/>
  <c r="R122" i="18"/>
  <c r="R123" i="18" s="1"/>
  <c r="Q122" i="18"/>
  <c r="Q123" i="18" s="1"/>
  <c r="P122" i="18"/>
  <c r="P123" i="18" s="1"/>
  <c r="M122" i="18"/>
  <c r="M123" i="18" s="1"/>
  <c r="L122" i="18"/>
  <c r="L123" i="18" s="1"/>
  <c r="J122" i="18"/>
  <c r="J123" i="18" s="1"/>
  <c r="I122" i="18"/>
  <c r="I123" i="18" s="1"/>
  <c r="O114" i="18"/>
  <c r="N114" i="18"/>
  <c r="M114" i="18"/>
  <c r="L114" i="18"/>
  <c r="L117" i="18" s="1"/>
  <c r="L118" i="18" s="1"/>
  <c r="D56" i="58"/>
  <c r="D54" i="58"/>
  <c r="D35" i="58"/>
  <c r="P114" i="18"/>
  <c r="D46" i="58"/>
  <c r="D48" i="58" s="1"/>
  <c r="K109" i="18"/>
  <c r="J114" i="18"/>
  <c r="J117" i="18" s="1"/>
  <c r="I114" i="18"/>
  <c r="I112" i="18" s="1"/>
  <c r="S114" i="18"/>
  <c r="S112" i="18" s="1"/>
  <c r="T114" i="18"/>
  <c r="E100" i="68" s="1"/>
  <c r="Q114" i="18"/>
  <c r="Q112" i="18" s="1"/>
  <c r="E62" i="58"/>
  <c r="D60" i="58"/>
  <c r="D61" i="58" s="1"/>
  <c r="E61" i="58" s="1"/>
  <c r="D59" i="58"/>
  <c r="H59" i="58" s="1"/>
  <c r="D41" i="58"/>
  <c r="L134" i="18" l="1"/>
  <c r="M112" i="18"/>
  <c r="P117" i="18"/>
  <c r="P118" i="18" s="1"/>
  <c r="O112" i="18"/>
  <c r="L112" i="18"/>
  <c r="I117" i="18"/>
  <c r="I118" i="18" s="1"/>
  <c r="E59" i="58"/>
  <c r="F59" i="58" s="1"/>
  <c r="N112" i="18"/>
  <c r="D57" i="68"/>
  <c r="H3" i="68"/>
  <c r="H6" i="68"/>
  <c r="H14" i="68"/>
  <c r="H7" i="68"/>
  <c r="H10" i="68"/>
  <c r="H5" i="68"/>
  <c r="H11" i="68"/>
  <c r="H18" i="68"/>
  <c r="H15" i="68"/>
  <c r="F100" i="68"/>
  <c r="E104" i="68"/>
  <c r="K122" i="18"/>
  <c r="K125" i="18"/>
  <c r="T122" i="18"/>
  <c r="T123" i="18" s="1"/>
  <c r="M117" i="18"/>
  <c r="M118" i="18" s="1"/>
  <c r="S117" i="18"/>
  <c r="S118" i="18" s="1"/>
  <c r="N117" i="18"/>
  <c r="N118" i="18" s="1"/>
  <c r="T117" i="18"/>
  <c r="T118" i="18" s="1"/>
  <c r="M125" i="18"/>
  <c r="O117" i="18"/>
  <c r="O118" i="18" s="1"/>
  <c r="Q117" i="18"/>
  <c r="Q118" i="18" s="1"/>
  <c r="J118" i="18"/>
  <c r="N122" i="18"/>
  <c r="N123" i="18" s="1"/>
  <c r="O125" i="18"/>
  <c r="T125" i="18"/>
  <c r="E63" i="58"/>
  <c r="T112" i="18"/>
  <c r="K114" i="18"/>
  <c r="F28" i="58"/>
  <c r="P112" i="18" s="1"/>
  <c r="G28" i="58"/>
  <c r="G27" i="58"/>
  <c r="D27" i="58"/>
  <c r="F25" i="58"/>
  <c r="G25" i="58"/>
  <c r="J112" i="18"/>
  <c r="G19" i="58"/>
  <c r="F19" i="58"/>
  <c r="G15" i="58"/>
  <c r="G14" i="58"/>
  <c r="G13" i="58"/>
  <c r="F16" i="58"/>
  <c r="H16" i="58" s="1"/>
  <c r="F15" i="58"/>
  <c r="F14" i="58"/>
  <c r="F13" i="58"/>
  <c r="H13" i="58" s="1"/>
  <c r="D17" i="58"/>
  <c r="K117" i="18" l="1"/>
  <c r="K118" i="18" s="1"/>
  <c r="AB129" i="18"/>
  <c r="AE129" i="18" s="1"/>
  <c r="K123" i="18"/>
  <c r="AB122" i="18"/>
  <c r="F27" i="58"/>
  <c r="H27" i="58" s="1"/>
  <c r="R114" i="18"/>
  <c r="R117" i="18" s="1"/>
  <c r="H28" i="58"/>
  <c r="H25" i="58"/>
  <c r="D29" i="58"/>
  <c r="H15" i="58"/>
  <c r="H14" i="58"/>
  <c r="H19" i="58"/>
  <c r="S107" i="18"/>
  <c r="S108" i="18" s="1"/>
  <c r="S110" i="18"/>
  <c r="J110" i="18"/>
  <c r="K110" i="18"/>
  <c r="L110" i="18"/>
  <c r="M110" i="18"/>
  <c r="N110" i="18"/>
  <c r="O110" i="18"/>
  <c r="P110" i="18"/>
  <c r="Q110" i="18"/>
  <c r="R110" i="18"/>
  <c r="T110" i="18"/>
  <c r="I110" i="18"/>
  <c r="T107" i="18"/>
  <c r="T108" i="18" s="1"/>
  <c r="R107" i="18"/>
  <c r="R108" i="18" s="1"/>
  <c r="Q107" i="18"/>
  <c r="Q108" i="18" s="1"/>
  <c r="P107" i="18"/>
  <c r="P108" i="18" s="1"/>
  <c r="O107" i="18"/>
  <c r="O108" i="18" s="1"/>
  <c r="N107" i="18"/>
  <c r="N108" i="18" s="1"/>
  <c r="M107" i="18"/>
  <c r="M108" i="18" s="1"/>
  <c r="K107" i="18"/>
  <c r="K108" i="18" s="1"/>
  <c r="J107" i="18"/>
  <c r="J108" i="18" s="1"/>
  <c r="I107" i="18"/>
  <c r="I108" i="18" s="1"/>
  <c r="F11" i="58"/>
  <c r="D9" i="58"/>
  <c r="F8" i="58"/>
  <c r="H8" i="58" s="1"/>
  <c r="F7" i="58"/>
  <c r="H7" i="58" s="1"/>
  <c r="AB117" i="18" l="1"/>
  <c r="R112" i="18"/>
  <c r="R118" i="18"/>
  <c r="H11" i="58"/>
  <c r="AB109" i="18"/>
  <c r="L107" i="18"/>
  <c r="L108" i="18" s="1"/>
  <c r="AB107" i="18" l="1"/>
  <c r="AE140" i="18" l="1"/>
  <c r="P103" i="18"/>
  <c r="N101" i="18"/>
  <c r="M101" i="18"/>
  <c r="F4" i="58"/>
  <c r="H4" i="58" s="1"/>
  <c r="D5" i="58"/>
  <c r="F3" i="58"/>
  <c r="H3" i="58" l="1"/>
  <c r="D44" i="55"/>
  <c r="F26" i="55"/>
  <c r="H26" i="55" s="1"/>
  <c r="D27" i="55"/>
  <c r="D28" i="55" s="1"/>
  <c r="F24" i="55"/>
  <c r="R103" i="18"/>
  <c r="D46" i="55" l="1"/>
  <c r="F27" i="55"/>
  <c r="H27" i="55" s="1"/>
  <c r="D35" i="55" l="1"/>
  <c r="D17" i="55"/>
  <c r="D11" i="55"/>
  <c r="I103" i="18"/>
  <c r="K103" i="18" l="1"/>
  <c r="T103" i="18"/>
  <c r="Q103" i="18"/>
  <c r="Q101" i="18" l="1"/>
  <c r="R101" i="18"/>
  <c r="H24" i="55"/>
  <c r="L98" i="18" l="1"/>
  <c r="L101" i="18" s="1"/>
  <c r="P101" i="18" l="1"/>
  <c r="J103" i="18"/>
  <c r="J101" i="18" s="1"/>
  <c r="K101" i="18"/>
  <c r="I101" i="18"/>
  <c r="I99" i="18"/>
  <c r="G22" i="55"/>
  <c r="F22" i="55"/>
  <c r="D6" i="55"/>
  <c r="D56" i="55" s="1"/>
  <c r="G16" i="55"/>
  <c r="G15" i="55"/>
  <c r="F16" i="55"/>
  <c r="F15" i="55"/>
  <c r="F13" i="55"/>
  <c r="H13" i="55" s="1"/>
  <c r="G10" i="55"/>
  <c r="G9" i="55"/>
  <c r="G8" i="55"/>
  <c r="F9" i="55"/>
  <c r="F10" i="55"/>
  <c r="F8" i="55"/>
  <c r="F4" i="55"/>
  <c r="F5" i="55"/>
  <c r="F3" i="55"/>
  <c r="G5" i="55"/>
  <c r="G4" i="55"/>
  <c r="G3" i="55"/>
  <c r="T101" i="18"/>
  <c r="Q99" i="18"/>
  <c r="I96" i="18"/>
  <c r="I97" i="18" s="1"/>
  <c r="K99" i="18"/>
  <c r="L99" i="18"/>
  <c r="M99" i="18"/>
  <c r="N99" i="18"/>
  <c r="O99" i="18"/>
  <c r="P99" i="18"/>
  <c r="R99" i="18"/>
  <c r="T99" i="18"/>
  <c r="J99" i="18"/>
  <c r="T96" i="18"/>
  <c r="T97" i="18" s="1"/>
  <c r="R96" i="18"/>
  <c r="R97" i="18" s="1"/>
  <c r="P96" i="18"/>
  <c r="P97" i="18" s="1"/>
  <c r="O96" i="18"/>
  <c r="O97" i="18" s="1"/>
  <c r="N96" i="18"/>
  <c r="N97" i="18" s="1"/>
  <c r="M96" i="18"/>
  <c r="M97" i="18" s="1"/>
  <c r="L96" i="18"/>
  <c r="L97" i="18" s="1"/>
  <c r="K96" i="18"/>
  <c r="K97" i="18" s="1"/>
  <c r="J96" i="18"/>
  <c r="J97" i="18" s="1"/>
  <c r="O90" i="18"/>
  <c r="N90" i="18"/>
  <c r="M90" i="18"/>
  <c r="L90" i="18"/>
  <c r="H4" i="55" l="1"/>
  <c r="H3" i="55"/>
  <c r="H5" i="55"/>
  <c r="H8" i="55"/>
  <c r="H10" i="55"/>
  <c r="H9" i="55"/>
  <c r="H15" i="55"/>
  <c r="H22" i="55"/>
  <c r="H16" i="55"/>
  <c r="AB98" i="18"/>
  <c r="Q96" i="18"/>
  <c r="Q97" i="18" s="1"/>
  <c r="R92" i="18"/>
  <c r="R90" i="18" s="1"/>
  <c r="P92" i="18"/>
  <c r="P90" i="18" s="1"/>
  <c r="AB96" i="18" l="1"/>
  <c r="D31" i="51"/>
  <c r="K92" i="18" s="1"/>
  <c r="K90" i="18" s="1"/>
  <c r="T92" i="18"/>
  <c r="T90" i="18" s="1"/>
  <c r="Q92" i="18" l="1"/>
  <c r="Q90" i="18" s="1"/>
  <c r="H22" i="51" l="1"/>
  <c r="J22" i="51" s="1"/>
  <c r="H24" i="51"/>
  <c r="J24" i="51" s="1"/>
  <c r="H20" i="51"/>
  <c r="J20" i="51" l="1"/>
  <c r="H18" i="51" l="1"/>
  <c r="J18" i="51" s="1"/>
  <c r="H17" i="51"/>
  <c r="J17" i="51" s="1"/>
  <c r="H3" i="51" l="1"/>
  <c r="J3" i="51" s="1"/>
  <c r="H13" i="51"/>
  <c r="J13" i="51" s="1"/>
  <c r="H12" i="51"/>
  <c r="J12" i="51" s="1"/>
  <c r="H11" i="51" l="1"/>
  <c r="J11" i="51" s="1"/>
  <c r="H5" i="51"/>
  <c r="J5" i="51" s="1"/>
  <c r="H9" i="51"/>
  <c r="J9" i="51" s="1"/>
  <c r="H8" i="51"/>
  <c r="J8" i="51" s="1"/>
  <c r="H7" i="51"/>
  <c r="J7" i="51" s="1"/>
  <c r="J92" i="18"/>
  <c r="J90" i="18" l="1"/>
  <c r="H46" i="50"/>
  <c r="H47" i="50" s="1"/>
  <c r="C77" i="50" l="1"/>
  <c r="J81" i="18" s="1"/>
  <c r="C78" i="50"/>
  <c r="K81" i="18" s="1"/>
  <c r="C55" i="50"/>
  <c r="E55" i="50" s="1"/>
  <c r="C56" i="50"/>
  <c r="E56" i="50" s="1"/>
  <c r="C57" i="50"/>
  <c r="E57" i="50" s="1"/>
  <c r="C58" i="50"/>
  <c r="E58" i="50" s="1"/>
  <c r="C64" i="50"/>
  <c r="E64" i="50" s="1"/>
  <c r="B65" i="50"/>
  <c r="C65" i="50"/>
  <c r="E65" i="50" s="1"/>
  <c r="C76" i="50"/>
  <c r="C79" i="50"/>
  <c r="L81" i="18" s="1"/>
  <c r="C80" i="50"/>
  <c r="M81" i="18" s="1"/>
  <c r="M79" i="18" s="1"/>
  <c r="C81" i="50"/>
  <c r="N81" i="18" s="1"/>
  <c r="N79" i="18" s="1"/>
  <c r="C82" i="50"/>
  <c r="O81" i="18" s="1"/>
  <c r="C84" i="50"/>
  <c r="Q81" i="18" s="1"/>
  <c r="C85" i="50"/>
  <c r="R81" i="18" s="1"/>
  <c r="C86" i="50"/>
  <c r="T81" i="18" s="1"/>
  <c r="L79" i="18" l="1"/>
  <c r="O79" i="18"/>
  <c r="E66" i="50"/>
  <c r="E59" i="50"/>
  <c r="AD76" i="18"/>
  <c r="AB87" i="18" l="1"/>
  <c r="K88" i="18"/>
  <c r="L88" i="18"/>
  <c r="M88" i="18"/>
  <c r="N88" i="18"/>
  <c r="O88" i="18"/>
  <c r="P88" i="18"/>
  <c r="Q88" i="18"/>
  <c r="R88" i="18"/>
  <c r="T88" i="18"/>
  <c r="J88" i="18"/>
  <c r="T85" i="18"/>
  <c r="T86" i="18" s="1"/>
  <c r="R85" i="18"/>
  <c r="R86" i="18" s="1"/>
  <c r="Q85" i="18"/>
  <c r="Q86" i="18" s="1"/>
  <c r="O85" i="18"/>
  <c r="O86" i="18" s="1"/>
  <c r="N85" i="18"/>
  <c r="N86" i="18" s="1"/>
  <c r="M85" i="18"/>
  <c r="M86" i="18" s="1"/>
  <c r="L85" i="18"/>
  <c r="L86" i="18" s="1"/>
  <c r="K85" i="18"/>
  <c r="K86" i="18" s="1"/>
  <c r="J85" i="18"/>
  <c r="J86" i="18" s="1"/>
  <c r="AB88" i="18" l="1"/>
  <c r="P85" i="18"/>
  <c r="P86" i="18" s="1"/>
  <c r="AB86" i="18" s="1"/>
  <c r="AB85" i="18" l="1"/>
  <c r="K79" i="18"/>
  <c r="T79" i="18" l="1"/>
  <c r="Q79" i="18" l="1"/>
  <c r="E22" i="50"/>
  <c r="C83" i="50" s="1"/>
  <c r="C87" i="50" l="1"/>
  <c r="P81" i="18"/>
  <c r="P76" i="18"/>
  <c r="J79" i="18" l="1"/>
  <c r="L70" i="18"/>
  <c r="M70" i="18"/>
  <c r="N70" i="18"/>
  <c r="O70" i="18"/>
  <c r="O68" i="18" s="1"/>
  <c r="P70" i="18"/>
  <c r="Q70" i="18"/>
  <c r="R70" i="18"/>
  <c r="R68" i="18" s="1"/>
  <c r="T70" i="18"/>
  <c r="T68" i="18" s="1"/>
  <c r="J77" i="18"/>
  <c r="J74" i="18"/>
  <c r="J75" i="18" s="1"/>
  <c r="C54" i="35"/>
  <c r="C55" i="35" s="1"/>
  <c r="E34" i="35"/>
  <c r="T74" i="18"/>
  <c r="T75" i="18" s="1"/>
  <c r="K77" i="18"/>
  <c r="L77" i="18"/>
  <c r="M77" i="18"/>
  <c r="N77" i="18"/>
  <c r="O77" i="18"/>
  <c r="P77" i="18"/>
  <c r="Q77" i="18"/>
  <c r="R77" i="18"/>
  <c r="K74" i="18"/>
  <c r="K75" i="18" s="1"/>
  <c r="L74" i="18"/>
  <c r="L75" i="18" s="1"/>
  <c r="M74" i="18"/>
  <c r="M75" i="18" s="1"/>
  <c r="N74" i="18"/>
  <c r="N75" i="18" s="1"/>
  <c r="O74" i="18"/>
  <c r="O75" i="18" s="1"/>
  <c r="P74" i="18"/>
  <c r="P75" i="18" s="1"/>
  <c r="Q74" i="18"/>
  <c r="Q75" i="18" s="1"/>
  <c r="R74" i="18"/>
  <c r="R75" i="18" s="1"/>
  <c r="Q63" i="18"/>
  <c r="Q64" i="18" s="1"/>
  <c r="R63" i="18"/>
  <c r="R64" i="18" s="1"/>
  <c r="T63" i="18"/>
  <c r="T64" i="18" s="1"/>
  <c r="AB76" i="18"/>
  <c r="T77" i="18"/>
  <c r="E26" i="35"/>
  <c r="C46" i="35"/>
  <c r="E6" i="35"/>
  <c r="C47" i="35"/>
  <c r="C45" i="35"/>
  <c r="C43" i="35"/>
  <c r="C42" i="35"/>
  <c r="C41" i="35"/>
  <c r="C40" i="35"/>
  <c r="C44" i="35"/>
  <c r="C39" i="35"/>
  <c r="C38" i="35"/>
  <c r="C37" i="35"/>
  <c r="O66" i="18"/>
  <c r="R66" i="18"/>
  <c r="P66" i="18"/>
  <c r="K66" i="18"/>
  <c r="L66" i="18"/>
  <c r="M66" i="18"/>
  <c r="N66" i="18"/>
  <c r="Q66" i="18"/>
  <c r="T66" i="18"/>
  <c r="P63" i="18"/>
  <c r="P64" i="18" s="1"/>
  <c r="N63" i="18"/>
  <c r="N64" i="18" s="1"/>
  <c r="M63" i="18"/>
  <c r="M64" i="18" s="1"/>
  <c r="L63" i="18"/>
  <c r="L64" i="18" s="1"/>
  <c r="C57" i="29"/>
  <c r="L59" i="18" s="1"/>
  <c r="C58" i="29"/>
  <c r="M59" i="18" s="1"/>
  <c r="M57" i="18" s="1"/>
  <c r="C59" i="29"/>
  <c r="N59" i="18" s="1"/>
  <c r="N57" i="18" s="1"/>
  <c r="C60" i="29"/>
  <c r="O59" i="18" s="1"/>
  <c r="C62" i="29"/>
  <c r="C63" i="29"/>
  <c r="O63" i="18"/>
  <c r="O64" i="18" s="1"/>
  <c r="K63" i="18"/>
  <c r="AB65" i="18"/>
  <c r="C45" i="29"/>
  <c r="C44" i="29"/>
  <c r="G54" i="18"/>
  <c r="C43" i="29" s="1"/>
  <c r="F54" i="18"/>
  <c r="C42" i="29" s="1"/>
  <c r="E52" i="29"/>
  <c r="E36" i="29"/>
  <c r="E32" i="29"/>
  <c r="Q59" i="18"/>
  <c r="Q57" i="18" s="1"/>
  <c r="Q55" i="18"/>
  <c r="Q53" i="18"/>
  <c r="T59" i="18"/>
  <c r="T57" i="18" s="1"/>
  <c r="E16" i="29"/>
  <c r="E9" i="29"/>
  <c r="G37" i="18"/>
  <c r="G35" i="18" s="1"/>
  <c r="F37" i="18"/>
  <c r="F35" i="18" s="1"/>
  <c r="G33" i="18"/>
  <c r="G30" i="18"/>
  <c r="G31" i="18" s="1"/>
  <c r="L5" i="22"/>
  <c r="L4" i="22"/>
  <c r="K55" i="18"/>
  <c r="M55" i="18"/>
  <c r="N55" i="18"/>
  <c r="O55" i="18"/>
  <c r="P55" i="18"/>
  <c r="T55" i="18"/>
  <c r="T52" i="18"/>
  <c r="T53" i="18" s="1"/>
  <c r="L55" i="18"/>
  <c r="P52" i="18"/>
  <c r="P53" i="18" s="1"/>
  <c r="O52" i="18"/>
  <c r="O53" i="18" s="1"/>
  <c r="N52" i="18"/>
  <c r="N53" i="18" s="1"/>
  <c r="M52" i="18"/>
  <c r="M53" i="18" s="1"/>
  <c r="K52" i="18"/>
  <c r="K53" i="18" s="1"/>
  <c r="L52" i="18"/>
  <c r="L53" i="18" s="1"/>
  <c r="AD48" i="18"/>
  <c r="T43" i="18"/>
  <c r="T41" i="18" s="1"/>
  <c r="T42" i="18" s="1"/>
  <c r="T48" i="18"/>
  <c r="O48" i="18"/>
  <c r="O46" i="18" s="1"/>
  <c r="N48" i="18"/>
  <c r="M48" i="18"/>
  <c r="L48" i="18"/>
  <c r="F48" i="18"/>
  <c r="G48" i="18"/>
  <c r="K48" i="18"/>
  <c r="K46" i="18" s="1"/>
  <c r="P48" i="18"/>
  <c r="P46" i="18" s="1"/>
  <c r="E31" i="24"/>
  <c r="L43" i="18"/>
  <c r="E23" i="24"/>
  <c r="E18" i="24"/>
  <c r="E14" i="24"/>
  <c r="E6" i="24"/>
  <c r="M44" i="18"/>
  <c r="G41" i="18"/>
  <c r="G42" i="18" s="1"/>
  <c r="P44" i="18"/>
  <c r="O44" i="18"/>
  <c r="N44" i="18"/>
  <c r="K44" i="18"/>
  <c r="G44" i="18"/>
  <c r="P41" i="18"/>
  <c r="P42" i="18" s="1"/>
  <c r="O41" i="18"/>
  <c r="O42" i="18" s="1"/>
  <c r="N41" i="18"/>
  <c r="N42" i="18" s="1"/>
  <c r="K41" i="18"/>
  <c r="K42" i="18" s="1"/>
  <c r="F41" i="18"/>
  <c r="F42" i="18" s="1"/>
  <c r="M41" i="18"/>
  <c r="M42" i="18" s="1"/>
  <c r="O37" i="18"/>
  <c r="N35" i="18"/>
  <c r="M37" i="18"/>
  <c r="M35" i="18" s="1"/>
  <c r="L37" i="18"/>
  <c r="E45" i="22"/>
  <c r="P37" i="18"/>
  <c r="P35" i="18" s="1"/>
  <c r="I13" i="22"/>
  <c r="I14" i="22" s="1"/>
  <c r="I16" i="22" s="1"/>
  <c r="E37" i="22"/>
  <c r="E33" i="22"/>
  <c r="K37" i="18"/>
  <c r="E28" i="22"/>
  <c r="E22" i="22"/>
  <c r="E17" i="22"/>
  <c r="F44" i="18"/>
  <c r="E11" i="22"/>
  <c r="F33" i="18"/>
  <c r="AB32" i="18"/>
  <c r="E5" i="22"/>
  <c r="E44" i="20"/>
  <c r="E37" i="20"/>
  <c r="E31" i="20"/>
  <c r="P26" i="18" s="1"/>
  <c r="E28" i="20"/>
  <c r="E25" i="20"/>
  <c r="E20" i="20"/>
  <c r="E17" i="20"/>
  <c r="E14" i="20"/>
  <c r="E8" i="20"/>
  <c r="K33" i="18"/>
  <c r="K30" i="18"/>
  <c r="K31" i="18" s="1"/>
  <c r="F30" i="18"/>
  <c r="F31" i="18" s="1"/>
  <c r="AD26" i="18"/>
  <c r="AC26" i="18"/>
  <c r="O26" i="18"/>
  <c r="N26" i="18"/>
  <c r="M26" i="18"/>
  <c r="L26" i="18"/>
  <c r="K26" i="18"/>
  <c r="G26" i="18"/>
  <c r="F26" i="18"/>
  <c r="P22" i="18"/>
  <c r="O22" i="18"/>
  <c r="N22" i="18"/>
  <c r="M22" i="18"/>
  <c r="L22" i="18"/>
  <c r="K22" i="18"/>
  <c r="G22" i="18"/>
  <c r="F21" i="18"/>
  <c r="F19" i="18" s="1"/>
  <c r="F20" i="18" s="1"/>
  <c r="P19" i="18"/>
  <c r="P20" i="18" s="1"/>
  <c r="O19" i="18"/>
  <c r="O20" i="18" s="1"/>
  <c r="N19" i="18"/>
  <c r="N20" i="18" s="1"/>
  <c r="M19" i="18"/>
  <c r="M20" i="18" s="1"/>
  <c r="L19" i="18"/>
  <c r="L20" i="18" s="1"/>
  <c r="K19" i="18"/>
  <c r="K20" i="18" s="1"/>
  <c r="G19" i="18"/>
  <c r="G20" i="18" s="1"/>
  <c r="M10" i="18"/>
  <c r="M11" i="18" s="1"/>
  <c r="L10" i="18"/>
  <c r="L11" i="18" s="1"/>
  <c r="G10" i="18"/>
  <c r="G15" i="18" s="1"/>
  <c r="M9" i="18"/>
  <c r="L9" i="18"/>
  <c r="G9" i="18"/>
  <c r="P8" i="18"/>
  <c r="P9" i="18" s="1"/>
  <c r="O8" i="18"/>
  <c r="O10" i="18" s="1"/>
  <c r="O15" i="18" s="1"/>
  <c r="N8" i="18"/>
  <c r="K8" i="18"/>
  <c r="K10" i="18" s="1"/>
  <c r="F8" i="18"/>
  <c r="F10" i="18" s="1"/>
  <c r="O30" i="18"/>
  <c r="O31" i="18" s="1"/>
  <c r="M30" i="18"/>
  <c r="M31" i="18" s="1"/>
  <c r="O33" i="18"/>
  <c r="M33" i="18"/>
  <c r="L33" i="18"/>
  <c r="L30" i="18"/>
  <c r="L31" i="18" s="1"/>
  <c r="N33" i="18"/>
  <c r="N30" i="18"/>
  <c r="N31" i="18" s="1"/>
  <c r="P33" i="18"/>
  <c r="P30" i="18"/>
  <c r="P31" i="18" s="1"/>
  <c r="C48" i="35"/>
  <c r="AB70" i="18" l="1"/>
  <c r="AE70" i="18" s="1"/>
  <c r="K64" i="18"/>
  <c r="AB63" i="18"/>
  <c r="L15" i="18"/>
  <c r="F52" i="18"/>
  <c r="F53" i="18" s="1"/>
  <c r="F55" i="18"/>
  <c r="T44" i="18"/>
  <c r="M68" i="18"/>
  <c r="N68" i="18"/>
  <c r="F46" i="18"/>
  <c r="G52" i="18"/>
  <c r="G53" i="18" s="1"/>
  <c r="Q68" i="18"/>
  <c r="L68" i="18"/>
  <c r="O57" i="18"/>
  <c r="E42" i="29"/>
  <c r="C54" i="29" s="1"/>
  <c r="F59" i="18" s="1"/>
  <c r="E45" i="29"/>
  <c r="C61" i="29" s="1"/>
  <c r="P59" i="18" s="1"/>
  <c r="O9" i="18"/>
  <c r="L24" i="18"/>
  <c r="E44" i="29"/>
  <c r="E43" i="29"/>
  <c r="C55" i="29" s="1"/>
  <c r="G59" i="18" s="1"/>
  <c r="L57" i="18"/>
  <c r="F15" i="18"/>
  <c r="F11" i="18"/>
  <c r="G24" i="18"/>
  <c r="T46" i="18"/>
  <c r="M15" i="18"/>
  <c r="P68" i="18"/>
  <c r="G11" i="18"/>
  <c r="O24" i="18"/>
  <c r="AB54" i="18"/>
  <c r="G55" i="18"/>
  <c r="R79" i="18"/>
  <c r="AB92" i="18" s="1"/>
  <c r="AE92" i="18" s="1"/>
  <c r="P79" i="18"/>
  <c r="N10" i="18"/>
  <c r="N9" i="18"/>
  <c r="AB43" i="18"/>
  <c r="L41" i="18"/>
  <c r="L42" i="18" s="1"/>
  <c r="L46" i="18"/>
  <c r="L44" i="18"/>
  <c r="N46" i="18"/>
  <c r="K24" i="18"/>
  <c r="L35" i="18"/>
  <c r="O35" i="18"/>
  <c r="O11" i="18"/>
  <c r="AB37" i="18"/>
  <c r="AB35" i="18" s="1"/>
  <c r="M24" i="18"/>
  <c r="AB21" i="18"/>
  <c r="F22" i="18"/>
  <c r="F24" i="18"/>
  <c r="N24" i="18"/>
  <c r="M46" i="18"/>
  <c r="AB19" i="18"/>
  <c r="K35" i="18"/>
  <c r="P10" i="18"/>
  <c r="K9" i="18"/>
  <c r="AB8" i="18"/>
  <c r="K11" i="18"/>
  <c r="K15" i="18"/>
  <c r="AB26" i="18"/>
  <c r="P24" i="18"/>
  <c r="AB30" i="18"/>
  <c r="F9" i="18"/>
  <c r="G46" i="18"/>
  <c r="AB48" i="18"/>
  <c r="L6" i="22"/>
  <c r="AB81" i="18"/>
  <c r="AE81" i="18" s="1"/>
  <c r="AB74" i="18"/>
  <c r="C56" i="29" l="1"/>
  <c r="F56" i="29" s="1"/>
  <c r="AB52" i="18"/>
  <c r="G57" i="18"/>
  <c r="P57" i="18"/>
  <c r="AB10" i="18"/>
  <c r="AC37" i="18"/>
  <c r="AE37" i="18" s="1"/>
  <c r="AB41" i="18"/>
  <c r="N11" i="18"/>
  <c r="N15" i="18"/>
  <c r="P11" i="18"/>
  <c r="P15" i="18"/>
  <c r="AE48" i="18"/>
  <c r="AB46" i="18"/>
  <c r="M5" i="22"/>
  <c r="N5" i="22" s="1"/>
  <c r="AE26" i="18"/>
  <c r="AB24" i="18"/>
  <c r="M4" i="22"/>
  <c r="N4" i="22" s="1"/>
  <c r="F57" i="18"/>
  <c r="C64" i="29" l="1"/>
  <c r="K59" i="18"/>
  <c r="AB15" i="18"/>
  <c r="K57" i="18" l="1"/>
  <c r="AB59" i="18"/>
  <c r="AB13" i="18"/>
  <c r="AE15" i="18"/>
  <c r="AE59" i="18" l="1"/>
  <c r="AB57" i="18"/>
  <c r="O101" i="18"/>
  <c r="AB103" i="18"/>
  <c r="AE103" i="18" s="1"/>
  <c r="K112" i="18"/>
  <c r="AB114" i="18"/>
  <c r="AE114" i="18" s="1"/>
  <c r="I153" i="18" l="1"/>
  <c r="C17" i="80" s="1"/>
  <c r="K153" i="18"/>
  <c r="E17" i="80" s="1"/>
  <c r="E18" i="80" s="1"/>
  <c r="M153" i="18"/>
  <c r="G17" i="80" s="1"/>
  <c r="N153" i="18"/>
  <c r="H17" i="80" s="1"/>
  <c r="O153" i="18"/>
  <c r="I17" i="80" s="1"/>
  <c r="T153" i="18"/>
  <c r="N17" i="80" s="1"/>
  <c r="X153" i="18"/>
  <c r="R17" i="80" s="1"/>
  <c r="N27" i="76"/>
  <c r="N28" i="76" s="1"/>
  <c r="K166" i="18" l="1"/>
  <c r="E19" i="80"/>
  <c r="K175" i="18" s="1"/>
  <c r="K177" i="18" s="1"/>
  <c r="AB177" i="18" s="1"/>
  <c r="AE177" i="18" s="1"/>
  <c r="U166" i="18" l="1"/>
  <c r="AB166" i="18" s="1"/>
  <c r="AE166" i="18" s="1"/>
  <c r="G5" i="82"/>
  <c r="AB161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  <author>kslater</author>
    <author>Kellie Slater</author>
    <author>Meagan Slater</author>
  </authors>
  <commentList>
    <comment ref="AC2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Includes additional money received from olives in 2012</t>
        </r>
      </text>
    </comment>
    <comment ref="F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G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K3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conversation with RIF on 2.19.14. RIF thinks 493 (the old estimate) is too high and 450 (a number I suggested) is too conservative so I decided to go with 475. RIF said we will be "500 easy" on 2/25/14 so I increased the number to 490
increased to 600 on 3/24/14 per packout report</t>
        </r>
      </text>
    </comment>
    <comment ref="L3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Half way done with picking 4.22.14
760 per Craig on 4.28.14
848 per packout report on 7.7.2014</t>
        </r>
      </text>
    </comment>
    <comment ref="M3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45 bins/acres per RIF on 7.10.14
250 per Silvino 7.30.14
252 per packout report 9.9.14</t>
        </r>
      </text>
    </comment>
    <comment ref="N3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Per RIF 9.23.14</t>
        </r>
      </text>
    </comment>
    <comment ref="O3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8.20.14 - Per RIF we should get 47 bins/acre
Per packout report</t>
        </r>
      </text>
    </comment>
    <comment ref="P3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Final number - we are done picking 4.22.14</t>
        </r>
      </text>
    </comment>
    <comment ref="AC3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Sunkist Dividend and Patronage
Villa Park Refund
</t>
        </r>
      </text>
    </comment>
    <comment ref="F43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G43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K4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L4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43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4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43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P43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Packout report</t>
        </r>
      </text>
    </comment>
    <comment ref="T4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23.75 per packout report
130 per Hector at Villa Park
</t>
        </r>
      </text>
    </comment>
    <comment ref="AD48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preliminary statement</t>
        </r>
      </text>
    </comment>
    <comment ref="F54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kslater:
</t>
        </r>
        <r>
          <rPr>
            <sz val="9"/>
            <color indexed="81"/>
            <rFont val="Tahoma"/>
            <family val="2"/>
          </rPr>
          <t>Per packout reports</t>
        </r>
      </text>
    </comment>
    <comment ref="G5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K54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54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N54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10/9/16</t>
        </r>
      </text>
    </comment>
    <comment ref="O54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P54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Silvino 7/12/16 he thinks there could be 700 - 800 left</t>
        </r>
      </text>
    </comment>
    <comment ref="Q54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AD59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grower statement dated 11.23.16</t>
        </r>
      </text>
    </comment>
    <comment ref="K65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 reports</t>
        </r>
      </text>
    </comment>
    <comment ref="L65" authorId="2" shapeId="0" xr:uid="{AA65DAA8-7D52-42CC-AFAB-AB4F7DD0E5A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65" authorId="2" shapeId="0" xr:uid="{00000000-0006-0000-0000-00001F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65" authorId="2" shapeId="0" xr:uid="{00000000-0006-0000-0000-000020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65" authorId="2" shapeId="0" xr:uid="{00000000-0006-0000-0000-000021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65" authorId="1" shapeId="0" xr:uid="{00000000-0006-0000-0000-000022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65" authorId="2" shapeId="0" xr:uid="{00000000-0006-0000-0000-000023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R65" authorId="2" shapeId="0" xr:uid="{00000000-0006-0000-0000-000024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T65" authorId="2" shapeId="0" xr:uid="{00000000-0006-0000-0000-00002500000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AD70" authorId="1" shapeId="0" xr:uid="{00000000-0006-0000-0000-00002B000000}">
      <text>
        <r>
          <rPr>
            <b/>
            <sz val="9"/>
            <color indexed="81"/>
            <rFont val="Tahoma"/>
            <family val="2"/>
          </rPr>
          <t>kslater:</t>
        </r>
        <r>
          <rPr>
            <sz val="9"/>
            <color indexed="81"/>
            <rFont val="Tahoma"/>
            <family val="2"/>
          </rPr>
          <t xml:space="preserve">
Based on value sheets</t>
        </r>
      </text>
    </comment>
    <comment ref="J76" authorId="2" shapeId="0" xr:uid="{CE28E02B-9E58-4575-AD01-F1BB6CB4896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76" authorId="2" shapeId="0" xr:uid="{1E45DCAF-C758-4B9A-BBC5-E0CEC5FC68B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(as of 2/22/18)
</t>
        </r>
      </text>
    </comment>
    <comment ref="L76" authorId="2" shapeId="0" xr:uid="{143E1DA6-876A-49F7-86B5-A891028E7AC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(10/8/18). Assuming this is a total packout</t>
        </r>
      </text>
    </comment>
    <comment ref="M76" authorId="2" shapeId="0" xr:uid="{BAEA4BBB-1FC5-4ACF-AC2C-9C6B70A8016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76" authorId="2" shapeId="0" xr:uid="{6CDDDA87-91B2-4595-9AF7-C30786CBD3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76" authorId="2" shapeId="0" xr:uid="{2470E5D0-BCB6-41CD-B9C3-52005839836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76" authorId="2" shapeId="0" xr:uid="{EA9EA5E7-1FB0-4B5C-A1B4-2F06987F49B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76" authorId="2" shapeId="0" xr:uid="{297AF8F6-B247-49E1-A76B-13A80809CD7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numbers per packout reports</t>
        </r>
      </text>
    </comment>
    <comment ref="R76" authorId="2" shapeId="0" xr:uid="{E777B9FC-8260-496E-912A-0BD6A58842F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
</t>
        </r>
      </text>
    </comment>
    <comment ref="T76" authorId="2" shapeId="0" xr:uid="{ECD35C7C-E561-4781-948C-40F591BBF8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AD81" authorId="2" shapeId="0" xr:uid="{AE282793-2E66-456E-B84C-3D3BA81787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Villa Park (11.15.18 Memo)
</t>
        </r>
      </text>
    </comment>
    <comment ref="J87" authorId="2" shapeId="0" xr:uid="{857874D1-D378-416D-935E-2C32747E00C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173 (11/6/18)
Craig 200 (11/6/18)
Per packouts
</t>
        </r>
      </text>
    </comment>
    <comment ref="K87" authorId="2" shapeId="0" xr:uid="{ED76D3EB-F5B4-4BC3-9C13-27D81E450AE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87" authorId="2" shapeId="0" xr:uid="{FBFCBB4A-9A8E-49A1-AB4A-5B1852B0A5B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87" authorId="2" shapeId="0" xr:uid="{9710EFAA-2FC6-4366-85AB-590CA192DD5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87" authorId="2" shapeId="0" xr:uid="{289D5E5C-EC6B-47AF-821A-D7399FABB93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87" authorId="2" shapeId="0" xr:uid="{648925D1-2476-4F05-854E-D9079FA7AA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87" authorId="2" shapeId="0" xr:uid="{E7EBD1A9-8D34-4D6C-8BE9-C4D074EFA32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87" authorId="2" shapeId="0" xr:uid="{86305FCA-964D-4629-BC12-3D1D6468E66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Silvino (late Feb)
Per packouts</t>
        </r>
      </text>
    </comment>
    <comment ref="R87" authorId="2" shapeId="0" xr:uid="{B74A4AC4-EB88-4944-8DB0-55CB05835D4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Estimate per Gary 10/1/18
per packouts</t>
        </r>
      </text>
    </comment>
    <comment ref="T87" authorId="2" shapeId="0" xr:uid="{67D10552-623B-430A-8C16-2F41C1F95B2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 </t>
        </r>
      </text>
    </comment>
    <comment ref="J90" authorId="2" shapeId="0" xr:uid="{44FA9417-0468-4A1D-9E8F-562A2827DFF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 per Gary (11/6/18)
$200 per Gary (3/14/19 text from Craig)
$207.11 based on advance (3/15/19)
$214.78 based on final check (5/23/19)</t>
        </r>
      </text>
    </comment>
    <comment ref="K90" authorId="2" shapeId="0" xr:uid="{572B8D52-8400-4C66-B745-A7ACD78B911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Gary thinks $150 (11/6/18)
Tim thinks $90 (11/6/18)
$125 per Gary (3/14/19 text from Craig)
Check from 5/2/19 would suggest $4.30 - $15.30
Check from 7/31/19 + check from 5/2/19 indicates $14.89/bin
Final packout for March backs came out to $84.68/bin. Final pack for 171 bins came out to $27.01. I assumed the other 130  bins would be $20/bin since they were not strong packouts
$53.25 per final packouts</t>
        </r>
      </text>
    </comment>
    <comment ref="L90" authorId="2" shapeId="0" xr:uid="{610870F8-4B03-452C-8765-C78BFFF2A53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$103.53 per final packout</t>
        </r>
      </text>
    </comment>
    <comment ref="M90" authorId="2" shapeId="0" xr:uid="{007044DC-67EC-4514-882E-C3059605463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$99.52 per final packout</t>
        </r>
      </text>
    </comment>
    <comment ref="N90" authorId="2" shapeId="0" xr:uid="{E9D8E297-B073-42AB-917A-F51DE081CD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$95.48 per final packout</t>
        </r>
      </text>
    </comment>
    <comment ref="O90" authorId="2" shapeId="0" xr:uid="{44280896-9E39-44A0-AEA2-286FB41FE50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$100.71 per final packout</t>
        </r>
      </text>
    </comment>
    <comment ref="P90" authorId="2" shapeId="0" xr:uid="{60FCA7D9-7C8F-4759-B9BA-B1D1D72C187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April advance indicates $184/bin
July advance indicates $28.83/bin
April + July advances indicate $66.76/bin
$87.76 per final packouts</t>
        </r>
      </text>
    </comment>
    <comment ref="Q90" authorId="2" shapeId="0" xr:uid="{148C7E12-C239-4AC9-B30D-7F0FF96F9A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$250+ per Gary (11/6/18)
$200 per Gary (3/14/19 text from Craig)
per final packout</t>
        </r>
      </text>
    </comment>
    <comment ref="R90" authorId="2" shapeId="0" xr:uid="{155517D8-E3DB-4C74-9777-77C92D6A6FD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11/6/18
$150 per Gary (3/14/19 text from Craig)
Per final packout</t>
        </r>
      </text>
    </comment>
    <comment ref="T90" authorId="2" shapeId="0" xr:uid="{AE61AFF8-60AA-43A3-87E5-71751206902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(11/6/18)
$300 per Gary (3/14/19 text from Craig)
per final packout</t>
        </r>
      </text>
    </comment>
    <comment ref="AD92" authorId="2" shapeId="0" xr:uid="{96C000FF-E168-442A-909C-8E1B4B61AC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speculation that Bell Carter doesn’t need anymore olives since the spanish company bought part of Bell Carter</t>
        </r>
      </text>
    </comment>
    <comment ref="J98" authorId="2" shapeId="0" xr:uid="{AC312A17-D333-4CBA-A27F-A85294B5EBD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L98" authorId="2" shapeId="0" xr:uid="{DBD00AB4-BBF5-4DF8-911B-27E586E6A28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M98" authorId="2" shapeId="0" xr:uid="{6CA74815-1E47-4697-A53E-EE052D3AF89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N98" authorId="2" shapeId="0" xr:uid="{C71E062C-6262-42F5-8EEC-90984803E80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O98" authorId="2" shapeId="0" xr:uid="{B2B0581C-C9B9-4BFE-BB82-AEB15E8395D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01" authorId="2" shapeId="0" xr:uid="{15FD9491-9DFF-4A09-B5B9-61BCADC2B6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01" authorId="2" shapeId="0" xr:uid="{1DBA6D0C-86C9-46EF-870E-EE355E8013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1" authorId="2" shapeId="0" xr:uid="{B44B36A9-98D1-4E6A-BAF7-BF1B82467F5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L101" authorId="2" shapeId="0" xr:uid="{8075068E-0C45-4877-AD75-00C6B4B3E51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Based on final payment</t>
        </r>
      </text>
    </comment>
    <comment ref="M101" authorId="2" shapeId="0" xr:uid="{D2BAC07D-6D16-4CC8-89C1-540B3ABCFA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N101" authorId="2" shapeId="0" xr:uid="{B2853DB4-AC32-4585-93C7-3DBD1D9833B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O101" authorId="2" shapeId="0" xr:uid="{0C051A5D-9152-43C3-A69E-B98D60FD985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Gary 8/12/20 - he thinks we might do better than $125/bin
per 10/19/20 phone call with Villa Park, we should get $283,000 for 2,283 bins or $123.95/bin
Per final payment</t>
        </r>
      </text>
    </comment>
    <comment ref="P101" authorId="2" shapeId="0" xr:uid="{B7EAA291-D774-4EE1-BD92-3035650E666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 on 375 bins
per final payment</t>
        </r>
      </text>
    </comment>
    <comment ref="Q101" authorId="2" shapeId="0" xr:uid="{7D0F792B-44AA-440C-9BC6-448855489E7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1" authorId="2" shapeId="0" xr:uid="{E6DFE790-DF7E-4188-856E-EBB07863FE1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1" authorId="2" shapeId="0" xr:uid="{E2331EBC-C658-4F23-BAA4-68C5CD2A4C2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I103" authorId="2" shapeId="0" xr:uid="{63681C56-97DD-4E5D-A8ED-DB9CD7549C9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03" authorId="2" shapeId="0" xr:uid="{8A650C03-9B55-4524-ADC2-772292F3C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3" authorId="2" shapeId="0" xr:uid="{5170906A-14BD-4F33-AADF-F3E3DD01DAE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P103" authorId="2" shapeId="0" xr:uid="{E05BC935-A78C-4050-A5F3-735027AA7B2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 on 239 bins and final packouts on 375 bins</t>
        </r>
      </text>
    </comment>
    <comment ref="Q103" authorId="2" shapeId="0" xr:uid="{88A1EBED-7611-469A-BC33-6C6CA4C6617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R103" authorId="2" shapeId="0" xr:uid="{2B4D1447-EDC8-46B4-8BC8-C424EA52FEB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03" authorId="2" shapeId="0" xr:uid="{FBB6B65A-5808-4A78-8BB7-A43E2FE5FAE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09" authorId="2" shapeId="0" xr:uid="{2C04A220-6F12-4438-A818-1BD18D4E3CC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
per Craig 06/28/21 Villa Park couldn’t pick them so Tim had Vivid Produce come pick 104 bins for $60/bin = $6,240
192 additional bins picked by Villa Park for $3,942.71</t>
        </r>
      </text>
    </comment>
    <comment ref="L109" authorId="2" shapeId="0" xr:uid="{CB30EADC-942C-4684-A989-BB709DB1DE2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M109" authorId="2" shapeId="0" xr:uid="{E6B2DEA5-4639-4D11-A602-0A2DA9EA057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 report</t>
        </r>
      </text>
    </comment>
    <comment ref="N109" authorId="2" shapeId="0" xr:uid="{A2146137-501F-4C67-BD5E-99A705AA85D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S109" authorId="2" shapeId="0" xr:uid="{4CF9234A-0602-4002-B5E1-3A23C413081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</t>
        </r>
      </text>
    </comment>
    <comment ref="T109" authorId="2" shapeId="0" xr:uid="{DE3B8748-F261-450E-97C6-BD2B818AD36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12" authorId="2" shapeId="0" xr:uid="{27455F15-C9DC-4790-939C-D8C492EF023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J112" authorId="2" shapeId="0" xr:uid="{B4AC655F-C7F0-4E35-8CD6-A8EC8894066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K112" authorId="2" shapeId="0" xr:uid="{C2171343-1202-4EE1-A03E-8AFB70B3B10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packouts
per Craig 06/28/21 Villa Park couldn’t pick them so Tim had Vivid Produce come pick 104 bins for $60/bin = $6,240
Villa Park picked 192 bins for $3,942.71
</t>
        </r>
      </text>
    </comment>
    <comment ref="L112" authorId="2" shapeId="0" xr:uid="{132C6A0A-3BE9-44E2-935A-2837C86B907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M112" authorId="2" shapeId="0" xr:uid="{89F9C4BF-6002-4E05-B380-CB5ADEB8702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N112" authorId="2" shapeId="0" xr:uid="{84F209A4-24E6-4DDA-BDF7-2BF73EC3818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O112" authorId="2" shapeId="0" xr:uid="{3B21F069-38F3-4D3E-BFA5-7AE69F60E2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P112" authorId="2" shapeId="0" xr:uid="{64FE4A97-B3CD-4DE5-8AF4-90679288234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Q112" authorId="2" shapeId="0" xr:uid="{562B04A1-7E17-4890-A50A-25E2A4794C9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R112" authorId="2" shapeId="0" xr:uid="{78EB02BB-1283-46EF-BF80-8AF7F358C999}">
      <text>
        <r>
          <rPr>
            <b/>
            <sz val="9"/>
            <color indexed="81"/>
            <rFont val="Tahoma"/>
            <family val="2"/>
          </rPr>
          <t xml:space="preserve">Kellie Slater:
</t>
        </r>
        <r>
          <rPr>
            <sz val="9"/>
            <color indexed="81"/>
            <rFont val="Tahoma"/>
            <family val="2"/>
          </rPr>
          <t>per final packout
How to account for the equity adjustment?</t>
        </r>
      </text>
    </comment>
    <comment ref="S112" authorId="2" shapeId="0" xr:uid="{D263124A-3286-4907-B780-0601A4A51CC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packout</t>
        </r>
      </text>
    </comment>
    <comment ref="T112" authorId="2" shapeId="0" xr:uid="{47DC6205-E973-47DD-B05A-172A9BDCEF2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 check</t>
        </r>
      </text>
    </comment>
    <comment ref="E116" authorId="2" shapeId="0" xr:uid="{E1C19742-E3A4-46D1-B228-2CDBE571F4A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Sun Pacific made a $23,786 equity adjustment on our final 2021 check - it distributes some of our income to other ranches that got picked too late and didn’t get favorable packouts. An adjustment needs to be made since the $/bin numbers above don’t include that adjustment</t>
        </r>
      </text>
    </comment>
    <comment ref="H124" authorId="2" shapeId="0" xr:uid="{E5732CFD-347C-40F5-B27D-40DF57BA8FC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I124" authorId="2" shapeId="0" xr:uid="{8BBC07C6-32B0-4EA1-8815-3E4293F5343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J124" authorId="2" shapeId="0" xr:uid="{49F19FF3-0CD4-457E-BD9A-67A77660DE0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K124" authorId="2" shapeId="0" xr:uid="{B5D13130-0317-4450-AC5E-840C5713BD1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L124" authorId="2" shapeId="0" xr:uid="{80462A75-65DC-4746-A3B6-28B4AB1A4CB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M124" authorId="2" shapeId="0" xr:uid="{2990ECA9-921B-463D-A9F3-2AE2EF50C84F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N124" authorId="2" shapeId="0" xr:uid="{5A63829F-6F14-4B92-9503-8F104A655F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O124" authorId="2" shapeId="0" xr:uid="{9C5E0C5D-8919-440A-9030-275D763757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</t>
        </r>
      </text>
    </comment>
    <comment ref="P124" authorId="2" shapeId="0" xr:uid="{4CFB7A0D-9282-45CE-975D-EF8B2BF18D4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Q124" authorId="2" shapeId="0" xr:uid="{99201C19-1639-4C7E-B4EE-3410877A61A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R124" authorId="2" shapeId="0" xr:uid="{608A7BD2-46FE-4048-8F79-F0AE50FCB29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S124" authorId="2" shapeId="0" xr:uid="{B3F28FBC-6409-476D-AA27-5287A03D3FD7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T124" authorId="2" shapeId="0" xr:uid="{39E66ADF-9E0D-4ED8-B764-9427FA05824C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
</t>
        </r>
      </text>
    </comment>
    <comment ref="U124" authorId="2" shapeId="0" xr:uid="{B9B53C72-9EEC-415B-B993-44C01A9967F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packouts</t>
        </r>
      </text>
    </comment>
    <comment ref="H127" authorId="2" shapeId="0" xr:uid="{A358B573-9F99-4087-B541-BC92999020A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$356.14 per advances
Final packout</t>
        </r>
      </text>
    </comment>
    <comment ref="J127" authorId="2" shapeId="0" xr:uid="{9159163B-5AD6-41F7-BB13-4F1D174FE1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$290.37 per advances
Final packout</t>
        </r>
      </text>
    </comment>
    <comment ref="K127" authorId="2" shapeId="0" xr:uid="{CEF54E51-23B6-4764-B8CA-788376047C41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27" authorId="2" shapeId="0" xr:uid="{58145AC6-2F43-4402-AA64-03A5ACF7EA4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Lori said we should expect $242,000 for our valencias
</t>
        </r>
      </text>
    </comment>
    <comment ref="P127" authorId="2" shapeId="0" xr:uid="{7C659C32-C912-47E0-AB00-EBF3D76CE05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$238.29 per advance
</t>
        </r>
      </text>
    </comment>
    <comment ref="Q127" authorId="2" shapeId="0" xr:uid="{91E8FA9A-1AC9-4020-9BB1-409EFEBA09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$250 per Gary 6/14
$202.27 per advances
Per final packout
</t>
        </r>
      </text>
    </comment>
    <comment ref="S127" authorId="2" shapeId="0" xr:uid="{915D3120-A6DB-4847-9F82-1BE8DDFF41F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$300+ per Gary 6/14
$356.72 per advances</t>
        </r>
      </text>
    </comment>
    <comment ref="U127" authorId="2" shapeId="0" xr:uid="{B280464E-3076-4A98-8473-D2060ECD865D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$200 per Gary 6/14
$118.18 per advances</t>
        </r>
      </text>
    </comment>
    <comment ref="H138" authorId="2" shapeId="0" xr:uid="{954304BE-D77C-401C-B854-FEF240D4045B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I138" authorId="2" shapeId="0" xr:uid="{F334043B-1FA7-4596-B10C-77F0ED3C5FBE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advance</t>
        </r>
      </text>
    </comment>
    <comment ref="J138" authorId="2" shapeId="0" xr:uid="{A6A03534-3F9D-45AE-8338-97E341A3CB13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 packout</t>
        </r>
      </text>
    </comment>
    <comment ref="K138" authorId="2" shapeId="0" xr:uid="{1CF8FE06-CF3E-4AEB-A8D9-4977CF0FC264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L138" authorId="2" shapeId="0" xr:uid="{1C71354C-0F21-4E75-A645-B14EAC61A369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
</t>
        </r>
      </text>
    </comment>
    <comment ref="M138" authorId="2" shapeId="0" xr:uid="{C2BB5FCC-A4D6-415C-8851-5DA942F3EC5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N138" authorId="2" shapeId="0" xr:uid="{EF39BA19-17E8-4EE4-B884-C2526C594BF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O138" authorId="2" shapeId="0" xr:uid="{BB206543-0490-4808-9448-7F566C4D6436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38" authorId="2" shapeId="0" xr:uid="{57F20B6B-C77E-40DB-845D-59DF56AAEA9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Q138" authorId="2" shapeId="0" xr:uid="{1765B84F-D073-43F3-B8DF-3638F59A2A4A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R138" authorId="2" shapeId="0" xr:uid="{35896E01-7D0A-4348-80A2-408F539381E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S138" authorId="2" shapeId="0" xr:uid="{B2120EB0-D7A9-4B0C-8C81-E4C9335B6A72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per final</t>
        </r>
      </text>
    </comment>
    <comment ref="T138" authorId="2" shapeId="0" xr:uid="{4AAECA6B-7DD6-45B9-B683-AE4339E671A0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U138" authorId="2" shapeId="0" xr:uid="{83FCB5FE-06A4-454A-A9CA-922FBF3295A5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X138" authorId="2" shapeId="0" xr:uid="{DCAA25BF-A5B3-4856-8C0A-BB625E238048}">
      <text>
        <r>
          <rPr>
            <b/>
            <sz val="9"/>
            <color indexed="81"/>
            <rFont val="Tahoma"/>
            <family val="2"/>
          </rPr>
          <t>Kellie Slater:</t>
        </r>
        <r>
          <rPr>
            <sz val="9"/>
            <color indexed="81"/>
            <rFont val="Tahoma"/>
            <family val="2"/>
          </rPr>
          <t xml:space="preserve">
FINAL</t>
        </r>
      </text>
    </comment>
    <comment ref="P162" authorId="3" shapeId="0" xr:uid="{A2855E6A-CA18-4239-9EB1-84CAF8BC1CED}">
      <text>
        <r>
          <rPr>
            <sz val="11"/>
            <color theme="1"/>
            <rFont val="Calibri"/>
            <family val="2"/>
            <scheme val="minor"/>
          </rPr>
          <t xml:space="preserve">Meagan Slater:
Minimum of $180 and maybe 35 - Tim
</t>
        </r>
      </text>
    </comment>
    <comment ref="K164" authorId="3" shapeId="0" xr:uid="{AF3D078C-55B5-41A9-9730-1FDF9A86A40C}">
      <text>
        <r>
          <rPr>
            <sz val="11"/>
            <color theme="1"/>
            <rFont val="Calibri"/>
            <family val="2"/>
            <scheme val="minor"/>
          </rPr>
          <t xml:space="preserve">Meagan Slater:
Juice is $150 so this could be $175 per tim
</t>
        </r>
      </text>
    </comment>
    <comment ref="X164" authorId="3" shapeId="0" xr:uid="{010A2327-27C0-4610-895E-5EBD607B36C1}">
      <text>
        <r>
          <rPr>
            <sz val="11"/>
            <color theme="1"/>
            <rFont val="Calibri"/>
            <family val="2"/>
            <scheme val="minor"/>
          </rPr>
          <t xml:space="preserve">Meagan Slater:
gary is hoping for 100, nut is nervous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B19" authorId="0" shapeId="0" xr:uid="{8377472A-36F5-49BA-A4D6-24D596BF59F7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2024 had poor production due to overwatering. If the issue is fixed this year, I am assuming it will have the same yield as Block 2b in a low production year (to be conservative)</t>
        </r>
      </text>
    </comment>
    <comment ref="C19" authorId="0" shapeId="0" xr:uid="{130D88BF-2AF1-4399-B5AC-9E73BB2577E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Does not have alternate bearing years. Assuming same yield as last year
</t>
        </r>
      </text>
    </comment>
    <comment ref="D19" authorId="0" shapeId="0" xr:uid="{19229DE6-C736-4DE5-9BC6-7FF22FEAAB14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Clementines have alternating yield years. I took the average of the high years.</t>
        </r>
      </text>
    </comment>
    <comment ref="M19" authorId="0" shapeId="0" xr:uid="{4B97B0F5-F904-483E-911C-7C2B7226C040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Need to figure out why this blk produces less than Blk2a. Going to assume the same as last year.</t>
        </r>
      </text>
    </comment>
    <comment ref="O19" authorId="0" shapeId="0" xr:uid="{23B13C57-E5B7-4363-9F9E-B4D38596FC7B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this year will be a full harvest and will match Blk 3</t>
        </r>
      </text>
    </comment>
    <comment ref="R19" authorId="0" shapeId="0" xr:uid="{121F3CD9-EE6C-416C-AB86-50F454A3DCB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the same yield as Blk 12 on its second year</t>
        </r>
      </text>
    </comment>
    <comment ref="Q25" authorId="0" shapeId="0" xr:uid="{859FC12C-90DA-4FFF-8E24-569FD43FB3F9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6" authorId="0" shapeId="0" xr:uid="{61F334A0-021F-4A0C-8B37-3A315FE84756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From cost study</t>
        </r>
      </text>
    </comment>
    <comment ref="Q27" authorId="0" shapeId="0" xr:uid="{C6897EF1-449E-40A3-BA4A-E1C2ED526B03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5 years until first harvest from internet research
</t>
        </r>
      </text>
    </comment>
    <comment ref="Q28" authorId="0" shapeId="0" xr:uid="{5939487C-0E4C-4B3F-874E-E9246D6AD59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Assuming 7 years until maturity from internet research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Meagan Slater</author>
  </authors>
  <commentList>
    <comment ref="Q18" authorId="0" shapeId="0" xr:uid="{2DC83D79-550E-4EE0-A446-8A30F39747D2}">
      <text>
        <r>
          <rPr>
            <b/>
            <sz val="9"/>
            <color indexed="81"/>
            <rFont val="Tahoma"/>
            <family val="2"/>
          </rPr>
          <t>Meagan Slater:</t>
        </r>
        <r>
          <rPr>
            <sz val="9"/>
            <color indexed="81"/>
            <rFont val="Tahoma"/>
            <family val="2"/>
          </rPr>
          <t xml:space="preserve">
https://downloads.usda.library.cornell.edu/usda-esmis/files/h989r3203/jh345f86k/gm80kk05c/FTS-378.pdf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slater</author>
  </authors>
  <commentList>
    <comment ref="D2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slater:</t>
        </r>
        <r>
          <rPr>
            <sz val="9"/>
            <color indexed="81"/>
            <rFont val="Tahoma"/>
            <family val="2"/>
          </rPr>
          <t xml:space="preserve">
Pickers this year were very scarce so Sun Pacific had to pay a bonus to keep their pickers. This is for all blocks and covers the whole season.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<sst xmlns="http://schemas.openxmlformats.org/spreadsheetml/2006/main" count="1521" uniqueCount="277">
  <si>
    <t>Block 1 (OLD)</t>
  </si>
  <si>
    <t>Block 2 (OLD)</t>
  </si>
  <si>
    <t>Block 1</t>
  </si>
  <si>
    <t>Block 2a</t>
  </si>
  <si>
    <t>Block 2b</t>
  </si>
  <si>
    <t>Block 3</t>
  </si>
  <si>
    <t>Block 4 (1)</t>
  </si>
  <si>
    <t>Block 5 (6W)</t>
  </si>
  <si>
    <t>Block 6 (6M)</t>
  </si>
  <si>
    <t>Block 7 (6E)</t>
  </si>
  <si>
    <t>Block 8</t>
  </si>
  <si>
    <t>Block 9</t>
  </si>
  <si>
    <t>Block 10</t>
  </si>
  <si>
    <t>Block 11</t>
  </si>
  <si>
    <t>Block 12</t>
  </si>
  <si>
    <t>Block 13W</t>
  </si>
  <si>
    <t>Block 14</t>
  </si>
  <si>
    <t>Block 15</t>
  </si>
  <si>
    <t>Block 16L</t>
  </si>
  <si>
    <t>Block 17</t>
  </si>
  <si>
    <t>Block 18</t>
  </si>
  <si>
    <t>Block 19</t>
  </si>
  <si>
    <t>Atwood</t>
  </si>
  <si>
    <t>Clementines</t>
  </si>
  <si>
    <t>Tangos</t>
  </si>
  <si>
    <t>Washington</t>
  </si>
  <si>
    <t>Valencia</t>
  </si>
  <si>
    <t>Late Lane</t>
  </si>
  <si>
    <t>Cara Caras</t>
  </si>
  <si>
    <t>Powells</t>
  </si>
  <si>
    <t>Lemons</t>
  </si>
  <si>
    <t>Washingtons</t>
  </si>
  <si>
    <t>Grapefruit</t>
  </si>
  <si>
    <t>Cara Cara</t>
  </si>
  <si>
    <t>Total</t>
  </si>
  <si>
    <t>Other</t>
  </si>
  <si>
    <t>Year Planted</t>
  </si>
  <si>
    <t>???</t>
  </si>
  <si>
    <t>Planted Acres</t>
  </si>
  <si>
    <t>Citrus</t>
  </si>
  <si>
    <t>Revenue</t>
  </si>
  <si>
    <t>Olives</t>
  </si>
  <si>
    <t>Total Field Boxes</t>
  </si>
  <si>
    <t>Field Boxes Per Acre</t>
  </si>
  <si>
    <t>Total Bins (Tons)</t>
  </si>
  <si>
    <t>Bins per Acre</t>
  </si>
  <si>
    <t>$ / Bin</t>
  </si>
  <si>
    <t>Total Revenue</t>
  </si>
  <si>
    <t>Checks Received</t>
  </si>
  <si>
    <t>Estimated Revenue</t>
  </si>
  <si>
    <t>c</t>
  </si>
  <si>
    <t>Does not match quickbooks. Also, Blk 2 revenue does not match the final growers report</t>
  </si>
  <si>
    <t>Total is accurate, but Blk3 is inaccurate. Based on the final grower statement the revenue should be $117,373.48</t>
  </si>
  <si>
    <t>Sun Pacific Equity Adj</t>
  </si>
  <si>
    <t>Total Adjusted Revenue</t>
  </si>
  <si>
    <t>Adjusted $/Bin</t>
  </si>
  <si>
    <t>2025E</t>
  </si>
  <si>
    <t>2028E</t>
  </si>
  <si>
    <t>Bins Per Acre</t>
  </si>
  <si>
    <t>Acres</t>
  </si>
  <si>
    <t>Variety</t>
  </si>
  <si>
    <t>Orchard Age</t>
  </si>
  <si>
    <t>Years Until First Harvest</t>
  </si>
  <si>
    <t>-</t>
  </si>
  <si>
    <t>Not enough data</t>
  </si>
  <si>
    <t>Years Until Maturity</t>
  </si>
  <si>
    <t>Est. Year of first production</t>
  </si>
  <si>
    <t>Est. Year of Maturity</t>
  </si>
  <si>
    <t>https://escholarship.org/content/qt7km7t2kr/qt7km7t2kr.pdf?t=s2gu0h#:~:text=These%20harvest%20costs%20are%20based,bins%20per%20acre%20for%20mandarins8.</t>
  </si>
  <si>
    <t>$ Per Bin</t>
  </si>
  <si>
    <t>Check Date</t>
  </si>
  <si>
    <t>Block</t>
  </si>
  <si>
    <t>Amount</t>
  </si>
  <si>
    <t>Month</t>
  </si>
  <si>
    <t>Bins</t>
  </si>
  <si>
    <t>$/bin</t>
  </si>
  <si>
    <t>Packhouse</t>
  </si>
  <si>
    <t>Comments</t>
  </si>
  <si>
    <t>Total Check Amount</t>
  </si>
  <si>
    <t>Est Total</t>
  </si>
  <si>
    <t>Est $/Bin</t>
  </si>
  <si>
    <t>Final/Not Final</t>
  </si>
  <si>
    <t>Notes</t>
  </si>
  <si>
    <t>DEC</t>
  </si>
  <si>
    <t>Sun Pacific</t>
  </si>
  <si>
    <t>CLM ADV</t>
  </si>
  <si>
    <t>Final</t>
  </si>
  <si>
    <t>NAV ADV</t>
  </si>
  <si>
    <t>Block 2A</t>
  </si>
  <si>
    <t>Block 2B</t>
  </si>
  <si>
    <t>OCT/NOV</t>
  </si>
  <si>
    <t>LEM ADV</t>
  </si>
  <si>
    <t>Block 4</t>
  </si>
  <si>
    <t>Block 5</t>
  </si>
  <si>
    <t>Block 6</t>
  </si>
  <si>
    <t>Block 18W</t>
  </si>
  <si>
    <t>JAN</t>
  </si>
  <si>
    <t>Block 7</t>
  </si>
  <si>
    <t>Block 19C</t>
  </si>
  <si>
    <t>CAR ADV</t>
  </si>
  <si>
    <t>Quickbooks Total</t>
  </si>
  <si>
    <t>Delta</t>
  </si>
  <si>
    <t>Est Amount Remaining</t>
  </si>
  <si>
    <t>2024 ADV</t>
  </si>
  <si>
    <t>2024 Total</t>
  </si>
  <si>
    <t>2024 AVD %</t>
  </si>
  <si>
    <t>2025 ADV</t>
  </si>
  <si>
    <t>2025EST Total</t>
  </si>
  <si>
    <t>2025 EST Total (Gary)</t>
  </si>
  <si>
    <t>2024 Bins</t>
  </si>
  <si>
    <t>2025 Bins (YTD)</t>
  </si>
  <si>
    <t>Oct/Nov</t>
  </si>
  <si>
    <t>LEM ADV 12 OCT/NOV PACKS</t>
  </si>
  <si>
    <t>where did I get the bins from?</t>
  </si>
  <si>
    <t>Poor packout because the fruit was oversized and the fruit dried out internally. Cutting back on water next year - per Tim</t>
  </si>
  <si>
    <t>Dec</t>
  </si>
  <si>
    <t>LEM ADV 12 DEC PACKS</t>
  </si>
  <si>
    <t>LEM ADV 16W DEC PACKS</t>
  </si>
  <si>
    <t>NAV ADV 13W DEC PACKS</t>
  </si>
  <si>
    <t>CLM ADV 1 DEC PACKS</t>
  </si>
  <si>
    <t>CLM ADV 2B DEC PACKS</t>
  </si>
  <si>
    <t>CAR ADV 9 DEC PACKS</t>
  </si>
  <si>
    <t>Jan</t>
  </si>
  <si>
    <t>CAR ADV 9 - JAN PACKS</t>
  </si>
  <si>
    <t>March</t>
  </si>
  <si>
    <t>MUR ADV 2A - MAR PACKS</t>
  </si>
  <si>
    <t>FINAL CLEM</t>
  </si>
  <si>
    <t>April</t>
  </si>
  <si>
    <t>MUR ADV 11 - APR PACKS</t>
  </si>
  <si>
    <t>NAV AVD 10 - APR PACKS</t>
  </si>
  <si>
    <t>CAR ADV 9 - ARP PACKS</t>
  </si>
  <si>
    <t>May</t>
  </si>
  <si>
    <t>MUR ADV 11 - MAY PACKS</t>
  </si>
  <si>
    <t>MUR ADV 2A - MAY PACKS</t>
  </si>
  <si>
    <t>LEM ADV 12 - MAY PACKS</t>
  </si>
  <si>
    <t>CAR ADV 9 - MAY PACKS</t>
  </si>
  <si>
    <t>McFarlin Family Farms</t>
  </si>
  <si>
    <t>5 BINS OF TANGOS</t>
  </si>
  <si>
    <t>Favorable AR (Sun Pacific)</t>
  </si>
  <si>
    <t>Jun</t>
  </si>
  <si>
    <t>MUR ADV 2A - JUN PACKS</t>
  </si>
  <si>
    <t>2019 Revolving Fund Dist</t>
  </si>
  <si>
    <t>NAV ADV 8 - JUN PACKS</t>
  </si>
  <si>
    <t>FINAL NAV</t>
  </si>
  <si>
    <t>FINAL CAR</t>
  </si>
  <si>
    <t>BLK 3 WASH NAVEL</t>
  </si>
  <si>
    <t>Progress</t>
  </si>
  <si>
    <t>POOL J23CV01 BLCK 3316004 PROGRESS PAY</t>
  </si>
  <si>
    <t>POOL J23CV01 BLCK 3316005 PROGRESS PAY</t>
  </si>
  <si>
    <t>POOL J23CV01 BLCK 3316006 PROGRESS PAY</t>
  </si>
  <si>
    <t>POOL J23CV01 BLCK 3316007 PROGRESS PAY</t>
  </si>
  <si>
    <t>FINAL MUR 24MRL01</t>
  </si>
  <si>
    <t>From $27,941.80 invoice</t>
  </si>
  <si>
    <t>FINAL MUR 24MRL02</t>
  </si>
  <si>
    <t>FINAL MUR 24MUR01</t>
  </si>
  <si>
    <t>From $32,700.16 invoice</t>
  </si>
  <si>
    <t>FINAL MUR 24MUR02</t>
  </si>
  <si>
    <t>FINAL NAV 24GML04</t>
  </si>
  <si>
    <t>FINAL NAV 24LTH06</t>
  </si>
  <si>
    <t>FINAL LEM 24LEM01</t>
  </si>
  <si>
    <t>From $32,507.17 invoice</t>
  </si>
  <si>
    <t>Jireh</t>
  </si>
  <si>
    <t>Blk 4 Valencia</t>
  </si>
  <si>
    <t>Blk 5 Valencia</t>
  </si>
  <si>
    <t>Blk 6 Valencia</t>
  </si>
  <si>
    <t>Blk 7 Valencia</t>
  </si>
  <si>
    <t>Monthly Total</t>
  </si>
  <si>
    <t>Percentage of Total</t>
  </si>
  <si>
    <t>75% advance</t>
  </si>
  <si>
    <t>20% juice</t>
  </si>
  <si>
    <t>Feb</t>
  </si>
  <si>
    <t>13% juice</t>
  </si>
  <si>
    <t>87% was fancy, only 10% juice</t>
  </si>
  <si>
    <t>40% juice</t>
  </si>
  <si>
    <t>31% juice, 67% fancy</t>
  </si>
  <si>
    <t>65% advance // 37% juice</t>
  </si>
  <si>
    <t>35% juice</t>
  </si>
  <si>
    <t>50% advance</t>
  </si>
  <si>
    <t>June</t>
  </si>
  <si>
    <t>Valencias</t>
  </si>
  <si>
    <t>Thru 9/22</t>
  </si>
  <si>
    <t xml:space="preserve">Block 8 </t>
  </si>
  <si>
    <t>Equity Adj (Sun Pacific)</t>
  </si>
  <si>
    <t>2022 Equity Adj (Villa Park)</t>
  </si>
  <si>
    <t>21-22 Equity Adj (Sun Pacific)</t>
  </si>
  <si>
    <t>60% advance</t>
  </si>
  <si>
    <t>Lori at Villa Park said we should expect $242,000 for our valencias</t>
  </si>
  <si>
    <t>Final (138 bins)</t>
  </si>
  <si>
    <t>Final (350 bins)</t>
  </si>
  <si>
    <t>Final (308 bins)</t>
  </si>
  <si>
    <t>Final (861 bins)</t>
  </si>
  <si>
    <t>Caras</t>
  </si>
  <si>
    <t>Dec packs</t>
  </si>
  <si>
    <t>Dec Packs</t>
  </si>
  <si>
    <t>Jan Packs</t>
  </si>
  <si>
    <t>Feb Packs</t>
  </si>
  <si>
    <t>March Packs</t>
  </si>
  <si>
    <t>April Packs</t>
  </si>
  <si>
    <t>Final Clem</t>
  </si>
  <si>
    <t>May Packs</t>
  </si>
  <si>
    <t>50% advance per Tamara</t>
  </si>
  <si>
    <t>50% advance on fruit received thru 9/18</t>
  </si>
  <si>
    <t>Final Lemons</t>
  </si>
  <si>
    <t>Final Caras</t>
  </si>
  <si>
    <t>Final Block 11</t>
  </si>
  <si>
    <t>Final Block 2A</t>
  </si>
  <si>
    <t>Pool 4</t>
  </si>
  <si>
    <t>Pool 6</t>
  </si>
  <si>
    <t>Final on 2/26/20 packs (289 bins)</t>
  </si>
  <si>
    <t>for 301 bins</t>
  </si>
  <si>
    <t>only thru 9/21/20 - they estimate $283,000 for 2,283 bins</t>
  </si>
  <si>
    <t xml:space="preserve">Final packout on 375 bins </t>
  </si>
  <si>
    <t>Final packout</t>
  </si>
  <si>
    <t>Oct/Nov advance (346.75 bins)</t>
  </si>
  <si>
    <t>Dec/Jan advance (197 bins)</t>
  </si>
  <si>
    <t>Feb advance (160 bins)</t>
  </si>
  <si>
    <t>Feb advance (298.5 bins)</t>
  </si>
  <si>
    <t>Feb advance (86 bins)</t>
  </si>
  <si>
    <t>March advance (100 bins)</t>
  </si>
  <si>
    <t>March advance (196 bins)</t>
  </si>
  <si>
    <t>March advance (171 bins)</t>
  </si>
  <si>
    <t>April advance (176 bins)</t>
  </si>
  <si>
    <t>April advance (178 bins)</t>
  </si>
  <si>
    <t>May advance (403 bins)</t>
  </si>
  <si>
    <t>June advance (130 bins)</t>
  </si>
  <si>
    <t>July advance (548 bins)</t>
  </si>
  <si>
    <t>Final Cara Cara</t>
  </si>
  <si>
    <t xml:space="preserve">Final </t>
  </si>
  <si>
    <t>Final Block 8 (548 bins)</t>
  </si>
  <si>
    <t>Final Block 8 (176 bins)</t>
  </si>
  <si>
    <t>Final Block 10 (403 bins)</t>
  </si>
  <si>
    <t>Final June (103 bins)</t>
  </si>
  <si>
    <t>Oct/Nov advance (270 bins)</t>
  </si>
  <si>
    <t>Clementines advance</t>
  </si>
  <si>
    <t>Jan advance (215 bins)</t>
  </si>
  <si>
    <t>Jan advance ([  ] bins)</t>
  </si>
  <si>
    <t>Clementines (total)</t>
  </si>
  <si>
    <t>300 bins</t>
  </si>
  <si>
    <t>March advance (35 bins)</t>
  </si>
  <si>
    <t>April advance (300 bins)</t>
  </si>
  <si>
    <t>May advance (114 bins)</t>
  </si>
  <si>
    <t>May advance (668 bins)</t>
  </si>
  <si>
    <t>final for 300 bins</t>
  </si>
  <si>
    <t>final for all 820 bins</t>
  </si>
  <si>
    <t>final for 216 bins</t>
  </si>
  <si>
    <t>final for 350 bins</t>
  </si>
  <si>
    <t>final for 318 bins</t>
  </si>
  <si>
    <t>final for 114 bins</t>
  </si>
  <si>
    <t>50% advance for valencias picked through 9/21 (1,136 bins)</t>
  </si>
  <si>
    <t>Implied</t>
  </si>
  <si>
    <t>Advance</t>
  </si>
  <si>
    <t>Weighted Avg</t>
  </si>
  <si>
    <t>Pool 2</t>
  </si>
  <si>
    <t>Pool 1</t>
  </si>
  <si>
    <t>April packs advance - 100 bins</t>
  </si>
  <si>
    <t>May packs advance - 594 bins</t>
  </si>
  <si>
    <t>Block 2</t>
  </si>
  <si>
    <t>Pool 3</t>
  </si>
  <si>
    <t>Pool 5</t>
  </si>
  <si>
    <t>I don’t think this should be Block 3</t>
  </si>
  <si>
    <t>Feb Packout</t>
  </si>
  <si>
    <t>March Packout</t>
  </si>
  <si>
    <t>April Packout</t>
  </si>
  <si>
    <t>May Packout</t>
  </si>
  <si>
    <t>Closing out Pool 1</t>
  </si>
  <si>
    <t>Korea Protocol</t>
  </si>
  <si>
    <t>All Blocks</t>
  </si>
  <si>
    <t>Picking Bonus Charge</t>
  </si>
  <si>
    <t>Misc</t>
  </si>
  <si>
    <t>Year</t>
  </si>
  <si>
    <t>1 (OLD)</t>
  </si>
  <si>
    <t>2A</t>
  </si>
  <si>
    <t>2B</t>
  </si>
  <si>
    <t>2 (OLD)</t>
  </si>
  <si>
    <t>Clementine</t>
  </si>
  <si>
    <t>Tango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</si>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</sst>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&quot;Block&quot;\ #"/>
    <numFmt numFmtId="167" formatCode="##\ &quot;Acres&quot;"/>
    <numFmt numFmtId="168" formatCode="##.#\ &quot;Acres&quot;"/>
    <numFmt numFmtId="169" formatCode="###\ &quot;bins&quot;"/>
    <numFmt numFmtId="170" formatCode="mm/dd/yy;@"/>
    <numFmt numFmtId="171" formatCode="#,##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0" fillId="0" borderId="0"/>
    <xf numFmtId="44" fontId="6" fillId="0" borderId="0" applyFont="0" applyFill="0" applyBorder="0" applyAlignment="0" applyProtection="0"/>
  </cellStyleXfs>
  <cellXfs count="137">
    <xf numFmtId="0" fontId="0" fillId="0" borderId="0" xfId="0"/>
    <xf numFmtId="0" fontId="3" fillId="0" borderId="0" xfId="0" applyFont="1"/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165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5" fontId="3" fillId="0" borderId="10" xfId="0" applyNumberFormat="1" applyFont="1" applyBorder="1"/>
    <xf numFmtId="3" fontId="0" fillId="0" borderId="0" xfId="0" applyNumberFormat="1"/>
    <xf numFmtId="0" fontId="0" fillId="4" borderId="0" xfId="0" applyFill="1"/>
    <xf numFmtId="165" fontId="0" fillId="4" borderId="0" xfId="0" applyNumberFormat="1" applyFill="1"/>
    <xf numFmtId="165" fontId="3" fillId="4" borderId="10" xfId="0" applyNumberFormat="1" applyFont="1" applyFill="1" applyBorder="1"/>
    <xf numFmtId="165" fontId="7" fillId="0" borderId="0" xfId="0" applyNumberFormat="1" applyFont="1"/>
    <xf numFmtId="165" fontId="3" fillId="0" borderId="0" xfId="0" applyNumberFormat="1" applyFont="1"/>
    <xf numFmtId="4" fontId="0" fillId="0" borderId="0" xfId="0" applyNumberFormat="1"/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12" fillId="2" borderId="0" xfId="0" applyFont="1" applyFill="1"/>
    <xf numFmtId="0" fontId="12" fillId="0" borderId="0" xfId="0" applyFont="1"/>
    <xf numFmtId="0" fontId="12" fillId="0" borderId="2" xfId="0" applyFont="1" applyBorder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3" fillId="0" borderId="10" xfId="0" applyFont="1" applyBorder="1"/>
    <xf numFmtId="3" fontId="13" fillId="0" borderId="0" xfId="0" applyNumberFormat="1" applyFont="1"/>
    <xf numFmtId="3" fontId="14" fillId="0" borderId="0" xfId="0" applyNumberFormat="1" applyFont="1"/>
    <xf numFmtId="164" fontId="14" fillId="3" borderId="0" xfId="0" applyNumberFormat="1" applyFont="1" applyFill="1"/>
    <xf numFmtId="164" fontId="14" fillId="0" borderId="7" xfId="0" applyNumberFormat="1" applyFont="1" applyBorder="1"/>
    <xf numFmtId="164" fontId="14" fillId="0" borderId="0" xfId="0" applyNumberFormat="1" applyFont="1"/>
    <xf numFmtId="164" fontId="14" fillId="0" borderId="2" xfId="0" applyNumberFormat="1" applyFont="1" applyBorder="1"/>
    <xf numFmtId="3" fontId="15" fillId="0" borderId="0" xfId="0" applyNumberFormat="1" applyFont="1"/>
    <xf numFmtId="164" fontId="15" fillId="3" borderId="0" xfId="0" applyNumberFormat="1" applyFont="1" applyFill="1"/>
    <xf numFmtId="164" fontId="13" fillId="3" borderId="0" xfId="0" applyNumberFormat="1" applyFont="1" applyFill="1"/>
    <xf numFmtId="165" fontId="4" fillId="0" borderId="0" xfId="0" applyNumberFormat="1" applyFont="1"/>
    <xf numFmtId="0" fontId="3" fillId="0" borderId="0" xfId="0" applyFont="1" applyAlignment="1">
      <alignment horizontal="left"/>
    </xf>
    <xf numFmtId="171" fontId="14" fillId="0" borderId="0" xfId="0" applyNumberFormat="1" applyFont="1"/>
    <xf numFmtId="4" fontId="3" fillId="0" borderId="10" xfId="0" applyNumberFormat="1" applyFont="1" applyBorder="1"/>
    <xf numFmtId="4" fontId="3" fillId="0" borderId="0" xfId="0" applyNumberFormat="1" applyFont="1"/>
    <xf numFmtId="4" fontId="3" fillId="0" borderId="9" xfId="0" applyNumberFormat="1" applyFont="1" applyBorder="1"/>
    <xf numFmtId="4" fontId="0" fillId="4" borderId="0" xfId="0" applyNumberFormat="1" applyFill="1"/>
    <xf numFmtId="0" fontId="3" fillId="5" borderId="0" xfId="0" applyFont="1" applyFill="1"/>
    <xf numFmtId="3" fontId="14" fillId="5" borderId="0" xfId="0" applyNumberFormat="1" applyFont="1" applyFill="1"/>
    <xf numFmtId="0" fontId="0" fillId="5" borderId="0" xfId="0" applyFill="1" applyAlignment="1">
      <alignment horizontal="left" indent="1"/>
    </xf>
    <xf numFmtId="165" fontId="0" fillId="5" borderId="0" xfId="0" applyNumberFormat="1" applyFill="1"/>
    <xf numFmtId="3" fontId="16" fillId="5" borderId="0" xfId="0" applyNumberFormat="1" applyFont="1" applyFill="1"/>
    <xf numFmtId="165" fontId="16" fillId="5" borderId="0" xfId="0" applyNumberFormat="1" applyFont="1" applyFill="1"/>
    <xf numFmtId="4" fontId="0" fillId="0" borderId="0" xfId="0" applyNumberFormat="1" applyAlignment="1">
      <alignment horizontal="left" indent="1"/>
    </xf>
    <xf numFmtId="44" fontId="0" fillId="0" borderId="0" xfId="4" applyFont="1"/>
    <xf numFmtId="44" fontId="0" fillId="0" borderId="0" xfId="0" applyNumberFormat="1"/>
    <xf numFmtId="164" fontId="0" fillId="0" borderId="0" xfId="0" applyNumberFormat="1"/>
    <xf numFmtId="0" fontId="3" fillId="0" borderId="9" xfId="0" applyFont="1" applyBorder="1" applyAlignment="1">
      <alignment horizontal="left"/>
    </xf>
    <xf numFmtId="164" fontId="13" fillId="0" borderId="0" xfId="0" applyNumberFormat="1" applyFont="1"/>
    <xf numFmtId="3" fontId="7" fillId="5" borderId="0" xfId="0" applyNumberFormat="1" applyFont="1" applyFill="1"/>
    <xf numFmtId="165" fontId="7" fillId="5" borderId="0" xfId="0" applyNumberFormat="1" applyFont="1" applyFill="1"/>
    <xf numFmtId="164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3" fillId="5" borderId="11" xfId="0" applyFont="1" applyFill="1" applyBorder="1" applyAlignment="1">
      <alignment horizontal="center"/>
    </xf>
    <xf numFmtId="44" fontId="3" fillId="5" borderId="11" xfId="0" applyNumberFormat="1" applyFont="1" applyFill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5" fontId="3" fillId="4" borderId="0" xfId="0" applyNumberFormat="1" applyFont="1" applyFill="1"/>
    <xf numFmtId="0" fontId="16" fillId="0" borderId="0" xfId="0" applyFont="1"/>
    <xf numFmtId="165" fontId="16" fillId="0" borderId="0" xfId="0" applyNumberFormat="1" applyFont="1"/>
    <xf numFmtId="37" fontId="3" fillId="5" borderId="11" xfId="0" applyNumberFormat="1" applyFont="1" applyFill="1" applyBorder="1" applyAlignment="1">
      <alignment horizontal="center"/>
    </xf>
    <xf numFmtId="37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44" fontId="3" fillId="0" borderId="9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11" xfId="0" applyFont="1" applyBorder="1" applyAlignment="1">
      <alignment horizontal="center"/>
    </xf>
    <xf numFmtId="44" fontId="7" fillId="0" borderId="11" xfId="0" applyNumberFormat="1" applyFont="1" applyBorder="1" applyAlignment="1">
      <alignment horizontal="center"/>
    </xf>
    <xf numFmtId="37" fontId="7" fillId="0" borderId="11" xfId="0" applyNumberFormat="1" applyFont="1" applyBorder="1" applyAlignment="1">
      <alignment horizontal="center"/>
    </xf>
    <xf numFmtId="165" fontId="14" fillId="3" borderId="0" xfId="0" applyNumberFormat="1" applyFont="1" applyFill="1"/>
    <xf numFmtId="165" fontId="13" fillId="3" borderId="0" xfId="0" applyNumberFormat="1" applyFont="1" applyFill="1"/>
    <xf numFmtId="2" fontId="7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 textRotation="90" wrapText="1"/>
    </xf>
    <xf numFmtId="2" fontId="7" fillId="6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0" xfId="0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3" fontId="16" fillId="4" borderId="0" xfId="0" applyNumberFormat="1" applyFont="1" applyFill="1" applyAlignment="1">
      <alignment horizontal="center"/>
    </xf>
    <xf numFmtId="3" fontId="16" fillId="0" borderId="0" xfId="0" applyNumberFormat="1" applyFont="1" applyAlignment="1">
      <alignment horizontal="center"/>
    </xf>
    <xf numFmtId="0" fontId="14" fillId="0" borderId="0" xfId="0" applyFon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6" fillId="4" borderId="0" xfId="0" applyNumberFormat="1" applyFont="1" applyFill="1" applyAlignment="1">
      <alignment horizontal="center"/>
    </xf>
    <xf numFmtId="1" fontId="16" fillId="6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2" fontId="16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44" fontId="0" fillId="0" borderId="11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168" fontId="1" fillId="2" borderId="0" xfId="0" applyNumberFormat="1" applyFont="1" applyFill="1" applyAlignment="1">
      <alignment horizontal="center"/>
    </xf>
    <xf numFmtId="167" fontId="1" fillId="2" borderId="0" xfId="0" applyNumberFormat="1" applyFont="1" applyFill="1" applyAlignment="1">
      <alignment horizontal="center"/>
    </xf>
    <xf numFmtId="0" fontId="6" fillId="0" borderId="0" xfId="0" applyFont="1"/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Alignment="1">
      <alignment horizontal="left"/>
    </xf>
    <xf numFmtId="0" fontId="3" fillId="3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3" fontId="3" fillId="0" borderId="0" xfId="0" applyNumberFormat="1" applyFont="1"/>
    <xf numFmtId="3" fontId="6" fillId="0" borderId="0" xfId="0" applyNumberFormat="1" applyFont="1"/>
    <xf numFmtId="164" fontId="6" fillId="0" borderId="0" xfId="0" applyNumberFormat="1" applyFont="1"/>
    <xf numFmtId="0" fontId="6" fillId="5" borderId="0" xfId="0" applyFont="1" applyFill="1"/>
    <xf numFmtId="164" fontId="6" fillId="5" borderId="0" xfId="0" applyNumberFormat="1" applyFont="1" applyFill="1"/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4" borderId="0" xfId="0" applyNumberFormat="1" applyFont="1" applyFill="1"/>
    <xf numFmtId="165" fontId="6" fillId="0" borderId="0" xfId="0" applyNumberFormat="1" applyFont="1"/>
    <xf numFmtId="1" fontId="14" fillId="0" borderId="0" xfId="0" applyNumberFormat="1" applyFont="1"/>
    <xf numFmtId="0" fontId="1" fillId="2" borderId="0" xfId="0" applyFont="1" applyFill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textRotation="90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5">
    <cellStyle name="Currency" xfId="4" builtinId="4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30</xdr:row>
      <xdr:rowOff>104775</xdr:rowOff>
    </xdr:from>
    <xdr:to>
      <xdr:col>8</xdr:col>
      <xdr:colOff>511498</xdr:colOff>
      <xdr:row>38</xdr:row>
      <xdr:rowOff>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D5958C-836D-834B-F504-C8417D36F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134100"/>
          <a:ext cx="6293173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AH182"/>
  <sheetViews>
    <sheetView zoomScale="80" zoomScaleNormal="80" zoomScaleSheetLayoutView="85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G4" sqref="G4"/>
    </sheetView>
  </sheetViews>
  <sheetFormatPr defaultColWidth="9" defaultRowHeight="15" x14ac:dyDescent="0.25"/>
  <cols>
    <col min="1" max="1" width="9" style="18"/>
    <col min="2" max="2" width="1" style="18" customWidth="1"/>
    <col min="3" max="3" width="3.5703125" style="18" customWidth="1"/>
    <col min="4" max="4" width="1.7109375" style="18" customWidth="1"/>
    <col min="5" max="5" width="20.28515625" style="18" customWidth="1"/>
    <col min="6" max="23" width="12.140625" style="18" customWidth="1"/>
    <col min="24" max="24" width="12.85546875" style="18" bestFit="1" customWidth="1"/>
    <col min="25" max="27" width="12.140625" style="18" customWidth="1"/>
    <col min="28" max="28" width="13.140625" style="18" customWidth="1"/>
    <col min="29" max="29" width="15.7109375" style="18" customWidth="1"/>
    <col min="30" max="30" width="12.140625" style="18" customWidth="1"/>
    <col min="31" max="31" width="13.42578125" style="18" bestFit="1" customWidth="1"/>
    <col min="32" max="32" width="1" style="18" customWidth="1"/>
    <col min="33" max="16384" width="9" style="18"/>
  </cols>
  <sheetData>
    <row r="2" spans="2:32" x14ac:dyDescent="0.25">
      <c r="B2" s="103"/>
      <c r="C2" s="104"/>
      <c r="D2" s="104"/>
      <c r="E2" s="19"/>
      <c r="F2" s="23" t="s">
        <v>0</v>
      </c>
      <c r="G2" s="23" t="s">
        <v>1</v>
      </c>
      <c r="H2" s="23" t="s">
        <v>2</v>
      </c>
      <c r="I2" s="23" t="s">
        <v>3</v>
      </c>
      <c r="J2" s="23" t="s">
        <v>4</v>
      </c>
      <c r="K2" s="23" t="s">
        <v>5</v>
      </c>
      <c r="L2" s="23" t="s">
        <v>6</v>
      </c>
      <c r="M2" s="23" t="s">
        <v>7</v>
      </c>
      <c r="N2" s="23" t="s">
        <v>8</v>
      </c>
      <c r="O2" s="23" t="s">
        <v>9</v>
      </c>
      <c r="P2" s="23" t="s">
        <v>10</v>
      </c>
      <c r="Q2" s="23" t="s">
        <v>11</v>
      </c>
      <c r="R2" s="23" t="s">
        <v>12</v>
      </c>
      <c r="S2" s="23" t="s">
        <v>13</v>
      </c>
      <c r="T2" s="23" t="s">
        <v>14</v>
      </c>
      <c r="U2" s="23" t="s">
        <v>15</v>
      </c>
      <c r="V2" s="23" t="s">
        <v>16</v>
      </c>
      <c r="W2" s="23" t="s">
        <v>17</v>
      </c>
      <c r="X2" s="23" t="s">
        <v>18</v>
      </c>
      <c r="Y2" s="23" t="s">
        <v>19</v>
      </c>
      <c r="Z2" s="23" t="s">
        <v>20</v>
      </c>
      <c r="AA2" s="23" t="s">
        <v>21</v>
      </c>
      <c r="AB2" s="23"/>
      <c r="AC2" s="22"/>
      <c r="AD2" s="23"/>
      <c r="AE2" s="23"/>
      <c r="AF2" s="104"/>
    </row>
    <row r="3" spans="2:32" x14ac:dyDescent="0.25">
      <c r="B3" s="103"/>
      <c r="C3" s="104"/>
      <c r="D3" s="104"/>
      <c r="E3" s="19"/>
      <c r="F3" s="22" t="s">
        <v>22</v>
      </c>
      <c r="G3" s="22" t="s">
        <v>25</v>
      </c>
      <c r="H3" s="22" t="s">
        <v>23</v>
      </c>
      <c r="I3" s="22" t="s">
        <v>24</v>
      </c>
      <c r="J3" s="22" t="s">
        <v>23</v>
      </c>
      <c r="K3" s="22" t="s">
        <v>25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27</v>
      </c>
      <c r="Q3" s="22" t="s">
        <v>28</v>
      </c>
      <c r="R3" s="22" t="s">
        <v>29</v>
      </c>
      <c r="S3" s="22" t="s">
        <v>24</v>
      </c>
      <c r="T3" s="22" t="s">
        <v>30</v>
      </c>
      <c r="U3" s="22" t="s">
        <v>31</v>
      </c>
      <c r="V3" s="22" t="s">
        <v>31</v>
      </c>
      <c r="W3" s="22" t="s">
        <v>32</v>
      </c>
      <c r="X3" s="22" t="s">
        <v>30</v>
      </c>
      <c r="Y3" s="22" t="s">
        <v>24</v>
      </c>
      <c r="Z3" s="22" t="s">
        <v>31</v>
      </c>
      <c r="AA3" s="22" t="s">
        <v>33</v>
      </c>
      <c r="AB3" s="22" t="s">
        <v>34</v>
      </c>
      <c r="AC3" s="22" t="s">
        <v>35</v>
      </c>
      <c r="AD3" s="22"/>
      <c r="AE3" s="22"/>
      <c r="AF3" s="104"/>
    </row>
    <row r="4" spans="2:32" x14ac:dyDescent="0.25">
      <c r="B4" s="103"/>
      <c r="C4" s="104"/>
      <c r="D4" s="104"/>
      <c r="E4" s="19" t="s">
        <v>36</v>
      </c>
      <c r="F4" s="22"/>
      <c r="G4" s="22"/>
      <c r="H4" s="22">
        <v>2017</v>
      </c>
      <c r="I4" s="22">
        <v>2017</v>
      </c>
      <c r="J4" s="22">
        <v>2014</v>
      </c>
      <c r="K4" s="22">
        <v>1964</v>
      </c>
      <c r="L4" s="22">
        <v>1964</v>
      </c>
      <c r="M4" s="22">
        <v>1989</v>
      </c>
      <c r="N4" s="22">
        <v>1998</v>
      </c>
      <c r="O4" s="22">
        <v>1998</v>
      </c>
      <c r="P4" s="22">
        <v>1998</v>
      </c>
      <c r="Q4" s="22">
        <v>2013</v>
      </c>
      <c r="R4" s="22">
        <v>2013</v>
      </c>
      <c r="S4" s="22">
        <v>2018</v>
      </c>
      <c r="T4" s="22">
        <v>2013</v>
      </c>
      <c r="U4" s="22" t="s">
        <v>37</v>
      </c>
      <c r="V4" s="22">
        <v>2020</v>
      </c>
      <c r="W4" s="22">
        <v>2020</v>
      </c>
      <c r="X4" s="22">
        <v>2020</v>
      </c>
      <c r="Y4" s="22">
        <v>2020</v>
      </c>
      <c r="Z4" s="22">
        <v>2020</v>
      </c>
      <c r="AA4" s="22">
        <v>2020</v>
      </c>
      <c r="AB4" s="22"/>
      <c r="AC4" s="22"/>
      <c r="AD4" s="22"/>
      <c r="AE4" s="22"/>
      <c r="AF4" s="104"/>
    </row>
    <row r="5" spans="2:32" x14ac:dyDescent="0.25">
      <c r="B5" s="103"/>
      <c r="C5" s="104"/>
      <c r="D5" s="104"/>
      <c r="E5" s="19" t="s">
        <v>38</v>
      </c>
      <c r="F5" s="105">
        <v>20</v>
      </c>
      <c r="G5" s="105">
        <v>9.5</v>
      </c>
      <c r="H5" s="106">
        <v>20</v>
      </c>
      <c r="I5" s="105">
        <v>10</v>
      </c>
      <c r="J5" s="106">
        <v>10</v>
      </c>
      <c r="K5" s="106">
        <v>20</v>
      </c>
      <c r="L5" s="106">
        <v>20</v>
      </c>
      <c r="M5" s="106">
        <v>5</v>
      </c>
      <c r="N5" s="106">
        <v>8</v>
      </c>
      <c r="O5" s="106">
        <v>24</v>
      </c>
      <c r="P5" s="106">
        <v>20</v>
      </c>
      <c r="Q5" s="106">
        <v>20</v>
      </c>
      <c r="R5" s="106">
        <v>20</v>
      </c>
      <c r="S5" s="106">
        <v>17.5</v>
      </c>
      <c r="T5" s="106">
        <v>18</v>
      </c>
      <c r="U5" s="106">
        <v>5.5</v>
      </c>
      <c r="V5" s="106">
        <v>10.39</v>
      </c>
      <c r="W5" s="106">
        <v>9.57</v>
      </c>
      <c r="X5" s="106">
        <v>20</v>
      </c>
      <c r="Y5" s="106">
        <v>10.68</v>
      </c>
      <c r="Z5" s="106">
        <v>39.67</v>
      </c>
      <c r="AA5" s="106">
        <v>11.54</v>
      </c>
      <c r="AB5" s="106" t="s">
        <v>39</v>
      </c>
      <c r="AC5" s="106" t="s">
        <v>40</v>
      </c>
      <c r="AD5" s="106" t="s">
        <v>41</v>
      </c>
      <c r="AE5" s="106"/>
      <c r="AF5" s="104"/>
    </row>
    <row r="6" spans="2:32" ht="6" customHeight="1" thickBot="1" x14ac:dyDescent="0.3">
      <c r="B6" s="107"/>
      <c r="C6" s="107"/>
      <c r="D6" s="107"/>
      <c r="E6" s="20"/>
      <c r="F6" s="108"/>
      <c r="G6" s="109"/>
      <c r="H6" s="109"/>
      <c r="I6" s="109"/>
      <c r="J6" s="109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7"/>
    </row>
    <row r="7" spans="2:32" ht="6" customHeight="1" x14ac:dyDescent="0.25">
      <c r="B7" s="110"/>
      <c r="C7" s="111"/>
      <c r="D7" s="111"/>
      <c r="E7" s="21"/>
      <c r="F7" s="112"/>
      <c r="G7" s="113"/>
      <c r="H7" s="113"/>
      <c r="I7" s="113"/>
      <c r="J7" s="113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4"/>
    </row>
    <row r="8" spans="2:32" x14ac:dyDescent="0.25">
      <c r="B8" s="115"/>
      <c r="C8" s="133">
        <v>2012</v>
      </c>
      <c r="D8" s="107"/>
      <c r="E8" s="35" t="s">
        <v>42</v>
      </c>
      <c r="F8" s="25">
        <f>3200+4672+192</f>
        <v>8064</v>
      </c>
      <c r="G8" s="25">
        <v>3632</v>
      </c>
      <c r="H8" s="25"/>
      <c r="I8" s="25"/>
      <c r="J8" s="25"/>
      <c r="K8" s="25">
        <f>2400+3584+2776</f>
        <v>8760</v>
      </c>
      <c r="L8" s="25">
        <v>11888</v>
      </c>
      <c r="M8" s="25">
        <v>3328</v>
      </c>
      <c r="N8" s="25">
        <f>445*16</f>
        <v>7120</v>
      </c>
      <c r="O8" s="25">
        <f>1224*16</f>
        <v>19584</v>
      </c>
      <c r="P8" s="25">
        <f>4816+6672</f>
        <v>11488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6">
        <f>SUM(F8:T8)</f>
        <v>73864</v>
      </c>
      <c r="AC8" s="26"/>
      <c r="AD8" s="26"/>
      <c r="AE8" s="26"/>
      <c r="AF8" s="116"/>
    </row>
    <row r="9" spans="2:32" x14ac:dyDescent="0.25">
      <c r="B9" s="115"/>
      <c r="C9" s="133"/>
      <c r="D9" s="107"/>
      <c r="E9" s="35" t="s">
        <v>43</v>
      </c>
      <c r="F9" s="26">
        <f>+F8/F5</f>
        <v>403.2</v>
      </c>
      <c r="G9" s="26">
        <f>+G8/G5</f>
        <v>382.31578947368422</v>
      </c>
      <c r="H9" s="26"/>
      <c r="I9" s="26"/>
      <c r="J9" s="26"/>
      <c r="K9" s="26">
        <f t="shared" ref="K9:P9" si="0">+K8/K5</f>
        <v>438</v>
      </c>
      <c r="L9" s="26">
        <f t="shared" si="0"/>
        <v>594.4</v>
      </c>
      <c r="M9" s="26">
        <f t="shared" si="0"/>
        <v>665.6</v>
      </c>
      <c r="N9" s="26">
        <f t="shared" si="0"/>
        <v>890</v>
      </c>
      <c r="O9" s="26">
        <f t="shared" si="0"/>
        <v>816</v>
      </c>
      <c r="P9" s="26">
        <f t="shared" si="0"/>
        <v>574.4</v>
      </c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16"/>
    </row>
    <row r="10" spans="2:32" x14ac:dyDescent="0.25">
      <c r="B10" s="115"/>
      <c r="C10" s="133"/>
      <c r="D10" s="107"/>
      <c r="E10" s="35" t="s">
        <v>44</v>
      </c>
      <c r="F10" s="26">
        <f t="shared" ref="F10:P10" si="1">+F8/16</f>
        <v>504</v>
      </c>
      <c r="G10" s="26">
        <f t="shared" si="1"/>
        <v>227</v>
      </c>
      <c r="H10" s="26"/>
      <c r="I10" s="26"/>
      <c r="J10" s="26"/>
      <c r="K10" s="26">
        <f t="shared" si="1"/>
        <v>547.5</v>
      </c>
      <c r="L10" s="26">
        <f t="shared" si="1"/>
        <v>743</v>
      </c>
      <c r="M10" s="26">
        <f t="shared" si="1"/>
        <v>208</v>
      </c>
      <c r="N10" s="26">
        <f t="shared" si="1"/>
        <v>445</v>
      </c>
      <c r="O10" s="26">
        <f t="shared" si="1"/>
        <v>1224</v>
      </c>
      <c r="P10" s="26">
        <f t="shared" si="1"/>
        <v>718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f>SUM(F10:T10)</f>
        <v>4616.5</v>
      </c>
      <c r="AC10" s="26"/>
      <c r="AD10" s="36">
        <v>20.05</v>
      </c>
      <c r="AE10" s="26"/>
      <c r="AF10" s="116"/>
    </row>
    <row r="11" spans="2:32" x14ac:dyDescent="0.25">
      <c r="B11" s="115"/>
      <c r="C11" s="133"/>
      <c r="D11" s="107"/>
      <c r="E11" s="35" t="s">
        <v>45</v>
      </c>
      <c r="F11" s="26">
        <f>+F10/F5</f>
        <v>25.2</v>
      </c>
      <c r="G11" s="26">
        <f>+G10/G5</f>
        <v>23.894736842105264</v>
      </c>
      <c r="H11" s="26"/>
      <c r="I11" s="26"/>
      <c r="J11" s="26"/>
      <c r="K11" s="26">
        <f t="shared" ref="K11:P11" si="2">+K10/K5</f>
        <v>27.375</v>
      </c>
      <c r="L11" s="26">
        <f t="shared" si="2"/>
        <v>37.15</v>
      </c>
      <c r="M11" s="26">
        <f t="shared" si="2"/>
        <v>41.6</v>
      </c>
      <c r="N11" s="26">
        <f t="shared" si="2"/>
        <v>55.625</v>
      </c>
      <c r="O11" s="26">
        <f t="shared" si="2"/>
        <v>51</v>
      </c>
      <c r="P11" s="26">
        <f t="shared" si="2"/>
        <v>35.9</v>
      </c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16"/>
    </row>
    <row r="12" spans="2:32" ht="6" customHeight="1" x14ac:dyDescent="0.25">
      <c r="B12" s="115"/>
      <c r="C12" s="133"/>
      <c r="D12" s="107"/>
      <c r="E12" s="3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16"/>
    </row>
    <row r="13" spans="2:32" x14ac:dyDescent="0.25">
      <c r="B13" s="115"/>
      <c r="C13" s="133"/>
      <c r="D13" s="107"/>
      <c r="E13" s="117" t="s">
        <v>46</v>
      </c>
      <c r="F13" s="13">
        <v>174.67890873015875</v>
      </c>
      <c r="G13" s="13">
        <v>128.46753303964758</v>
      </c>
      <c r="H13" s="13"/>
      <c r="I13" s="13"/>
      <c r="J13" s="13"/>
      <c r="K13" s="13">
        <v>97.465844748858459</v>
      </c>
      <c r="L13" s="13">
        <v>77.48115746971736</v>
      </c>
      <c r="M13" s="13">
        <v>78.57014423076923</v>
      </c>
      <c r="N13" s="13">
        <v>71.913415730337078</v>
      </c>
      <c r="O13" s="13">
        <v>57.286813725490191</v>
      </c>
      <c r="P13" s="13">
        <v>117.7258356545961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f>AB15/AB10</f>
        <v>93.387115780353085</v>
      </c>
      <c r="AC13" s="13"/>
      <c r="AD13" s="13"/>
      <c r="AE13" s="13"/>
      <c r="AF13" s="116"/>
    </row>
    <row r="14" spans="2:32" ht="6" customHeight="1" x14ac:dyDescent="0.25">
      <c r="B14" s="115"/>
      <c r="C14" s="133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16"/>
    </row>
    <row r="15" spans="2:32" x14ac:dyDescent="0.25">
      <c r="B15" s="115"/>
      <c r="C15" s="133"/>
      <c r="D15" s="107"/>
      <c r="E15" s="118" t="s">
        <v>47</v>
      </c>
      <c r="F15" s="27">
        <f>+F13*F10</f>
        <v>88038.170000000013</v>
      </c>
      <c r="G15" s="27">
        <f t="shared" ref="G15:P15" si="3">+G13*G10</f>
        <v>29162.13</v>
      </c>
      <c r="H15" s="27"/>
      <c r="I15" s="27"/>
      <c r="J15" s="27"/>
      <c r="K15" s="27">
        <f t="shared" si="3"/>
        <v>53362.55</v>
      </c>
      <c r="L15" s="27">
        <f t="shared" si="3"/>
        <v>57568.5</v>
      </c>
      <c r="M15" s="27">
        <f t="shared" si="3"/>
        <v>16342.59</v>
      </c>
      <c r="N15" s="27">
        <f t="shared" si="3"/>
        <v>32001.47</v>
      </c>
      <c r="O15" s="27">
        <f t="shared" si="3"/>
        <v>70119.06</v>
      </c>
      <c r="P15" s="27">
        <f t="shared" si="3"/>
        <v>84527.15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>
        <f>SUM(F15:T15)</f>
        <v>431121.62</v>
      </c>
      <c r="AC15" s="27"/>
      <c r="AD15" s="27">
        <v>10000</v>
      </c>
      <c r="AE15" s="27">
        <f>SUM(AB15:AD15)</f>
        <v>441121.62</v>
      </c>
      <c r="AF15" s="116"/>
    </row>
    <row r="16" spans="2:32" ht="6" customHeight="1" thickBot="1" x14ac:dyDescent="0.3">
      <c r="B16" s="119"/>
      <c r="C16" s="120"/>
      <c r="D16" s="120"/>
      <c r="E16" s="120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121"/>
    </row>
    <row r="17" spans="2:32" ht="6" customHeight="1" thickBot="1" x14ac:dyDescent="0.3">
      <c r="B17" s="107"/>
      <c r="C17" s="107"/>
      <c r="D17" s="107"/>
      <c r="E17" s="10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107"/>
    </row>
    <row r="18" spans="2:32" ht="6" customHeight="1" x14ac:dyDescent="0.25">
      <c r="B18" s="110"/>
      <c r="C18" s="111"/>
      <c r="D18" s="111"/>
      <c r="E18" s="11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114"/>
    </row>
    <row r="19" spans="2:32" ht="15" customHeight="1" x14ac:dyDescent="0.25">
      <c r="B19" s="115"/>
      <c r="C19" s="132">
        <v>2013</v>
      </c>
      <c r="D19" s="107"/>
      <c r="E19" s="35" t="s">
        <v>42</v>
      </c>
      <c r="F19" s="122">
        <f>+F21*16</f>
        <v>4912</v>
      </c>
      <c r="G19" s="122">
        <f t="shared" ref="G19:K19" si="4">+G21*16</f>
        <v>2112</v>
      </c>
      <c r="H19" s="122"/>
      <c r="I19" s="122"/>
      <c r="J19" s="122"/>
      <c r="K19" s="122">
        <f t="shared" si="4"/>
        <v>5192</v>
      </c>
      <c r="L19" s="122">
        <f>+L21*16</f>
        <v>6528</v>
      </c>
      <c r="M19" s="122">
        <f>+M21*16</f>
        <v>2400</v>
      </c>
      <c r="N19" s="122">
        <f>+N21*16</f>
        <v>3552</v>
      </c>
      <c r="O19" s="122">
        <f>+O21*16</f>
        <v>13200</v>
      </c>
      <c r="P19" s="122">
        <f>+P21*16</f>
        <v>5408</v>
      </c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26">
        <f>SUM(F19:T19)</f>
        <v>43304</v>
      </c>
      <c r="AC19" s="122"/>
      <c r="AD19" s="122"/>
      <c r="AE19" s="122"/>
      <c r="AF19" s="116"/>
    </row>
    <row r="20" spans="2:32" x14ac:dyDescent="0.25">
      <c r="B20" s="115"/>
      <c r="C20" s="132"/>
      <c r="D20" s="107"/>
      <c r="E20" s="35" t="s">
        <v>43</v>
      </c>
      <c r="F20" s="26">
        <f>+F19/F5</f>
        <v>245.6</v>
      </c>
      <c r="G20" s="26">
        <f>+G19/G5</f>
        <v>222.31578947368422</v>
      </c>
      <c r="H20" s="26"/>
      <c r="I20" s="26"/>
      <c r="J20" s="26"/>
      <c r="K20" s="26">
        <f t="shared" ref="K20:P20" si="5">+K19/K5</f>
        <v>259.60000000000002</v>
      </c>
      <c r="L20" s="26">
        <f t="shared" si="5"/>
        <v>326.39999999999998</v>
      </c>
      <c r="M20" s="26">
        <f t="shared" si="5"/>
        <v>480</v>
      </c>
      <c r="N20" s="26">
        <f t="shared" si="5"/>
        <v>444</v>
      </c>
      <c r="O20" s="26">
        <f t="shared" si="5"/>
        <v>550</v>
      </c>
      <c r="P20" s="26">
        <f t="shared" si="5"/>
        <v>270.39999999999998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16"/>
    </row>
    <row r="21" spans="2:32" x14ac:dyDescent="0.25">
      <c r="B21" s="115"/>
      <c r="C21" s="132"/>
      <c r="D21" s="107"/>
      <c r="E21" s="35" t="s">
        <v>44</v>
      </c>
      <c r="F21" s="31">
        <f>205+102</f>
        <v>307</v>
      </c>
      <c r="G21" s="31">
        <v>132</v>
      </c>
      <c r="H21" s="31"/>
      <c r="I21" s="31"/>
      <c r="J21" s="31"/>
      <c r="K21" s="31">
        <v>324.5</v>
      </c>
      <c r="L21" s="31">
        <v>408</v>
      </c>
      <c r="M21" s="31">
        <v>150</v>
      </c>
      <c r="N21" s="31">
        <v>222</v>
      </c>
      <c r="O21" s="31">
        <v>825</v>
      </c>
      <c r="P21" s="31">
        <v>338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26">
        <f>SUM(F21:T21)</f>
        <v>2706.5</v>
      </c>
      <c r="AC21" s="26"/>
      <c r="AD21" s="36">
        <v>106.26</v>
      </c>
      <c r="AE21" s="26"/>
      <c r="AF21" s="116"/>
    </row>
    <row r="22" spans="2:32" x14ac:dyDescent="0.25">
      <c r="B22" s="115"/>
      <c r="C22" s="132"/>
      <c r="D22" s="107"/>
      <c r="E22" s="35" t="s">
        <v>45</v>
      </c>
      <c r="F22" s="26">
        <f>+F21/F5</f>
        <v>15.35</v>
      </c>
      <c r="G22" s="26">
        <f>+G21/G5</f>
        <v>13.894736842105264</v>
      </c>
      <c r="H22" s="26"/>
      <c r="I22" s="26"/>
      <c r="J22" s="26"/>
      <c r="K22" s="26">
        <f t="shared" ref="K22:P22" si="6">+K21/K5</f>
        <v>16.225000000000001</v>
      </c>
      <c r="L22" s="26">
        <f t="shared" si="6"/>
        <v>20.399999999999999</v>
      </c>
      <c r="M22" s="26">
        <f t="shared" si="6"/>
        <v>30</v>
      </c>
      <c r="N22" s="26">
        <f t="shared" si="6"/>
        <v>27.75</v>
      </c>
      <c r="O22" s="26">
        <f t="shared" si="6"/>
        <v>34.375</v>
      </c>
      <c r="P22" s="26">
        <f t="shared" si="6"/>
        <v>16.899999999999999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107"/>
      <c r="AE22" s="26"/>
      <c r="AF22" s="116"/>
    </row>
    <row r="23" spans="2:32" ht="6" customHeight="1" x14ac:dyDescent="0.25">
      <c r="B23" s="115"/>
      <c r="C23" s="132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26"/>
      <c r="AC23" s="107"/>
      <c r="AD23" s="107"/>
      <c r="AE23" s="107"/>
      <c r="AF23" s="116"/>
    </row>
    <row r="24" spans="2:32" x14ac:dyDescent="0.25">
      <c r="B24" s="115"/>
      <c r="C24" s="132"/>
      <c r="D24" s="107"/>
      <c r="E24" s="117" t="s">
        <v>46</v>
      </c>
      <c r="F24" s="13">
        <f>F26/F21</f>
        <v>133.93293159609118</v>
      </c>
      <c r="G24" s="13">
        <f t="shared" ref="G24:P24" si="7">G26/G21</f>
        <v>139.41613636363635</v>
      </c>
      <c r="H24" s="13"/>
      <c r="I24" s="13"/>
      <c r="J24" s="13"/>
      <c r="K24" s="13">
        <f t="shared" si="7"/>
        <v>150.34283513097071</v>
      </c>
      <c r="L24" s="13">
        <f t="shared" si="7"/>
        <v>131.76678921568626</v>
      </c>
      <c r="M24" s="13">
        <f t="shared" si="7"/>
        <v>131.03326666666666</v>
      </c>
      <c r="N24" s="13">
        <f t="shared" si="7"/>
        <v>118.94333333333333</v>
      </c>
      <c r="O24" s="13">
        <f t="shared" si="7"/>
        <v>120.40112727272727</v>
      </c>
      <c r="P24" s="13">
        <f t="shared" si="7"/>
        <v>224.01029585798818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>
        <f>AB26/AB21</f>
        <v>141.57556253463883</v>
      </c>
      <c r="AC24" s="13"/>
      <c r="AD24" s="107"/>
      <c r="AE24" s="13"/>
      <c r="AF24" s="116"/>
    </row>
    <row r="25" spans="2:32" ht="6" customHeight="1" x14ac:dyDescent="0.25">
      <c r="B25" s="115"/>
      <c r="C25" s="132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16"/>
    </row>
    <row r="26" spans="2:32" x14ac:dyDescent="0.25">
      <c r="B26" s="115"/>
      <c r="C26" s="132"/>
      <c r="D26" s="107"/>
      <c r="E26" s="118" t="s">
        <v>48</v>
      </c>
      <c r="F26" s="27">
        <f>'2013 - Checks'!E3+'2013 - Checks'!E4+'2013 - Checks'!E10+'2013 - Checks'!E11+'2013 - Checks'!E19+'2013 - Checks'!E22</f>
        <v>41117.409999999996</v>
      </c>
      <c r="G26" s="27">
        <f>'2013 - Checks'!E5+'2013 - Checks'!E12+'2013 - Checks'!E23</f>
        <v>18402.93</v>
      </c>
      <c r="H26" s="27"/>
      <c r="I26" s="27"/>
      <c r="J26" s="27"/>
      <c r="K26" s="27">
        <f>+'2013 - Checks'!E6+'2013 - Checks'!E7+'2013 - Checks'!E13+'2013 - Checks'!E24+'2013 - Checks'!E27</f>
        <v>48786.25</v>
      </c>
      <c r="L26" s="27">
        <f>'2013 - Checks'!E39+'2013 - Checks'!E33</f>
        <v>53760.85</v>
      </c>
      <c r="M26" s="27">
        <f>'2013 - Checks'!E40+'2013 - Checks'!E34</f>
        <v>19654.989999999998</v>
      </c>
      <c r="N26" s="27">
        <f>'2013 - Checks'!E41+'2013 - Checks'!E35</f>
        <v>26405.42</v>
      </c>
      <c r="O26" s="27">
        <f>'2013 - Checks'!E42+'2013 - Checks'!E36</f>
        <v>99330.93</v>
      </c>
      <c r="P26" s="27">
        <f>+'2013 - Checks'!E16+'2013 - Checks'!E31</f>
        <v>75715.48000000001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>
        <f>SUM(F26:T26)</f>
        <v>383174.26</v>
      </c>
      <c r="AC26" s="27">
        <f>(11401.02-10000)+21169.6+6727</f>
        <v>29297.62</v>
      </c>
      <c r="AD26" s="27">
        <f>'2013 - Checks'!E46</f>
        <v>48069.599999999999</v>
      </c>
      <c r="AE26" s="27">
        <f>SUM(AB26:AD26)</f>
        <v>460541.48</v>
      </c>
      <c r="AF26" s="116"/>
    </row>
    <row r="27" spans="2:32" ht="6" customHeight="1" thickBot="1" x14ac:dyDescent="0.3">
      <c r="B27" s="119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1"/>
    </row>
    <row r="28" spans="2:32" ht="6" customHeight="1" thickBot="1" x14ac:dyDescent="0.3">
      <c r="B28" s="107"/>
      <c r="C28" s="107"/>
      <c r="D28" s="107"/>
      <c r="E28" s="10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107"/>
    </row>
    <row r="29" spans="2:32" ht="6" customHeight="1" x14ac:dyDescent="0.25">
      <c r="B29" s="110"/>
      <c r="C29" s="111"/>
      <c r="D29" s="111"/>
      <c r="E29" s="11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114"/>
    </row>
    <row r="30" spans="2:32" ht="15" customHeight="1" x14ac:dyDescent="0.25">
      <c r="B30" s="115"/>
      <c r="C30" s="132">
        <v>2014</v>
      </c>
      <c r="D30" s="107"/>
      <c r="E30" s="35" t="s">
        <v>42</v>
      </c>
      <c r="F30" s="122">
        <f>+F32*16</f>
        <v>5600</v>
      </c>
      <c r="G30" s="122">
        <f>+G32*16</f>
        <v>3328</v>
      </c>
      <c r="H30" s="122"/>
      <c r="I30" s="122"/>
      <c r="J30" s="122"/>
      <c r="K30" s="122">
        <f t="shared" ref="K30" si="8">+K32*16</f>
        <v>9600</v>
      </c>
      <c r="L30" s="122">
        <f>+L32*16</f>
        <v>13568</v>
      </c>
      <c r="M30" s="122">
        <f>+M32*16</f>
        <v>4032</v>
      </c>
      <c r="N30" s="122">
        <f>+N32*16</f>
        <v>7200</v>
      </c>
      <c r="O30" s="122">
        <f>+O32*16</f>
        <v>17452</v>
      </c>
      <c r="P30" s="122">
        <f>+P32*16</f>
        <v>8224</v>
      </c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26">
        <f>SUM(F30:T30)</f>
        <v>69004</v>
      </c>
      <c r="AC30" s="122"/>
      <c r="AD30" s="122"/>
      <c r="AE30" s="122"/>
      <c r="AF30" s="116"/>
    </row>
    <row r="31" spans="2:32" x14ac:dyDescent="0.25">
      <c r="B31" s="115"/>
      <c r="C31" s="132"/>
      <c r="D31" s="107"/>
      <c r="E31" s="35" t="s">
        <v>43</v>
      </c>
      <c r="F31" s="26">
        <f>+F30/F5</f>
        <v>280</v>
      </c>
      <c r="G31" s="26">
        <f>+G30/G5</f>
        <v>350.31578947368422</v>
      </c>
      <c r="H31" s="26"/>
      <c r="I31" s="26"/>
      <c r="J31" s="26"/>
      <c r="K31" s="26">
        <f t="shared" ref="K31:P31" si="9">+K30/K5</f>
        <v>480</v>
      </c>
      <c r="L31" s="26">
        <f t="shared" si="9"/>
        <v>678.4</v>
      </c>
      <c r="M31" s="26">
        <f t="shared" si="9"/>
        <v>806.4</v>
      </c>
      <c r="N31" s="26">
        <f t="shared" si="9"/>
        <v>900</v>
      </c>
      <c r="O31" s="26">
        <f t="shared" si="9"/>
        <v>727.16666666666663</v>
      </c>
      <c r="P31" s="26">
        <f t="shared" si="9"/>
        <v>411.2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16"/>
    </row>
    <row r="32" spans="2:32" x14ac:dyDescent="0.25">
      <c r="B32" s="115"/>
      <c r="C32" s="132"/>
      <c r="D32" s="107"/>
      <c r="E32" s="35" t="s">
        <v>44</v>
      </c>
      <c r="F32" s="31">
        <v>350</v>
      </c>
      <c r="G32" s="31">
        <v>208</v>
      </c>
      <c r="H32" s="31"/>
      <c r="I32" s="31"/>
      <c r="J32" s="31"/>
      <c r="K32" s="31">
        <v>600</v>
      </c>
      <c r="L32" s="25">
        <v>848</v>
      </c>
      <c r="M32" s="25">
        <v>252</v>
      </c>
      <c r="N32" s="25">
        <v>450</v>
      </c>
      <c r="O32" s="25">
        <v>1090.75</v>
      </c>
      <c r="P32" s="25">
        <v>514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6">
        <f>SUM(F32:T32)</f>
        <v>4312.75</v>
      </c>
      <c r="AC32" s="26"/>
      <c r="AD32" s="36">
        <v>16.465</v>
      </c>
      <c r="AE32" s="26"/>
      <c r="AF32" s="116"/>
    </row>
    <row r="33" spans="2:32" x14ac:dyDescent="0.25">
      <c r="B33" s="115"/>
      <c r="C33" s="132"/>
      <c r="D33" s="107"/>
      <c r="E33" s="35" t="s">
        <v>45</v>
      </c>
      <c r="F33" s="26">
        <f>+F32/29.5</f>
        <v>11.864406779661017</v>
      </c>
      <c r="G33" s="26">
        <f>+G32/29.5</f>
        <v>7.0508474576271185</v>
      </c>
      <c r="H33" s="26"/>
      <c r="I33" s="26"/>
      <c r="J33" s="26"/>
      <c r="K33" s="26">
        <f t="shared" ref="K33:P33" si="10">+K32/K5</f>
        <v>30</v>
      </c>
      <c r="L33" s="26">
        <f t="shared" si="10"/>
        <v>42.4</v>
      </c>
      <c r="M33" s="26">
        <f t="shared" si="10"/>
        <v>50.4</v>
      </c>
      <c r="N33" s="26">
        <f t="shared" si="10"/>
        <v>56.25</v>
      </c>
      <c r="O33" s="26">
        <f t="shared" si="10"/>
        <v>45.447916666666664</v>
      </c>
      <c r="P33" s="26">
        <f t="shared" si="10"/>
        <v>25.7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107"/>
      <c r="AE33" s="26"/>
      <c r="AF33" s="116"/>
    </row>
    <row r="34" spans="2:32" ht="6" customHeight="1" x14ac:dyDescent="0.25">
      <c r="B34" s="115"/>
      <c r="C34" s="132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26"/>
      <c r="AC34" s="123"/>
      <c r="AD34" s="107"/>
      <c r="AE34" s="107"/>
      <c r="AF34" s="116"/>
    </row>
    <row r="35" spans="2:32" x14ac:dyDescent="0.25">
      <c r="B35" s="115"/>
      <c r="C35" s="132"/>
      <c r="D35" s="107"/>
      <c r="E35" s="117" t="s">
        <v>46</v>
      </c>
      <c r="F35" s="13">
        <f>+F37/F32</f>
        <v>222.48128571428572</v>
      </c>
      <c r="G35" s="13">
        <f>+G37/G32</f>
        <v>214.96644230769232</v>
      </c>
      <c r="H35" s="13"/>
      <c r="I35" s="13"/>
      <c r="J35" s="13"/>
      <c r="K35" s="13">
        <f t="shared" ref="K35:P35" si="11">+K37/K32</f>
        <v>242.77286666666666</v>
      </c>
      <c r="L35" s="13">
        <f t="shared" si="11"/>
        <v>142.25303066037736</v>
      </c>
      <c r="M35" s="13">
        <f t="shared" si="11"/>
        <v>145.38257936507938</v>
      </c>
      <c r="N35" s="13">
        <f t="shared" si="11"/>
        <v>100.97937777777778</v>
      </c>
      <c r="O35" s="13">
        <f t="shared" si="11"/>
        <v>82.815319734127897</v>
      </c>
      <c r="P35" s="13">
        <f t="shared" si="11"/>
        <v>242.27612840466924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f>AB37/AB32</f>
        <v>159.02002898382699</v>
      </c>
      <c r="AC35" s="13"/>
      <c r="AD35" s="107"/>
      <c r="AE35" s="13"/>
      <c r="AF35" s="116"/>
    </row>
    <row r="36" spans="2:32" ht="6" customHeight="1" x14ac:dyDescent="0.25">
      <c r="B36" s="115"/>
      <c r="C36" s="132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16"/>
    </row>
    <row r="37" spans="2:32" x14ac:dyDescent="0.25">
      <c r="B37" s="115"/>
      <c r="C37" s="132"/>
      <c r="D37" s="107"/>
      <c r="E37" s="118" t="s">
        <v>49</v>
      </c>
      <c r="F37" s="27">
        <f>SUM('2014 - Checks'!E8,'2014 - Checks'!E15,'2014 - Checks'!E26,'2014 - Checks'!E35,)</f>
        <v>77868.45</v>
      </c>
      <c r="G37" s="27">
        <f>SUM('2014 - Checks'!E9,'2014 - Checks'!E16,'2014 - Checks'!E24,'2014 - Checks'!E36,)</f>
        <v>44713.020000000004</v>
      </c>
      <c r="H37" s="27"/>
      <c r="I37" s="27"/>
      <c r="J37" s="27"/>
      <c r="K37" s="27">
        <f>'2014 - Checks'!E3+'2014 - Checks'!E19+'2014 - Checks'!E4+'2014 - Checks'!E7+'2014 - Checks'!E20+'2014 - Checks'!E10+'2014 - Checks'!E25+'2014 - Checks'!E27</f>
        <v>145663.72</v>
      </c>
      <c r="L37" s="27">
        <f>'2014 - Checks'!E30+'2014 - Checks'!E41</f>
        <v>120630.57</v>
      </c>
      <c r="M37" s="27">
        <f>'2014 - Checks'!E31+'2014 - Checks'!E42</f>
        <v>36636.410000000003</v>
      </c>
      <c r="N37" s="27">
        <f>'2014 - Checks'!E43</f>
        <v>45440.72</v>
      </c>
      <c r="O37" s="27">
        <f>'2014 - Checks'!E32+'2014 - Checks'!E44</f>
        <v>90330.81</v>
      </c>
      <c r="P37" s="27">
        <f>+'2014 - Checks'!E13+'2014 - Checks'!E39</f>
        <v>124529.93</v>
      </c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>
        <f>SUM(F37:T37)</f>
        <v>685813.62999999989</v>
      </c>
      <c r="AC37" s="27" t="e">
        <f>SUM(#REF!)</f>
        <v>#REF!</v>
      </c>
      <c r="AD37" s="32">
        <v>6692.65</v>
      </c>
      <c r="AE37" s="27" t="e">
        <f>SUM(AB37:AD37)</f>
        <v>#REF!</v>
      </c>
      <c r="AF37" s="116"/>
    </row>
    <row r="38" spans="2:32" ht="6" customHeight="1" thickBot="1" x14ac:dyDescent="0.3">
      <c r="B38" s="119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1"/>
    </row>
    <row r="39" spans="2:32" ht="6" customHeight="1" thickBot="1" x14ac:dyDescent="0.3"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  <c r="AA39" s="107"/>
      <c r="AB39" s="107"/>
      <c r="AC39" s="107"/>
      <c r="AD39" s="107"/>
      <c r="AE39" s="107"/>
      <c r="AF39" s="107"/>
    </row>
    <row r="40" spans="2:32" ht="6" customHeight="1" x14ac:dyDescent="0.25">
      <c r="B40" s="110"/>
      <c r="C40" s="111"/>
      <c r="D40" s="111"/>
      <c r="E40" s="111"/>
      <c r="F40" s="30" t="s">
        <v>50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114"/>
    </row>
    <row r="41" spans="2:32" ht="15" customHeight="1" x14ac:dyDescent="0.25">
      <c r="B41" s="115"/>
      <c r="C41" s="132">
        <v>2015</v>
      </c>
      <c r="D41" s="107"/>
      <c r="E41" s="35" t="s">
        <v>42</v>
      </c>
      <c r="F41" s="122">
        <f>+F43*16</f>
        <v>4288</v>
      </c>
      <c r="G41" s="122">
        <f>+G43*16</f>
        <v>2400</v>
      </c>
      <c r="H41" s="122"/>
      <c r="I41" s="122"/>
      <c r="J41" s="122"/>
      <c r="K41" s="122">
        <f t="shared" ref="K41" si="12">+K43*16</f>
        <v>7760</v>
      </c>
      <c r="L41" s="122">
        <f t="shared" ref="L41:T41" si="13">+L43*16</f>
        <v>10032</v>
      </c>
      <c r="M41" s="122">
        <f t="shared" si="13"/>
        <v>1840</v>
      </c>
      <c r="N41" s="122">
        <f t="shared" si="13"/>
        <v>3232</v>
      </c>
      <c r="O41" s="122">
        <f t="shared" si="13"/>
        <v>13504</v>
      </c>
      <c r="P41" s="122">
        <f t="shared" si="13"/>
        <v>9344</v>
      </c>
      <c r="Q41" s="122"/>
      <c r="R41" s="122"/>
      <c r="S41" s="122"/>
      <c r="T41" s="122">
        <f t="shared" si="13"/>
        <v>380</v>
      </c>
      <c r="U41" s="122"/>
      <c r="V41" s="122"/>
      <c r="W41" s="122"/>
      <c r="X41" s="122"/>
      <c r="Y41" s="122"/>
      <c r="Z41" s="122"/>
      <c r="AA41" s="122"/>
      <c r="AB41" s="26">
        <f>SUM(F41:T41)</f>
        <v>52780</v>
      </c>
      <c r="AC41" s="122"/>
      <c r="AD41" s="122"/>
      <c r="AE41" s="122"/>
      <c r="AF41" s="116"/>
    </row>
    <row r="42" spans="2:32" x14ac:dyDescent="0.25">
      <c r="B42" s="115"/>
      <c r="C42" s="132"/>
      <c r="D42" s="107"/>
      <c r="E42" s="35" t="s">
        <v>43</v>
      </c>
      <c r="F42" s="26">
        <f>+F41/F5</f>
        <v>214.4</v>
      </c>
      <c r="G42" s="26">
        <f>+G41/G5</f>
        <v>252.63157894736841</v>
      </c>
      <c r="H42" s="26"/>
      <c r="I42" s="26"/>
      <c r="J42" s="26"/>
      <c r="K42" s="26">
        <f t="shared" ref="K42:P42" si="14">+K41/K5</f>
        <v>388</v>
      </c>
      <c r="L42" s="26">
        <f t="shared" si="14"/>
        <v>501.6</v>
      </c>
      <c r="M42" s="26">
        <f t="shared" si="14"/>
        <v>368</v>
      </c>
      <c r="N42" s="26">
        <f t="shared" si="14"/>
        <v>404</v>
      </c>
      <c r="O42" s="26">
        <f t="shared" si="14"/>
        <v>562.66666666666663</v>
      </c>
      <c r="P42" s="26">
        <f t="shared" si="14"/>
        <v>467.2</v>
      </c>
      <c r="Q42" s="26"/>
      <c r="R42" s="26"/>
      <c r="S42" s="26"/>
      <c r="T42" s="26">
        <f>+T41/T5</f>
        <v>21.111111111111111</v>
      </c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16"/>
    </row>
    <row r="43" spans="2:32" x14ac:dyDescent="0.25">
      <c r="B43" s="115"/>
      <c r="C43" s="132"/>
      <c r="D43" s="107"/>
      <c r="E43" s="35" t="s">
        <v>44</v>
      </c>
      <c r="F43" s="31">
        <v>268</v>
      </c>
      <c r="G43" s="31">
        <v>150</v>
      </c>
      <c r="H43" s="31"/>
      <c r="I43" s="31"/>
      <c r="J43" s="31"/>
      <c r="K43" s="31">
        <v>485</v>
      </c>
      <c r="L43" s="25">
        <f>294+100+233</f>
        <v>627</v>
      </c>
      <c r="M43" s="25">
        <v>115</v>
      </c>
      <c r="N43" s="25">
        <v>202</v>
      </c>
      <c r="O43" s="25">
        <v>844</v>
      </c>
      <c r="P43" s="25">
        <v>584</v>
      </c>
      <c r="Q43" s="25"/>
      <c r="R43" s="25"/>
      <c r="S43" s="25"/>
      <c r="T43" s="25">
        <f>23.75</f>
        <v>23.75</v>
      </c>
      <c r="U43" s="25"/>
      <c r="V43" s="25"/>
      <c r="W43" s="25"/>
      <c r="X43" s="25"/>
      <c r="Y43" s="25"/>
      <c r="Z43" s="25"/>
      <c r="AA43" s="25"/>
      <c r="AB43" s="26">
        <f>SUM(F43:T43)</f>
        <v>3298.75</v>
      </c>
      <c r="AC43" s="26"/>
      <c r="AD43" s="36">
        <v>145.245</v>
      </c>
      <c r="AE43" s="26"/>
      <c r="AF43" s="116"/>
    </row>
    <row r="44" spans="2:32" x14ac:dyDescent="0.25">
      <c r="B44" s="115"/>
      <c r="C44" s="132"/>
      <c r="D44" s="107"/>
      <c r="E44" s="35" t="s">
        <v>45</v>
      </c>
      <c r="F44" s="26">
        <f>+F43/F5</f>
        <v>13.4</v>
      </c>
      <c r="G44" s="26">
        <f>+G43/G5</f>
        <v>15.789473684210526</v>
      </c>
      <c r="H44" s="26"/>
      <c r="I44" s="26"/>
      <c r="J44" s="26"/>
      <c r="K44" s="26">
        <f t="shared" ref="K44:P44" si="15">+K43/K5</f>
        <v>24.25</v>
      </c>
      <c r="L44" s="26">
        <f t="shared" si="15"/>
        <v>31.35</v>
      </c>
      <c r="M44" s="26">
        <f t="shared" si="15"/>
        <v>23</v>
      </c>
      <c r="N44" s="26">
        <f t="shared" si="15"/>
        <v>25.25</v>
      </c>
      <c r="O44" s="26">
        <f t="shared" si="15"/>
        <v>35.166666666666664</v>
      </c>
      <c r="P44" s="26">
        <f t="shared" si="15"/>
        <v>29.2</v>
      </c>
      <c r="Q44" s="26"/>
      <c r="R44" s="26"/>
      <c r="S44" s="26"/>
      <c r="T44" s="26">
        <f>+T43/T5</f>
        <v>1.3194444444444444</v>
      </c>
      <c r="U44" s="26"/>
      <c r="V44" s="26"/>
      <c r="W44" s="26"/>
      <c r="X44" s="26"/>
      <c r="Y44" s="26"/>
      <c r="Z44" s="26"/>
      <c r="AA44" s="26"/>
      <c r="AB44" s="26"/>
      <c r="AC44" s="26"/>
      <c r="AD44" s="107"/>
      <c r="AE44" s="26"/>
      <c r="AF44" s="116"/>
    </row>
    <row r="45" spans="2:32" ht="6" customHeight="1" x14ac:dyDescent="0.25">
      <c r="B45" s="115"/>
      <c r="C45" s="132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26"/>
      <c r="AC45" s="107"/>
      <c r="AD45" s="107"/>
      <c r="AE45" s="107"/>
      <c r="AF45" s="116"/>
    </row>
    <row r="46" spans="2:32" x14ac:dyDescent="0.25">
      <c r="B46" s="115"/>
      <c r="C46" s="132"/>
      <c r="D46" s="107"/>
      <c r="E46" s="117" t="s">
        <v>46</v>
      </c>
      <c r="F46" s="13">
        <f>+F48/F43</f>
        <v>157.50638059701492</v>
      </c>
      <c r="G46" s="13">
        <f t="shared" ref="G46:O46" si="16">+G48/G43</f>
        <v>161.72293333333334</v>
      </c>
      <c r="H46" s="13"/>
      <c r="I46" s="13"/>
      <c r="J46" s="13"/>
      <c r="K46" s="13">
        <f>+K48/K43</f>
        <v>140.95338144329898</v>
      </c>
      <c r="L46" s="13">
        <f t="shared" si="16"/>
        <v>132.79362041467306</v>
      </c>
      <c r="M46" s="13">
        <f t="shared" si="16"/>
        <v>110.22547826086956</v>
      </c>
      <c r="N46" s="13">
        <f t="shared" si="16"/>
        <v>133.88960396039604</v>
      </c>
      <c r="O46" s="13">
        <f t="shared" si="16"/>
        <v>126.08984597156399</v>
      </c>
      <c r="P46" s="13">
        <f>+P48/P43</f>
        <v>230.9227910958904</v>
      </c>
      <c r="Q46" s="13"/>
      <c r="R46" s="13"/>
      <c r="S46" s="13"/>
      <c r="T46" s="13">
        <f>+T48/T43</f>
        <v>219.70736842105265</v>
      </c>
      <c r="U46" s="13"/>
      <c r="V46" s="13"/>
      <c r="W46" s="13"/>
      <c r="X46" s="13"/>
      <c r="Y46" s="13"/>
      <c r="Z46" s="13"/>
      <c r="AA46" s="13"/>
      <c r="AB46" s="13">
        <f>AB48/AB43</f>
        <v>152.87989693065555</v>
      </c>
      <c r="AC46" s="13"/>
      <c r="AD46" s="107"/>
      <c r="AE46" s="13"/>
      <c r="AF46" s="116"/>
    </row>
    <row r="47" spans="2:32" ht="6" customHeight="1" x14ac:dyDescent="0.25">
      <c r="B47" s="115"/>
      <c r="C47" s="132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16"/>
    </row>
    <row r="48" spans="2:32" x14ac:dyDescent="0.25">
      <c r="B48" s="115"/>
      <c r="C48" s="132"/>
      <c r="D48" s="107"/>
      <c r="E48" s="118" t="s">
        <v>49</v>
      </c>
      <c r="F48" s="27">
        <f>+'2015 - Checks'!E12+'2015 - Checks'!E2</f>
        <v>42211.71</v>
      </c>
      <c r="G48" s="27">
        <f>+'2015 - Checks'!E3+'2015 - Checks'!E4+'2015 - Checks'!E13+'2015 - Checks'!E16</f>
        <v>24258.440000000002</v>
      </c>
      <c r="H48" s="27"/>
      <c r="I48" s="27"/>
      <c r="J48" s="27"/>
      <c r="K48" s="27">
        <f>+'2015 - Checks'!E17+'2015 - Checks'!E5</f>
        <v>68362.39</v>
      </c>
      <c r="L48" s="27">
        <f>'2015 - Checks'!E27</f>
        <v>83261.600000000006</v>
      </c>
      <c r="M48" s="27">
        <f>'2015 - Checks'!E20+'2015 - Checks'!E28</f>
        <v>12675.93</v>
      </c>
      <c r="N48" s="27">
        <f>+'2015 - Checks'!E21+'2015 - Checks'!E29</f>
        <v>27045.7</v>
      </c>
      <c r="O48" s="27">
        <f>+'2015 - Checks'!E22+'2015 - Checks'!E30</f>
        <v>106419.83</v>
      </c>
      <c r="P48" s="27">
        <f>+'2015 - Checks'!E8+'2015 - Checks'!E25</f>
        <v>134858.91</v>
      </c>
      <c r="Q48" s="27"/>
      <c r="R48" s="27"/>
      <c r="S48" s="27"/>
      <c r="T48" s="27">
        <f>'2015 - Checks'!E10</f>
        <v>5218.05</v>
      </c>
      <c r="U48" s="27"/>
      <c r="V48" s="27"/>
      <c r="W48" s="27"/>
      <c r="X48" s="27"/>
      <c r="Y48" s="27"/>
      <c r="Z48" s="27"/>
      <c r="AA48" s="27"/>
      <c r="AB48" s="27">
        <f>SUM(F48:T48)</f>
        <v>504312.56</v>
      </c>
      <c r="AC48" s="27"/>
      <c r="AD48" s="33">
        <f>71462.94+51963.17</f>
        <v>123426.11</v>
      </c>
      <c r="AE48" s="27">
        <f>SUM(AB48:AD48)</f>
        <v>627738.67000000004</v>
      </c>
      <c r="AF48" s="116"/>
    </row>
    <row r="49" spans="2:34" ht="6" customHeight="1" thickBot="1" x14ac:dyDescent="0.3">
      <c r="B49" s="119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1"/>
      <c r="AG49" s="107"/>
      <c r="AH49" s="107"/>
    </row>
    <row r="50" spans="2:34" ht="6" customHeight="1" thickBot="1" x14ac:dyDescent="0.3"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</row>
    <row r="51" spans="2:34" ht="6" customHeight="1" x14ac:dyDescent="0.25">
      <c r="B51" s="110"/>
      <c r="C51" s="111"/>
      <c r="D51" s="111"/>
      <c r="E51" s="111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114"/>
      <c r="AG51" s="107"/>
      <c r="AH51" s="107"/>
    </row>
    <row r="52" spans="2:34" ht="15" customHeight="1" x14ac:dyDescent="0.25">
      <c r="B52" s="115"/>
      <c r="C52" s="132">
        <v>2016</v>
      </c>
      <c r="D52" s="107"/>
      <c r="E52" s="35" t="s">
        <v>42</v>
      </c>
      <c r="F52" s="122">
        <f>+F54*16</f>
        <v>8512</v>
      </c>
      <c r="G52" s="122">
        <f>+G54*16</f>
        <v>4064</v>
      </c>
      <c r="H52" s="122"/>
      <c r="I52" s="122"/>
      <c r="J52" s="122"/>
      <c r="K52" s="122">
        <f t="shared" ref="K52:T52" si="17">+K54*16</f>
        <v>13088</v>
      </c>
      <c r="L52" s="122">
        <f t="shared" si="17"/>
        <v>14464</v>
      </c>
      <c r="M52" s="122">
        <f t="shared" si="17"/>
        <v>4800</v>
      </c>
      <c r="N52" s="122">
        <f t="shared" si="17"/>
        <v>8288</v>
      </c>
      <c r="O52" s="122">
        <f t="shared" si="17"/>
        <v>21664</v>
      </c>
      <c r="P52" s="122">
        <f t="shared" si="17"/>
        <v>12192</v>
      </c>
      <c r="Q52" s="122">
        <v>224</v>
      </c>
      <c r="R52" s="122"/>
      <c r="S52" s="122"/>
      <c r="T52" s="122">
        <f t="shared" si="17"/>
        <v>4528</v>
      </c>
      <c r="U52" s="122"/>
      <c r="V52" s="122"/>
      <c r="W52" s="122"/>
      <c r="X52" s="122"/>
      <c r="Y52" s="122"/>
      <c r="Z52" s="122"/>
      <c r="AA52" s="122"/>
      <c r="AB52" s="26">
        <f>SUM(F52:T52)</f>
        <v>91824</v>
      </c>
      <c r="AC52" s="122"/>
      <c r="AD52" s="122"/>
      <c r="AE52" s="122"/>
      <c r="AF52" s="116"/>
      <c r="AG52" s="107"/>
      <c r="AH52" s="107"/>
    </row>
    <row r="53" spans="2:34" ht="15" customHeight="1" x14ac:dyDescent="0.25">
      <c r="B53" s="115"/>
      <c r="C53" s="132"/>
      <c r="D53" s="107"/>
      <c r="E53" s="35" t="s">
        <v>43</v>
      </c>
      <c r="F53" s="26">
        <f>+F52/F5</f>
        <v>425.6</v>
      </c>
      <c r="G53" s="26">
        <f>+G52/G5</f>
        <v>427.78947368421052</v>
      </c>
      <c r="H53" s="26"/>
      <c r="I53" s="26"/>
      <c r="J53" s="26"/>
      <c r="K53" s="26">
        <f t="shared" ref="K53:Q53" si="18">+K52/K5</f>
        <v>654.4</v>
      </c>
      <c r="L53" s="26">
        <f t="shared" si="18"/>
        <v>723.2</v>
      </c>
      <c r="M53" s="26">
        <f t="shared" si="18"/>
        <v>960</v>
      </c>
      <c r="N53" s="26">
        <f t="shared" si="18"/>
        <v>1036</v>
      </c>
      <c r="O53" s="26">
        <f t="shared" si="18"/>
        <v>902.66666666666663</v>
      </c>
      <c r="P53" s="26">
        <f t="shared" si="18"/>
        <v>609.6</v>
      </c>
      <c r="Q53" s="26">
        <f t="shared" si="18"/>
        <v>11.2</v>
      </c>
      <c r="R53" s="26"/>
      <c r="S53" s="26"/>
      <c r="T53" s="26">
        <f>+T52/T5</f>
        <v>251.55555555555554</v>
      </c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16"/>
      <c r="AG53" s="107"/>
      <c r="AH53" s="107"/>
    </row>
    <row r="54" spans="2:34" ht="15" customHeight="1" x14ac:dyDescent="0.25">
      <c r="B54" s="115"/>
      <c r="C54" s="132"/>
      <c r="D54" s="107"/>
      <c r="E54" s="35" t="s">
        <v>44</v>
      </c>
      <c r="F54" s="31">
        <f>397+135</f>
        <v>532</v>
      </c>
      <c r="G54" s="31">
        <f>50+204</f>
        <v>254</v>
      </c>
      <c r="H54" s="31"/>
      <c r="I54" s="31"/>
      <c r="J54" s="31"/>
      <c r="K54" s="31">
        <v>818</v>
      </c>
      <c r="L54" s="25">
        <v>904</v>
      </c>
      <c r="M54" s="25">
        <v>300</v>
      </c>
      <c r="N54" s="25">
        <v>518</v>
      </c>
      <c r="O54" s="25">
        <v>1354</v>
      </c>
      <c r="P54" s="25">
        <v>762</v>
      </c>
      <c r="Q54" s="25">
        <v>14</v>
      </c>
      <c r="R54" s="25"/>
      <c r="S54" s="25"/>
      <c r="T54" s="25">
        <v>283</v>
      </c>
      <c r="U54" s="25"/>
      <c r="V54" s="25"/>
      <c r="W54" s="25"/>
      <c r="X54" s="25"/>
      <c r="Y54" s="25"/>
      <c r="Z54" s="25"/>
      <c r="AA54" s="25"/>
      <c r="AB54" s="26">
        <f>SUM(F54:T54)</f>
        <v>5739</v>
      </c>
      <c r="AC54" s="26"/>
      <c r="AD54" s="36">
        <v>8.8000000000000007</v>
      </c>
      <c r="AE54" s="26"/>
      <c r="AF54" s="116"/>
      <c r="AG54" s="107"/>
      <c r="AH54" s="107"/>
    </row>
    <row r="55" spans="2:34" ht="15" customHeight="1" x14ac:dyDescent="0.25">
      <c r="B55" s="115"/>
      <c r="C55" s="132"/>
      <c r="D55" s="107"/>
      <c r="E55" s="35" t="s">
        <v>45</v>
      </c>
      <c r="F55" s="26">
        <f>+F54/F5</f>
        <v>26.6</v>
      </c>
      <c r="G55" s="26">
        <f>+G54/G5</f>
        <v>26.736842105263158</v>
      </c>
      <c r="H55" s="26"/>
      <c r="I55" s="26"/>
      <c r="J55" s="26"/>
      <c r="K55" s="26">
        <f t="shared" ref="K55:Q55" si="19">+K54/K5</f>
        <v>40.9</v>
      </c>
      <c r="L55" s="26">
        <f t="shared" si="19"/>
        <v>45.2</v>
      </c>
      <c r="M55" s="26">
        <f t="shared" si="19"/>
        <v>60</v>
      </c>
      <c r="N55" s="26">
        <f t="shared" si="19"/>
        <v>64.75</v>
      </c>
      <c r="O55" s="26">
        <f t="shared" si="19"/>
        <v>56.416666666666664</v>
      </c>
      <c r="P55" s="26">
        <f t="shared" si="19"/>
        <v>38.1</v>
      </c>
      <c r="Q55" s="26">
        <f t="shared" si="19"/>
        <v>0.7</v>
      </c>
      <c r="R55" s="26"/>
      <c r="S55" s="26"/>
      <c r="T55" s="26">
        <f>+T54/T5</f>
        <v>15.722222222222221</v>
      </c>
      <c r="U55" s="26"/>
      <c r="V55" s="26"/>
      <c r="W55" s="26"/>
      <c r="X55" s="26"/>
      <c r="Y55" s="26"/>
      <c r="Z55" s="26"/>
      <c r="AA55" s="26"/>
      <c r="AB55" s="26"/>
      <c r="AC55" s="26"/>
      <c r="AD55" s="107"/>
      <c r="AE55" s="26"/>
      <c r="AF55" s="116"/>
      <c r="AG55" s="107"/>
      <c r="AH55" s="107"/>
    </row>
    <row r="56" spans="2:34" ht="15" customHeight="1" x14ac:dyDescent="0.25">
      <c r="B56" s="115"/>
      <c r="C56" s="132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26"/>
      <c r="AC56" s="107"/>
      <c r="AD56" s="107"/>
      <c r="AE56" s="107"/>
      <c r="AF56" s="116"/>
      <c r="AG56" s="107"/>
      <c r="AH56" s="107"/>
    </row>
    <row r="57" spans="2:34" ht="15" customHeight="1" x14ac:dyDescent="0.25">
      <c r="B57" s="115"/>
      <c r="C57" s="132"/>
      <c r="D57" s="107"/>
      <c r="E57" s="117" t="s">
        <v>46</v>
      </c>
      <c r="F57" s="13">
        <f t="shared" ref="F57:T57" si="20">+F59/F54</f>
        <v>142.35296258397472</v>
      </c>
      <c r="G57" s="13">
        <f t="shared" si="20"/>
        <v>50.541388668872017</v>
      </c>
      <c r="H57" s="13"/>
      <c r="I57" s="13"/>
      <c r="J57" s="13"/>
      <c r="K57" s="13">
        <f>+K59/K54</f>
        <v>62.688365547373451</v>
      </c>
      <c r="L57" s="13">
        <f t="shared" si="20"/>
        <v>100.31597345132744</v>
      </c>
      <c r="M57" s="13">
        <f t="shared" si="20"/>
        <v>86.459033333333323</v>
      </c>
      <c r="N57" s="13">
        <f t="shared" si="20"/>
        <v>85.335386100386103</v>
      </c>
      <c r="O57" s="13">
        <f t="shared" si="20"/>
        <v>75.788774002954213</v>
      </c>
      <c r="P57" s="13">
        <f t="shared" si="20"/>
        <v>88.878750873596417</v>
      </c>
      <c r="Q57" s="13">
        <f t="shared" si="20"/>
        <v>183.39928571428572</v>
      </c>
      <c r="R57" s="13"/>
      <c r="S57" s="13"/>
      <c r="T57" s="13">
        <f t="shared" si="20"/>
        <v>271.02565371024735</v>
      </c>
      <c r="U57" s="13"/>
      <c r="V57" s="13"/>
      <c r="W57" s="13"/>
      <c r="X57" s="13"/>
      <c r="Y57" s="13"/>
      <c r="Z57" s="13"/>
      <c r="AA57" s="13"/>
      <c r="AB57" s="13">
        <f>AB59/AB54</f>
        <v>95.885504443282812</v>
      </c>
      <c r="AC57" s="13"/>
      <c r="AD57" s="107"/>
      <c r="AE57" s="13"/>
      <c r="AF57" s="116"/>
      <c r="AG57" s="107"/>
      <c r="AH57" s="107"/>
    </row>
    <row r="58" spans="2:34" ht="15" customHeight="1" x14ac:dyDescent="0.25">
      <c r="B58" s="115"/>
      <c r="C58" s="132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16"/>
      <c r="AG58" s="107"/>
      <c r="AH58" s="107"/>
    </row>
    <row r="59" spans="2:34" ht="15" customHeight="1" x14ac:dyDescent="0.25">
      <c r="B59" s="115"/>
      <c r="C59" s="132"/>
      <c r="D59" s="107"/>
      <c r="E59" s="118" t="s">
        <v>49</v>
      </c>
      <c r="F59" s="27">
        <f>'2016 - Checks'!C54</f>
        <v>75731.776094674555</v>
      </c>
      <c r="G59" s="27">
        <f>'2016 - Checks'!C55</f>
        <v>12837.512721893492</v>
      </c>
      <c r="H59" s="27"/>
      <c r="I59" s="27"/>
      <c r="J59" s="27"/>
      <c r="K59" s="27">
        <f>'2016 - Checks'!C56</f>
        <v>51279.08301775148</v>
      </c>
      <c r="L59" s="27">
        <f>'2016 - Checks'!C57</f>
        <v>90685.64</v>
      </c>
      <c r="M59" s="27">
        <f>'2016 - Checks'!C58</f>
        <v>25937.71</v>
      </c>
      <c r="N59" s="27">
        <f>'2016 - Checks'!C59</f>
        <v>44203.73</v>
      </c>
      <c r="O59" s="27">
        <f>'2016 - Checks'!C60</f>
        <v>102618</v>
      </c>
      <c r="P59" s="27">
        <f>'2016 - Checks'!C61</f>
        <v>67725.608165680474</v>
      </c>
      <c r="Q59" s="27">
        <f>'2016 - Checks'!E22</f>
        <v>2567.59</v>
      </c>
      <c r="R59" s="27"/>
      <c r="S59" s="27"/>
      <c r="T59" s="27">
        <f>'2016 - Checks'!E18</f>
        <v>76700.259999999995</v>
      </c>
      <c r="U59" s="27"/>
      <c r="V59" s="27"/>
      <c r="W59" s="27"/>
      <c r="X59" s="27"/>
      <c r="Y59" s="27"/>
      <c r="Z59" s="27"/>
      <c r="AA59" s="27"/>
      <c r="AB59" s="27">
        <f>SUM(F59:T59)</f>
        <v>550286.91</v>
      </c>
      <c r="AC59" s="27"/>
      <c r="AD59" s="33">
        <v>10269.950000000001</v>
      </c>
      <c r="AE59" s="27">
        <f>SUM(AB59:AD59)</f>
        <v>560556.86</v>
      </c>
      <c r="AF59" s="116"/>
      <c r="AG59" s="107"/>
      <c r="AH59" t="s">
        <v>51</v>
      </c>
    </row>
    <row r="60" spans="2:34" ht="6" customHeight="1" thickBot="1" x14ac:dyDescent="0.3">
      <c r="B60" s="119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1"/>
      <c r="AG60" s="107"/>
      <c r="AH60" s="107"/>
    </row>
    <row r="61" spans="2:34" ht="6" customHeight="1" thickBot="1" x14ac:dyDescent="0.3"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</row>
    <row r="62" spans="2:34" ht="6" customHeight="1" x14ac:dyDescent="0.25">
      <c r="B62" s="110"/>
      <c r="C62" s="111"/>
      <c r="D62" s="111"/>
      <c r="E62" s="111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114"/>
      <c r="AG62" s="107"/>
      <c r="AH62" s="107"/>
    </row>
    <row r="63" spans="2:34" ht="15" customHeight="1" x14ac:dyDescent="0.25">
      <c r="B63" s="115"/>
      <c r="C63" s="132">
        <v>2017</v>
      </c>
      <c r="D63" s="107"/>
      <c r="E63" s="35" t="s">
        <v>42</v>
      </c>
      <c r="F63" s="122"/>
      <c r="G63" s="122"/>
      <c r="H63" s="122"/>
      <c r="I63" s="122"/>
      <c r="J63" s="122"/>
      <c r="K63" s="122">
        <f t="shared" ref="K63:T63" si="21">+K65*16</f>
        <v>11104</v>
      </c>
      <c r="L63" s="122">
        <f t="shared" si="21"/>
        <v>10472</v>
      </c>
      <c r="M63" s="122">
        <f t="shared" si="21"/>
        <v>2752</v>
      </c>
      <c r="N63" s="122">
        <f t="shared" si="21"/>
        <v>4288</v>
      </c>
      <c r="O63" s="122">
        <f t="shared" si="21"/>
        <v>15904</v>
      </c>
      <c r="P63" s="122">
        <f t="shared" si="21"/>
        <v>7776</v>
      </c>
      <c r="Q63" s="122">
        <f t="shared" si="21"/>
        <v>1504</v>
      </c>
      <c r="R63" s="122">
        <f t="shared" si="21"/>
        <v>1312</v>
      </c>
      <c r="S63" s="122"/>
      <c r="T63" s="122">
        <f t="shared" si="21"/>
        <v>4400</v>
      </c>
      <c r="U63" s="122"/>
      <c r="V63" s="122"/>
      <c r="W63" s="122"/>
      <c r="X63" s="122"/>
      <c r="Y63" s="122"/>
      <c r="Z63" s="122"/>
      <c r="AA63" s="122"/>
      <c r="AB63" s="26">
        <f>SUM(F63:T63)</f>
        <v>59512</v>
      </c>
      <c r="AC63" s="122"/>
      <c r="AD63" s="122"/>
      <c r="AE63" s="122"/>
      <c r="AF63" s="116"/>
      <c r="AG63" s="107"/>
      <c r="AH63" s="107"/>
    </row>
    <row r="64" spans="2:34" ht="15" customHeight="1" x14ac:dyDescent="0.25">
      <c r="B64" s="115"/>
      <c r="C64" s="132"/>
      <c r="D64" s="107"/>
      <c r="E64" s="35" t="s">
        <v>43</v>
      </c>
      <c r="F64" s="26"/>
      <c r="G64" s="26"/>
      <c r="H64" s="26"/>
      <c r="I64" s="26"/>
      <c r="J64" s="26"/>
      <c r="K64" s="26">
        <f t="shared" ref="K64:R64" si="22">+K63/K5</f>
        <v>555.20000000000005</v>
      </c>
      <c r="L64" s="26">
        <f t="shared" si="22"/>
        <v>523.6</v>
      </c>
      <c r="M64" s="26">
        <f t="shared" si="22"/>
        <v>550.4</v>
      </c>
      <c r="N64" s="26">
        <f t="shared" si="22"/>
        <v>536</v>
      </c>
      <c r="O64" s="26">
        <f t="shared" si="22"/>
        <v>662.66666666666663</v>
      </c>
      <c r="P64" s="26">
        <f t="shared" si="22"/>
        <v>388.8</v>
      </c>
      <c r="Q64" s="26">
        <f t="shared" si="22"/>
        <v>75.2</v>
      </c>
      <c r="R64" s="26">
        <f t="shared" si="22"/>
        <v>65.599999999999994</v>
      </c>
      <c r="S64" s="26"/>
      <c r="T64" s="26">
        <f>+T63/T5</f>
        <v>244.44444444444446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16"/>
      <c r="AG64" s="107"/>
      <c r="AH64" s="107"/>
    </row>
    <row r="65" spans="2:34" ht="15" customHeight="1" x14ac:dyDescent="0.25">
      <c r="B65" s="115"/>
      <c r="C65" s="132"/>
      <c r="D65" s="107"/>
      <c r="E65" s="35" t="s">
        <v>44</v>
      </c>
      <c r="F65" s="31"/>
      <c r="G65" s="31"/>
      <c r="H65" s="31"/>
      <c r="I65" s="31"/>
      <c r="J65" s="31"/>
      <c r="K65" s="31">
        <v>694</v>
      </c>
      <c r="L65" s="25">
        <v>654.5</v>
      </c>
      <c r="M65" s="25">
        <v>172</v>
      </c>
      <c r="N65" s="25">
        <v>268</v>
      </c>
      <c r="O65" s="25">
        <v>994</v>
      </c>
      <c r="P65" s="25">
        <v>486</v>
      </c>
      <c r="Q65" s="25">
        <v>94</v>
      </c>
      <c r="R65" s="25">
        <v>82</v>
      </c>
      <c r="S65" s="25"/>
      <c r="T65" s="25">
        <v>275</v>
      </c>
      <c r="U65" s="25"/>
      <c r="V65" s="25"/>
      <c r="W65" s="25"/>
      <c r="X65" s="25"/>
      <c r="Y65" s="25"/>
      <c r="Z65" s="25"/>
      <c r="AA65" s="25"/>
      <c r="AB65" s="26">
        <f>SUM(F65:T65)</f>
        <v>3719.5</v>
      </c>
      <c r="AC65" s="26"/>
      <c r="AD65" s="36">
        <v>25.131</v>
      </c>
      <c r="AE65" s="26"/>
      <c r="AF65" s="116"/>
      <c r="AG65" s="107"/>
      <c r="AH65" s="107"/>
    </row>
    <row r="66" spans="2:34" ht="15" customHeight="1" x14ac:dyDescent="0.25">
      <c r="B66" s="115"/>
      <c r="C66" s="132"/>
      <c r="D66" s="107"/>
      <c r="E66" s="35" t="s">
        <v>45</v>
      </c>
      <c r="F66" s="26"/>
      <c r="G66" s="26"/>
      <c r="H66" s="26"/>
      <c r="I66" s="26"/>
      <c r="J66" s="26"/>
      <c r="K66" s="26">
        <f t="shared" ref="K66:R66" si="23">+K65/K5</f>
        <v>34.700000000000003</v>
      </c>
      <c r="L66" s="26">
        <f t="shared" si="23"/>
        <v>32.725000000000001</v>
      </c>
      <c r="M66" s="26">
        <f t="shared" si="23"/>
        <v>34.4</v>
      </c>
      <c r="N66" s="26">
        <f t="shared" si="23"/>
        <v>33.5</v>
      </c>
      <c r="O66" s="26">
        <f t="shared" si="23"/>
        <v>41.416666666666664</v>
      </c>
      <c r="P66" s="26">
        <f t="shared" si="23"/>
        <v>24.3</v>
      </c>
      <c r="Q66" s="26">
        <f t="shared" si="23"/>
        <v>4.7</v>
      </c>
      <c r="R66" s="26">
        <f t="shared" si="23"/>
        <v>4.0999999999999996</v>
      </c>
      <c r="S66" s="26"/>
      <c r="T66" s="26">
        <f>+T65/T5</f>
        <v>15.277777777777779</v>
      </c>
      <c r="U66" s="26"/>
      <c r="V66" s="26"/>
      <c r="W66" s="26"/>
      <c r="X66" s="26"/>
      <c r="Y66" s="26"/>
      <c r="Z66" s="26"/>
      <c r="AA66" s="26"/>
      <c r="AB66" s="26"/>
      <c r="AC66" s="26"/>
      <c r="AD66" s="107"/>
      <c r="AE66" s="26"/>
      <c r="AF66" s="116"/>
      <c r="AG66" s="107"/>
      <c r="AH66" s="107"/>
    </row>
    <row r="67" spans="2:34" ht="15" customHeight="1" x14ac:dyDescent="0.25">
      <c r="B67" s="115"/>
      <c r="C67" s="132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26"/>
      <c r="AC67" s="107"/>
      <c r="AD67" s="107"/>
      <c r="AE67" s="107"/>
      <c r="AF67" s="116"/>
      <c r="AG67" s="107"/>
      <c r="AH67" s="107"/>
    </row>
    <row r="68" spans="2:34" ht="15" customHeight="1" x14ac:dyDescent="0.25">
      <c r="B68" s="115"/>
      <c r="C68" s="132"/>
      <c r="D68" s="107"/>
      <c r="E68" s="117" t="s">
        <v>46</v>
      </c>
      <c r="F68" s="13"/>
      <c r="G68" s="13"/>
      <c r="H68" s="13"/>
      <c r="I68" s="13"/>
      <c r="J68" s="13"/>
      <c r="K68" s="13">
        <f>K70/K65</f>
        <v>166.82766570605187</v>
      </c>
      <c r="L68" s="13">
        <f>L70/L65</f>
        <v>243.79026737967916</v>
      </c>
      <c r="M68" s="13">
        <f t="shared" ref="M68:O68" si="24">M70/M65</f>
        <v>223.22790697674418</v>
      </c>
      <c r="N68" s="13">
        <f t="shared" si="24"/>
        <v>204.77563432835822</v>
      </c>
      <c r="O68" s="13">
        <f t="shared" si="24"/>
        <v>241.63240442655933</v>
      </c>
      <c r="P68" s="13">
        <f>+P70/P65</f>
        <v>295.81012345679011</v>
      </c>
      <c r="Q68" s="13">
        <f>+Q70/Q65</f>
        <v>135.19627659574468</v>
      </c>
      <c r="R68" s="13">
        <f>+R70/R65</f>
        <v>132.4208536585366</v>
      </c>
      <c r="S68" s="13"/>
      <c r="T68" s="13">
        <f>+T70/T65</f>
        <v>260.52774545454548</v>
      </c>
      <c r="U68" s="13"/>
      <c r="V68" s="13"/>
      <c r="W68" s="13"/>
      <c r="X68" s="13"/>
      <c r="Y68" s="13"/>
      <c r="Z68" s="13"/>
      <c r="AA68" s="13"/>
      <c r="AB68" s="13">
        <v>0</v>
      </c>
      <c r="AC68" s="13"/>
      <c r="AD68" s="107"/>
      <c r="AE68" s="13"/>
      <c r="AF68" s="116"/>
      <c r="AG68" s="107"/>
      <c r="AH68" s="107"/>
    </row>
    <row r="69" spans="2:34" ht="15" customHeight="1" x14ac:dyDescent="0.25">
      <c r="B69" s="115"/>
      <c r="C69" s="132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  <c r="AA69" s="107"/>
      <c r="AB69" s="107"/>
      <c r="AC69" s="107"/>
      <c r="AD69" s="107"/>
      <c r="AE69" s="107"/>
      <c r="AF69" s="116"/>
      <c r="AG69" s="107"/>
      <c r="AH69" s="107"/>
    </row>
    <row r="70" spans="2:34" ht="15" customHeight="1" x14ac:dyDescent="0.25">
      <c r="B70" s="115"/>
      <c r="C70" s="132"/>
      <c r="D70" s="107"/>
      <c r="E70" s="118" t="s">
        <v>49</v>
      </c>
      <c r="F70" s="27"/>
      <c r="G70" s="27"/>
      <c r="H70" s="27"/>
      <c r="I70" s="27"/>
      <c r="J70" s="27"/>
      <c r="K70" s="27">
        <f>'2017 - Checks'!E5+'2017 - Checks'!E12+'2017 - Checks'!E14+'2017 - Checks'!E20</f>
        <v>115778.4</v>
      </c>
      <c r="L70" s="27">
        <f>'2017 - Checks'!E22+'2017 - Checks'!E30</f>
        <v>159560.73000000001</v>
      </c>
      <c r="M70" s="27">
        <f>'2017 - Checks'!E23+'2017 - Checks'!E31</f>
        <v>38395.199999999997</v>
      </c>
      <c r="N70" s="27">
        <f>'2017 - Checks'!E24+'2017 - Checks'!E32</f>
        <v>54879.87</v>
      </c>
      <c r="O70" s="27">
        <f>'2017 - Checks'!E25+'2017 - Checks'!E33</f>
        <v>240182.61</v>
      </c>
      <c r="P70" s="27">
        <f>'2017 - Checks'!E8+'2017 - Checks'!E28</f>
        <v>143763.72</v>
      </c>
      <c r="Q70" s="27">
        <f>'2017 - Checks'!E10</f>
        <v>12708.45</v>
      </c>
      <c r="R70" s="27">
        <f>'2017 - Checks'!E4+'2017 - Checks'!E18</f>
        <v>10858.51</v>
      </c>
      <c r="S70" s="27"/>
      <c r="T70" s="27">
        <f>'2017 - Checks'!E16</f>
        <v>71645.13</v>
      </c>
      <c r="U70" s="27"/>
      <c r="V70" s="27"/>
      <c r="W70" s="27"/>
      <c r="X70" s="27"/>
      <c r="Y70" s="27"/>
      <c r="Z70" s="27"/>
      <c r="AA70" s="27"/>
      <c r="AB70" s="27">
        <f>SUM(F70:T70)</f>
        <v>847772.62</v>
      </c>
      <c r="AC70" s="27"/>
      <c r="AD70" s="33">
        <v>28955.96</v>
      </c>
      <c r="AE70" s="27">
        <f>SUM(AB70:AD70)</f>
        <v>876728.58</v>
      </c>
      <c r="AF70" s="116"/>
      <c r="AG70" s="107"/>
      <c r="AH70" s="50" t="s">
        <v>52</v>
      </c>
    </row>
    <row r="71" spans="2:34" ht="6" customHeight="1" thickBot="1" x14ac:dyDescent="0.3">
      <c r="B71" s="119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1"/>
      <c r="AG71" s="107"/>
      <c r="AH71" s="107"/>
    </row>
    <row r="72" spans="2:34" ht="6" customHeight="1" thickBot="1" x14ac:dyDescent="0.3"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</row>
    <row r="73" spans="2:34" ht="6" customHeight="1" x14ac:dyDescent="0.25">
      <c r="B73" s="110"/>
      <c r="C73" s="111"/>
      <c r="D73" s="111"/>
      <c r="E73" s="111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114"/>
      <c r="AG73" s="107"/>
      <c r="AH73" s="107"/>
    </row>
    <row r="74" spans="2:34" ht="15" customHeight="1" x14ac:dyDescent="0.25">
      <c r="B74" s="115"/>
      <c r="C74" s="132">
        <v>2018</v>
      </c>
      <c r="D74" s="107"/>
      <c r="E74" s="35" t="s">
        <v>42</v>
      </c>
      <c r="F74" s="122"/>
      <c r="G74" s="122"/>
      <c r="H74" s="122"/>
      <c r="I74" s="122"/>
      <c r="J74" s="122">
        <f t="shared" ref="J74" si="25">+J76*16</f>
        <v>992</v>
      </c>
      <c r="K74" s="122">
        <f t="shared" ref="K74:T74" si="26">+K76*16</f>
        <v>8980</v>
      </c>
      <c r="L74" s="122">
        <f t="shared" si="26"/>
        <v>8064</v>
      </c>
      <c r="M74" s="122">
        <f t="shared" si="26"/>
        <v>2976</v>
      </c>
      <c r="N74" s="122">
        <f t="shared" si="26"/>
        <v>5280</v>
      </c>
      <c r="O74" s="122">
        <f t="shared" si="26"/>
        <v>15488</v>
      </c>
      <c r="P74" s="122">
        <f t="shared" si="26"/>
        <v>10688</v>
      </c>
      <c r="Q74" s="122">
        <f t="shared" si="26"/>
        <v>3280</v>
      </c>
      <c r="R74" s="122">
        <f t="shared" si="26"/>
        <v>1824</v>
      </c>
      <c r="S74" s="122"/>
      <c r="T74" s="122">
        <f t="shared" si="26"/>
        <v>13120</v>
      </c>
      <c r="U74" s="122"/>
      <c r="V74" s="122"/>
      <c r="W74" s="122"/>
      <c r="X74" s="122"/>
      <c r="Y74" s="122"/>
      <c r="Z74" s="122"/>
      <c r="AA74" s="122"/>
      <c r="AB74" s="26">
        <f>SUM(F74:T74)</f>
        <v>70692</v>
      </c>
      <c r="AC74" s="122"/>
      <c r="AD74" s="122"/>
      <c r="AE74" s="122"/>
      <c r="AF74" s="116"/>
      <c r="AG74" s="107"/>
      <c r="AH74" s="107"/>
    </row>
    <row r="75" spans="2:34" ht="15" customHeight="1" x14ac:dyDescent="0.25">
      <c r="B75" s="115"/>
      <c r="C75" s="132"/>
      <c r="D75" s="107"/>
      <c r="E75" s="35" t="s">
        <v>43</v>
      </c>
      <c r="F75" s="26"/>
      <c r="G75" s="26"/>
      <c r="H75" s="26"/>
      <c r="I75" s="26"/>
      <c r="J75" s="26">
        <f t="shared" ref="J75:R75" si="27">+J74/J5</f>
        <v>99.2</v>
      </c>
      <c r="K75" s="26">
        <f t="shared" si="27"/>
        <v>449</v>
      </c>
      <c r="L75" s="26">
        <f t="shared" si="27"/>
        <v>403.2</v>
      </c>
      <c r="M75" s="26">
        <f t="shared" si="27"/>
        <v>595.20000000000005</v>
      </c>
      <c r="N75" s="26">
        <f t="shared" si="27"/>
        <v>660</v>
      </c>
      <c r="O75" s="26">
        <f t="shared" si="27"/>
        <v>645.33333333333337</v>
      </c>
      <c r="P75" s="26">
        <f t="shared" si="27"/>
        <v>534.4</v>
      </c>
      <c r="Q75" s="26">
        <f t="shared" si="27"/>
        <v>164</v>
      </c>
      <c r="R75" s="26">
        <f t="shared" si="27"/>
        <v>91.2</v>
      </c>
      <c r="S75" s="26"/>
      <c r="T75" s="26">
        <f>+T74/T5</f>
        <v>728.88888888888891</v>
      </c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16"/>
      <c r="AG75" s="107"/>
      <c r="AH75" s="107"/>
    </row>
    <row r="76" spans="2:34" ht="15" customHeight="1" x14ac:dyDescent="0.25">
      <c r="B76" s="115"/>
      <c r="C76" s="132"/>
      <c r="D76" s="107"/>
      <c r="E76" s="35" t="s">
        <v>44</v>
      </c>
      <c r="F76" s="31"/>
      <c r="G76" s="31"/>
      <c r="H76" s="31"/>
      <c r="I76" s="31"/>
      <c r="J76" s="31">
        <v>62</v>
      </c>
      <c r="K76" s="31">
        <v>561.25</v>
      </c>
      <c r="L76" s="31">
        <v>504</v>
      </c>
      <c r="M76" s="31">
        <v>186</v>
      </c>
      <c r="N76" s="31">
        <v>330</v>
      </c>
      <c r="O76" s="31">
        <v>968</v>
      </c>
      <c r="P76" s="31">
        <f>100+250+318</f>
        <v>668</v>
      </c>
      <c r="Q76" s="31">
        <v>205</v>
      </c>
      <c r="R76" s="31">
        <v>114</v>
      </c>
      <c r="S76" s="31"/>
      <c r="T76" s="31">
        <v>820</v>
      </c>
      <c r="U76" s="31"/>
      <c r="V76" s="31"/>
      <c r="W76" s="31"/>
      <c r="X76" s="31"/>
      <c r="Y76" s="31"/>
      <c r="Z76" s="31"/>
      <c r="AA76" s="31"/>
      <c r="AB76" s="26">
        <f>SUM(F76:T76)</f>
        <v>4418.25</v>
      </c>
      <c r="AC76" s="26"/>
      <c r="AD76" s="36">
        <f>20.68+0.98</f>
        <v>21.66</v>
      </c>
      <c r="AE76" s="26"/>
      <c r="AF76" s="116"/>
      <c r="AG76" s="107"/>
      <c r="AH76" s="107"/>
    </row>
    <row r="77" spans="2:34" ht="15" customHeight="1" x14ac:dyDescent="0.25">
      <c r="B77" s="115"/>
      <c r="C77" s="132"/>
      <c r="D77" s="107"/>
      <c r="E77" s="35" t="s">
        <v>45</v>
      </c>
      <c r="F77" s="26"/>
      <c r="G77" s="26"/>
      <c r="H77" s="26"/>
      <c r="I77" s="26"/>
      <c r="J77" s="26">
        <f t="shared" ref="J77:R77" si="28">+J76/J5</f>
        <v>6.2</v>
      </c>
      <c r="K77" s="26">
        <f t="shared" si="28"/>
        <v>28.0625</v>
      </c>
      <c r="L77" s="26">
        <f t="shared" si="28"/>
        <v>25.2</v>
      </c>
      <c r="M77" s="26">
        <f t="shared" si="28"/>
        <v>37.200000000000003</v>
      </c>
      <c r="N77" s="26">
        <f t="shared" si="28"/>
        <v>41.25</v>
      </c>
      <c r="O77" s="26">
        <f t="shared" si="28"/>
        <v>40.333333333333336</v>
      </c>
      <c r="P77" s="26">
        <f t="shared" si="28"/>
        <v>33.4</v>
      </c>
      <c r="Q77" s="26">
        <f t="shared" si="28"/>
        <v>10.25</v>
      </c>
      <c r="R77" s="26">
        <f t="shared" si="28"/>
        <v>5.7</v>
      </c>
      <c r="S77" s="26"/>
      <c r="T77" s="26">
        <f>+T76/T5</f>
        <v>45.555555555555557</v>
      </c>
      <c r="U77" s="26"/>
      <c r="V77" s="26"/>
      <c r="W77" s="26"/>
      <c r="X77" s="26"/>
      <c r="Y77" s="26"/>
      <c r="Z77" s="26"/>
      <c r="AA77" s="26"/>
      <c r="AB77" s="26"/>
      <c r="AC77" s="26"/>
      <c r="AD77" s="107"/>
      <c r="AE77" s="26"/>
      <c r="AF77" s="116"/>
      <c r="AG77" s="107"/>
      <c r="AH77" s="107"/>
    </row>
    <row r="78" spans="2:34" ht="15" customHeight="1" x14ac:dyDescent="0.25">
      <c r="B78" s="115"/>
      <c r="C78" s="132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26"/>
      <c r="AC78" s="107"/>
      <c r="AD78" s="107"/>
      <c r="AE78" s="107"/>
      <c r="AF78" s="116"/>
      <c r="AG78" s="107"/>
      <c r="AH78" s="107"/>
    </row>
    <row r="79" spans="2:34" ht="15" customHeight="1" x14ac:dyDescent="0.25">
      <c r="B79" s="115"/>
      <c r="C79" s="132"/>
      <c r="D79" s="107"/>
      <c r="E79" s="117" t="s">
        <v>46</v>
      </c>
      <c r="F79" s="13"/>
      <c r="G79" s="34"/>
      <c r="H79" s="34"/>
      <c r="I79" s="34"/>
      <c r="J79" s="5">
        <f t="shared" ref="J79:T79" si="29">+J81/J76</f>
        <v>290.11241935483872</v>
      </c>
      <c r="K79" s="5">
        <f t="shared" si="29"/>
        <v>297.96429398663696</v>
      </c>
      <c r="L79" s="13">
        <f t="shared" si="29"/>
        <v>241.03146825396826</v>
      </c>
      <c r="M79" s="13">
        <f t="shared" si="29"/>
        <v>227.81677419354838</v>
      </c>
      <c r="N79" s="13">
        <f t="shared" si="29"/>
        <v>186.44060606060606</v>
      </c>
      <c r="O79" s="13">
        <f t="shared" si="29"/>
        <v>202.04183884297521</v>
      </c>
      <c r="P79" s="13">
        <f t="shared" si="29"/>
        <v>323.28392215568857</v>
      </c>
      <c r="Q79" s="5">
        <f t="shared" si="29"/>
        <v>329.63248780487805</v>
      </c>
      <c r="R79" s="13">
        <f t="shared" si="29"/>
        <v>257.70192982456143</v>
      </c>
      <c r="S79" s="13"/>
      <c r="T79" s="13">
        <f t="shared" si="29"/>
        <v>333.43941463414637</v>
      </c>
      <c r="U79" s="13"/>
      <c r="V79" s="13"/>
      <c r="W79" s="13"/>
      <c r="X79" s="13"/>
      <c r="Y79" s="13"/>
      <c r="Z79" s="13"/>
      <c r="AA79" s="13"/>
      <c r="AB79" s="13"/>
      <c r="AC79" s="13"/>
      <c r="AD79" s="107"/>
      <c r="AE79" s="13"/>
      <c r="AF79" s="116"/>
      <c r="AG79" s="107"/>
      <c r="AH79" s="107"/>
    </row>
    <row r="80" spans="2:34" ht="15" customHeight="1" x14ac:dyDescent="0.25">
      <c r="B80" s="115"/>
      <c r="C80" s="132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7"/>
      <c r="AF80" s="116"/>
      <c r="AG80" s="107"/>
      <c r="AH80" s="124"/>
    </row>
    <row r="81" spans="2:32" ht="15" customHeight="1" x14ac:dyDescent="0.25">
      <c r="B81" s="115"/>
      <c r="C81" s="132"/>
      <c r="D81" s="107"/>
      <c r="E81" s="118" t="s">
        <v>49</v>
      </c>
      <c r="F81" s="27"/>
      <c r="G81" s="27"/>
      <c r="H81" s="27"/>
      <c r="I81" s="27"/>
      <c r="J81" s="27">
        <f>'2018 - Checks'!C77</f>
        <v>17986.97</v>
      </c>
      <c r="K81" s="27">
        <f>'2018 - Checks'!C78</f>
        <v>167232.46</v>
      </c>
      <c r="L81" s="27">
        <f>'2018 - Checks'!C79</f>
        <v>121479.86</v>
      </c>
      <c r="M81" s="27">
        <f>'2018 - Checks'!C80</f>
        <v>42373.919999999998</v>
      </c>
      <c r="N81" s="27">
        <f>'2018 - Checks'!C81</f>
        <v>61525.4</v>
      </c>
      <c r="O81" s="27">
        <f>'2018 - Checks'!C82</f>
        <v>195576.5</v>
      </c>
      <c r="P81" s="27">
        <f>'2018 - Checks'!C83</f>
        <v>215953.65999999997</v>
      </c>
      <c r="Q81" s="27">
        <f>'2018 - Checks'!C84</f>
        <v>67574.66</v>
      </c>
      <c r="R81" s="27">
        <f>'2018 - Checks'!C85</f>
        <v>29378.02</v>
      </c>
      <c r="S81" s="27"/>
      <c r="T81" s="27">
        <f>'2018 - Checks'!C86</f>
        <v>273420.32</v>
      </c>
      <c r="U81" s="27"/>
      <c r="V81" s="27"/>
      <c r="W81" s="27"/>
      <c r="X81" s="27"/>
      <c r="Y81" s="27"/>
      <c r="Z81" s="27"/>
      <c r="AA81" s="27"/>
      <c r="AB81" s="27">
        <f>SUM(F81:T81)</f>
        <v>1192501.77</v>
      </c>
      <c r="AC81" s="27"/>
      <c r="AD81" s="33">
        <v>26322.09</v>
      </c>
      <c r="AE81" s="27">
        <f>SUM(AB81:AD81)</f>
        <v>1218823.8600000001</v>
      </c>
      <c r="AF81" s="116"/>
    </row>
    <row r="82" spans="2:32" ht="6" customHeight="1" thickBot="1" x14ac:dyDescent="0.3">
      <c r="B82" s="119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1"/>
    </row>
    <row r="83" spans="2:32" ht="6" customHeight="1" thickBot="1" x14ac:dyDescent="0.3"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</row>
    <row r="84" spans="2:32" ht="6" customHeight="1" x14ac:dyDescent="0.25">
      <c r="B84" s="110"/>
      <c r="C84" s="111"/>
      <c r="D84" s="111"/>
      <c r="E84" s="111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114"/>
    </row>
    <row r="85" spans="2:32" ht="15" customHeight="1" x14ac:dyDescent="0.25">
      <c r="B85" s="115"/>
      <c r="C85" s="132">
        <v>2019</v>
      </c>
      <c r="D85" s="107"/>
      <c r="E85" s="35" t="s">
        <v>42</v>
      </c>
      <c r="F85" s="122"/>
      <c r="G85" s="122"/>
      <c r="H85" s="122"/>
      <c r="I85" s="122"/>
      <c r="J85" s="122">
        <f t="shared" ref="J85:T85" si="30">+J87*16</f>
        <v>3152</v>
      </c>
      <c r="K85" s="122">
        <f t="shared" si="30"/>
        <v>9328</v>
      </c>
      <c r="L85" s="122">
        <f t="shared" si="30"/>
        <v>12848</v>
      </c>
      <c r="M85" s="122">
        <f t="shared" si="30"/>
        <v>3424</v>
      </c>
      <c r="N85" s="122">
        <f t="shared" si="30"/>
        <v>6144</v>
      </c>
      <c r="O85" s="122">
        <f t="shared" si="30"/>
        <v>18432</v>
      </c>
      <c r="P85" s="122">
        <f t="shared" si="30"/>
        <v>11584</v>
      </c>
      <c r="Q85" s="122">
        <f t="shared" si="30"/>
        <v>7648</v>
      </c>
      <c r="R85" s="122">
        <f t="shared" si="30"/>
        <v>6448</v>
      </c>
      <c r="S85" s="122"/>
      <c r="T85" s="122">
        <f t="shared" si="30"/>
        <v>10324</v>
      </c>
      <c r="U85" s="122"/>
      <c r="V85" s="122"/>
      <c r="W85" s="122"/>
      <c r="X85" s="122"/>
      <c r="Y85" s="122"/>
      <c r="Z85" s="122"/>
      <c r="AA85" s="122"/>
      <c r="AB85" s="26">
        <f>SUM(F85:T85)</f>
        <v>89332</v>
      </c>
      <c r="AC85" s="122"/>
      <c r="AD85" s="122"/>
      <c r="AE85" s="122"/>
      <c r="AF85" s="116"/>
    </row>
    <row r="86" spans="2:32" ht="15" customHeight="1" x14ac:dyDescent="0.25">
      <c r="B86" s="115"/>
      <c r="C86" s="132"/>
      <c r="D86" s="107"/>
      <c r="E86" s="35" t="s">
        <v>43</v>
      </c>
      <c r="F86" s="26"/>
      <c r="G86" s="26"/>
      <c r="H86" s="26"/>
      <c r="I86" s="26"/>
      <c r="J86" s="26">
        <f t="shared" ref="J86:R86" si="31">+J85/J5</f>
        <v>315.2</v>
      </c>
      <c r="K86" s="26">
        <f t="shared" si="31"/>
        <v>466.4</v>
      </c>
      <c r="L86" s="26">
        <f t="shared" si="31"/>
        <v>642.4</v>
      </c>
      <c r="M86" s="26">
        <f t="shared" si="31"/>
        <v>684.8</v>
      </c>
      <c r="N86" s="26">
        <f t="shared" si="31"/>
        <v>768</v>
      </c>
      <c r="O86" s="26">
        <f t="shared" si="31"/>
        <v>768</v>
      </c>
      <c r="P86" s="26">
        <f t="shared" si="31"/>
        <v>579.20000000000005</v>
      </c>
      <c r="Q86" s="26">
        <f t="shared" si="31"/>
        <v>382.4</v>
      </c>
      <c r="R86" s="26">
        <f t="shared" si="31"/>
        <v>322.39999999999998</v>
      </c>
      <c r="S86" s="26"/>
      <c r="T86" s="26">
        <f>+T85/T5</f>
        <v>573.55555555555554</v>
      </c>
      <c r="U86" s="26"/>
      <c r="V86" s="26"/>
      <c r="W86" s="26"/>
      <c r="X86" s="26"/>
      <c r="Y86" s="26"/>
      <c r="Z86" s="26"/>
      <c r="AA86" s="26"/>
      <c r="AB86" s="26">
        <f>SUM(F86:T86)</f>
        <v>5502.3555555555549</v>
      </c>
      <c r="AC86" s="26"/>
      <c r="AD86" s="26"/>
      <c r="AE86" s="26"/>
      <c r="AF86" s="116"/>
    </row>
    <row r="87" spans="2:32" ht="15" customHeight="1" x14ac:dyDescent="0.25">
      <c r="B87" s="115"/>
      <c r="C87" s="132"/>
      <c r="D87" s="107"/>
      <c r="E87" s="35" t="s">
        <v>44</v>
      </c>
      <c r="F87" s="31"/>
      <c r="G87" s="31"/>
      <c r="H87" s="31"/>
      <c r="I87" s="31"/>
      <c r="J87" s="31">
        <v>197</v>
      </c>
      <c r="K87" s="31">
        <v>583</v>
      </c>
      <c r="L87" s="31">
        <v>803</v>
      </c>
      <c r="M87" s="31">
        <v>214</v>
      </c>
      <c r="N87" s="31">
        <v>384</v>
      </c>
      <c r="O87" s="31">
        <v>1152</v>
      </c>
      <c r="P87" s="31">
        <v>724</v>
      </c>
      <c r="Q87" s="31">
        <v>478</v>
      </c>
      <c r="R87" s="31">
        <v>403</v>
      </c>
      <c r="S87" s="31"/>
      <c r="T87" s="31">
        <v>645.25</v>
      </c>
      <c r="U87" s="31"/>
      <c r="V87" s="31"/>
      <c r="W87" s="31"/>
      <c r="X87" s="31"/>
      <c r="Y87" s="31"/>
      <c r="Z87" s="31"/>
      <c r="AA87" s="31"/>
      <c r="AB87" s="26">
        <f>SUM(F87:T87)</f>
        <v>5583.25</v>
      </c>
      <c r="AC87" s="26"/>
      <c r="AD87" s="26"/>
      <c r="AE87" s="26"/>
      <c r="AF87" s="116"/>
    </row>
    <row r="88" spans="2:32" ht="15" customHeight="1" x14ac:dyDescent="0.25">
      <c r="B88" s="115"/>
      <c r="C88" s="132"/>
      <c r="D88" s="107"/>
      <c r="E88" s="35" t="s">
        <v>45</v>
      </c>
      <c r="F88" s="26"/>
      <c r="G88" s="26"/>
      <c r="H88" s="26"/>
      <c r="I88" s="26"/>
      <c r="J88" s="26">
        <f t="shared" ref="J88:R88" si="32">+J87/J5</f>
        <v>19.7</v>
      </c>
      <c r="K88" s="26">
        <f t="shared" si="32"/>
        <v>29.15</v>
      </c>
      <c r="L88" s="26">
        <f t="shared" si="32"/>
        <v>40.15</v>
      </c>
      <c r="M88" s="26">
        <f t="shared" si="32"/>
        <v>42.8</v>
      </c>
      <c r="N88" s="26">
        <f t="shared" si="32"/>
        <v>48</v>
      </c>
      <c r="O88" s="26">
        <f t="shared" si="32"/>
        <v>48</v>
      </c>
      <c r="P88" s="26">
        <f t="shared" si="32"/>
        <v>36.200000000000003</v>
      </c>
      <c r="Q88" s="26">
        <f t="shared" si="32"/>
        <v>23.9</v>
      </c>
      <c r="R88" s="26">
        <f t="shared" si="32"/>
        <v>20.149999999999999</v>
      </c>
      <c r="S88" s="26"/>
      <c r="T88" s="26">
        <f>+T87/T5</f>
        <v>35.847222222222221</v>
      </c>
      <c r="U88" s="26"/>
      <c r="V88" s="26"/>
      <c r="W88" s="26"/>
      <c r="X88" s="26"/>
      <c r="Y88" s="26"/>
      <c r="Z88" s="26"/>
      <c r="AA88" s="26"/>
      <c r="AB88" s="26">
        <f>SUM(F88:T88)</f>
        <v>343.89722222222218</v>
      </c>
      <c r="AC88" s="26"/>
      <c r="AD88" s="107"/>
      <c r="AE88" s="26"/>
      <c r="AF88" s="116"/>
    </row>
    <row r="89" spans="2:32" ht="15" customHeight="1" x14ac:dyDescent="0.25">
      <c r="B89" s="115"/>
      <c r="C89" s="132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26"/>
      <c r="AC89" s="107"/>
      <c r="AD89" s="107"/>
      <c r="AE89" s="107"/>
      <c r="AF89" s="116"/>
    </row>
    <row r="90" spans="2:32" ht="15" customHeight="1" x14ac:dyDescent="0.25">
      <c r="B90" s="115"/>
      <c r="C90" s="132"/>
      <c r="D90" s="107"/>
      <c r="E90" s="117" t="s">
        <v>46</v>
      </c>
      <c r="F90" s="13"/>
      <c r="G90" s="34"/>
      <c r="H90" s="34"/>
      <c r="I90" s="34"/>
      <c r="J90" s="13">
        <f t="shared" ref="J90:T90" si="33">+J92/J87</f>
        <v>214.78426395939087</v>
      </c>
      <c r="K90" s="5">
        <f t="shared" si="33"/>
        <v>53.247015437392797</v>
      </c>
      <c r="L90" s="5">
        <f t="shared" si="33"/>
        <v>103.52734744707348</v>
      </c>
      <c r="M90" s="13">
        <f t="shared" si="33"/>
        <v>99.515841121495328</v>
      </c>
      <c r="N90" s="13">
        <f t="shared" si="33"/>
        <v>95.477708333333339</v>
      </c>
      <c r="O90" s="13">
        <f t="shared" si="33"/>
        <v>100.70726562500001</v>
      </c>
      <c r="P90" s="13">
        <f t="shared" si="33"/>
        <v>87.76125690607735</v>
      </c>
      <c r="Q90" s="5">
        <f t="shared" si="33"/>
        <v>289.16702928870291</v>
      </c>
      <c r="R90" s="13">
        <f t="shared" si="33"/>
        <v>60.183622828784117</v>
      </c>
      <c r="S90" s="13"/>
      <c r="T90" s="13">
        <f t="shared" si="33"/>
        <v>325.51065478496707</v>
      </c>
      <c r="U90" s="13"/>
      <c r="V90" s="13"/>
      <c r="W90" s="13"/>
      <c r="X90" s="13"/>
      <c r="Y90" s="13"/>
      <c r="Z90" s="13"/>
      <c r="AA90" s="13"/>
      <c r="AB90" s="13"/>
      <c r="AC90" s="13"/>
      <c r="AD90" s="107"/>
      <c r="AE90" s="13"/>
      <c r="AF90" s="116"/>
    </row>
    <row r="91" spans="2:32" ht="15" customHeight="1" x14ac:dyDescent="0.25">
      <c r="B91" s="115"/>
      <c r="C91" s="132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  <c r="AA91" s="107"/>
      <c r="AB91" s="107"/>
      <c r="AC91" s="107"/>
      <c r="AD91" s="107"/>
      <c r="AE91" s="107"/>
      <c r="AF91" s="116"/>
    </row>
    <row r="92" spans="2:32" ht="15" customHeight="1" x14ac:dyDescent="0.25">
      <c r="B92" s="115"/>
      <c r="C92" s="132"/>
      <c r="D92" s="107"/>
      <c r="E92" s="118" t="s">
        <v>49</v>
      </c>
      <c r="F92" s="27"/>
      <c r="G92" s="27"/>
      <c r="H92" s="27"/>
      <c r="I92" s="27"/>
      <c r="J92" s="27">
        <f>'2019 - Checks'!D5+'2019 - Checks'!D15</f>
        <v>42312.5</v>
      </c>
      <c r="K92" s="27">
        <f>SUM('2019 - Checks'!D9,'2019 - Checks'!D12,'2019 - Checks'!D13,'2019 - Checks'!D22,'2019 - Checks'!D28,'2019 - Checks'!D31,'2019 - Checks'!D36)</f>
        <v>31043.010000000002</v>
      </c>
      <c r="L92" s="27">
        <v>83132.460000000006</v>
      </c>
      <c r="M92" s="27">
        <v>21296.39</v>
      </c>
      <c r="N92" s="27">
        <v>36663.440000000002</v>
      </c>
      <c r="O92" s="27">
        <v>116014.77</v>
      </c>
      <c r="P92" s="27">
        <f>SUM('2019 - Checks'!D17,'2019 - Checks'!D24,'2019 - Checks'!D33,'2019 - Checks'!D34)</f>
        <v>63539.15</v>
      </c>
      <c r="Q92" s="27">
        <f>SUM('2019 - Checks'!D7,'2019 - Checks'!D11,'2019 - Checks'!D18,'2019 - Checks'!D26)</f>
        <v>138221.84</v>
      </c>
      <c r="R92" s="27">
        <f>SUM('2019 - Checks'!D20,'2019 - Checks'!D35)</f>
        <v>24254</v>
      </c>
      <c r="S92" s="27"/>
      <c r="T92" s="27">
        <f>SUM('2019 - Checks'!D3,'2019 - Checks'!D8,'2019 - Checks'!D30)</f>
        <v>210035.75</v>
      </c>
      <c r="U92" s="27"/>
      <c r="V92" s="27"/>
      <c r="W92" s="27"/>
      <c r="X92" s="27"/>
      <c r="Y92" s="27"/>
      <c r="Z92" s="27"/>
      <c r="AA92" s="27"/>
      <c r="AB92" s="27">
        <f>SUM(F92:T92)</f>
        <v>766513.31</v>
      </c>
      <c r="AC92" s="27"/>
      <c r="AD92" s="33">
        <v>0</v>
      </c>
      <c r="AE92" s="27">
        <f>SUM(AB92:AD92)</f>
        <v>766513.31</v>
      </c>
      <c r="AF92" s="116"/>
    </row>
    <row r="93" spans="2:32" ht="6" customHeight="1" thickBot="1" x14ac:dyDescent="0.3">
      <c r="B93" s="119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1"/>
    </row>
    <row r="94" spans="2:32" ht="6" customHeight="1" thickBot="1" x14ac:dyDescent="0.3"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107"/>
      <c r="AB94" s="107"/>
      <c r="AC94" s="107"/>
      <c r="AD94" s="107"/>
      <c r="AE94" s="107"/>
      <c r="AF94" s="107"/>
    </row>
    <row r="95" spans="2:32" ht="6" customHeight="1" x14ac:dyDescent="0.25">
      <c r="B95" s="110"/>
      <c r="C95" s="111"/>
      <c r="D95" s="111"/>
      <c r="E95" s="111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114"/>
    </row>
    <row r="96" spans="2:32" ht="15" customHeight="1" x14ac:dyDescent="0.25">
      <c r="B96" s="115"/>
      <c r="C96" s="132">
        <v>2020</v>
      </c>
      <c r="D96" s="107"/>
      <c r="E96" s="35" t="s">
        <v>42</v>
      </c>
      <c r="F96" s="122"/>
      <c r="G96" s="122"/>
      <c r="H96" s="122"/>
      <c r="I96" s="122">
        <f t="shared" ref="I96" si="34">+I98*16</f>
        <v>164</v>
      </c>
      <c r="J96" s="122">
        <f t="shared" ref="J96:T96" si="35">+J98*16</f>
        <v>1856</v>
      </c>
      <c r="K96" s="122">
        <f t="shared" si="35"/>
        <v>9440</v>
      </c>
      <c r="L96" s="122">
        <f t="shared" si="35"/>
        <v>9728</v>
      </c>
      <c r="M96" s="122">
        <f t="shared" si="35"/>
        <v>3376</v>
      </c>
      <c r="N96" s="122">
        <f t="shared" si="35"/>
        <v>5760</v>
      </c>
      <c r="O96" s="122">
        <f t="shared" si="35"/>
        <v>17664</v>
      </c>
      <c r="P96" s="122">
        <f t="shared" si="35"/>
        <v>9824</v>
      </c>
      <c r="Q96" s="122">
        <f t="shared" si="35"/>
        <v>9984</v>
      </c>
      <c r="R96" s="122">
        <f t="shared" si="35"/>
        <v>6604</v>
      </c>
      <c r="S96" s="122"/>
      <c r="T96" s="122">
        <f t="shared" si="35"/>
        <v>13896</v>
      </c>
      <c r="U96" s="122"/>
      <c r="V96" s="122"/>
      <c r="W96" s="122"/>
      <c r="X96" s="122"/>
      <c r="Y96" s="122"/>
      <c r="Z96" s="122"/>
      <c r="AA96" s="122"/>
      <c r="AB96" s="26">
        <f>SUM(F96:T96)</f>
        <v>88296</v>
      </c>
      <c r="AC96" s="122"/>
      <c r="AD96" s="122"/>
      <c r="AE96" s="122"/>
      <c r="AF96" s="116"/>
    </row>
    <row r="97" spans="2:32" ht="15" customHeight="1" x14ac:dyDescent="0.25">
      <c r="B97" s="115"/>
      <c r="C97" s="132"/>
      <c r="D97" s="107"/>
      <c r="E97" s="35" t="s">
        <v>43</v>
      </c>
      <c r="F97" s="26"/>
      <c r="G97" s="26"/>
      <c r="H97" s="26"/>
      <c r="I97" s="26">
        <f t="shared" ref="I97:R97" si="36">+I96/I5</f>
        <v>16.399999999999999</v>
      </c>
      <c r="J97" s="26">
        <f t="shared" si="36"/>
        <v>185.6</v>
      </c>
      <c r="K97" s="26">
        <f t="shared" si="36"/>
        <v>472</v>
      </c>
      <c r="L97" s="26">
        <f t="shared" si="36"/>
        <v>486.4</v>
      </c>
      <c r="M97" s="26">
        <f t="shared" si="36"/>
        <v>675.2</v>
      </c>
      <c r="N97" s="26">
        <f t="shared" si="36"/>
        <v>720</v>
      </c>
      <c r="O97" s="26">
        <f t="shared" si="36"/>
        <v>736</v>
      </c>
      <c r="P97" s="26">
        <f t="shared" si="36"/>
        <v>491.2</v>
      </c>
      <c r="Q97" s="26">
        <f t="shared" si="36"/>
        <v>499.2</v>
      </c>
      <c r="R97" s="26">
        <f t="shared" si="36"/>
        <v>330.2</v>
      </c>
      <c r="S97" s="26"/>
      <c r="T97" s="26">
        <f>+T96/T5</f>
        <v>772</v>
      </c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116"/>
    </row>
    <row r="98" spans="2:32" ht="15" customHeight="1" x14ac:dyDescent="0.25">
      <c r="B98" s="115"/>
      <c r="C98" s="132"/>
      <c r="D98" s="107"/>
      <c r="E98" s="35" t="s">
        <v>44</v>
      </c>
      <c r="F98" s="31"/>
      <c r="G98" s="31"/>
      <c r="H98" s="31"/>
      <c r="I98" s="31">
        <v>10.25</v>
      </c>
      <c r="J98" s="31">
        <v>116</v>
      </c>
      <c r="K98" s="31">
        <v>590</v>
      </c>
      <c r="L98" s="31">
        <f>130+62+98+215+46+57</f>
        <v>608</v>
      </c>
      <c r="M98" s="31">
        <v>211</v>
      </c>
      <c r="N98" s="31">
        <v>360</v>
      </c>
      <c r="O98" s="31">
        <v>1104</v>
      </c>
      <c r="P98" s="31">
        <v>614</v>
      </c>
      <c r="Q98" s="31">
        <v>624</v>
      </c>
      <c r="R98" s="31">
        <v>412.75</v>
      </c>
      <c r="S98" s="31"/>
      <c r="T98" s="31">
        <v>868.5</v>
      </c>
      <c r="U98" s="31"/>
      <c r="V98" s="31"/>
      <c r="W98" s="31"/>
      <c r="X98" s="31"/>
      <c r="Y98" s="31"/>
      <c r="Z98" s="31"/>
      <c r="AA98" s="31"/>
      <c r="AB98" s="26">
        <f>SUM(F98:T98)</f>
        <v>5518.5</v>
      </c>
      <c r="AC98" s="26"/>
      <c r="AD98" s="26"/>
      <c r="AE98" s="26"/>
      <c r="AF98" s="116"/>
    </row>
    <row r="99" spans="2:32" ht="15" customHeight="1" x14ac:dyDescent="0.25">
      <c r="B99" s="115"/>
      <c r="C99" s="132"/>
      <c r="D99" s="107"/>
      <c r="E99" s="35" t="s">
        <v>45</v>
      </c>
      <c r="F99" s="26"/>
      <c r="G99" s="26"/>
      <c r="H99" s="26"/>
      <c r="I99" s="26">
        <f t="shared" ref="I99:R99" si="37">+I98/I5</f>
        <v>1.0249999999999999</v>
      </c>
      <c r="J99" s="26">
        <f t="shared" si="37"/>
        <v>11.6</v>
      </c>
      <c r="K99" s="26">
        <f t="shared" si="37"/>
        <v>29.5</v>
      </c>
      <c r="L99" s="26">
        <f t="shared" si="37"/>
        <v>30.4</v>
      </c>
      <c r="M99" s="26">
        <f t="shared" si="37"/>
        <v>42.2</v>
      </c>
      <c r="N99" s="26">
        <f t="shared" si="37"/>
        <v>45</v>
      </c>
      <c r="O99" s="26">
        <f t="shared" si="37"/>
        <v>46</v>
      </c>
      <c r="P99" s="26">
        <f t="shared" si="37"/>
        <v>30.7</v>
      </c>
      <c r="Q99" s="26">
        <f t="shared" si="37"/>
        <v>31.2</v>
      </c>
      <c r="R99" s="26">
        <f t="shared" si="37"/>
        <v>20.637499999999999</v>
      </c>
      <c r="S99" s="26"/>
      <c r="T99" s="26">
        <f>+T98/T5</f>
        <v>48.25</v>
      </c>
      <c r="U99" s="26"/>
      <c r="V99" s="26"/>
      <c r="W99" s="26"/>
      <c r="X99" s="26"/>
      <c r="Y99" s="26"/>
      <c r="Z99" s="26"/>
      <c r="AA99" s="26"/>
      <c r="AB99" s="26"/>
      <c r="AC99" s="26"/>
      <c r="AD99" s="107"/>
      <c r="AE99" s="26"/>
      <c r="AF99" s="116"/>
    </row>
    <row r="100" spans="2:32" ht="15" customHeight="1" x14ac:dyDescent="0.25">
      <c r="B100" s="115"/>
      <c r="C100" s="132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26"/>
      <c r="AC100" s="107"/>
      <c r="AD100" s="107"/>
      <c r="AE100" s="107"/>
      <c r="AF100" s="116"/>
    </row>
    <row r="101" spans="2:32" ht="15" customHeight="1" x14ac:dyDescent="0.25">
      <c r="B101" s="115"/>
      <c r="C101" s="132"/>
      <c r="D101" s="107"/>
      <c r="E101" s="117" t="s">
        <v>46</v>
      </c>
      <c r="F101" s="13"/>
      <c r="G101" s="34"/>
      <c r="H101" s="34"/>
      <c r="I101" s="13">
        <f>+I103/I98</f>
        <v>304.42439024390245</v>
      </c>
      <c r="J101" s="13">
        <f>+J103/J98</f>
        <v>273.00146551724134</v>
      </c>
      <c r="K101" s="13">
        <f t="shared" ref="K101:T101" si="38">+K103/K98</f>
        <v>102.83327118644067</v>
      </c>
      <c r="L101" s="13">
        <f>L103/L98</f>
        <v>176.00967105263157</v>
      </c>
      <c r="M101" s="13">
        <f>M103/M98</f>
        <v>151.98914691943128</v>
      </c>
      <c r="N101" s="13">
        <f>N103/N98</f>
        <v>166.28402777777777</v>
      </c>
      <c r="O101" s="13">
        <f>O103/O98</f>
        <v>108.09846920289856</v>
      </c>
      <c r="P101" s="13">
        <f>+P103/P98</f>
        <v>215.93952768729642</v>
      </c>
      <c r="Q101" s="13">
        <f>Q103/Q98</f>
        <v>259.1830769230769</v>
      </c>
      <c r="R101" s="13">
        <f>+R103/R98</f>
        <v>202.27219866747427</v>
      </c>
      <c r="S101" s="13"/>
      <c r="T101" s="13">
        <f t="shared" si="38"/>
        <v>242.9590443293034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07"/>
      <c r="AE101" s="13"/>
      <c r="AF101" s="116"/>
    </row>
    <row r="102" spans="2:32" ht="15" customHeight="1" x14ac:dyDescent="0.25">
      <c r="B102" s="115"/>
      <c r="C102" s="132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16"/>
    </row>
    <row r="103" spans="2:32" ht="15" customHeight="1" x14ac:dyDescent="0.25">
      <c r="B103" s="115"/>
      <c r="C103" s="132"/>
      <c r="D103" s="107"/>
      <c r="E103" s="118" t="s">
        <v>49</v>
      </c>
      <c r="F103" s="27"/>
      <c r="G103" s="27"/>
      <c r="H103" s="27"/>
      <c r="I103" s="27">
        <f>SUM('2020 - Checks'!D3,'2020 - Checks'!D37)</f>
        <v>3120.35</v>
      </c>
      <c r="J103" s="27">
        <f>SUM('2020 - Checks'!D15,'2020 - Checks'!D19,'2020 - Checks'!D22)</f>
        <v>31668.17</v>
      </c>
      <c r="K103" s="27">
        <f>SUM('2020 - Checks'!D4,'2020 - Checks'!D10,'2020 - Checks'!D30,'2020 - Checks'!D34)</f>
        <v>60671.63</v>
      </c>
      <c r="L103" s="27">
        <v>107013.88</v>
      </c>
      <c r="M103" s="27">
        <v>32069.71</v>
      </c>
      <c r="N103" s="27">
        <v>59862.25</v>
      </c>
      <c r="O103" s="27">
        <v>119340.71</v>
      </c>
      <c r="P103" s="27">
        <f>SUM('2020 - Checks'!D26:D27,'2020 - Checks'!D44,'2020 - Checks'!D48)</f>
        <v>132586.87</v>
      </c>
      <c r="Q103" s="27">
        <f>SUM('2020 - Checks'!D5,'2020 - Checks'!D8,'2020 - Checks'!D13,'2020 - Checks'!D33)</f>
        <v>161730.23999999999</v>
      </c>
      <c r="R103" s="27">
        <f>'2020 - Checks'!D24+'2020 - Checks'!D45</f>
        <v>83487.850000000006</v>
      </c>
      <c r="S103" s="27"/>
      <c r="T103" s="27">
        <f>SUM('2020 - Checks'!D9,'2020 - Checks'!D16,'2020 - Checks'!D32)</f>
        <v>211009.93</v>
      </c>
      <c r="U103" s="27"/>
      <c r="V103" s="27"/>
      <c r="W103" s="27"/>
      <c r="X103" s="27"/>
      <c r="Y103" s="27"/>
      <c r="Z103" s="27"/>
      <c r="AA103" s="27"/>
      <c r="AB103" s="27">
        <f>SUM(F103:T103)</f>
        <v>1002561.5900000001</v>
      </c>
      <c r="AC103" s="27"/>
      <c r="AD103" s="33">
        <v>0</v>
      </c>
      <c r="AE103" s="27">
        <f>SUM(AB103:AD103)</f>
        <v>1002561.5900000001</v>
      </c>
      <c r="AF103" s="116"/>
    </row>
    <row r="104" spans="2:32" ht="6" customHeight="1" thickBot="1" x14ac:dyDescent="0.3">
      <c r="B104" s="119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1"/>
    </row>
    <row r="105" spans="2:32" ht="6" customHeight="1" thickBot="1" x14ac:dyDescent="0.3"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</row>
    <row r="106" spans="2:32" ht="6" customHeight="1" x14ac:dyDescent="0.25">
      <c r="B106" s="110"/>
      <c r="C106" s="111"/>
      <c r="D106" s="111"/>
      <c r="E106" s="111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114"/>
    </row>
    <row r="107" spans="2:32" ht="15" customHeight="1" x14ac:dyDescent="0.25">
      <c r="B107" s="115"/>
      <c r="C107" s="132">
        <v>2021</v>
      </c>
      <c r="D107" s="107"/>
      <c r="E107" s="35" t="s">
        <v>42</v>
      </c>
      <c r="F107" s="122"/>
      <c r="G107" s="122"/>
      <c r="H107" s="122"/>
      <c r="I107" s="122">
        <f t="shared" ref="I107:T107" si="39">+I109*16</f>
        <v>796</v>
      </c>
      <c r="J107" s="122">
        <f t="shared" si="39"/>
        <v>3392</v>
      </c>
      <c r="K107" s="122">
        <f t="shared" si="39"/>
        <v>4736</v>
      </c>
      <c r="L107" s="122">
        <f t="shared" si="39"/>
        <v>11488</v>
      </c>
      <c r="M107" s="122">
        <f t="shared" si="39"/>
        <v>2752</v>
      </c>
      <c r="N107" s="122">
        <f t="shared" si="39"/>
        <v>4944</v>
      </c>
      <c r="O107" s="122">
        <f t="shared" si="39"/>
        <v>16952</v>
      </c>
      <c r="P107" s="122">
        <f t="shared" si="39"/>
        <v>11200</v>
      </c>
      <c r="Q107" s="122">
        <f t="shared" si="39"/>
        <v>9792</v>
      </c>
      <c r="R107" s="122">
        <f t="shared" si="39"/>
        <v>8704</v>
      </c>
      <c r="S107" s="122">
        <f t="shared" ref="S107" si="40">+S109*16</f>
        <v>624</v>
      </c>
      <c r="T107" s="122">
        <f t="shared" si="39"/>
        <v>15264</v>
      </c>
      <c r="U107" s="122"/>
      <c r="V107" s="122"/>
      <c r="W107" s="122"/>
      <c r="X107" s="122"/>
      <c r="Y107" s="122"/>
      <c r="Z107" s="122"/>
      <c r="AA107" s="122"/>
      <c r="AB107" s="26">
        <f>SUM(F107:T107)</f>
        <v>90644</v>
      </c>
      <c r="AC107" s="122"/>
      <c r="AD107" s="122"/>
      <c r="AE107" s="122"/>
      <c r="AF107" s="116"/>
    </row>
    <row r="108" spans="2:32" ht="15" customHeight="1" x14ac:dyDescent="0.25">
      <c r="B108" s="115"/>
      <c r="C108" s="132"/>
      <c r="D108" s="107"/>
      <c r="E108" s="35" t="s">
        <v>43</v>
      </c>
      <c r="F108" s="26"/>
      <c r="G108" s="26"/>
      <c r="H108" s="26"/>
      <c r="I108" s="26">
        <f t="shared" ref="I108:T108" si="41">+I107/I5</f>
        <v>79.599999999999994</v>
      </c>
      <c r="J108" s="26">
        <f t="shared" si="41"/>
        <v>339.2</v>
      </c>
      <c r="K108" s="26">
        <f t="shared" si="41"/>
        <v>236.8</v>
      </c>
      <c r="L108" s="26">
        <f t="shared" si="41"/>
        <v>574.4</v>
      </c>
      <c r="M108" s="26">
        <f t="shared" si="41"/>
        <v>550.4</v>
      </c>
      <c r="N108" s="26">
        <f t="shared" si="41"/>
        <v>618</v>
      </c>
      <c r="O108" s="26">
        <f t="shared" si="41"/>
        <v>706.33333333333337</v>
      </c>
      <c r="P108" s="26">
        <f t="shared" si="41"/>
        <v>560</v>
      </c>
      <c r="Q108" s="26">
        <f t="shared" si="41"/>
        <v>489.6</v>
      </c>
      <c r="R108" s="26">
        <f t="shared" si="41"/>
        <v>435.2</v>
      </c>
      <c r="S108" s="26">
        <f t="shared" si="41"/>
        <v>35.657142857142858</v>
      </c>
      <c r="T108" s="26">
        <f t="shared" si="41"/>
        <v>848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116"/>
    </row>
    <row r="109" spans="2:32" ht="15" customHeight="1" x14ac:dyDescent="0.25">
      <c r="B109" s="115"/>
      <c r="C109" s="132"/>
      <c r="D109" s="107"/>
      <c r="E109" s="35" t="s">
        <v>44</v>
      </c>
      <c r="F109" s="31"/>
      <c r="G109" s="31"/>
      <c r="H109" s="31"/>
      <c r="I109" s="31">
        <v>49.75</v>
      </c>
      <c r="J109" s="31">
        <v>212</v>
      </c>
      <c r="K109" s="31">
        <f>192+104</f>
        <v>296</v>
      </c>
      <c r="L109" s="31">
        <v>718</v>
      </c>
      <c r="M109" s="31">
        <v>172</v>
      </c>
      <c r="N109" s="31">
        <v>309</v>
      </c>
      <c r="O109" s="31">
        <v>1059.5</v>
      </c>
      <c r="P109" s="31">
        <v>700</v>
      </c>
      <c r="Q109" s="31">
        <v>612</v>
      </c>
      <c r="R109" s="31">
        <v>544</v>
      </c>
      <c r="S109" s="31">
        <v>39</v>
      </c>
      <c r="T109" s="31">
        <v>954</v>
      </c>
      <c r="U109" s="31"/>
      <c r="V109" s="31"/>
      <c r="W109" s="31"/>
      <c r="X109" s="31"/>
      <c r="Y109" s="31"/>
      <c r="Z109" s="31"/>
      <c r="AA109" s="31"/>
      <c r="AB109" s="26">
        <f>SUM(F109:T109)</f>
        <v>5665.25</v>
      </c>
      <c r="AC109" s="26"/>
      <c r="AD109" s="26"/>
      <c r="AE109" s="26"/>
      <c r="AF109" s="116"/>
    </row>
    <row r="110" spans="2:32" ht="15" customHeight="1" x14ac:dyDescent="0.25">
      <c r="B110" s="115"/>
      <c r="C110" s="132"/>
      <c r="D110" s="107"/>
      <c r="E110" s="35" t="s">
        <v>45</v>
      </c>
      <c r="F110" s="26"/>
      <c r="G110" s="26"/>
      <c r="H110" s="26"/>
      <c r="I110" s="26">
        <f t="shared" ref="I110:T110" si="42">+I109/I5</f>
        <v>4.9749999999999996</v>
      </c>
      <c r="J110" s="26">
        <f t="shared" si="42"/>
        <v>21.2</v>
      </c>
      <c r="K110" s="26">
        <f t="shared" si="42"/>
        <v>14.8</v>
      </c>
      <c r="L110" s="26">
        <f t="shared" si="42"/>
        <v>35.9</v>
      </c>
      <c r="M110" s="26">
        <f t="shared" si="42"/>
        <v>34.4</v>
      </c>
      <c r="N110" s="26">
        <f t="shared" si="42"/>
        <v>38.625</v>
      </c>
      <c r="O110" s="26">
        <f t="shared" si="42"/>
        <v>44.145833333333336</v>
      </c>
      <c r="P110" s="26">
        <f t="shared" si="42"/>
        <v>35</v>
      </c>
      <c r="Q110" s="26">
        <f t="shared" si="42"/>
        <v>30.6</v>
      </c>
      <c r="R110" s="26">
        <f t="shared" si="42"/>
        <v>27.2</v>
      </c>
      <c r="S110" s="26">
        <f t="shared" si="42"/>
        <v>2.2285714285714286</v>
      </c>
      <c r="T110" s="26">
        <f t="shared" si="42"/>
        <v>53</v>
      </c>
      <c r="U110" s="26"/>
      <c r="V110" s="26"/>
      <c r="W110" s="26"/>
      <c r="X110" s="26"/>
      <c r="Y110" s="26"/>
      <c r="Z110" s="26"/>
      <c r="AA110" s="26"/>
      <c r="AB110" s="26"/>
      <c r="AC110" s="26"/>
      <c r="AD110" s="107"/>
      <c r="AE110" s="26"/>
      <c r="AF110" s="116"/>
    </row>
    <row r="111" spans="2:32" ht="15" customHeight="1" x14ac:dyDescent="0.25">
      <c r="B111" s="115"/>
      <c r="C111" s="132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26"/>
      <c r="AC111" s="107"/>
      <c r="AD111" s="107"/>
      <c r="AE111" s="107"/>
      <c r="AF111" s="116"/>
    </row>
    <row r="112" spans="2:32" ht="15" customHeight="1" x14ac:dyDescent="0.25">
      <c r="B112" s="115"/>
      <c r="C112" s="132"/>
      <c r="D112" s="107"/>
      <c r="E112" s="117" t="s">
        <v>46</v>
      </c>
      <c r="F112" s="13"/>
      <c r="G112" s="34"/>
      <c r="H112" s="34"/>
      <c r="I112" s="5">
        <f>+I114/I109</f>
        <v>195.35839195979901</v>
      </c>
      <c r="J112" s="5">
        <f>J114/J109</f>
        <v>247.08627358490565</v>
      </c>
      <c r="K112" s="5">
        <f>K114/K109</f>
        <v>34.401047297297296</v>
      </c>
      <c r="L112" s="5">
        <f t="shared" ref="L112:T112" si="43">+L114/L109</f>
        <v>141.66110027855152</v>
      </c>
      <c r="M112" s="5">
        <f t="shared" si="43"/>
        <v>133.69988372093025</v>
      </c>
      <c r="N112" s="5">
        <f t="shared" si="43"/>
        <v>128.35394822006472</v>
      </c>
      <c r="O112" s="5">
        <f t="shared" si="43"/>
        <v>93.134450212364314</v>
      </c>
      <c r="P112" s="5">
        <f t="shared" si="43"/>
        <v>131.62007142857144</v>
      </c>
      <c r="Q112" s="5">
        <f t="shared" si="43"/>
        <v>159.1103267973856</v>
      </c>
      <c r="R112" s="5">
        <f t="shared" si="43"/>
        <v>224.26897058823528</v>
      </c>
      <c r="S112" s="5">
        <f t="shared" si="43"/>
        <v>195.22153846153847</v>
      </c>
      <c r="T112" s="5">
        <f t="shared" si="43"/>
        <v>270.2451362683438</v>
      </c>
      <c r="U112" s="5"/>
      <c r="V112" s="5"/>
      <c r="W112" s="5"/>
      <c r="X112" s="5"/>
      <c r="Y112" s="5"/>
      <c r="Z112" s="5"/>
      <c r="AA112" s="5"/>
      <c r="AB112" s="13"/>
      <c r="AC112" s="13"/>
      <c r="AD112" s="107"/>
      <c r="AE112" s="13"/>
      <c r="AF112" s="116"/>
    </row>
    <row r="113" spans="2:32" ht="15" customHeight="1" x14ac:dyDescent="0.25">
      <c r="B113" s="115"/>
      <c r="C113" s="132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7"/>
      <c r="AC113" s="107"/>
      <c r="AD113" s="107"/>
      <c r="AE113" s="107"/>
      <c r="AF113" s="116"/>
    </row>
    <row r="114" spans="2:32" ht="15" customHeight="1" x14ac:dyDescent="0.25">
      <c r="B114" s="115"/>
      <c r="C114" s="132"/>
      <c r="D114" s="107"/>
      <c r="E114" s="118" t="s">
        <v>49</v>
      </c>
      <c r="F114" s="27"/>
      <c r="G114" s="27"/>
      <c r="H114" s="27"/>
      <c r="I114" s="27">
        <f>SUM('2021 - Checks'!D14,'2021 - Checks'!D44)</f>
        <v>9719.08</v>
      </c>
      <c r="J114" s="27">
        <f>SUM('2021 - Checks'!D4,'2021 - Checks'!D8,'2021 - Checks'!D21)</f>
        <v>52382.29</v>
      </c>
      <c r="K114" s="27">
        <f>SUM('2021 - Checks'!D23,'2021 - Checks'!D37)</f>
        <v>10182.709999999999</v>
      </c>
      <c r="L114" s="27">
        <f>SUM('2021 - Checks'!D31,'2021 - Checks'!D50)</f>
        <v>101712.67</v>
      </c>
      <c r="M114" s="27">
        <f>SUM('2021 - Checks'!D32,'2021 - Checks'!D51)</f>
        <v>22996.38</v>
      </c>
      <c r="N114" s="27">
        <f>SUM('2021 - Checks'!D33,'2021 - Checks'!D52)</f>
        <v>39661.369999999995</v>
      </c>
      <c r="O114" s="27">
        <f>SUM('2021 - Checks'!D34,'2021 - Checks'!D53)</f>
        <v>98675.95</v>
      </c>
      <c r="P114" s="27">
        <f>SUM('2021 - Checks'!D28,'2021 - Checks'!D47)</f>
        <v>92134.05</v>
      </c>
      <c r="Q114" s="27">
        <f>SUM('2021 - Checks'!D11,'2021 - Checks'!D16,'2021 - Checks'!D19,'2021 - Checks'!D25,'2021 - Checks'!D40)</f>
        <v>97375.51999999999</v>
      </c>
      <c r="R114" s="27">
        <f>SUM('2021 - Checks'!D27,'2021 - Checks'!D46)</f>
        <v>122002.31999999999</v>
      </c>
      <c r="S114" s="27">
        <f>SUM('2021 - Checks'!D43,'2021 - Checks'!D13)</f>
        <v>7613.64</v>
      </c>
      <c r="T114" s="27">
        <f>SUM('2021 - Checks'!D3,'2021 - Checks'!D7,'2021 - Checks'!D15,'2021 - Checks'!D39)</f>
        <v>257813.86</v>
      </c>
      <c r="U114" s="27"/>
      <c r="V114" s="27"/>
      <c r="W114" s="27"/>
      <c r="X114" s="27"/>
      <c r="Y114" s="27"/>
      <c r="Z114" s="27"/>
      <c r="AA114" s="27"/>
      <c r="AB114" s="27">
        <f>SUM(F114:T114)</f>
        <v>912269.84</v>
      </c>
      <c r="AC114" s="27"/>
      <c r="AD114" s="33">
        <v>0</v>
      </c>
      <c r="AE114" s="27">
        <f>SUM(AB114:AD114)</f>
        <v>912269.84</v>
      </c>
      <c r="AF114" s="116"/>
    </row>
    <row r="115" spans="2:32" ht="15" customHeight="1" x14ac:dyDescent="0.25">
      <c r="B115" s="115"/>
      <c r="C115" s="82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  <c r="AA115" s="107"/>
      <c r="AB115" s="26"/>
      <c r="AC115" s="107"/>
      <c r="AD115" s="107"/>
      <c r="AE115" s="107"/>
      <c r="AF115" s="116"/>
    </row>
    <row r="116" spans="2:32" ht="15" customHeight="1" x14ac:dyDescent="0.25">
      <c r="B116" s="115"/>
      <c r="C116" s="82"/>
      <c r="D116" s="107"/>
      <c r="E116" s="41" t="s">
        <v>53</v>
      </c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42"/>
      <c r="AC116" s="107"/>
      <c r="AD116" s="107"/>
      <c r="AE116" s="107"/>
      <c r="AF116" s="116"/>
    </row>
    <row r="117" spans="2:32" ht="15" customHeight="1" x14ac:dyDescent="0.25">
      <c r="B117" s="115"/>
      <c r="C117" s="82"/>
      <c r="D117" s="107"/>
      <c r="E117" s="43" t="s">
        <v>54</v>
      </c>
      <c r="F117" s="125"/>
      <c r="G117" s="125"/>
      <c r="H117" s="125"/>
      <c r="I117" s="45">
        <f>I114-(I109/SUM($I$109:$J$109,$P$109:$T$109))*23786</f>
        <v>9338.6722205255974</v>
      </c>
      <c r="J117" s="45">
        <f>J114-(J109/SUM($I$109:$J$109,$P$109:$T$109))*23786</f>
        <v>50761.255844249783</v>
      </c>
      <c r="K117" s="126">
        <f>+K114</f>
        <v>10182.709999999999</v>
      </c>
      <c r="L117" s="126">
        <f>+L114</f>
        <v>101712.67</v>
      </c>
      <c r="M117" s="126">
        <f>+M114</f>
        <v>22996.38</v>
      </c>
      <c r="N117" s="126">
        <f>+N114</f>
        <v>39661.369999999995</v>
      </c>
      <c r="O117" s="126">
        <f>+O114</f>
        <v>98675.95</v>
      </c>
      <c r="P117" s="45">
        <f>P114-(P109/SUM($I$109:$J$109,$P$109:$T$109))*23786</f>
        <v>86781.578731013418</v>
      </c>
      <c r="Q117" s="45">
        <f>Q114-(Q109/SUM($I$109:$J$109,$P$109:$T$109))*23786</f>
        <v>92695.9308334003</v>
      </c>
      <c r="R117" s="45">
        <f>R114-(R109/SUM($I$109:$J$109,$P$109:$T$109))*23786</f>
        <v>117842.68518524471</v>
      </c>
      <c r="S117" s="45">
        <f>S114-(S109/SUM($I$109:$J$109,$P$109:$T$109))*23786</f>
        <v>7315.4308864421764</v>
      </c>
      <c r="T117" s="45">
        <f>T114-(T109/SUM($I$109:$J$109,$P$109:$T$109))*23786</f>
        <v>250519.20629912399</v>
      </c>
      <c r="U117" s="45"/>
      <c r="V117" s="45"/>
      <c r="W117" s="45"/>
      <c r="X117" s="45"/>
      <c r="Y117" s="45"/>
      <c r="Z117" s="45"/>
      <c r="AA117" s="45"/>
      <c r="AB117" s="42">
        <f>SUM(I117:T117)</f>
        <v>888483.83999999985</v>
      </c>
      <c r="AC117" s="124"/>
      <c r="AD117" s="107"/>
      <c r="AE117" s="107"/>
      <c r="AF117" s="116"/>
    </row>
    <row r="118" spans="2:32" ht="15" customHeight="1" x14ac:dyDescent="0.25">
      <c r="B118" s="115"/>
      <c r="C118" s="82"/>
      <c r="D118" s="107"/>
      <c r="E118" s="43" t="s">
        <v>55</v>
      </c>
      <c r="F118" s="125"/>
      <c r="G118" s="125"/>
      <c r="H118" s="125"/>
      <c r="I118" s="46">
        <f>+I117/I109</f>
        <v>187.71200443267531</v>
      </c>
      <c r="J118" s="46">
        <f>+J117/J109</f>
        <v>239.43988605778199</v>
      </c>
      <c r="K118" s="44">
        <f t="shared" ref="K118:T118" si="44">+K117/K109</f>
        <v>34.401047297297296</v>
      </c>
      <c r="L118" s="44">
        <f t="shared" si="44"/>
        <v>141.66110027855152</v>
      </c>
      <c r="M118" s="44">
        <f t="shared" si="44"/>
        <v>133.69988372093025</v>
      </c>
      <c r="N118" s="44">
        <f t="shared" si="44"/>
        <v>128.35394822006472</v>
      </c>
      <c r="O118" s="44">
        <f t="shared" si="44"/>
        <v>93.134450212364314</v>
      </c>
      <c r="P118" s="46">
        <f t="shared" si="44"/>
        <v>123.97368390144774</v>
      </c>
      <c r="Q118" s="46">
        <f t="shared" si="44"/>
        <v>151.46393927026193</v>
      </c>
      <c r="R118" s="46">
        <f t="shared" si="44"/>
        <v>216.62258306111161</v>
      </c>
      <c r="S118" s="46">
        <f t="shared" si="44"/>
        <v>187.57515093441478</v>
      </c>
      <c r="T118" s="46">
        <f t="shared" si="44"/>
        <v>262.59874874122011</v>
      </c>
      <c r="U118" s="46"/>
      <c r="V118" s="46"/>
      <c r="W118" s="46"/>
      <c r="X118" s="46"/>
      <c r="Y118" s="46"/>
      <c r="Z118" s="46"/>
      <c r="AA118" s="46"/>
      <c r="AB118" s="42"/>
      <c r="AC118" s="123"/>
      <c r="AD118" s="123"/>
      <c r="AE118" s="107"/>
      <c r="AF118" s="116"/>
    </row>
    <row r="119" spans="2:32" ht="6" customHeight="1" thickBot="1" x14ac:dyDescent="0.3">
      <c r="B119" s="119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  <c r="AD119" s="120"/>
      <c r="AE119" s="120"/>
      <c r="AF119" s="121"/>
    </row>
    <row r="120" spans="2:32" ht="6" customHeight="1" thickBot="1" x14ac:dyDescent="0.3"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7"/>
      <c r="AD120" s="107"/>
      <c r="AE120" s="107"/>
      <c r="AF120" s="107"/>
    </row>
    <row r="121" spans="2:32" ht="6" customHeight="1" x14ac:dyDescent="0.25">
      <c r="B121" s="110"/>
      <c r="C121" s="111"/>
      <c r="D121" s="111"/>
      <c r="E121" s="11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114"/>
    </row>
    <row r="122" spans="2:32" ht="15" customHeight="1" x14ac:dyDescent="0.25">
      <c r="B122" s="115"/>
      <c r="C122" s="132">
        <v>2022</v>
      </c>
      <c r="D122" s="107"/>
      <c r="E122" s="35" t="s">
        <v>42</v>
      </c>
      <c r="F122" s="122"/>
      <c r="G122" s="122"/>
      <c r="H122" s="122">
        <f t="shared" ref="H122" si="45">+H124*16</f>
        <v>1216</v>
      </c>
      <c r="I122" s="122">
        <f t="shared" ref="I122:T122" si="46">+I124*16</f>
        <v>1568</v>
      </c>
      <c r="J122" s="122">
        <f t="shared" si="46"/>
        <v>2160</v>
      </c>
      <c r="K122" s="122">
        <f t="shared" si="46"/>
        <v>6032</v>
      </c>
      <c r="L122" s="122">
        <f t="shared" si="46"/>
        <v>5336.347826086957</v>
      </c>
      <c r="M122" s="122">
        <f t="shared" si="46"/>
        <v>2096</v>
      </c>
      <c r="N122" s="122">
        <f t="shared" si="46"/>
        <v>3304</v>
      </c>
      <c r="O122" s="122">
        <f t="shared" si="46"/>
        <v>13056</v>
      </c>
      <c r="P122" s="122">
        <f t="shared" si="46"/>
        <v>7808</v>
      </c>
      <c r="Q122" s="122">
        <f t="shared" si="46"/>
        <v>7504</v>
      </c>
      <c r="R122" s="122">
        <f t="shared" si="46"/>
        <v>4928</v>
      </c>
      <c r="S122" s="122">
        <f t="shared" si="46"/>
        <v>2144</v>
      </c>
      <c r="T122" s="122">
        <f t="shared" si="46"/>
        <v>13768</v>
      </c>
      <c r="U122" s="122">
        <f t="shared" ref="U122" si="47">+U124*16</f>
        <v>352</v>
      </c>
      <c r="V122" s="122"/>
      <c r="W122" s="122"/>
      <c r="X122" s="122"/>
      <c r="Y122" s="122"/>
      <c r="Z122" s="122"/>
      <c r="AA122" s="122"/>
      <c r="AB122" s="26">
        <f>SUM(F122:U122)</f>
        <v>71272.34782608696</v>
      </c>
      <c r="AC122" s="122"/>
      <c r="AD122" s="122"/>
      <c r="AE122" s="122"/>
      <c r="AF122" s="116"/>
    </row>
    <row r="123" spans="2:32" ht="15" customHeight="1" x14ac:dyDescent="0.25">
      <c r="B123" s="115"/>
      <c r="C123" s="132"/>
      <c r="D123" s="107"/>
      <c r="E123" s="35" t="s">
        <v>43</v>
      </c>
      <c r="F123" s="26"/>
      <c r="G123" s="26"/>
      <c r="H123" s="26">
        <f t="shared" ref="H123:U123" si="48">+H122/H5</f>
        <v>60.8</v>
      </c>
      <c r="I123" s="26">
        <f t="shared" si="48"/>
        <v>156.80000000000001</v>
      </c>
      <c r="J123" s="26">
        <f t="shared" si="48"/>
        <v>216</v>
      </c>
      <c r="K123" s="26">
        <f t="shared" si="48"/>
        <v>301.60000000000002</v>
      </c>
      <c r="L123" s="26">
        <f t="shared" si="48"/>
        <v>266.81739130434784</v>
      </c>
      <c r="M123" s="26">
        <f t="shared" si="48"/>
        <v>419.2</v>
      </c>
      <c r="N123" s="26">
        <f t="shared" si="48"/>
        <v>413</v>
      </c>
      <c r="O123" s="26">
        <f t="shared" si="48"/>
        <v>544</v>
      </c>
      <c r="P123" s="26">
        <f t="shared" si="48"/>
        <v>390.4</v>
      </c>
      <c r="Q123" s="26">
        <f t="shared" si="48"/>
        <v>375.2</v>
      </c>
      <c r="R123" s="26">
        <f t="shared" si="48"/>
        <v>246.4</v>
      </c>
      <c r="S123" s="26">
        <f t="shared" si="48"/>
        <v>122.51428571428572</v>
      </c>
      <c r="T123" s="26">
        <f t="shared" si="48"/>
        <v>764.88888888888891</v>
      </c>
      <c r="U123" s="26">
        <f t="shared" si="48"/>
        <v>64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116"/>
    </row>
    <row r="124" spans="2:32" ht="15" customHeight="1" x14ac:dyDescent="0.25">
      <c r="B124" s="115"/>
      <c r="C124" s="132"/>
      <c r="D124" s="107"/>
      <c r="E124" s="35" t="s">
        <v>44</v>
      </c>
      <c r="F124" s="31"/>
      <c r="G124" s="31"/>
      <c r="H124" s="31">
        <v>76</v>
      </c>
      <c r="I124" s="31">
        <v>98</v>
      </c>
      <c r="J124" s="31">
        <v>135</v>
      </c>
      <c r="K124" s="31">
        <v>377</v>
      </c>
      <c r="L124" s="31">
        <f>7671/23</f>
        <v>333.52173913043481</v>
      </c>
      <c r="M124" s="31">
        <v>131</v>
      </c>
      <c r="N124" s="31">
        <v>206.5</v>
      </c>
      <c r="O124" s="31">
        <v>816</v>
      </c>
      <c r="P124" s="31">
        <v>488</v>
      </c>
      <c r="Q124" s="31">
        <v>469</v>
      </c>
      <c r="R124" s="31">
        <v>308</v>
      </c>
      <c r="S124" s="31">
        <v>134</v>
      </c>
      <c r="T124" s="31">
        <v>860.5</v>
      </c>
      <c r="U124" s="31">
        <v>22</v>
      </c>
      <c r="V124" s="31"/>
      <c r="W124" s="31"/>
      <c r="X124" s="31"/>
      <c r="Y124" s="31"/>
      <c r="Z124" s="31"/>
      <c r="AA124" s="31"/>
      <c r="AB124" s="26">
        <f t="shared" ref="AB124" si="49">SUM(F124:U124)</f>
        <v>4454.521739130435</v>
      </c>
      <c r="AC124" s="26"/>
      <c r="AD124" s="26"/>
      <c r="AE124" s="26"/>
      <c r="AF124" s="116"/>
    </row>
    <row r="125" spans="2:32" ht="15" customHeight="1" x14ac:dyDescent="0.25">
      <c r="B125" s="115"/>
      <c r="C125" s="132"/>
      <c r="D125" s="107"/>
      <c r="E125" s="35" t="s">
        <v>45</v>
      </c>
      <c r="F125" s="26"/>
      <c r="G125" s="26"/>
      <c r="H125" s="26">
        <f t="shared" ref="H125:U125" si="50">+H124/H5</f>
        <v>3.8</v>
      </c>
      <c r="I125" s="26">
        <f t="shared" si="50"/>
        <v>9.8000000000000007</v>
      </c>
      <c r="J125" s="26">
        <f t="shared" si="50"/>
        <v>13.5</v>
      </c>
      <c r="K125" s="26">
        <f t="shared" si="50"/>
        <v>18.850000000000001</v>
      </c>
      <c r="L125" s="26">
        <f t="shared" si="50"/>
        <v>16.67608695652174</v>
      </c>
      <c r="M125" s="26">
        <f t="shared" si="50"/>
        <v>26.2</v>
      </c>
      <c r="N125" s="26">
        <f t="shared" si="50"/>
        <v>25.8125</v>
      </c>
      <c r="O125" s="26">
        <f t="shared" si="50"/>
        <v>34</v>
      </c>
      <c r="P125" s="26">
        <f t="shared" si="50"/>
        <v>24.4</v>
      </c>
      <c r="Q125" s="26">
        <f t="shared" si="50"/>
        <v>23.45</v>
      </c>
      <c r="R125" s="26">
        <f t="shared" si="50"/>
        <v>15.4</v>
      </c>
      <c r="S125" s="26">
        <f t="shared" si="50"/>
        <v>7.6571428571428575</v>
      </c>
      <c r="T125" s="26">
        <f t="shared" si="50"/>
        <v>47.805555555555557</v>
      </c>
      <c r="U125" s="26">
        <f t="shared" si="50"/>
        <v>4</v>
      </c>
      <c r="V125" s="26"/>
      <c r="W125" s="26"/>
      <c r="X125" s="26"/>
      <c r="Y125" s="26"/>
      <c r="Z125" s="26"/>
      <c r="AA125" s="26"/>
      <c r="AB125" s="26"/>
      <c r="AC125" s="26"/>
      <c r="AD125" s="107"/>
      <c r="AE125" s="26"/>
      <c r="AF125" s="116"/>
    </row>
    <row r="126" spans="2:32" ht="15" customHeight="1" x14ac:dyDescent="0.25">
      <c r="B126" s="115"/>
      <c r="C126" s="132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26"/>
      <c r="AC126" s="107"/>
      <c r="AD126" s="107"/>
      <c r="AE126" s="107"/>
      <c r="AF126" s="116"/>
    </row>
    <row r="127" spans="2:32" ht="15" customHeight="1" x14ac:dyDescent="0.25">
      <c r="B127" s="115"/>
      <c r="C127" s="132"/>
      <c r="D127" s="107"/>
      <c r="E127" s="117" t="s">
        <v>46</v>
      </c>
      <c r="F127" s="13"/>
      <c r="G127" s="34"/>
      <c r="H127" s="5">
        <f>+H129/H124</f>
        <v>331.73881578947368</v>
      </c>
      <c r="I127" s="5">
        <f>+I129/I124</f>
        <v>404.74000000000007</v>
      </c>
      <c r="J127" s="5">
        <f>+J129/J124</f>
        <v>273.8685185185185</v>
      </c>
      <c r="K127" s="13">
        <f>+K129/K124</f>
        <v>166.97827586206895</v>
      </c>
      <c r="L127" s="13">
        <f t="shared" ref="L127:O127" si="51">+L129/L124</f>
        <v>205.62908486507627</v>
      </c>
      <c r="M127" s="13">
        <f t="shared" si="51"/>
        <v>197.72091603053434</v>
      </c>
      <c r="N127" s="13">
        <f t="shared" si="51"/>
        <v>201.78590799031477</v>
      </c>
      <c r="O127" s="13">
        <f t="shared" si="51"/>
        <v>175.83398284313725</v>
      </c>
      <c r="P127" s="5">
        <f>P129/P124</f>
        <v>332.60831967213113</v>
      </c>
      <c r="Q127" s="5">
        <f>+Q129/Q124</f>
        <v>235.76609808102347</v>
      </c>
      <c r="R127" s="5">
        <f>R129/R124</f>
        <v>286.73308441558441</v>
      </c>
      <c r="S127" s="5">
        <f>S129/S124</f>
        <v>402.82052238805966</v>
      </c>
      <c r="T127" s="5">
        <f>T129/T124</f>
        <v>185.30510168506683</v>
      </c>
      <c r="U127" s="5">
        <f>U129/U124</f>
        <v>148.56590909090909</v>
      </c>
      <c r="V127" s="5"/>
      <c r="W127" s="5"/>
      <c r="X127" s="5"/>
      <c r="Y127" s="5"/>
      <c r="Z127" s="5"/>
      <c r="AA127" s="5"/>
      <c r="AB127" s="13"/>
      <c r="AC127" s="13"/>
      <c r="AD127" s="107"/>
      <c r="AE127" s="13"/>
      <c r="AF127" s="116"/>
    </row>
    <row r="128" spans="2:32" ht="15" customHeight="1" x14ac:dyDescent="0.25">
      <c r="B128" s="115"/>
      <c r="C128" s="132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  <c r="AA128" s="107"/>
      <c r="AB128" s="107"/>
      <c r="AC128" s="107"/>
      <c r="AD128" s="107"/>
      <c r="AE128" s="107"/>
      <c r="AF128" s="116"/>
    </row>
    <row r="129" spans="2:32" ht="15" customHeight="1" x14ac:dyDescent="0.25">
      <c r="B129" s="115"/>
      <c r="C129" s="132"/>
      <c r="D129" s="107"/>
      <c r="E129" s="118" t="s">
        <v>49</v>
      </c>
      <c r="F129" s="27"/>
      <c r="G129" s="27"/>
      <c r="H129" s="27">
        <f>SUM('2022 - Checks'!D3,'2022 - Checks'!D5,'2022 - Checks'!D22)</f>
        <v>25212.15</v>
      </c>
      <c r="I129" s="27">
        <f>'2022 - Checks'!F64</f>
        <v>39664.520000000004</v>
      </c>
      <c r="J129" s="27">
        <f>'2022 - Checks'!F65</f>
        <v>36972.25</v>
      </c>
      <c r="K129" s="27">
        <f>'2022 - Checks'!F66</f>
        <v>62950.81</v>
      </c>
      <c r="L129" s="27">
        <f>'2022 - Checks'!F67</f>
        <v>68581.77</v>
      </c>
      <c r="M129" s="27">
        <f>'2022 - Checks'!F68</f>
        <v>25901.439999999999</v>
      </c>
      <c r="N129" s="27">
        <f>'2022 - Checks'!F69</f>
        <v>41668.79</v>
      </c>
      <c r="O129" s="27">
        <f>'2022 - Checks'!F70</f>
        <v>143480.53</v>
      </c>
      <c r="P129" s="27">
        <f>'2022 - Checks'!F71</f>
        <v>162312.85999999999</v>
      </c>
      <c r="Q129" s="27">
        <f>'2022 - Checks'!F72</f>
        <v>110574.3</v>
      </c>
      <c r="R129" s="27">
        <f>'2022 - Checks'!F73</f>
        <v>88313.790000000008</v>
      </c>
      <c r="S129" s="27">
        <f>'2022 - Checks'!F74</f>
        <v>53977.95</v>
      </c>
      <c r="T129" s="27">
        <f>'2022 - Checks'!F75</f>
        <v>159455.04000000001</v>
      </c>
      <c r="U129" s="27">
        <f>'2022 - Checks'!F76</f>
        <v>3268.45</v>
      </c>
      <c r="V129" s="27"/>
      <c r="W129" s="27"/>
      <c r="X129" s="27"/>
      <c r="Y129" s="27"/>
      <c r="Z129" s="27"/>
      <c r="AA129" s="27"/>
      <c r="AB129" s="27">
        <f>SUM(F129:U129)</f>
        <v>1022334.65</v>
      </c>
      <c r="AC129" s="27"/>
      <c r="AD129" s="33">
        <v>0</v>
      </c>
      <c r="AE129" s="27">
        <f>SUM(AB129:AD129)</f>
        <v>1022334.65</v>
      </c>
      <c r="AF129" s="116"/>
    </row>
    <row r="130" spans="2:32" ht="6" customHeight="1" thickBot="1" x14ac:dyDescent="0.3">
      <c r="B130" s="119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  <c r="AD130" s="120"/>
      <c r="AE130" s="120"/>
      <c r="AF130" s="121"/>
    </row>
    <row r="131" spans="2:32" ht="6" customHeight="1" thickBot="1" x14ac:dyDescent="0.3"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  <c r="AA131" s="107"/>
      <c r="AB131" s="107"/>
      <c r="AC131" s="107"/>
      <c r="AD131" s="107"/>
      <c r="AE131" s="107"/>
      <c r="AF131" s="107"/>
    </row>
    <row r="132" spans="2:32" ht="6" customHeight="1" x14ac:dyDescent="0.25">
      <c r="B132" s="110"/>
      <c r="C132" s="111"/>
      <c r="D132" s="111"/>
      <c r="E132" s="111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114"/>
    </row>
    <row r="133" spans="2:32" ht="15" customHeight="1" x14ac:dyDescent="0.25">
      <c r="B133" s="115"/>
      <c r="C133" s="132">
        <v>2023</v>
      </c>
      <c r="D133" s="107"/>
      <c r="E133" s="35" t="s">
        <v>42</v>
      </c>
      <c r="F133" s="122"/>
      <c r="G133" s="122"/>
      <c r="H133" s="122">
        <f>+H135*16</f>
        <v>2736</v>
      </c>
      <c r="I133" s="122">
        <f t="shared" ref="I133:U133" si="52">+I135*16</f>
        <v>2932</v>
      </c>
      <c r="J133" s="122">
        <f t="shared" si="52"/>
        <v>3400</v>
      </c>
      <c r="K133" s="122">
        <f>+K135*16</f>
        <v>6384</v>
      </c>
      <c r="L133" s="122">
        <f t="shared" si="52"/>
        <v>11136</v>
      </c>
      <c r="M133" s="122">
        <f t="shared" si="52"/>
        <v>2576</v>
      </c>
      <c r="N133" s="122">
        <f t="shared" si="52"/>
        <v>4304</v>
      </c>
      <c r="O133" s="122">
        <f t="shared" si="52"/>
        <v>23136</v>
      </c>
      <c r="P133" s="122">
        <f t="shared" si="52"/>
        <v>9224</v>
      </c>
      <c r="Q133" s="122">
        <f t="shared" si="52"/>
        <v>10456</v>
      </c>
      <c r="R133" s="122">
        <f t="shared" si="52"/>
        <v>8624</v>
      </c>
      <c r="S133" s="122">
        <f t="shared" si="52"/>
        <v>4832</v>
      </c>
      <c r="T133" s="122">
        <f t="shared" si="52"/>
        <v>13664</v>
      </c>
      <c r="U133" s="122">
        <f t="shared" si="52"/>
        <v>688</v>
      </c>
      <c r="V133" s="122"/>
      <c r="W133" s="122"/>
      <c r="X133" s="122">
        <f t="shared" ref="X133" si="53">+X135*16</f>
        <v>288</v>
      </c>
      <c r="Y133" s="122"/>
      <c r="Z133" s="122"/>
      <c r="AA133" s="122"/>
      <c r="AB133" s="26">
        <f>SUM(F133:X133)</f>
        <v>104380</v>
      </c>
      <c r="AC133" s="122"/>
      <c r="AD133" s="122"/>
      <c r="AE133" s="122"/>
      <c r="AF133" s="116"/>
    </row>
    <row r="134" spans="2:32" ht="15" customHeight="1" x14ac:dyDescent="0.25">
      <c r="B134" s="115"/>
      <c r="C134" s="132"/>
      <c r="D134" s="107"/>
      <c r="E134" s="35" t="s">
        <v>43</v>
      </c>
      <c r="F134" s="26"/>
      <c r="G134" s="26"/>
      <c r="H134" s="26">
        <f t="shared" ref="H134:U134" si="54">+H133/H5</f>
        <v>136.80000000000001</v>
      </c>
      <c r="I134" s="26">
        <f t="shared" si="54"/>
        <v>293.2</v>
      </c>
      <c r="J134" s="26">
        <f t="shared" si="54"/>
        <v>340</v>
      </c>
      <c r="K134" s="26">
        <f t="shared" si="54"/>
        <v>319.2</v>
      </c>
      <c r="L134" s="26">
        <f t="shared" si="54"/>
        <v>556.79999999999995</v>
      </c>
      <c r="M134" s="26">
        <f t="shared" si="54"/>
        <v>515.20000000000005</v>
      </c>
      <c r="N134" s="26">
        <f t="shared" si="54"/>
        <v>538</v>
      </c>
      <c r="O134" s="26">
        <f t="shared" si="54"/>
        <v>964</v>
      </c>
      <c r="P134" s="26">
        <f t="shared" si="54"/>
        <v>461.2</v>
      </c>
      <c r="Q134" s="26">
        <f t="shared" si="54"/>
        <v>522.79999999999995</v>
      </c>
      <c r="R134" s="26">
        <f t="shared" si="54"/>
        <v>431.2</v>
      </c>
      <c r="S134" s="26">
        <f t="shared" si="54"/>
        <v>276.1142857142857</v>
      </c>
      <c r="T134" s="26">
        <f t="shared" si="54"/>
        <v>759.11111111111109</v>
      </c>
      <c r="U134" s="26">
        <f t="shared" si="54"/>
        <v>125.09090909090909</v>
      </c>
      <c r="V134" s="26"/>
      <c r="W134" s="26"/>
      <c r="X134" s="26">
        <f>+X133/X5</f>
        <v>14.4</v>
      </c>
      <c r="Y134" s="26"/>
      <c r="Z134" s="26"/>
      <c r="AA134" s="26"/>
      <c r="AB134" s="26"/>
      <c r="AC134" s="26"/>
      <c r="AD134" s="26"/>
      <c r="AE134" s="26"/>
      <c r="AF134" s="116"/>
    </row>
    <row r="135" spans="2:32" ht="15" customHeight="1" x14ac:dyDescent="0.25">
      <c r="B135" s="115"/>
      <c r="C135" s="132"/>
      <c r="D135" s="107"/>
      <c r="E135" s="35" t="s">
        <v>44</v>
      </c>
      <c r="F135" s="31"/>
      <c r="G135" s="31"/>
      <c r="H135" s="31">
        <f>2736/16</f>
        <v>171</v>
      </c>
      <c r="I135" s="31">
        <f>2932/16</f>
        <v>183.25</v>
      </c>
      <c r="J135" s="31">
        <f>3400/16</f>
        <v>212.5</v>
      </c>
      <c r="K135" s="31">
        <v>399</v>
      </c>
      <c r="L135" s="31">
        <v>696</v>
      </c>
      <c r="M135" s="31">
        <f>123+33+5</f>
        <v>161</v>
      </c>
      <c r="N135" s="31">
        <f>55+72+61+4+23+54</f>
        <v>269</v>
      </c>
      <c r="O135" s="31">
        <v>1446</v>
      </c>
      <c r="P135" s="31">
        <f>9224/16</f>
        <v>576.5</v>
      </c>
      <c r="Q135" s="31">
        <f>10456/16</f>
        <v>653.5</v>
      </c>
      <c r="R135" s="31">
        <f>8624/16</f>
        <v>539</v>
      </c>
      <c r="S135" s="31">
        <f>4832/16</f>
        <v>302</v>
      </c>
      <c r="T135" s="31">
        <f>13664/16</f>
        <v>854</v>
      </c>
      <c r="U135" s="31">
        <f>688/16</f>
        <v>43</v>
      </c>
      <c r="V135" s="31"/>
      <c r="W135" s="31"/>
      <c r="X135" s="31">
        <f>288/16</f>
        <v>18</v>
      </c>
      <c r="Y135" s="31"/>
      <c r="Z135" s="31"/>
      <c r="AA135" s="31"/>
      <c r="AB135" s="26">
        <f>SUM(F135:X135)</f>
        <v>6523.75</v>
      </c>
      <c r="AC135" s="26"/>
      <c r="AD135" s="26"/>
      <c r="AE135" s="26"/>
      <c r="AF135" s="116"/>
    </row>
    <row r="136" spans="2:32" ht="15" customHeight="1" x14ac:dyDescent="0.25">
      <c r="B136" s="115"/>
      <c r="C136" s="132"/>
      <c r="D136" s="107"/>
      <c r="E136" s="35" t="s">
        <v>45</v>
      </c>
      <c r="F136" s="26"/>
      <c r="G136" s="26"/>
      <c r="H136" s="26">
        <f t="shared" ref="H136:U136" si="55">+H135/H5</f>
        <v>8.5500000000000007</v>
      </c>
      <c r="I136" s="26">
        <f t="shared" si="55"/>
        <v>18.324999999999999</v>
      </c>
      <c r="J136" s="26">
        <f t="shared" si="55"/>
        <v>21.25</v>
      </c>
      <c r="K136" s="26">
        <f t="shared" si="55"/>
        <v>19.95</v>
      </c>
      <c r="L136" s="26">
        <f t="shared" si="55"/>
        <v>34.799999999999997</v>
      </c>
      <c r="M136" s="26">
        <f t="shared" si="55"/>
        <v>32.200000000000003</v>
      </c>
      <c r="N136" s="26">
        <f t="shared" si="55"/>
        <v>33.625</v>
      </c>
      <c r="O136" s="26">
        <f t="shared" si="55"/>
        <v>60.25</v>
      </c>
      <c r="P136" s="26">
        <f t="shared" si="55"/>
        <v>28.824999999999999</v>
      </c>
      <c r="Q136" s="26">
        <f t="shared" si="55"/>
        <v>32.674999999999997</v>
      </c>
      <c r="R136" s="26">
        <f t="shared" si="55"/>
        <v>26.95</v>
      </c>
      <c r="S136" s="26">
        <f t="shared" si="55"/>
        <v>17.257142857142856</v>
      </c>
      <c r="T136" s="26">
        <f t="shared" si="55"/>
        <v>47.444444444444443</v>
      </c>
      <c r="U136" s="26">
        <f t="shared" si="55"/>
        <v>7.8181818181818183</v>
      </c>
      <c r="V136" s="26"/>
      <c r="W136" s="26"/>
      <c r="X136" s="26">
        <f>+X135/X5</f>
        <v>0.9</v>
      </c>
      <c r="Y136" s="26"/>
      <c r="Z136" s="26"/>
      <c r="AA136" s="26"/>
      <c r="AB136" s="26"/>
      <c r="AC136" s="26"/>
      <c r="AD136" s="107"/>
      <c r="AE136" s="26"/>
      <c r="AF136" s="116"/>
    </row>
    <row r="137" spans="2:32" ht="15" customHeight="1" x14ac:dyDescent="0.25">
      <c r="B137" s="115"/>
      <c r="C137" s="132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  <c r="AA137" s="107"/>
      <c r="AB137" s="26"/>
      <c r="AC137" s="107"/>
      <c r="AD137" s="107"/>
      <c r="AE137" s="107"/>
      <c r="AF137" s="116"/>
    </row>
    <row r="138" spans="2:32" ht="15" customHeight="1" x14ac:dyDescent="0.25">
      <c r="B138" s="115"/>
      <c r="C138" s="132"/>
      <c r="D138" s="107"/>
      <c r="E138" s="117" t="s">
        <v>46</v>
      </c>
      <c r="F138" s="13"/>
      <c r="G138" s="34"/>
      <c r="H138" s="5">
        <f>H140/H135</f>
        <v>276.27087719298248</v>
      </c>
      <c r="I138" s="13">
        <f>I140/I135</f>
        <v>261.98150068212823</v>
      </c>
      <c r="J138" s="5">
        <f>J140/J135</f>
        <v>259.46785882352941</v>
      </c>
      <c r="K138" s="13">
        <f>+K140/K135</f>
        <v>114.71443609022556</v>
      </c>
      <c r="L138" s="13">
        <f>+L140/L135</f>
        <v>141.85331896551725</v>
      </c>
      <c r="M138" s="13">
        <f>+M140/M135</f>
        <v>155.46652173913043</v>
      </c>
      <c r="N138" s="13">
        <f>+N140/N135</f>
        <v>166.35159851301117</v>
      </c>
      <c r="O138" s="13">
        <f>+O140/O135</f>
        <v>183.89686030428769</v>
      </c>
      <c r="P138" s="13">
        <f>P140/P135</f>
        <v>164.58978317432786</v>
      </c>
      <c r="Q138" s="13">
        <f>+Q140/Q135</f>
        <v>198.95568477429228</v>
      </c>
      <c r="R138" s="13">
        <f>R140/R135</f>
        <v>220.56513914656773</v>
      </c>
      <c r="S138" s="13">
        <f>+S140/S135</f>
        <v>217.75844370860929</v>
      </c>
      <c r="T138" s="13">
        <f>+T140/T135</f>
        <v>140.67936768149883</v>
      </c>
      <c r="U138" s="5">
        <f>+U140/U135</f>
        <v>194.51860465116278</v>
      </c>
      <c r="V138" s="5"/>
      <c r="W138" s="5"/>
      <c r="X138" s="13">
        <f>+X140/X135</f>
        <v>52.348333333333329</v>
      </c>
      <c r="Y138" s="13"/>
      <c r="Z138" s="13"/>
      <c r="AA138" s="13"/>
      <c r="AB138" s="13"/>
      <c r="AC138" s="13"/>
      <c r="AD138" s="107"/>
      <c r="AE138" s="13"/>
      <c r="AF138" s="116"/>
    </row>
    <row r="139" spans="2:32" ht="15" customHeight="1" x14ac:dyDescent="0.25">
      <c r="B139" s="115"/>
      <c r="C139" s="132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  <c r="AA139" s="107"/>
      <c r="AB139" s="107"/>
      <c r="AC139" s="107"/>
      <c r="AD139" s="107"/>
      <c r="AE139" s="107"/>
      <c r="AF139" s="116"/>
    </row>
    <row r="140" spans="2:32" ht="15" customHeight="1" x14ac:dyDescent="0.25">
      <c r="B140" s="115"/>
      <c r="C140" s="132"/>
      <c r="D140" s="107"/>
      <c r="E140" s="118" t="s">
        <v>49</v>
      </c>
      <c r="F140" s="27"/>
      <c r="G140" s="27"/>
      <c r="H140" s="27">
        <f>SUM('2023 Checks'!D3,'2023 Checks'!D7,'2023 Checks'!D16)</f>
        <v>47242.32</v>
      </c>
      <c r="I140" s="27">
        <f>SUM('2023 Checks'!D14,'2023 Checks'!D20,'2023 Checks'!D40)</f>
        <v>48008.11</v>
      </c>
      <c r="J140" s="27">
        <f>SUM('2023 Checks'!D5,'2023 Checks'!D8,'2023 Checks'!D17)</f>
        <v>55136.92</v>
      </c>
      <c r="K140" s="27">
        <f>SUM('2023 Checks'!D25,'2023 Checks'!D32)</f>
        <v>45771.06</v>
      </c>
      <c r="L140" s="27">
        <v>98729.91</v>
      </c>
      <c r="M140" s="27">
        <v>25030.11</v>
      </c>
      <c r="N140" s="27">
        <v>44748.58</v>
      </c>
      <c r="O140" s="27">
        <v>265914.86</v>
      </c>
      <c r="P140" s="27">
        <f>SUM('2023 Checks'!D28,'2023 Checks'!D42)</f>
        <v>94886.010000000009</v>
      </c>
      <c r="Q140" s="27">
        <f>SUM('2023 Checks'!D11,'2023 Checks'!D23,'2023 Checks'!D30)</f>
        <v>130017.54000000001</v>
      </c>
      <c r="R140" s="27">
        <f>SUM('2023 Checks'!D27,'2023 Checks'!D44)</f>
        <v>118884.61</v>
      </c>
      <c r="S140" s="27">
        <f>SUM('2023 Checks'!D13,'2023 Checks'!D19,'2023 Checks'!D38)</f>
        <v>65763.05</v>
      </c>
      <c r="T140" s="27">
        <f>SUM('2023 Checks'!D4,'2023 Checks'!D21,'2023 Checks'!D46)</f>
        <v>120140.18</v>
      </c>
      <c r="U140" s="27">
        <f>SUM('2023 Checks'!D10,'2023 Checks'!D34)</f>
        <v>8364.2999999999993</v>
      </c>
      <c r="V140" s="27"/>
      <c r="W140" s="27"/>
      <c r="X140" s="27">
        <f>'2023 Checks'!D47</f>
        <v>942.27</v>
      </c>
      <c r="Y140" s="27"/>
      <c r="Z140" s="27"/>
      <c r="AA140" s="27"/>
      <c r="AB140" s="27">
        <f>SUM(F140:X140)</f>
        <v>1169579.83</v>
      </c>
      <c r="AC140" s="27"/>
      <c r="AD140" s="33">
        <v>0</v>
      </c>
      <c r="AE140" s="27">
        <f>SUM(AB140:AD140)</f>
        <v>1169579.83</v>
      </c>
      <c r="AF140" s="116"/>
    </row>
    <row r="141" spans="2:32" ht="15" customHeight="1" x14ac:dyDescent="0.25">
      <c r="B141" s="115"/>
      <c r="C141" s="82"/>
      <c r="D141" s="107"/>
      <c r="E141" s="1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52"/>
      <c r="AE141" s="29"/>
      <c r="AF141" s="116"/>
    </row>
    <row r="142" spans="2:32" ht="15" customHeight="1" x14ac:dyDescent="0.25">
      <c r="B142" s="115"/>
      <c r="C142" s="82"/>
      <c r="D142" s="107"/>
      <c r="E142" s="41" t="s">
        <v>53</v>
      </c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42"/>
      <c r="AC142" s="29"/>
      <c r="AD142" s="52"/>
      <c r="AE142" s="29"/>
      <c r="AF142" s="116"/>
    </row>
    <row r="143" spans="2:32" ht="15" customHeight="1" x14ac:dyDescent="0.25">
      <c r="B143" s="115"/>
      <c r="C143" s="82"/>
      <c r="D143" s="107"/>
      <c r="E143" s="43" t="s">
        <v>54</v>
      </c>
      <c r="F143" s="125"/>
      <c r="G143" s="125"/>
      <c r="H143" s="53">
        <f>H140+(H135/SUM($H$135:$J$135,$P$135:$X$135))*34953</f>
        <v>48924.668321722609</v>
      </c>
      <c r="I143" s="53">
        <f t="shared" ref="I143:J143" si="56">I140+(I135/SUM($H$135:$J$135,$P$135:$X$135))*34953</f>
        <v>49810.977426641337</v>
      </c>
      <c r="J143" s="53">
        <f t="shared" si="56"/>
        <v>57227.557534304411</v>
      </c>
      <c r="K143" s="126">
        <f>+K140</f>
        <v>45771.06</v>
      </c>
      <c r="L143" s="126">
        <f>+L140</f>
        <v>98729.91</v>
      </c>
      <c r="M143" s="126">
        <f>+M140</f>
        <v>25030.11</v>
      </c>
      <c r="N143" s="126">
        <f>+N140</f>
        <v>44748.58</v>
      </c>
      <c r="O143" s="126">
        <f>+O140</f>
        <v>265914.86</v>
      </c>
      <c r="P143" s="53">
        <f t="shared" ref="P143:T143" si="57">P140+(P135/SUM($H$135:$J$135,$P$135:$X$135))*34953</f>
        <v>100557.78665188939</v>
      </c>
      <c r="Q143" s="53">
        <f t="shared" si="57"/>
        <v>136446.86531137853</v>
      </c>
      <c r="R143" s="53">
        <f t="shared" si="57"/>
        <v>124187.4506164239</v>
      </c>
      <c r="S143" s="53">
        <f t="shared" si="57"/>
        <v>68734.214872282042</v>
      </c>
      <c r="T143" s="53">
        <f t="shared" si="57"/>
        <v>128542.08331433396</v>
      </c>
      <c r="U143" s="53">
        <f t="shared" ref="U143:X143" si="58">U140+(U135/SUM($H$135:$J$135,$P$135:$X$135))*34953</f>
        <v>8787.346654000421</v>
      </c>
      <c r="V143" s="53"/>
      <c r="W143" s="53"/>
      <c r="X143" s="53">
        <f t="shared" si="58"/>
        <v>1119.3592970234326</v>
      </c>
      <c r="Y143" s="53"/>
      <c r="Z143" s="53"/>
      <c r="AA143" s="53"/>
      <c r="AB143" s="42">
        <f>SUM(H143:X143)</f>
        <v>1204532.8299999998</v>
      </c>
      <c r="AC143" s="29">
        <f>'2023 Checks'!D62+'2023 Checks'!D63</f>
        <v>9869.89</v>
      </c>
      <c r="AD143" s="52"/>
      <c r="AE143" s="29">
        <f>SUM(AB143:AD143)</f>
        <v>1214402.7199999997</v>
      </c>
      <c r="AF143" s="116"/>
    </row>
    <row r="144" spans="2:32" ht="15" customHeight="1" x14ac:dyDescent="0.25">
      <c r="B144" s="115"/>
      <c r="C144" s="82"/>
      <c r="D144" s="107"/>
      <c r="E144" s="43" t="s">
        <v>55</v>
      </c>
      <c r="F144" s="125"/>
      <c r="G144" s="125"/>
      <c r="H144" s="54">
        <f>+H143/H135</f>
        <v>286.10917147206203</v>
      </c>
      <c r="I144" s="54">
        <f>+I143/I135</f>
        <v>271.81979496120783</v>
      </c>
      <c r="J144" s="54">
        <f>+J143/J135</f>
        <v>269.30615310260902</v>
      </c>
      <c r="K144" s="44">
        <f t="shared" ref="K144:T144" si="59">+K143/K135</f>
        <v>114.71443609022556</v>
      </c>
      <c r="L144" s="44">
        <f t="shared" si="59"/>
        <v>141.85331896551725</v>
      </c>
      <c r="M144" s="44">
        <f t="shared" si="59"/>
        <v>155.46652173913043</v>
      </c>
      <c r="N144" s="44">
        <f t="shared" si="59"/>
        <v>166.35159851301117</v>
      </c>
      <c r="O144" s="44">
        <f t="shared" si="59"/>
        <v>183.89686030428769</v>
      </c>
      <c r="P144" s="54">
        <f t="shared" si="59"/>
        <v>174.42807745340744</v>
      </c>
      <c r="Q144" s="54">
        <f t="shared" si="59"/>
        <v>208.79397905337188</v>
      </c>
      <c r="R144" s="54">
        <f t="shared" si="59"/>
        <v>230.40343342564731</v>
      </c>
      <c r="S144" s="54">
        <f t="shared" si="59"/>
        <v>227.59673798768887</v>
      </c>
      <c r="T144" s="54">
        <f t="shared" si="59"/>
        <v>150.51766196057841</v>
      </c>
      <c r="U144" s="54">
        <f t="shared" ref="U144:X144" si="60">+U143/U135</f>
        <v>204.35689893024235</v>
      </c>
      <c r="V144" s="54"/>
      <c r="W144" s="54"/>
      <c r="X144" s="54">
        <f t="shared" si="60"/>
        <v>62.186627612412927</v>
      </c>
      <c r="Y144" s="54"/>
      <c r="Z144" s="54"/>
      <c r="AA144" s="54"/>
      <c r="AB144" s="42"/>
      <c r="AC144" s="29"/>
      <c r="AD144" s="52"/>
      <c r="AE144" s="29"/>
      <c r="AF144" s="116"/>
    </row>
    <row r="145" spans="1:32" ht="6" customHeight="1" thickBot="1" x14ac:dyDescent="0.3">
      <c r="A145" s="107"/>
      <c r="B145" s="119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  <c r="AA145" s="120"/>
      <c r="AB145" s="120"/>
      <c r="AC145" s="120"/>
      <c r="AD145" s="120"/>
      <c r="AE145" s="120"/>
      <c r="AF145" s="121"/>
    </row>
    <row r="146" spans="1:32" ht="15.75" thickBot="1" x14ac:dyDescent="0.3">
      <c r="A146" s="107"/>
      <c r="B146" s="107"/>
      <c r="C146" s="107"/>
      <c r="D146" s="107"/>
      <c r="E146" s="107"/>
      <c r="F146" s="107"/>
      <c r="G146" s="107"/>
      <c r="H146" s="107"/>
      <c r="I146" s="107"/>
      <c r="J146" s="123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</row>
    <row r="147" spans="1:32" ht="6" customHeight="1" x14ac:dyDescent="0.25">
      <c r="A147" s="107"/>
      <c r="B147" s="110"/>
      <c r="C147" s="111"/>
      <c r="D147" s="111"/>
      <c r="E147" s="11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114"/>
    </row>
    <row r="148" spans="1:32" ht="15" customHeight="1" x14ac:dyDescent="0.25">
      <c r="A148" s="107"/>
      <c r="B148" s="115"/>
      <c r="C148" s="132">
        <v>2024</v>
      </c>
      <c r="D148" s="107"/>
      <c r="E148" s="35" t="s">
        <v>42</v>
      </c>
      <c r="F148" s="122"/>
      <c r="G148" s="122"/>
      <c r="H148" s="122">
        <f>+H150*16</f>
        <v>1616</v>
      </c>
      <c r="I148" s="122">
        <f t="shared" ref="I148" si="61">+I150*16</f>
        <v>5792</v>
      </c>
      <c r="J148" s="122">
        <f t="shared" ref="J148:U148" si="62">+J150*16</f>
        <v>2800</v>
      </c>
      <c r="K148" s="122">
        <f t="shared" si="62"/>
        <v>7536</v>
      </c>
      <c r="L148" s="122">
        <f t="shared" si="62"/>
        <v>7116</v>
      </c>
      <c r="M148" s="122">
        <f t="shared" si="62"/>
        <v>2784</v>
      </c>
      <c r="N148" s="122">
        <f t="shared" si="62"/>
        <v>4568</v>
      </c>
      <c r="O148" s="122">
        <f>+O150*16</f>
        <v>10400</v>
      </c>
      <c r="P148" s="122">
        <f t="shared" ref="P148" si="63">+P150*16</f>
        <v>9136</v>
      </c>
      <c r="Q148" s="122">
        <f t="shared" ref="Q148:T148" si="64">+Q150*16</f>
        <v>10688</v>
      </c>
      <c r="R148" s="122">
        <f t="shared" si="64"/>
        <v>7152</v>
      </c>
      <c r="S148" s="122">
        <f t="shared" si="64"/>
        <v>4864</v>
      </c>
      <c r="T148" s="122">
        <f t="shared" si="64"/>
        <v>16176</v>
      </c>
      <c r="U148" s="122">
        <f t="shared" si="62"/>
        <v>1024</v>
      </c>
      <c r="V148" s="122"/>
      <c r="W148" s="122"/>
      <c r="X148" s="122">
        <f t="shared" ref="X148:Y148" si="65">+X150*16</f>
        <v>1456</v>
      </c>
      <c r="Y148" s="122">
        <f t="shared" si="65"/>
        <v>80</v>
      </c>
      <c r="Z148" s="122"/>
      <c r="AA148" s="122"/>
      <c r="AB148" s="26">
        <f>SUM(F148:X148)</f>
        <v>93108</v>
      </c>
      <c r="AC148" s="122"/>
      <c r="AD148" s="122"/>
      <c r="AE148" s="122"/>
      <c r="AF148" s="116"/>
    </row>
    <row r="149" spans="1:32" ht="15" customHeight="1" x14ac:dyDescent="0.25">
      <c r="A149" s="107"/>
      <c r="B149" s="115"/>
      <c r="C149" s="132"/>
      <c r="D149" s="107"/>
      <c r="E149" s="35" t="s">
        <v>43</v>
      </c>
      <c r="F149" s="26"/>
      <c r="G149" s="26"/>
      <c r="H149" s="26">
        <f t="shared" ref="H149:U149" si="66">+H148/H5</f>
        <v>80.8</v>
      </c>
      <c r="I149" s="26">
        <f t="shared" si="66"/>
        <v>579.20000000000005</v>
      </c>
      <c r="J149" s="26">
        <f t="shared" si="66"/>
        <v>280</v>
      </c>
      <c r="K149" s="26">
        <f t="shared" si="66"/>
        <v>376.8</v>
      </c>
      <c r="L149" s="26">
        <f t="shared" si="66"/>
        <v>355.8</v>
      </c>
      <c r="M149" s="26">
        <f t="shared" si="66"/>
        <v>556.79999999999995</v>
      </c>
      <c r="N149" s="26">
        <f t="shared" si="66"/>
        <v>571</v>
      </c>
      <c r="O149" s="26">
        <f t="shared" si="66"/>
        <v>433.33333333333331</v>
      </c>
      <c r="P149" s="26">
        <f t="shared" si="66"/>
        <v>456.8</v>
      </c>
      <c r="Q149" s="26">
        <f t="shared" si="66"/>
        <v>534.4</v>
      </c>
      <c r="R149" s="26">
        <f t="shared" si="66"/>
        <v>357.6</v>
      </c>
      <c r="S149" s="26">
        <f t="shared" si="66"/>
        <v>277.94285714285712</v>
      </c>
      <c r="T149" s="26">
        <f t="shared" si="66"/>
        <v>898.66666666666663</v>
      </c>
      <c r="U149" s="26">
        <f t="shared" si="66"/>
        <v>186.18181818181819</v>
      </c>
      <c r="V149" s="26"/>
      <c r="W149" s="26"/>
      <c r="X149" s="26">
        <f>+X148/X5</f>
        <v>72.8</v>
      </c>
      <c r="Y149" s="26">
        <f>+Y148/Y5</f>
        <v>7.4906367041198507</v>
      </c>
      <c r="Z149" s="26"/>
      <c r="AA149" s="26"/>
      <c r="AB149" s="26"/>
      <c r="AC149" s="26"/>
      <c r="AD149" s="26"/>
      <c r="AE149" s="26"/>
      <c r="AF149" s="116"/>
    </row>
    <row r="150" spans="1:32" ht="15" customHeight="1" x14ac:dyDescent="0.25">
      <c r="A150" s="107"/>
      <c r="B150" s="115"/>
      <c r="C150" s="132"/>
      <c r="D150" s="107"/>
      <c r="E150" s="35" t="s">
        <v>44</v>
      </c>
      <c r="F150" s="31"/>
      <c r="G150" s="31"/>
      <c r="H150" s="26">
        <f>'2024 Checks'!P2</f>
        <v>101</v>
      </c>
      <c r="I150" s="26">
        <f>'2024 Checks'!P3</f>
        <v>362</v>
      </c>
      <c r="J150" s="26">
        <f>'2024 Checks'!P4</f>
        <v>175</v>
      </c>
      <c r="K150" s="26">
        <f>'2024 Checks'!P5</f>
        <v>471</v>
      </c>
      <c r="L150" s="26">
        <f>'2024 Checks'!P6</f>
        <v>444.75</v>
      </c>
      <c r="M150" s="26">
        <f>'2024 Checks'!P7</f>
        <v>174</v>
      </c>
      <c r="N150" s="26">
        <f>'2024 Checks'!P8</f>
        <v>285.5</v>
      </c>
      <c r="O150" s="26">
        <f>'2024 Checks'!P9</f>
        <v>650</v>
      </c>
      <c r="P150" s="26">
        <f>'2024 Checks'!P10</f>
        <v>571</v>
      </c>
      <c r="Q150" s="26">
        <f>'2024 Checks'!P11</f>
        <v>668</v>
      </c>
      <c r="R150" s="26">
        <f>'2024 Checks'!P12</f>
        <v>447</v>
      </c>
      <c r="S150" s="26">
        <f>'2024 Checks'!P13</f>
        <v>304</v>
      </c>
      <c r="T150" s="26">
        <f>'2024 Checks'!P14</f>
        <v>1011</v>
      </c>
      <c r="U150" s="26">
        <f>'2024 Checks'!P15</f>
        <v>64</v>
      </c>
      <c r="V150" s="26"/>
      <c r="W150" s="26"/>
      <c r="X150" s="26">
        <f>'2024 Checks'!P16</f>
        <v>91</v>
      </c>
      <c r="Y150" s="26">
        <f>'2024 Checks'!P17</f>
        <v>5</v>
      </c>
      <c r="Z150" s="26"/>
      <c r="AA150" s="26"/>
      <c r="AB150" s="26">
        <f>SUM(F150:Y150)</f>
        <v>5824.25</v>
      </c>
      <c r="AC150" s="26"/>
      <c r="AD150" s="26"/>
      <c r="AE150" s="26"/>
      <c r="AF150" s="116"/>
    </row>
    <row r="151" spans="1:32" ht="15" customHeight="1" x14ac:dyDescent="0.25">
      <c r="A151" s="107"/>
      <c r="B151" s="115"/>
      <c r="C151" s="132"/>
      <c r="D151" s="107"/>
      <c r="E151" s="35" t="s">
        <v>45</v>
      </c>
      <c r="F151" s="26"/>
      <c r="G151" s="26"/>
      <c r="H151" s="26">
        <f t="shared" ref="H151:U151" si="67">+H150/H5</f>
        <v>5.05</v>
      </c>
      <c r="I151" s="26">
        <f t="shared" si="67"/>
        <v>36.200000000000003</v>
      </c>
      <c r="J151" s="26">
        <f t="shared" si="67"/>
        <v>17.5</v>
      </c>
      <c r="K151" s="26">
        <f t="shared" si="67"/>
        <v>23.55</v>
      </c>
      <c r="L151" s="26">
        <f t="shared" si="67"/>
        <v>22.237500000000001</v>
      </c>
      <c r="M151" s="26">
        <f t="shared" si="67"/>
        <v>34.799999999999997</v>
      </c>
      <c r="N151" s="26">
        <f t="shared" si="67"/>
        <v>35.6875</v>
      </c>
      <c r="O151" s="26">
        <f t="shared" si="67"/>
        <v>27.083333333333332</v>
      </c>
      <c r="P151" s="26">
        <f t="shared" si="67"/>
        <v>28.55</v>
      </c>
      <c r="Q151" s="26">
        <f t="shared" si="67"/>
        <v>33.4</v>
      </c>
      <c r="R151" s="26">
        <f t="shared" si="67"/>
        <v>22.35</v>
      </c>
      <c r="S151" s="26">
        <f t="shared" si="67"/>
        <v>17.37142857142857</v>
      </c>
      <c r="T151" s="26">
        <f t="shared" si="67"/>
        <v>56.166666666666664</v>
      </c>
      <c r="U151" s="26">
        <f t="shared" si="67"/>
        <v>11.636363636363637</v>
      </c>
      <c r="V151" s="26"/>
      <c r="W151" s="26"/>
      <c r="X151" s="26">
        <f>+X150/X5</f>
        <v>4.55</v>
      </c>
      <c r="Y151" s="26">
        <f>+Y150/Y5</f>
        <v>0.46816479400749067</v>
      </c>
      <c r="Z151" s="26"/>
      <c r="AA151" s="26"/>
      <c r="AB151" s="26"/>
      <c r="AC151" s="26"/>
      <c r="AD151" s="107"/>
      <c r="AE151" s="26"/>
      <c r="AF151" s="116"/>
    </row>
    <row r="152" spans="1:32" ht="15" customHeight="1" x14ac:dyDescent="0.25">
      <c r="A152" s="107"/>
      <c r="B152" s="115"/>
      <c r="C152" s="132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7"/>
      <c r="AB152" s="26"/>
      <c r="AC152" s="107"/>
      <c r="AD152" s="107"/>
      <c r="AE152" s="107"/>
      <c r="AF152" s="116"/>
    </row>
    <row r="153" spans="1:32" ht="15" customHeight="1" x14ac:dyDescent="0.25">
      <c r="A153" s="107"/>
      <c r="B153" s="115"/>
      <c r="C153" s="132"/>
      <c r="D153" s="107"/>
      <c r="E153" s="117" t="s">
        <v>46</v>
      </c>
      <c r="F153" s="13"/>
      <c r="G153" s="34"/>
      <c r="H153" s="13">
        <f>+H155/H150</f>
        <v>167.86079207920795</v>
      </c>
      <c r="I153" s="13">
        <f>+I155/I150</f>
        <v>276.2160497237569</v>
      </c>
      <c r="J153" s="13">
        <f>+J155/J150</f>
        <v>336.27291428571425</v>
      </c>
      <c r="K153" s="13">
        <f>+K155/K150</f>
        <v>114.02980891719746</v>
      </c>
      <c r="L153" s="13">
        <f t="shared" ref="L153:Y153" si="68">+L155/L150</f>
        <v>173.3510961214165</v>
      </c>
      <c r="M153" s="13">
        <f t="shared" si="68"/>
        <v>193.26017241379313</v>
      </c>
      <c r="N153" s="13">
        <f t="shared" si="68"/>
        <v>199.81597197898424</v>
      </c>
      <c r="O153" s="13">
        <f t="shared" si="68"/>
        <v>186.75724615384615</v>
      </c>
      <c r="P153" s="13">
        <f>+P155/P150</f>
        <v>105.00812609457093</v>
      </c>
      <c r="Q153" s="13">
        <f t="shared" si="68"/>
        <v>189.05366766467066</v>
      </c>
      <c r="R153" s="13">
        <f t="shared" si="68"/>
        <v>217.48230425055928</v>
      </c>
      <c r="S153" s="13">
        <f t="shared" si="68"/>
        <v>196.71628289473685</v>
      </c>
      <c r="T153" s="13">
        <f t="shared" si="68"/>
        <v>107.16082096933728</v>
      </c>
      <c r="U153" s="13">
        <f t="shared" si="68"/>
        <v>204.89859375</v>
      </c>
      <c r="V153" s="13"/>
      <c r="W153" s="13"/>
      <c r="X153" s="13">
        <f t="shared" si="68"/>
        <v>63.38</v>
      </c>
      <c r="Y153" s="13">
        <f t="shared" si="68"/>
        <v>180</v>
      </c>
      <c r="Z153" s="13"/>
      <c r="AA153" s="13"/>
      <c r="AB153" s="13"/>
      <c r="AC153" s="13"/>
      <c r="AD153" s="107"/>
      <c r="AE153" s="13"/>
      <c r="AF153" s="116"/>
    </row>
    <row r="154" spans="1:32" ht="15" customHeight="1" x14ac:dyDescent="0.25">
      <c r="A154" s="107"/>
      <c r="B154" s="115"/>
      <c r="C154" s="132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7"/>
      <c r="AB154" s="107"/>
      <c r="AC154" s="107"/>
      <c r="AD154" s="107"/>
      <c r="AE154" s="107"/>
      <c r="AF154" s="116"/>
    </row>
    <row r="155" spans="1:32" ht="15" customHeight="1" x14ac:dyDescent="0.25">
      <c r="A155" s="107"/>
      <c r="B155" s="115"/>
      <c r="C155" s="132"/>
      <c r="D155" s="107"/>
      <c r="E155" s="118" t="s">
        <v>49</v>
      </c>
      <c r="F155" s="27"/>
      <c r="G155" s="27"/>
      <c r="H155" s="78">
        <f>'2024 Checks'!N2</f>
        <v>16953.940000000002</v>
      </c>
      <c r="I155" s="78">
        <f>'2024 Checks'!N3</f>
        <v>99990.21</v>
      </c>
      <c r="J155" s="78">
        <f>SUM('2024 Checks'!E7,'2024 Checks'!E12)</f>
        <v>58847.759999999995</v>
      </c>
      <c r="K155" s="78">
        <f>'2024 Checks'!N5</f>
        <v>53708.04</v>
      </c>
      <c r="L155" s="78">
        <f>'2024 Checks'!N6</f>
        <v>77097.899999999994</v>
      </c>
      <c r="M155" s="78">
        <f>'2024 Checks'!N7</f>
        <v>33627.270000000004</v>
      </c>
      <c r="N155" s="78">
        <f>'2024 Checks'!N8</f>
        <v>57047.46</v>
      </c>
      <c r="O155" s="78">
        <f>'2024 Checks'!N9</f>
        <v>121392.20999999999</v>
      </c>
      <c r="P155" s="78">
        <f>'2024 Checks'!O10</f>
        <v>59959.64</v>
      </c>
      <c r="Q155" s="78">
        <f>'2024 Checks'!O11</f>
        <v>126287.85</v>
      </c>
      <c r="R155" s="78">
        <f>'2024 Checks'!O12</f>
        <v>97214.59</v>
      </c>
      <c r="S155" s="78">
        <f>'2024 Checks'!N13</f>
        <v>59801.75</v>
      </c>
      <c r="T155" s="78">
        <f>'2024 Checks'!N14</f>
        <v>108339.59</v>
      </c>
      <c r="U155" s="78">
        <f>'2024 Checks'!O15</f>
        <v>13113.51</v>
      </c>
      <c r="V155" s="78"/>
      <c r="W155" s="78"/>
      <c r="X155" s="78">
        <f>'2024 Checks'!N16</f>
        <v>5767.58</v>
      </c>
      <c r="Y155" s="78">
        <f>'2024 Checks'!O17</f>
        <v>900</v>
      </c>
      <c r="Z155" s="78"/>
      <c r="AA155" s="78"/>
      <c r="AB155" s="78">
        <f>SUM(F155:Y155)</f>
        <v>990049.29999999993</v>
      </c>
      <c r="AC155" s="78">
        <f>'2024 Checks'!N20+'2024 Checks'!N21</f>
        <v>18339.800000000003</v>
      </c>
      <c r="AD155" s="79">
        <v>0</v>
      </c>
      <c r="AE155" s="78">
        <f>SUM(AB155:AD155)</f>
        <v>1008389.1</v>
      </c>
      <c r="AF155" s="116"/>
    </row>
    <row r="156" spans="1:32" ht="6" customHeight="1" thickBot="1" x14ac:dyDescent="0.3">
      <c r="A156" s="107"/>
      <c r="B156" s="119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1"/>
    </row>
    <row r="157" spans="1:32" s="69" customFormat="1" ht="15.75" thickBot="1" x14ac:dyDescent="0.3">
      <c r="A157" s="107"/>
      <c r="B157" s="107"/>
      <c r="C157" s="107"/>
      <c r="D157" s="107"/>
      <c r="E157" s="107"/>
      <c r="F157" s="107"/>
      <c r="G157" s="107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127"/>
      <c r="AC157" s="128"/>
      <c r="AD157" s="128"/>
      <c r="AE157" s="128"/>
      <c r="AF157" s="128"/>
    </row>
    <row r="158" spans="1:32" x14ac:dyDescent="0.25">
      <c r="A158" s="107"/>
      <c r="B158" s="110"/>
      <c r="C158" s="111"/>
      <c r="D158" s="111"/>
      <c r="E158" s="11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114"/>
    </row>
    <row r="159" spans="1:32" x14ac:dyDescent="0.25">
      <c r="A159" s="107"/>
      <c r="B159" s="115"/>
      <c r="C159" s="132" t="s">
        <v>56</v>
      </c>
      <c r="D159" s="107"/>
      <c r="E159" s="35" t="s">
        <v>42</v>
      </c>
      <c r="F159" s="122"/>
      <c r="G159" s="122"/>
      <c r="H159" s="129">
        <f>H161*16</f>
        <v>3056</v>
      </c>
      <c r="I159" s="129">
        <f t="shared" ref="I159:AA159" si="69">I161*16</f>
        <v>4607</v>
      </c>
      <c r="J159" s="129">
        <f t="shared" si="69"/>
        <v>2816</v>
      </c>
      <c r="K159" s="129">
        <f t="shared" si="69"/>
        <v>8303.0769230769256</v>
      </c>
      <c r="L159" s="129">
        <f t="shared" si="69"/>
        <v>10205.257525083611</v>
      </c>
      <c r="M159" s="129">
        <f t="shared" si="69"/>
        <v>3010.4615384615386</v>
      </c>
      <c r="N159" s="129">
        <f t="shared" si="69"/>
        <v>5229.5384615384619</v>
      </c>
      <c r="O159" s="129">
        <f t="shared" si="69"/>
        <v>16648.923076923078</v>
      </c>
      <c r="P159" s="129">
        <f t="shared" si="69"/>
        <v>9530.461538461539</v>
      </c>
      <c r="Q159" s="129">
        <f t="shared" si="69"/>
        <v>12981</v>
      </c>
      <c r="R159" s="129">
        <f t="shared" si="69"/>
        <v>7076.6666666666661</v>
      </c>
      <c r="S159" s="129">
        <f t="shared" si="69"/>
        <v>12930</v>
      </c>
      <c r="T159" s="129">
        <f t="shared" si="69"/>
        <v>14016</v>
      </c>
      <c r="U159" s="129">
        <f t="shared" si="69"/>
        <v>1776</v>
      </c>
      <c r="V159" s="129">
        <f t="shared" si="69"/>
        <v>343.62692210738595</v>
      </c>
      <c r="W159" s="129">
        <f t="shared" si="69"/>
        <v>765.6</v>
      </c>
      <c r="X159" s="129">
        <f t="shared" si="69"/>
        <v>4576</v>
      </c>
      <c r="Y159" s="129">
        <f t="shared" si="69"/>
        <v>2208</v>
      </c>
      <c r="Z159" s="129">
        <f t="shared" si="69"/>
        <v>1312</v>
      </c>
      <c r="AA159" s="129">
        <f t="shared" si="69"/>
        <v>256</v>
      </c>
      <c r="AB159" s="26">
        <f>SUM(F159:X159)</f>
        <v>117871.61265231922</v>
      </c>
      <c r="AC159" s="122"/>
      <c r="AD159" s="122"/>
      <c r="AE159" s="122"/>
      <c r="AF159" s="116"/>
    </row>
    <row r="160" spans="1:32" x14ac:dyDescent="0.25">
      <c r="A160" s="107"/>
      <c r="B160" s="115"/>
      <c r="C160" s="132"/>
      <c r="D160" s="107"/>
      <c r="E160" s="35" t="s">
        <v>43</v>
      </c>
      <c r="F160" s="26"/>
      <c r="G160" s="26"/>
      <c r="H160" s="131">
        <f>H159/H5</f>
        <v>152.80000000000001</v>
      </c>
      <c r="I160" s="131">
        <f t="shared" ref="I160:AA160" si="70">I159/I5</f>
        <v>460.7</v>
      </c>
      <c r="J160" s="131">
        <f t="shared" si="70"/>
        <v>281.60000000000002</v>
      </c>
      <c r="K160" s="131">
        <f t="shared" si="70"/>
        <v>415.1538461538463</v>
      </c>
      <c r="L160" s="131">
        <f t="shared" si="70"/>
        <v>510.26287625418053</v>
      </c>
      <c r="M160" s="131">
        <f t="shared" si="70"/>
        <v>602.09230769230771</v>
      </c>
      <c r="N160" s="131">
        <f t="shared" si="70"/>
        <v>653.69230769230774</v>
      </c>
      <c r="O160" s="131">
        <f t="shared" si="70"/>
        <v>693.70512820512829</v>
      </c>
      <c r="P160" s="131">
        <f t="shared" si="70"/>
        <v>476.52307692307693</v>
      </c>
      <c r="Q160" s="131">
        <f t="shared" si="70"/>
        <v>649.04999999999995</v>
      </c>
      <c r="R160" s="131">
        <f t="shared" si="70"/>
        <v>353.83333333333331</v>
      </c>
      <c r="S160" s="131">
        <f t="shared" si="70"/>
        <v>738.85714285714289</v>
      </c>
      <c r="T160" s="131">
        <f t="shared" si="70"/>
        <v>778.66666666666663</v>
      </c>
      <c r="U160" s="131">
        <f t="shared" si="70"/>
        <v>322.90909090909093</v>
      </c>
      <c r="V160" s="131">
        <f t="shared" si="70"/>
        <v>33.072851020922613</v>
      </c>
      <c r="W160" s="131">
        <f t="shared" si="70"/>
        <v>80</v>
      </c>
      <c r="X160" s="131">
        <f t="shared" si="70"/>
        <v>228.8</v>
      </c>
      <c r="Y160" s="131">
        <f t="shared" si="70"/>
        <v>206.74157303370788</v>
      </c>
      <c r="Z160" s="131">
        <f t="shared" si="70"/>
        <v>33.072851020922613</v>
      </c>
      <c r="AA160" s="131">
        <f t="shared" si="70"/>
        <v>22.183708838821492</v>
      </c>
      <c r="AB160" s="26"/>
      <c r="AC160" s="26"/>
      <c r="AD160" s="26"/>
      <c r="AE160" s="26"/>
      <c r="AF160" s="116"/>
    </row>
    <row r="161" spans="2:32" x14ac:dyDescent="0.25">
      <c r="B161" s="115"/>
      <c r="C161" s="132"/>
      <c r="D161" s="107"/>
      <c r="E161" s="35" t="s">
        <v>44</v>
      </c>
      <c r="F161" s="31"/>
      <c r="G161" s="31"/>
      <c r="H161" s="26">
        <v>191</v>
      </c>
      <c r="I161" s="26">
        <f t="shared" ref="I161:AA161" si="71">I162*I5</f>
        <v>287.9375</v>
      </c>
      <c r="J161" s="26">
        <v>176</v>
      </c>
      <c r="K161" s="26">
        <f>K162*K5</f>
        <v>518.94230769230785</v>
      </c>
      <c r="L161" s="26">
        <f t="shared" si="71"/>
        <v>637.82859531772567</v>
      </c>
      <c r="M161" s="26">
        <f t="shared" si="71"/>
        <v>188.15384615384616</v>
      </c>
      <c r="N161" s="26">
        <f t="shared" si="71"/>
        <v>326.84615384615387</v>
      </c>
      <c r="O161" s="26">
        <f t="shared" si="71"/>
        <v>1040.5576923076924</v>
      </c>
      <c r="P161" s="26">
        <f t="shared" si="71"/>
        <v>595.65384615384619</v>
      </c>
      <c r="Q161" s="26">
        <f t="shared" si="71"/>
        <v>811.3125</v>
      </c>
      <c r="R161" s="26">
        <f t="shared" si="71"/>
        <v>442.29166666666663</v>
      </c>
      <c r="S161" s="26">
        <f>S162*S5</f>
        <v>808.125</v>
      </c>
      <c r="T161" s="26">
        <f>176+700</f>
        <v>876</v>
      </c>
      <c r="U161" s="26">
        <v>111</v>
      </c>
      <c r="V161" s="26">
        <f t="shared" si="71"/>
        <v>21.476682631711622</v>
      </c>
      <c r="W161" s="26">
        <f t="shared" si="71"/>
        <v>47.85</v>
      </c>
      <c r="X161" s="26">
        <f>86+200</f>
        <v>286</v>
      </c>
      <c r="Y161" s="26">
        <f t="shared" si="71"/>
        <v>138</v>
      </c>
      <c r="Z161" s="26">
        <f t="shared" si="71"/>
        <v>82</v>
      </c>
      <c r="AA161" s="26">
        <f t="shared" si="71"/>
        <v>16</v>
      </c>
      <c r="AB161" s="26">
        <f>SUM(F161:Y161)</f>
        <v>7504.9757907699513</v>
      </c>
      <c r="AC161" s="26"/>
      <c r="AD161" s="26"/>
      <c r="AE161" s="26"/>
      <c r="AF161" s="116"/>
    </row>
    <row r="162" spans="2:32" x14ac:dyDescent="0.25">
      <c r="B162" s="115"/>
      <c r="C162" s="132"/>
      <c r="D162" s="107"/>
      <c r="E162" s="35" t="s">
        <v>45</v>
      </c>
      <c r="F162" s="26"/>
      <c r="G162" s="26"/>
      <c r="H162" s="26">
        <f>H161/H5</f>
        <v>9.5500000000000007</v>
      </c>
      <c r="I162" s="26">
        <f>'Bin by Year'!C19</f>
        <v>28.793749999999999</v>
      </c>
      <c r="J162" s="26">
        <f>J161/J5</f>
        <v>17.600000000000001</v>
      </c>
      <c r="K162" s="26">
        <f>'Bin by Year'!E19</f>
        <v>25.94711538461539</v>
      </c>
      <c r="L162" s="26">
        <f>'Bin by Year'!F19</f>
        <v>31.891429765886283</v>
      </c>
      <c r="M162" s="26">
        <f>'Bin by Year'!G19</f>
        <v>37.630769230769232</v>
      </c>
      <c r="N162" s="26">
        <f>'Bin by Year'!H19</f>
        <v>40.855769230769234</v>
      </c>
      <c r="O162" s="26">
        <f>'Bin by Year'!I19</f>
        <v>43.356570512820511</v>
      </c>
      <c r="P162" s="26">
        <f>'Bin by Year'!J19</f>
        <v>29.782692307692308</v>
      </c>
      <c r="Q162" s="26">
        <f>'Bin by Year'!K19</f>
        <v>40.565624999999997</v>
      </c>
      <c r="R162" s="26">
        <f>'Bin by Year'!L19</f>
        <v>22.114583333333332</v>
      </c>
      <c r="S162" s="26">
        <f>'Bin by Year'!M19</f>
        <v>46.178571428571431</v>
      </c>
      <c r="T162" s="26">
        <f>T161/T5</f>
        <v>48.666666666666664</v>
      </c>
      <c r="U162" s="26">
        <f>U161/U5</f>
        <v>20.181818181818183</v>
      </c>
      <c r="V162" s="26">
        <f>'Bin by Year'!P19</f>
        <v>2.0670531888076633</v>
      </c>
      <c r="W162" s="26">
        <f>'Bin by Year'!Q19</f>
        <v>5</v>
      </c>
      <c r="X162" s="26">
        <f>X161/X5</f>
        <v>14.3</v>
      </c>
      <c r="Y162" s="26">
        <f>'Bin by Year'!S19</f>
        <v>12.921348314606742</v>
      </c>
      <c r="Z162" s="26">
        <f>'Bin by Year'!T19</f>
        <v>2.0670531888076633</v>
      </c>
      <c r="AA162" s="26">
        <f>'Bin by Year'!U19</f>
        <v>1.3864818024263432</v>
      </c>
      <c r="AB162" s="26"/>
      <c r="AC162" s="26"/>
      <c r="AD162" s="107"/>
      <c r="AE162" s="26"/>
      <c r="AF162" s="116"/>
    </row>
    <row r="163" spans="2:32" x14ac:dyDescent="0.25">
      <c r="B163" s="115"/>
      <c r="C163" s="132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107"/>
      <c r="AB163" s="26"/>
      <c r="AC163" s="107"/>
      <c r="AD163" s="107"/>
      <c r="AE163" s="107"/>
      <c r="AF163" s="116"/>
    </row>
    <row r="164" spans="2:32" x14ac:dyDescent="0.25">
      <c r="B164" s="115"/>
      <c r="C164" s="132"/>
      <c r="D164" s="107"/>
      <c r="E164" s="117" t="s">
        <v>46</v>
      </c>
      <c r="F164" s="13"/>
      <c r="G164" s="34"/>
      <c r="H164" s="13">
        <f>'$ per Bin'!B18</f>
        <v>200</v>
      </c>
      <c r="I164" s="13">
        <f>'$ per Bin'!C18</f>
        <v>250</v>
      </c>
      <c r="J164" s="13">
        <f>J153-50</f>
        <v>286.27291428571425</v>
      </c>
      <c r="K164" s="13">
        <f>'$ per Bin'!E18</f>
        <v>134.24762369388307</v>
      </c>
      <c r="L164" s="13">
        <f>'$ per Bin'!F18</f>
        <v>180</v>
      </c>
      <c r="M164" s="13">
        <f>'$ per Bin'!G18</f>
        <v>180</v>
      </c>
      <c r="N164" s="13">
        <f>'$ per Bin'!H18</f>
        <v>180</v>
      </c>
      <c r="O164" s="13">
        <f>'$ per Bin'!I18</f>
        <v>180</v>
      </c>
      <c r="P164" s="13">
        <f>'$ per Bin'!J18</f>
        <v>180</v>
      </c>
      <c r="Q164" s="13">
        <f>'$ per Bin'!K18</f>
        <v>200</v>
      </c>
      <c r="R164" s="13">
        <f>'$ per Bin'!L18</f>
        <v>200.2035129225379</v>
      </c>
      <c r="S164" s="13">
        <f>'$ per Bin'!M18</f>
        <v>250</v>
      </c>
      <c r="T164" s="13">
        <v>100</v>
      </c>
      <c r="U164" s="13">
        <f>'$ per Bin'!O18</f>
        <v>200</v>
      </c>
      <c r="V164" s="13">
        <f>'$ per Bin'!P18</f>
        <v>200</v>
      </c>
      <c r="W164" s="13">
        <f>'$ per Bin'!Q18</f>
        <v>260</v>
      </c>
      <c r="X164" s="13">
        <v>100</v>
      </c>
      <c r="Y164" s="13">
        <f>'$ per Bin'!S18</f>
        <v>250</v>
      </c>
      <c r="Z164" s="13">
        <f>'$ per Bin'!T18</f>
        <v>200</v>
      </c>
      <c r="AA164" s="13">
        <f>'$ per Bin'!U18</f>
        <v>200</v>
      </c>
      <c r="AB164" s="13"/>
      <c r="AC164" s="13"/>
      <c r="AD164" s="107"/>
      <c r="AE164" s="13"/>
      <c r="AF164" s="116"/>
    </row>
    <row r="165" spans="2:32" x14ac:dyDescent="0.25">
      <c r="B165" s="115"/>
      <c r="C165" s="132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107"/>
      <c r="AB165" s="107"/>
      <c r="AC165" s="107"/>
      <c r="AD165" s="107"/>
      <c r="AE165" s="107"/>
      <c r="AF165" s="116"/>
    </row>
    <row r="166" spans="2:32" x14ac:dyDescent="0.25">
      <c r="B166" s="115"/>
      <c r="C166" s="132"/>
      <c r="D166" s="107"/>
      <c r="E166" s="118" t="s">
        <v>49</v>
      </c>
      <c r="F166" s="27"/>
      <c r="G166" s="27"/>
      <c r="H166" s="78">
        <f>H164*H161</f>
        <v>38200</v>
      </c>
      <c r="I166" s="78">
        <f t="shared" ref="I166:AA166" si="72">I164*I161</f>
        <v>71984.375</v>
      </c>
      <c r="J166" s="78">
        <f t="shared" si="72"/>
        <v>50384.032914285708</v>
      </c>
      <c r="K166" s="78">
        <f t="shared" si="72"/>
        <v>69666.77164191223</v>
      </c>
      <c r="L166" s="78">
        <f t="shared" si="72"/>
        <v>114809.14715719061</v>
      </c>
      <c r="M166" s="78">
        <f t="shared" si="72"/>
        <v>33867.692307692312</v>
      </c>
      <c r="N166" s="78">
        <f t="shared" si="72"/>
        <v>58832.307692307695</v>
      </c>
      <c r="O166" s="78">
        <f t="shared" si="72"/>
        <v>187300.38461538462</v>
      </c>
      <c r="P166" s="78">
        <f t="shared" si="72"/>
        <v>107217.69230769231</v>
      </c>
      <c r="Q166" s="78">
        <f t="shared" si="72"/>
        <v>162262.5</v>
      </c>
      <c r="R166" s="78">
        <f t="shared" si="72"/>
        <v>88548.34540303082</v>
      </c>
      <c r="S166" s="78">
        <f t="shared" si="72"/>
        <v>202031.25</v>
      </c>
      <c r="T166" s="78">
        <f t="shared" si="72"/>
        <v>87600</v>
      </c>
      <c r="U166" s="78">
        <f t="shared" si="72"/>
        <v>22200</v>
      </c>
      <c r="V166" s="78">
        <f t="shared" si="72"/>
        <v>4295.3365263423248</v>
      </c>
      <c r="W166" s="78">
        <f t="shared" si="72"/>
        <v>12441</v>
      </c>
      <c r="X166" s="78">
        <f t="shared" si="72"/>
        <v>28600</v>
      </c>
      <c r="Y166" s="78">
        <f t="shared" si="72"/>
        <v>34500</v>
      </c>
      <c r="Z166" s="78">
        <f t="shared" si="72"/>
        <v>16400</v>
      </c>
      <c r="AA166" s="78">
        <f t="shared" si="72"/>
        <v>3200</v>
      </c>
      <c r="AB166" s="78">
        <f>SUM(F166:AA166)</f>
        <v>1394340.8355658387</v>
      </c>
      <c r="AC166" s="78">
        <f>'2024 Checks'!N31+'2024 Checks'!N32</f>
        <v>0</v>
      </c>
      <c r="AD166" s="79">
        <v>0</v>
      </c>
      <c r="AE166" s="78">
        <f>SUM(AB166:AD166)</f>
        <v>1394340.8355658387</v>
      </c>
      <c r="AF166" s="116"/>
    </row>
    <row r="167" spans="2:32" ht="15.75" thickBot="1" x14ac:dyDescent="0.3">
      <c r="B167" s="119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  <c r="AA167" s="120"/>
      <c r="AB167" s="120"/>
      <c r="AC167" s="120"/>
      <c r="AD167" s="120"/>
      <c r="AE167" s="120"/>
      <c r="AF167" s="121"/>
    </row>
    <row r="168" spans="2:32" ht="15.75" thickBot="1" x14ac:dyDescent="0.3">
      <c r="B168" s="107"/>
      <c r="C168" s="107"/>
      <c r="D168" s="107"/>
      <c r="E168" s="107"/>
      <c r="F168" s="107"/>
      <c r="G168" s="107"/>
      <c r="H168" s="107"/>
      <c r="I168" s="107"/>
      <c r="J168" s="123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  <c r="AF168" s="107"/>
    </row>
    <row r="169" spans="2:32" x14ac:dyDescent="0.25">
      <c r="B169" s="110"/>
      <c r="C169" s="111"/>
      <c r="D169" s="111"/>
      <c r="E169" s="111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114"/>
    </row>
    <row r="170" spans="2:32" x14ac:dyDescent="0.25">
      <c r="B170" s="115"/>
      <c r="C170" s="132" t="s">
        <v>57</v>
      </c>
      <c r="D170" s="107"/>
      <c r="E170" s="35" t="s">
        <v>42</v>
      </c>
      <c r="F170" s="122"/>
      <c r="G170" s="122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26">
        <f>SUM(F170:X170)</f>
        <v>0</v>
      </c>
      <c r="AC170" s="122"/>
      <c r="AD170" s="122"/>
      <c r="AE170" s="122"/>
      <c r="AF170" s="116"/>
    </row>
    <row r="171" spans="2:32" x14ac:dyDescent="0.25">
      <c r="B171" s="115"/>
      <c r="C171" s="132"/>
      <c r="D171" s="107"/>
      <c r="E171" s="35" t="s">
        <v>43</v>
      </c>
      <c r="F171" s="26"/>
      <c r="G171" s="26"/>
      <c r="H171" s="92" t="e">
        <f t="shared" ref="H171:U171" si="73">+H170/H27</f>
        <v>#DIV/0!</v>
      </c>
      <c r="I171" s="26" t="e">
        <f t="shared" si="73"/>
        <v>#DIV/0!</v>
      </c>
      <c r="J171" s="26" t="e">
        <f t="shared" si="73"/>
        <v>#DIV/0!</v>
      </c>
      <c r="K171" s="26" t="e">
        <f t="shared" si="73"/>
        <v>#DIV/0!</v>
      </c>
      <c r="L171" s="26" t="e">
        <f t="shared" si="73"/>
        <v>#DIV/0!</v>
      </c>
      <c r="M171" s="26" t="e">
        <f t="shared" si="73"/>
        <v>#DIV/0!</v>
      </c>
      <c r="N171" s="26" t="e">
        <f t="shared" si="73"/>
        <v>#DIV/0!</v>
      </c>
      <c r="O171" s="26" t="e">
        <f t="shared" si="73"/>
        <v>#DIV/0!</v>
      </c>
      <c r="P171" s="26" t="e">
        <f t="shared" si="73"/>
        <v>#DIV/0!</v>
      </c>
      <c r="Q171" s="26" t="e">
        <f t="shared" si="73"/>
        <v>#DIV/0!</v>
      </c>
      <c r="R171" s="26" t="e">
        <f t="shared" si="73"/>
        <v>#DIV/0!</v>
      </c>
      <c r="S171" s="26" t="e">
        <f t="shared" si="73"/>
        <v>#DIV/0!</v>
      </c>
      <c r="T171" s="26" t="e">
        <f t="shared" si="73"/>
        <v>#DIV/0!</v>
      </c>
      <c r="U171" s="26" t="e">
        <f t="shared" si="73"/>
        <v>#DIV/0!</v>
      </c>
      <c r="V171" s="26"/>
      <c r="W171" s="26"/>
      <c r="X171" s="26" t="e">
        <f>+X170/X27</f>
        <v>#DIV/0!</v>
      </c>
      <c r="Y171" s="26" t="e">
        <f>+Y170/Y27</f>
        <v>#DIV/0!</v>
      </c>
      <c r="Z171" s="26"/>
      <c r="AA171" s="26"/>
      <c r="AB171" s="26"/>
      <c r="AC171" s="26"/>
      <c r="AD171" s="26"/>
      <c r="AE171" s="26"/>
      <c r="AF171" s="116"/>
    </row>
    <row r="172" spans="2:32" x14ac:dyDescent="0.25">
      <c r="B172" s="115"/>
      <c r="C172" s="132"/>
      <c r="D172" s="107"/>
      <c r="E172" s="35" t="s">
        <v>44</v>
      </c>
      <c r="F172" s="31"/>
      <c r="G172" s="31"/>
      <c r="H172" s="26">
        <f>H173*H5</f>
        <v>414.33333333333331</v>
      </c>
      <c r="I172" s="26">
        <f t="shared" ref="I172:AA172" si="74">I173*I5</f>
        <v>287.9375</v>
      </c>
      <c r="J172" s="26">
        <f t="shared" si="74"/>
        <v>207.16666666666666</v>
      </c>
      <c r="K172" s="26">
        <f t="shared" si="74"/>
        <v>518.94230769230785</v>
      </c>
      <c r="L172" s="26">
        <f t="shared" si="74"/>
        <v>637.82859531772567</v>
      </c>
      <c r="M172" s="26">
        <f t="shared" si="74"/>
        <v>188.15384615384616</v>
      </c>
      <c r="N172" s="26">
        <f t="shared" si="74"/>
        <v>326.84615384615387</v>
      </c>
      <c r="O172" s="26">
        <f t="shared" si="74"/>
        <v>1040.5576923076924</v>
      </c>
      <c r="P172" s="26">
        <f t="shared" si="74"/>
        <v>595.65384615384619</v>
      </c>
      <c r="Q172" s="26">
        <f t="shared" si="74"/>
        <v>811.3125</v>
      </c>
      <c r="R172" s="26">
        <f t="shared" si="74"/>
        <v>442.29166666666663</v>
      </c>
      <c r="S172" s="26">
        <f t="shared" si="74"/>
        <v>503.890625</v>
      </c>
      <c r="T172" s="26">
        <f t="shared" si="74"/>
        <v>904.25</v>
      </c>
      <c r="U172" s="26">
        <f t="shared" si="74"/>
        <v>220</v>
      </c>
      <c r="V172" s="26">
        <f t="shared" si="74"/>
        <v>415.6</v>
      </c>
      <c r="W172" s="26">
        <f t="shared" si="74"/>
        <v>357.91800000000001</v>
      </c>
      <c r="X172" s="26">
        <f t="shared" si="74"/>
        <v>1004.7222222222223</v>
      </c>
      <c r="Y172" s="26">
        <f t="shared" si="74"/>
        <v>307.51724999999999</v>
      </c>
      <c r="Z172" s="26">
        <f>Z173*Z5</f>
        <v>800.6127272727274</v>
      </c>
      <c r="AA172" s="26">
        <f t="shared" si="74"/>
        <v>468.12731249999996</v>
      </c>
      <c r="AB172" s="26">
        <f>SUM(F172:Y172)</f>
        <v>9184.9222053604608</v>
      </c>
      <c r="AC172" s="26"/>
      <c r="AD172" s="26"/>
      <c r="AE172" s="26"/>
      <c r="AF172" s="116"/>
    </row>
    <row r="173" spans="2:32" x14ac:dyDescent="0.25">
      <c r="B173" s="115"/>
      <c r="C173" s="132"/>
      <c r="D173" s="107"/>
      <c r="E173" s="35" t="s">
        <v>45</v>
      </c>
      <c r="F173" s="26"/>
      <c r="G173" s="26"/>
      <c r="H173" s="26">
        <f>'Bin by Year'!B20</f>
        <v>20.716666666666665</v>
      </c>
      <c r="I173" s="26">
        <f>'Bin by Year'!C20</f>
        <v>28.793749999999999</v>
      </c>
      <c r="J173" s="26">
        <f>'Bin by Year'!D20</f>
        <v>20.716666666666665</v>
      </c>
      <c r="K173" s="26">
        <f>'Bin by Year'!E20</f>
        <v>25.94711538461539</v>
      </c>
      <c r="L173" s="26">
        <f>'Bin by Year'!F20</f>
        <v>31.891429765886283</v>
      </c>
      <c r="M173" s="26">
        <f>'Bin by Year'!G20</f>
        <v>37.630769230769232</v>
      </c>
      <c r="N173" s="26">
        <f>'Bin by Year'!H20</f>
        <v>40.855769230769234</v>
      </c>
      <c r="O173" s="26">
        <f>'Bin by Year'!I20</f>
        <v>43.356570512820511</v>
      </c>
      <c r="P173" s="26">
        <f>'Bin by Year'!J20</f>
        <v>29.782692307692308</v>
      </c>
      <c r="Q173" s="26">
        <f>'Bin by Year'!K20</f>
        <v>40.565624999999997</v>
      </c>
      <c r="R173" s="26">
        <f>'Bin by Year'!L20</f>
        <v>22.114583333333332</v>
      </c>
      <c r="S173" s="26">
        <f>'Bin by Year'!M20</f>
        <v>28.793749999999999</v>
      </c>
      <c r="T173" s="26">
        <f>'Bin by Year'!N20</f>
        <v>50.236111111111114</v>
      </c>
      <c r="U173" s="26">
        <v>40</v>
      </c>
      <c r="V173" s="26">
        <v>40</v>
      </c>
      <c r="W173" s="26">
        <f>'Bin by Year'!Q20</f>
        <v>37.4</v>
      </c>
      <c r="X173" s="26">
        <f>'Bin by Year'!R20</f>
        <v>50.236111111111114</v>
      </c>
      <c r="Y173" s="26">
        <f>'Bin by Year'!S20</f>
        <v>28.793749999999999</v>
      </c>
      <c r="Z173" s="26">
        <f>'Bin by Year'!T20</f>
        <v>20.181818181818183</v>
      </c>
      <c r="AA173" s="26">
        <f>'Bin by Year'!U20</f>
        <v>40.565624999999997</v>
      </c>
      <c r="AB173" s="26"/>
      <c r="AC173" s="26"/>
      <c r="AD173" s="107"/>
      <c r="AE173" s="26"/>
      <c r="AF173" s="116"/>
    </row>
    <row r="174" spans="2:32" x14ac:dyDescent="0.25">
      <c r="B174" s="115"/>
      <c r="C174" s="132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107"/>
      <c r="AB174" s="26"/>
      <c r="AC174" s="107"/>
      <c r="AD174" s="107"/>
      <c r="AE174" s="107"/>
      <c r="AF174" s="116"/>
    </row>
    <row r="175" spans="2:32" x14ac:dyDescent="0.25">
      <c r="B175" s="115"/>
      <c r="C175" s="132"/>
      <c r="D175" s="107"/>
      <c r="E175" s="117" t="s">
        <v>46</v>
      </c>
      <c r="F175" s="13"/>
      <c r="G175" s="34"/>
      <c r="H175" s="13">
        <f>'$ per Bin'!B19</f>
        <v>200</v>
      </c>
      <c r="I175" s="13">
        <f>'$ per Bin'!C19</f>
        <v>250</v>
      </c>
      <c r="J175" s="13">
        <f>'$ per Bin'!D19</f>
        <v>250</v>
      </c>
      <c r="K175" s="13">
        <f>'$ per Bin'!E19</f>
        <v>134.24762369388307</v>
      </c>
      <c r="L175" s="13">
        <f>'$ per Bin'!F19</f>
        <v>180</v>
      </c>
      <c r="M175" s="13">
        <f>'$ per Bin'!G19</f>
        <v>180</v>
      </c>
      <c r="N175" s="13">
        <f>'$ per Bin'!H19</f>
        <v>180</v>
      </c>
      <c r="O175" s="13">
        <f>'$ per Bin'!I19</f>
        <v>180</v>
      </c>
      <c r="P175" s="13">
        <f>'$ per Bin'!J19</f>
        <v>180</v>
      </c>
      <c r="Q175" s="13">
        <f>'$ per Bin'!K19</f>
        <v>200</v>
      </c>
      <c r="R175" s="13">
        <f>'$ per Bin'!L19</f>
        <v>200.2035129225379</v>
      </c>
      <c r="S175" s="13">
        <f>'$ per Bin'!M19</f>
        <v>250</v>
      </c>
      <c r="T175" s="13">
        <v>100</v>
      </c>
      <c r="U175" s="13">
        <f>'$ per Bin'!O19</f>
        <v>200</v>
      </c>
      <c r="V175" s="13">
        <f>'$ per Bin'!P19</f>
        <v>200</v>
      </c>
      <c r="W175" s="13">
        <f>'$ per Bin'!Q19</f>
        <v>260</v>
      </c>
      <c r="X175" s="13">
        <v>100</v>
      </c>
      <c r="Y175" s="13">
        <f>'$ per Bin'!S19</f>
        <v>250</v>
      </c>
      <c r="Z175" s="13">
        <f>'$ per Bin'!T19</f>
        <v>200</v>
      </c>
      <c r="AA175" s="13">
        <f>'$ per Bin'!U19</f>
        <v>200</v>
      </c>
      <c r="AB175" s="13"/>
      <c r="AC175" s="13"/>
      <c r="AD175" s="107"/>
      <c r="AE175" s="13"/>
      <c r="AF175" s="116"/>
    </row>
    <row r="176" spans="2:32" x14ac:dyDescent="0.25">
      <c r="B176" s="115"/>
      <c r="C176" s="132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16"/>
    </row>
    <row r="177" spans="2:32" x14ac:dyDescent="0.25">
      <c r="B177" s="115"/>
      <c r="C177" s="132"/>
      <c r="D177" s="107"/>
      <c r="E177" s="118" t="s">
        <v>49</v>
      </c>
      <c r="F177" s="27"/>
      <c r="G177" s="27"/>
      <c r="H177" s="78">
        <f t="shared" ref="H177:Y177" si="75">H175*H172</f>
        <v>82866.666666666657</v>
      </c>
      <c r="I177" s="78">
        <f t="shared" si="75"/>
        <v>71984.375</v>
      </c>
      <c r="J177" s="78">
        <f t="shared" si="75"/>
        <v>51791.666666666664</v>
      </c>
      <c r="K177" s="78">
        <f t="shared" si="75"/>
        <v>69666.77164191223</v>
      </c>
      <c r="L177" s="78">
        <f t="shared" si="75"/>
        <v>114809.14715719061</v>
      </c>
      <c r="M177" s="78">
        <f t="shared" si="75"/>
        <v>33867.692307692312</v>
      </c>
      <c r="N177" s="78">
        <f t="shared" si="75"/>
        <v>58832.307692307695</v>
      </c>
      <c r="O177" s="78">
        <f t="shared" si="75"/>
        <v>187300.38461538462</v>
      </c>
      <c r="P177" s="78">
        <f t="shared" si="75"/>
        <v>107217.69230769231</v>
      </c>
      <c r="Q177" s="78">
        <f t="shared" si="75"/>
        <v>162262.5</v>
      </c>
      <c r="R177" s="78">
        <f t="shared" si="75"/>
        <v>88548.34540303082</v>
      </c>
      <c r="S177" s="78">
        <f t="shared" si="75"/>
        <v>125972.65625</v>
      </c>
      <c r="T177" s="78">
        <f t="shared" si="75"/>
        <v>90425</v>
      </c>
      <c r="U177" s="78">
        <f t="shared" si="75"/>
        <v>44000</v>
      </c>
      <c r="V177" s="78">
        <f t="shared" si="75"/>
        <v>83120</v>
      </c>
      <c r="W177" s="78">
        <f t="shared" si="75"/>
        <v>93058.680000000008</v>
      </c>
      <c r="X177" s="78">
        <f t="shared" si="75"/>
        <v>100472.22222222223</v>
      </c>
      <c r="Y177" s="78">
        <f t="shared" si="75"/>
        <v>76879.3125</v>
      </c>
      <c r="Z177" s="78">
        <f>Z175*Z172</f>
        <v>160122.54545454547</v>
      </c>
      <c r="AA177" s="78">
        <f>AA175*AA172</f>
        <v>93625.462499999994</v>
      </c>
      <c r="AB177" s="78">
        <f>SUM(F177:AA177)</f>
        <v>1896823.4283853113</v>
      </c>
      <c r="AC177" s="78">
        <f>'2024 Checks'!N42+'2024 Checks'!N43</f>
        <v>0</v>
      </c>
      <c r="AD177" s="79">
        <v>0</v>
      </c>
      <c r="AE177" s="78">
        <f>SUM(AB177:AD177)</f>
        <v>1896823.4283853113</v>
      </c>
      <c r="AF177" s="116"/>
    </row>
    <row r="178" spans="2:32" ht="15.75" thickBot="1" x14ac:dyDescent="0.3">
      <c r="B178" s="119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  <c r="AA178" s="120"/>
      <c r="AB178" s="120"/>
      <c r="AC178" s="120"/>
      <c r="AD178" s="120"/>
      <c r="AE178" s="120"/>
      <c r="AF178" s="121"/>
    </row>
    <row r="180" spans="2:32" x14ac:dyDescent="0.25">
      <c r="B180" s="107"/>
      <c r="C180" s="107"/>
      <c r="D180" s="107"/>
      <c r="E180" s="107"/>
      <c r="F180" s="107"/>
      <c r="G180" s="107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07"/>
      <c r="AD180" s="107"/>
      <c r="AE180" s="107"/>
      <c r="AF180" s="107"/>
    </row>
    <row r="181" spans="2:32" x14ac:dyDescent="0.25">
      <c r="B181" s="107"/>
      <c r="C181" s="107"/>
      <c r="D181" s="107"/>
      <c r="E181" s="107"/>
      <c r="F181" s="107"/>
      <c r="G181" s="107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07"/>
      <c r="AC181" s="107"/>
      <c r="AD181" s="107"/>
      <c r="AE181" s="107"/>
      <c r="AF181" s="107"/>
    </row>
    <row r="182" spans="2:32" x14ac:dyDescent="0.25">
      <c r="B182" s="107"/>
      <c r="C182" s="107"/>
      <c r="D182" s="107"/>
      <c r="E182" s="107"/>
      <c r="F182" s="107"/>
      <c r="G182" s="107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30"/>
      <c r="AC182" s="107"/>
      <c r="AD182" s="107"/>
      <c r="AE182" s="107"/>
      <c r="AF182" s="107"/>
    </row>
  </sheetData>
  <sortState xmlns:xlrd2="http://schemas.microsoft.com/office/spreadsheetml/2017/richdata2" ref="E49:G51">
    <sortCondition ref="E49:E51"/>
  </sortState>
  <mergeCells count="15">
    <mergeCell ref="C8:C15"/>
    <mergeCell ref="C19:C26"/>
    <mergeCell ref="C30:C37"/>
    <mergeCell ref="C41:C48"/>
    <mergeCell ref="C52:C59"/>
    <mergeCell ref="C159:C166"/>
    <mergeCell ref="C170:C177"/>
    <mergeCell ref="C148:C155"/>
    <mergeCell ref="C74:C81"/>
    <mergeCell ref="C63:C70"/>
    <mergeCell ref="C133:C140"/>
    <mergeCell ref="C122:C129"/>
    <mergeCell ref="C107:C114"/>
    <mergeCell ref="C96:C103"/>
    <mergeCell ref="C85:C92"/>
  </mergeCells>
  <pageMargins left="0.25" right="0.25" top="0.75" bottom="0.75" header="0.3" footer="0.3"/>
  <pageSetup scale="4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0A7-E6DB-4CA5-8C79-78A628922A25}">
  <sheetPr codeName="Sheet2"/>
  <dimension ref="A1:L309"/>
  <sheetViews>
    <sheetView tabSelected="1" workbookViewId="0">
      <selection activeCell="F15" sqref="F15"/>
    </sheetView>
  </sheetViews>
  <sheetFormatPr defaultRowHeight="15" x14ac:dyDescent="0.25"/>
  <cols>
    <col min="1" max="1" width="4.85546875" style="57" bestFit="1" customWidth="1"/>
    <col min="2" max="2" width="16.140625" style="57" bestFit="1" customWidth="1"/>
    <col min="3" max="3" width="12.42578125" style="57" bestFit="1" customWidth="1"/>
    <col min="4" max="4" width="6" style="57" bestFit="1" customWidth="1"/>
    <col min="5" max="5" width="16.140625" style="57" bestFit="1" customWidth="1"/>
    <col min="6" max="6" width="19.28515625" style="57" bestFit="1" customWidth="1"/>
    <col min="7" max="7" width="15.7109375" style="57" bestFit="1" customWidth="1"/>
    <col min="8" max="8" width="12.5703125" style="57" bestFit="1" customWidth="1"/>
    <col min="9" max="9" width="2" style="57" bestFit="1" customWidth="1"/>
    <col min="10" max="10" width="12" bestFit="1" customWidth="1"/>
    <col min="11" max="11" width="2" bestFit="1" customWidth="1"/>
    <col min="12" max="12" width="13.85546875" bestFit="1" customWidth="1"/>
  </cols>
  <sheetData>
    <row r="1" spans="1:12" s="1" customFormat="1" x14ac:dyDescent="0.25">
      <c r="A1" s="6" t="s">
        <v>269</v>
      </c>
      <c r="B1" s="6" t="s">
        <v>71</v>
      </c>
      <c r="C1" s="6" t="s">
        <v>60</v>
      </c>
      <c r="D1" s="6" t="s">
        <v>59</v>
      </c>
      <c r="E1" s="6" t="str" cm="1">
        <f t="array" ref="E1:L1">TRANSPOSE(Revenue!E8:E15)</f>
        <v>Total Field Boxes</v>
      </c>
      <c r="F1" s="6" t="str">
        <v>Field Boxes Per Acre</v>
      </c>
      <c r="G1" s="6" t="str">
        <v>Total Bins (Tons)</v>
      </c>
      <c r="H1" s="6" t="str">
        <v>Bins per Acre</v>
      </c>
      <c r="I1" s="6">
        <v>0</v>
      </c>
      <c r="J1" s="6" t="str">
        <v>$ / Bin</v>
      </c>
      <c r="K1" s="1">
        <v>0</v>
      </c>
      <c r="L1" s="1" t="str">
        <v>Total Revenue</v>
      </c>
    </row>
    <row r="2" spans="1:12" x14ac:dyDescent="0.25">
      <c r="A2" s="57">
        <v>2012</v>
      </c>
      <c r="B2" s="57" t="s">
        <v>270</v>
      </c>
      <c r="C2" s="57" t="s">
        <v>22</v>
      </c>
      <c r="D2" s="57">
        <v>20</v>
      </c>
      <c r="E2" s="57" cm="1">
        <f t="array" ref="E2:L23">TRANSPOSE(Revenue!F8:AA15)</f>
        <v>8064</v>
      </c>
      <c r="F2" s="57">
        <v>403.2</v>
      </c>
      <c r="G2" s="57">
        <v>504</v>
      </c>
      <c r="H2" s="57">
        <v>25.2</v>
      </c>
      <c r="I2" s="57">
        <v>0</v>
      </c>
      <c r="J2">
        <v>174.67890873015875</v>
      </c>
      <c r="K2">
        <v>0</v>
      </c>
      <c r="L2">
        <v>88038.170000000013</v>
      </c>
    </row>
    <row r="3" spans="1:12" x14ac:dyDescent="0.25">
      <c r="A3" s="57">
        <v>2012</v>
      </c>
      <c r="B3" s="57" t="s">
        <v>273</v>
      </c>
      <c r="C3" s="57" t="s">
        <v>25</v>
      </c>
      <c r="D3" s="57">
        <v>9.5</v>
      </c>
      <c r="E3" s="57">
        <v>3632</v>
      </c>
      <c r="F3" s="57">
        <v>382.31578947368422</v>
      </c>
      <c r="G3" s="57">
        <v>227</v>
      </c>
      <c r="H3" s="57">
        <v>23.894736842105264</v>
      </c>
      <c r="I3" s="57">
        <v>0</v>
      </c>
      <c r="J3">
        <v>128.46753303964758</v>
      </c>
      <c r="K3">
        <v>0</v>
      </c>
      <c r="L3">
        <v>29162.13</v>
      </c>
    </row>
    <row r="4" spans="1:12" x14ac:dyDescent="0.25">
      <c r="A4" s="57">
        <v>2012</v>
      </c>
      <c r="B4" s="57">
        <v>1</v>
      </c>
      <c r="C4" s="57" t="s">
        <v>274</v>
      </c>
      <c r="D4" s="57">
        <v>20</v>
      </c>
      <c r="E4" s="57">
        <v>0</v>
      </c>
      <c r="F4" s="57">
        <v>0</v>
      </c>
      <c r="G4" s="57">
        <v>0</v>
      </c>
      <c r="H4" s="57">
        <v>0</v>
      </c>
      <c r="I4" s="57">
        <v>0</v>
      </c>
      <c r="J4">
        <v>0</v>
      </c>
      <c r="K4">
        <v>0</v>
      </c>
      <c r="L4">
        <v>0</v>
      </c>
    </row>
    <row r="5" spans="1:12" x14ac:dyDescent="0.25">
      <c r="A5" s="57">
        <v>2012</v>
      </c>
      <c r="B5" s="57" t="s">
        <v>271</v>
      </c>
      <c r="C5" s="57" t="s">
        <v>275</v>
      </c>
      <c r="D5" s="57">
        <v>10</v>
      </c>
      <c r="E5" s="57">
        <v>0</v>
      </c>
      <c r="F5" s="57">
        <v>0</v>
      </c>
      <c r="G5" s="57">
        <v>0</v>
      </c>
      <c r="H5" s="57">
        <v>0</v>
      </c>
      <c r="I5" s="57">
        <v>0</v>
      </c>
      <c r="J5">
        <v>0</v>
      </c>
      <c r="K5">
        <v>0</v>
      </c>
      <c r="L5">
        <v>0</v>
      </c>
    </row>
    <row r="6" spans="1:12" x14ac:dyDescent="0.25">
      <c r="A6" s="57">
        <v>2012</v>
      </c>
      <c r="B6" s="57" t="s">
        <v>272</v>
      </c>
      <c r="C6" s="57" t="s">
        <v>274</v>
      </c>
      <c r="D6" s="57">
        <v>10</v>
      </c>
      <c r="E6" s="57">
        <v>0</v>
      </c>
      <c r="F6" s="57">
        <v>0</v>
      </c>
      <c r="G6" s="57">
        <v>0</v>
      </c>
      <c r="H6" s="57">
        <v>0</v>
      </c>
      <c r="I6" s="57">
        <v>0</v>
      </c>
      <c r="J6">
        <v>0</v>
      </c>
      <c r="K6">
        <v>0</v>
      </c>
      <c r="L6">
        <v>0</v>
      </c>
    </row>
    <row r="7" spans="1:12" x14ac:dyDescent="0.25">
      <c r="A7" s="57">
        <v>2012</v>
      </c>
      <c r="B7" s="57">
        <v>3</v>
      </c>
      <c r="C7" s="57" t="s">
        <v>25</v>
      </c>
      <c r="D7" s="57">
        <v>20</v>
      </c>
      <c r="E7" s="57">
        <v>8760</v>
      </c>
      <c r="F7" s="57">
        <v>438</v>
      </c>
      <c r="G7" s="57">
        <v>547.5</v>
      </c>
      <c r="H7" s="57">
        <v>27.375</v>
      </c>
      <c r="I7" s="57">
        <v>0</v>
      </c>
      <c r="J7">
        <v>97.465844748858459</v>
      </c>
      <c r="K7">
        <v>0</v>
      </c>
      <c r="L7">
        <v>53362.55</v>
      </c>
    </row>
    <row r="8" spans="1:12" x14ac:dyDescent="0.25">
      <c r="A8" s="57">
        <v>2012</v>
      </c>
      <c r="B8" s="57">
        <v>4</v>
      </c>
      <c r="C8" s="57" t="s">
        <v>26</v>
      </c>
      <c r="D8" s="57">
        <v>20</v>
      </c>
      <c r="E8" s="57">
        <v>11888</v>
      </c>
      <c r="F8" s="57">
        <v>594.4</v>
      </c>
      <c r="G8" s="57">
        <v>743</v>
      </c>
      <c r="H8" s="57">
        <v>37.15</v>
      </c>
      <c r="I8" s="57">
        <v>0</v>
      </c>
      <c r="J8">
        <v>77.48115746971736</v>
      </c>
      <c r="K8">
        <v>0</v>
      </c>
      <c r="L8">
        <v>57568.5</v>
      </c>
    </row>
    <row r="9" spans="1:12" x14ac:dyDescent="0.25">
      <c r="A9" s="57">
        <v>2012</v>
      </c>
      <c r="B9" s="57">
        <v>5</v>
      </c>
      <c r="C9" s="57" t="s">
        <v>26</v>
      </c>
      <c r="D9" s="57">
        <v>5</v>
      </c>
      <c r="E9" s="57">
        <v>3328</v>
      </c>
      <c r="F9" s="57">
        <v>665.6</v>
      </c>
      <c r="G9" s="57">
        <v>208</v>
      </c>
      <c r="H9" s="57">
        <v>41.6</v>
      </c>
      <c r="I9" s="57">
        <v>0</v>
      </c>
      <c r="J9">
        <v>78.57014423076923</v>
      </c>
      <c r="K9">
        <v>0</v>
      </c>
      <c r="L9">
        <v>16342.59</v>
      </c>
    </row>
    <row r="10" spans="1:12" x14ac:dyDescent="0.25">
      <c r="A10" s="57">
        <v>2012</v>
      </c>
      <c r="B10" s="57">
        <v>6</v>
      </c>
      <c r="C10" s="57" t="s">
        <v>26</v>
      </c>
      <c r="D10" s="57">
        <v>8</v>
      </c>
      <c r="E10" s="57">
        <v>7120</v>
      </c>
      <c r="F10" s="57">
        <v>890</v>
      </c>
      <c r="G10" s="57">
        <v>445</v>
      </c>
      <c r="H10" s="57">
        <v>55.625</v>
      </c>
      <c r="I10" s="57">
        <v>0</v>
      </c>
      <c r="J10">
        <v>71.913415730337078</v>
      </c>
      <c r="K10">
        <v>0</v>
      </c>
      <c r="L10">
        <v>32001.47</v>
      </c>
    </row>
    <row r="11" spans="1:12" x14ac:dyDescent="0.25">
      <c r="A11" s="57">
        <v>2012</v>
      </c>
      <c r="B11" s="57">
        <v>7</v>
      </c>
      <c r="C11" s="57" t="s">
        <v>26</v>
      </c>
      <c r="D11" s="57">
        <v>24</v>
      </c>
      <c r="E11" s="57">
        <v>19584</v>
      </c>
      <c r="F11" s="57">
        <v>816</v>
      </c>
      <c r="G11" s="57">
        <v>1224</v>
      </c>
      <c r="H11" s="57">
        <v>51</v>
      </c>
      <c r="I11" s="57">
        <v>0</v>
      </c>
      <c r="J11">
        <v>57.286813725490191</v>
      </c>
      <c r="K11">
        <v>0</v>
      </c>
      <c r="L11">
        <v>70119.06</v>
      </c>
    </row>
    <row r="12" spans="1:12" x14ac:dyDescent="0.25">
      <c r="A12" s="57">
        <v>2012</v>
      </c>
      <c r="B12" s="57">
        <v>8</v>
      </c>
      <c r="C12" s="57" t="s">
        <v>27</v>
      </c>
      <c r="D12" s="57">
        <v>20</v>
      </c>
      <c r="E12" s="57">
        <v>11488</v>
      </c>
      <c r="F12" s="57">
        <v>574.4</v>
      </c>
      <c r="G12" s="57">
        <v>718</v>
      </c>
      <c r="H12" s="57">
        <v>35.9</v>
      </c>
      <c r="I12" s="57">
        <v>0</v>
      </c>
      <c r="J12">
        <v>117.7258356545961</v>
      </c>
      <c r="K12">
        <v>0</v>
      </c>
      <c r="L12">
        <v>84527.15</v>
      </c>
    </row>
    <row r="13" spans="1:12" x14ac:dyDescent="0.25">
      <c r="A13" s="57">
        <v>2012</v>
      </c>
      <c r="B13" s="57">
        <v>9</v>
      </c>
      <c r="C13" s="57" t="s">
        <v>33</v>
      </c>
      <c r="D13" s="57">
        <v>20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>
        <v>0</v>
      </c>
      <c r="K13">
        <v>0</v>
      </c>
      <c r="L13">
        <v>0</v>
      </c>
    </row>
    <row r="14" spans="1:12" x14ac:dyDescent="0.25">
      <c r="A14" s="57">
        <v>2012</v>
      </c>
      <c r="B14" s="57">
        <v>10</v>
      </c>
      <c r="C14" s="57" t="s">
        <v>29</v>
      </c>
      <c r="D14" s="57">
        <v>20</v>
      </c>
      <c r="E14" s="57">
        <v>0</v>
      </c>
      <c r="F14" s="57">
        <v>0</v>
      </c>
      <c r="G14" s="57">
        <v>0</v>
      </c>
      <c r="H14" s="57">
        <v>0</v>
      </c>
      <c r="I14" s="57">
        <v>0</v>
      </c>
      <c r="J14">
        <v>0</v>
      </c>
      <c r="K14">
        <v>0</v>
      </c>
      <c r="L14">
        <v>0</v>
      </c>
    </row>
    <row r="15" spans="1:12" x14ac:dyDescent="0.25">
      <c r="A15" s="57">
        <v>2012</v>
      </c>
      <c r="B15" s="57">
        <v>11</v>
      </c>
      <c r="C15" s="57" t="s">
        <v>275</v>
      </c>
      <c r="D15" s="57">
        <v>17.5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>
        <v>0</v>
      </c>
      <c r="K15">
        <v>0</v>
      </c>
      <c r="L15">
        <v>0</v>
      </c>
    </row>
    <row r="16" spans="1:12" x14ac:dyDescent="0.25">
      <c r="A16" s="57">
        <v>2012</v>
      </c>
      <c r="B16" s="57">
        <v>12</v>
      </c>
      <c r="C16" s="57" t="s">
        <v>276</v>
      </c>
      <c r="D16" s="57">
        <v>18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>
        <v>0</v>
      </c>
      <c r="K16">
        <v>0</v>
      </c>
      <c r="L16">
        <v>0</v>
      </c>
    </row>
    <row r="17" spans="1:12" x14ac:dyDescent="0.25">
      <c r="A17" s="57">
        <v>2012</v>
      </c>
      <c r="B17" s="57">
        <v>13</v>
      </c>
      <c r="C17" s="57" t="s">
        <v>25</v>
      </c>
      <c r="D17" s="57">
        <v>5.5</v>
      </c>
      <c r="E17" s="57">
        <v>0</v>
      </c>
      <c r="F17" s="57">
        <v>0</v>
      </c>
      <c r="G17" s="57">
        <v>0</v>
      </c>
      <c r="H17" s="57">
        <v>0</v>
      </c>
      <c r="I17" s="57">
        <v>0</v>
      </c>
      <c r="J17">
        <v>0</v>
      </c>
      <c r="K17">
        <v>0</v>
      </c>
      <c r="L17">
        <v>0</v>
      </c>
    </row>
    <row r="18" spans="1:12" x14ac:dyDescent="0.25">
      <c r="A18" s="57">
        <v>2012</v>
      </c>
      <c r="B18" s="57">
        <v>14</v>
      </c>
      <c r="C18" s="57" t="s">
        <v>25</v>
      </c>
      <c r="D18" s="57">
        <v>10.39</v>
      </c>
      <c r="E18" s="57">
        <v>0</v>
      </c>
      <c r="F18" s="57">
        <v>0</v>
      </c>
      <c r="G18" s="57">
        <v>0</v>
      </c>
      <c r="H18" s="57">
        <v>0</v>
      </c>
      <c r="I18" s="57">
        <v>0</v>
      </c>
      <c r="J18">
        <v>0</v>
      </c>
      <c r="K18">
        <v>0</v>
      </c>
      <c r="L18">
        <v>0</v>
      </c>
    </row>
    <row r="19" spans="1:12" x14ac:dyDescent="0.25">
      <c r="A19" s="57">
        <v>2012</v>
      </c>
      <c r="B19" s="57">
        <v>15</v>
      </c>
      <c r="C19" s="57" t="s">
        <v>32</v>
      </c>
      <c r="D19" s="57">
        <v>9.57</v>
      </c>
      <c r="E19" s="57">
        <v>0</v>
      </c>
      <c r="F19" s="57">
        <v>0</v>
      </c>
      <c r="G19" s="57">
        <v>0</v>
      </c>
      <c r="H19" s="57">
        <v>0</v>
      </c>
      <c r="I19" s="57">
        <v>0</v>
      </c>
      <c r="J19">
        <v>0</v>
      </c>
      <c r="K19">
        <v>0</v>
      </c>
      <c r="L19">
        <v>0</v>
      </c>
    </row>
    <row r="20" spans="1:12" x14ac:dyDescent="0.25">
      <c r="A20" s="57">
        <v>2012</v>
      </c>
      <c r="B20" s="57">
        <v>16</v>
      </c>
      <c r="C20" s="57" t="s">
        <v>276</v>
      </c>
      <c r="D20" s="57">
        <v>20</v>
      </c>
      <c r="E20" s="57">
        <v>0</v>
      </c>
      <c r="F20" s="57">
        <v>0</v>
      </c>
      <c r="G20" s="57">
        <v>0</v>
      </c>
      <c r="H20" s="57">
        <v>0</v>
      </c>
      <c r="I20" s="57">
        <v>0</v>
      </c>
      <c r="J20">
        <v>0</v>
      </c>
      <c r="K20">
        <v>0</v>
      </c>
      <c r="L20">
        <v>0</v>
      </c>
    </row>
    <row r="21" spans="1:12" x14ac:dyDescent="0.25">
      <c r="A21" s="57">
        <v>2012</v>
      </c>
      <c r="B21" s="57">
        <v>17</v>
      </c>
      <c r="C21" s="57" t="s">
        <v>275</v>
      </c>
      <c r="D21" s="57">
        <v>10.68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>
        <v>0</v>
      </c>
      <c r="K21">
        <v>0</v>
      </c>
      <c r="L21">
        <v>0</v>
      </c>
    </row>
    <row r="22" spans="1:12" x14ac:dyDescent="0.25">
      <c r="A22" s="57">
        <v>2012</v>
      </c>
      <c r="B22" s="57">
        <v>18</v>
      </c>
      <c r="C22" s="57" t="s">
        <v>25</v>
      </c>
      <c r="D22" s="57">
        <v>39.67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>
        <v>0</v>
      </c>
      <c r="K22">
        <v>0</v>
      </c>
      <c r="L22">
        <v>0</v>
      </c>
    </row>
    <row r="23" spans="1:12" x14ac:dyDescent="0.25">
      <c r="A23" s="57">
        <v>2012</v>
      </c>
      <c r="B23" s="57">
        <v>19</v>
      </c>
      <c r="C23" s="57" t="s">
        <v>33</v>
      </c>
      <c r="D23" s="57">
        <v>11.54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>
        <v>0</v>
      </c>
      <c r="K23">
        <v>0</v>
      </c>
      <c r="L23">
        <v>0</v>
      </c>
    </row>
    <row r="24" spans="1:12" x14ac:dyDescent="0.25">
      <c r="A24" s="57">
        <v>2013</v>
      </c>
      <c r="B24" s="57" t="s">
        <v>270</v>
      </c>
      <c r="C24" s="57" t="s">
        <v>22</v>
      </c>
      <c r="D24" s="57">
        <v>20</v>
      </c>
      <c r="E24" s="57" cm="1">
        <f t="array" ref="E24:L45">TRANSPOSE(Revenue!F19:AA26)</f>
        <v>4912</v>
      </c>
      <c r="F24" s="57">
        <v>245.6</v>
      </c>
      <c r="G24" s="57">
        <v>307</v>
      </c>
      <c r="H24" s="57">
        <v>15.35</v>
      </c>
      <c r="I24" s="57">
        <v>0</v>
      </c>
      <c r="J24">
        <v>133.93293159609118</v>
      </c>
      <c r="K24">
        <v>0</v>
      </c>
      <c r="L24">
        <v>41117.409999999996</v>
      </c>
    </row>
    <row r="25" spans="1:12" x14ac:dyDescent="0.25">
      <c r="A25" s="57">
        <v>2013</v>
      </c>
      <c r="B25" s="57" t="s">
        <v>273</v>
      </c>
      <c r="C25" s="57" t="s">
        <v>25</v>
      </c>
      <c r="D25" s="57">
        <v>9.5</v>
      </c>
      <c r="E25" s="57">
        <v>2112</v>
      </c>
      <c r="F25" s="57">
        <v>222.31578947368422</v>
      </c>
      <c r="G25" s="57">
        <v>132</v>
      </c>
      <c r="H25" s="57">
        <v>13.894736842105264</v>
      </c>
      <c r="I25" s="57">
        <v>0</v>
      </c>
      <c r="J25">
        <v>139.41613636363635</v>
      </c>
      <c r="K25">
        <v>0</v>
      </c>
      <c r="L25">
        <v>18402.93</v>
      </c>
    </row>
    <row r="26" spans="1:12" x14ac:dyDescent="0.25">
      <c r="A26" s="57">
        <v>2013</v>
      </c>
      <c r="B26" s="57">
        <v>1</v>
      </c>
      <c r="C26" s="57" t="s">
        <v>274</v>
      </c>
      <c r="D26" s="57">
        <v>20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>
        <v>0</v>
      </c>
      <c r="K26">
        <v>0</v>
      </c>
      <c r="L26">
        <v>0</v>
      </c>
    </row>
    <row r="27" spans="1:12" x14ac:dyDescent="0.25">
      <c r="A27" s="57">
        <v>2013</v>
      </c>
      <c r="B27" s="57" t="s">
        <v>271</v>
      </c>
      <c r="C27" s="57" t="s">
        <v>275</v>
      </c>
      <c r="D27" s="57">
        <v>10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>
        <v>0</v>
      </c>
      <c r="K27">
        <v>0</v>
      </c>
      <c r="L27">
        <v>0</v>
      </c>
    </row>
    <row r="28" spans="1:12" x14ac:dyDescent="0.25">
      <c r="A28" s="57">
        <v>2013</v>
      </c>
      <c r="B28" s="57" t="s">
        <v>272</v>
      </c>
      <c r="C28" s="57" t="s">
        <v>274</v>
      </c>
      <c r="D28" s="57">
        <v>10</v>
      </c>
      <c r="E28" s="57">
        <v>0</v>
      </c>
      <c r="F28" s="57">
        <v>0</v>
      </c>
      <c r="G28" s="57">
        <v>0</v>
      </c>
      <c r="H28" s="57">
        <v>0</v>
      </c>
      <c r="I28" s="57">
        <v>0</v>
      </c>
      <c r="J28">
        <v>0</v>
      </c>
      <c r="K28">
        <v>0</v>
      </c>
      <c r="L28">
        <v>0</v>
      </c>
    </row>
    <row r="29" spans="1:12" x14ac:dyDescent="0.25">
      <c r="A29" s="57">
        <v>2013</v>
      </c>
      <c r="B29" s="57">
        <v>3</v>
      </c>
      <c r="C29" s="57" t="s">
        <v>25</v>
      </c>
      <c r="D29" s="57">
        <v>20</v>
      </c>
      <c r="E29" s="57">
        <v>5192</v>
      </c>
      <c r="F29" s="57">
        <v>259.60000000000002</v>
      </c>
      <c r="G29" s="57">
        <v>324.5</v>
      </c>
      <c r="H29" s="57">
        <v>16.225000000000001</v>
      </c>
      <c r="I29" s="57">
        <v>0</v>
      </c>
      <c r="J29">
        <v>150.34283513097071</v>
      </c>
      <c r="K29">
        <v>0</v>
      </c>
      <c r="L29">
        <v>48786.25</v>
      </c>
    </row>
    <row r="30" spans="1:12" x14ac:dyDescent="0.25">
      <c r="A30" s="57">
        <v>2013</v>
      </c>
      <c r="B30" s="57">
        <v>4</v>
      </c>
      <c r="C30" s="57" t="s">
        <v>26</v>
      </c>
      <c r="D30" s="57">
        <v>20</v>
      </c>
      <c r="E30" s="57">
        <v>6528</v>
      </c>
      <c r="F30" s="57">
        <v>326.39999999999998</v>
      </c>
      <c r="G30" s="57">
        <v>408</v>
      </c>
      <c r="H30" s="57">
        <v>20.399999999999999</v>
      </c>
      <c r="I30" s="57">
        <v>0</v>
      </c>
      <c r="J30">
        <v>131.76678921568626</v>
      </c>
      <c r="K30">
        <v>0</v>
      </c>
      <c r="L30">
        <v>53760.85</v>
      </c>
    </row>
    <row r="31" spans="1:12" x14ac:dyDescent="0.25">
      <c r="A31" s="57">
        <v>2013</v>
      </c>
      <c r="B31" s="57">
        <v>5</v>
      </c>
      <c r="C31" s="57" t="s">
        <v>26</v>
      </c>
      <c r="D31" s="57">
        <v>5</v>
      </c>
      <c r="E31" s="57">
        <v>2400</v>
      </c>
      <c r="F31" s="57">
        <v>480</v>
      </c>
      <c r="G31" s="57">
        <v>150</v>
      </c>
      <c r="H31" s="57">
        <v>30</v>
      </c>
      <c r="I31" s="57">
        <v>0</v>
      </c>
      <c r="J31">
        <v>131.03326666666666</v>
      </c>
      <c r="K31">
        <v>0</v>
      </c>
      <c r="L31">
        <v>19654.989999999998</v>
      </c>
    </row>
    <row r="32" spans="1:12" x14ac:dyDescent="0.25">
      <c r="A32" s="57">
        <v>2013</v>
      </c>
      <c r="B32" s="57">
        <v>6</v>
      </c>
      <c r="C32" s="57" t="s">
        <v>26</v>
      </c>
      <c r="D32" s="57">
        <v>8</v>
      </c>
      <c r="E32" s="57">
        <v>3552</v>
      </c>
      <c r="F32" s="57">
        <v>444</v>
      </c>
      <c r="G32" s="57">
        <v>222</v>
      </c>
      <c r="H32" s="57">
        <v>27.75</v>
      </c>
      <c r="I32" s="57">
        <v>0</v>
      </c>
      <c r="J32">
        <v>118.94333333333333</v>
      </c>
      <c r="K32">
        <v>0</v>
      </c>
      <c r="L32">
        <v>26405.42</v>
      </c>
    </row>
    <row r="33" spans="1:12" x14ac:dyDescent="0.25">
      <c r="A33" s="57">
        <v>2013</v>
      </c>
      <c r="B33" s="57">
        <v>7</v>
      </c>
      <c r="C33" s="57" t="s">
        <v>26</v>
      </c>
      <c r="D33" s="57">
        <v>24</v>
      </c>
      <c r="E33" s="57">
        <v>13200</v>
      </c>
      <c r="F33" s="57">
        <v>550</v>
      </c>
      <c r="G33" s="57">
        <v>825</v>
      </c>
      <c r="H33" s="57">
        <v>34.375</v>
      </c>
      <c r="I33" s="57">
        <v>0</v>
      </c>
      <c r="J33">
        <v>120.40112727272727</v>
      </c>
      <c r="K33">
        <v>0</v>
      </c>
      <c r="L33">
        <v>99330.93</v>
      </c>
    </row>
    <row r="34" spans="1:12" x14ac:dyDescent="0.25">
      <c r="A34" s="57">
        <v>2013</v>
      </c>
      <c r="B34" s="57">
        <v>8</v>
      </c>
      <c r="C34" s="57" t="s">
        <v>27</v>
      </c>
      <c r="D34" s="57">
        <v>20</v>
      </c>
      <c r="E34" s="57">
        <v>5408</v>
      </c>
      <c r="F34" s="57">
        <v>270.39999999999998</v>
      </c>
      <c r="G34" s="57">
        <v>338</v>
      </c>
      <c r="H34" s="57">
        <v>16.899999999999999</v>
      </c>
      <c r="I34" s="57">
        <v>0</v>
      </c>
      <c r="J34">
        <v>224.01029585798818</v>
      </c>
      <c r="K34">
        <v>0</v>
      </c>
      <c r="L34">
        <v>75715.48000000001</v>
      </c>
    </row>
    <row r="35" spans="1:12" x14ac:dyDescent="0.25">
      <c r="A35" s="57">
        <v>2013</v>
      </c>
      <c r="B35" s="57">
        <v>9</v>
      </c>
      <c r="C35" s="57" t="s">
        <v>33</v>
      </c>
      <c r="D35" s="57">
        <v>20</v>
      </c>
      <c r="E35" s="57">
        <v>0</v>
      </c>
      <c r="F35" s="57">
        <v>0</v>
      </c>
      <c r="G35" s="57">
        <v>0</v>
      </c>
      <c r="H35" s="57">
        <v>0</v>
      </c>
      <c r="I35" s="57">
        <v>0</v>
      </c>
      <c r="J35">
        <v>0</v>
      </c>
      <c r="K35">
        <v>0</v>
      </c>
      <c r="L35">
        <v>0</v>
      </c>
    </row>
    <row r="36" spans="1:12" x14ac:dyDescent="0.25">
      <c r="A36" s="57">
        <v>2013</v>
      </c>
      <c r="B36" s="57">
        <v>10</v>
      </c>
      <c r="C36" s="57" t="s">
        <v>29</v>
      </c>
      <c r="D36" s="57">
        <v>20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>
        <v>0</v>
      </c>
      <c r="K36">
        <v>0</v>
      </c>
      <c r="L36">
        <v>0</v>
      </c>
    </row>
    <row r="37" spans="1:12" x14ac:dyDescent="0.25">
      <c r="A37" s="57">
        <v>2013</v>
      </c>
      <c r="B37" s="57">
        <v>11</v>
      </c>
      <c r="C37" s="57" t="s">
        <v>275</v>
      </c>
      <c r="D37" s="57">
        <v>17.5</v>
      </c>
      <c r="E37" s="57">
        <v>0</v>
      </c>
      <c r="F37" s="57">
        <v>0</v>
      </c>
      <c r="G37" s="57">
        <v>0</v>
      </c>
      <c r="H37" s="57">
        <v>0</v>
      </c>
      <c r="I37" s="57">
        <v>0</v>
      </c>
      <c r="J37">
        <v>0</v>
      </c>
      <c r="K37">
        <v>0</v>
      </c>
      <c r="L37">
        <v>0</v>
      </c>
    </row>
    <row r="38" spans="1:12" x14ac:dyDescent="0.25">
      <c r="A38" s="57">
        <v>2013</v>
      </c>
      <c r="B38" s="57">
        <v>12</v>
      </c>
      <c r="C38" s="57" t="s">
        <v>276</v>
      </c>
      <c r="D38" s="57">
        <v>18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>
        <v>0</v>
      </c>
      <c r="K38">
        <v>0</v>
      </c>
      <c r="L38">
        <v>0</v>
      </c>
    </row>
    <row r="39" spans="1:12" x14ac:dyDescent="0.25">
      <c r="A39" s="57">
        <v>2013</v>
      </c>
      <c r="B39" s="57">
        <v>13</v>
      </c>
      <c r="C39" s="57" t="s">
        <v>25</v>
      </c>
      <c r="D39" s="57">
        <v>5.5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>
        <v>0</v>
      </c>
      <c r="K39">
        <v>0</v>
      </c>
      <c r="L39">
        <v>0</v>
      </c>
    </row>
    <row r="40" spans="1:12" x14ac:dyDescent="0.25">
      <c r="A40" s="57">
        <v>2013</v>
      </c>
      <c r="B40" s="57">
        <v>14</v>
      </c>
      <c r="C40" s="57" t="s">
        <v>25</v>
      </c>
      <c r="D40" s="57">
        <v>10.39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>
        <v>0</v>
      </c>
      <c r="K40">
        <v>0</v>
      </c>
      <c r="L40">
        <v>0</v>
      </c>
    </row>
    <row r="41" spans="1:12" x14ac:dyDescent="0.25">
      <c r="A41" s="57">
        <v>2013</v>
      </c>
      <c r="B41" s="57">
        <v>15</v>
      </c>
      <c r="C41" s="57" t="s">
        <v>32</v>
      </c>
      <c r="D41" s="57">
        <v>9.57</v>
      </c>
      <c r="E41" s="57">
        <v>0</v>
      </c>
      <c r="F41" s="57">
        <v>0</v>
      </c>
      <c r="G41" s="57">
        <v>0</v>
      </c>
      <c r="H41" s="57">
        <v>0</v>
      </c>
      <c r="I41" s="57">
        <v>0</v>
      </c>
      <c r="J41">
        <v>0</v>
      </c>
      <c r="K41">
        <v>0</v>
      </c>
      <c r="L41">
        <v>0</v>
      </c>
    </row>
    <row r="42" spans="1:12" x14ac:dyDescent="0.25">
      <c r="A42" s="57">
        <v>2013</v>
      </c>
      <c r="B42" s="57">
        <v>16</v>
      </c>
      <c r="C42" s="57" t="s">
        <v>276</v>
      </c>
      <c r="D42" s="57">
        <v>20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>
        <v>0</v>
      </c>
      <c r="K42">
        <v>0</v>
      </c>
      <c r="L42">
        <v>0</v>
      </c>
    </row>
    <row r="43" spans="1:12" x14ac:dyDescent="0.25">
      <c r="A43" s="57">
        <v>2013</v>
      </c>
      <c r="B43" s="57">
        <v>17</v>
      </c>
      <c r="C43" s="57" t="s">
        <v>275</v>
      </c>
      <c r="D43" s="57">
        <v>10.68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>
        <v>0</v>
      </c>
      <c r="K43">
        <v>0</v>
      </c>
      <c r="L43">
        <v>0</v>
      </c>
    </row>
    <row r="44" spans="1:12" x14ac:dyDescent="0.25">
      <c r="A44" s="57">
        <v>2013</v>
      </c>
      <c r="B44" s="57">
        <v>18</v>
      </c>
      <c r="C44" s="57" t="s">
        <v>25</v>
      </c>
      <c r="D44" s="57">
        <v>39.67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>
        <v>0</v>
      </c>
      <c r="K44">
        <v>0</v>
      </c>
      <c r="L44">
        <v>0</v>
      </c>
    </row>
    <row r="45" spans="1:12" x14ac:dyDescent="0.25">
      <c r="A45" s="57">
        <v>2013</v>
      </c>
      <c r="B45" s="57">
        <v>19</v>
      </c>
      <c r="C45" s="57" t="s">
        <v>33</v>
      </c>
      <c r="D45" s="57">
        <v>11.54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>
        <v>0</v>
      </c>
      <c r="K45">
        <v>0</v>
      </c>
      <c r="L45">
        <v>0</v>
      </c>
    </row>
    <row r="46" spans="1:12" x14ac:dyDescent="0.25">
      <c r="A46" s="57">
        <v>2014</v>
      </c>
      <c r="B46" s="57" t="s">
        <v>270</v>
      </c>
      <c r="C46" s="57" t="s">
        <v>22</v>
      </c>
      <c r="D46" s="57">
        <v>20</v>
      </c>
      <c r="E46" s="57" cm="1">
        <f t="array" ref="E46:L67">TRANSPOSE(Revenue!F30:AA37)</f>
        <v>5600</v>
      </c>
      <c r="F46" s="57">
        <v>280</v>
      </c>
      <c r="G46" s="57">
        <v>350</v>
      </c>
      <c r="H46" s="57">
        <v>11.864406779661017</v>
      </c>
      <c r="I46" s="57">
        <v>0</v>
      </c>
      <c r="J46">
        <v>222.48128571428572</v>
      </c>
      <c r="K46">
        <v>0</v>
      </c>
      <c r="L46">
        <v>77868.45</v>
      </c>
    </row>
    <row r="47" spans="1:12" x14ac:dyDescent="0.25">
      <c r="A47" s="57">
        <v>2014</v>
      </c>
      <c r="B47" s="57" t="s">
        <v>273</v>
      </c>
      <c r="C47" s="57" t="s">
        <v>25</v>
      </c>
      <c r="D47" s="57">
        <v>9.5</v>
      </c>
      <c r="E47" s="57">
        <v>3328</v>
      </c>
      <c r="F47" s="57">
        <v>350.31578947368422</v>
      </c>
      <c r="G47" s="57">
        <v>208</v>
      </c>
      <c r="H47" s="57">
        <v>7.0508474576271185</v>
      </c>
      <c r="I47" s="57">
        <v>0</v>
      </c>
      <c r="J47">
        <v>214.96644230769232</v>
      </c>
      <c r="K47">
        <v>0</v>
      </c>
      <c r="L47">
        <v>44713.020000000004</v>
      </c>
    </row>
    <row r="48" spans="1:12" x14ac:dyDescent="0.25">
      <c r="A48" s="57">
        <v>2014</v>
      </c>
      <c r="B48" s="57">
        <v>1</v>
      </c>
      <c r="C48" s="57" t="s">
        <v>274</v>
      </c>
      <c r="D48" s="57">
        <v>20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>
        <v>0</v>
      </c>
      <c r="K48">
        <v>0</v>
      </c>
      <c r="L48">
        <v>0</v>
      </c>
    </row>
    <row r="49" spans="1:12" x14ac:dyDescent="0.25">
      <c r="A49" s="57">
        <v>2014</v>
      </c>
      <c r="B49" s="57" t="s">
        <v>271</v>
      </c>
      <c r="C49" s="57" t="s">
        <v>275</v>
      </c>
      <c r="D49" s="57">
        <v>10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>
        <v>0</v>
      </c>
      <c r="K49">
        <v>0</v>
      </c>
      <c r="L49">
        <v>0</v>
      </c>
    </row>
    <row r="50" spans="1:12" x14ac:dyDescent="0.25">
      <c r="A50" s="57">
        <v>2014</v>
      </c>
      <c r="B50" s="57" t="s">
        <v>272</v>
      </c>
      <c r="C50" s="57" t="s">
        <v>274</v>
      </c>
      <c r="D50" s="57">
        <v>10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>
        <v>0</v>
      </c>
      <c r="K50">
        <v>0</v>
      </c>
      <c r="L50">
        <v>0</v>
      </c>
    </row>
    <row r="51" spans="1:12" x14ac:dyDescent="0.25">
      <c r="A51" s="57">
        <v>2014</v>
      </c>
      <c r="B51" s="57">
        <v>3</v>
      </c>
      <c r="C51" s="57" t="s">
        <v>25</v>
      </c>
      <c r="D51" s="57">
        <v>20</v>
      </c>
      <c r="E51" s="57">
        <v>9600</v>
      </c>
      <c r="F51" s="57">
        <v>480</v>
      </c>
      <c r="G51" s="57">
        <v>600</v>
      </c>
      <c r="H51" s="57">
        <v>30</v>
      </c>
      <c r="I51" s="57">
        <v>0</v>
      </c>
      <c r="J51">
        <v>242.77286666666666</v>
      </c>
      <c r="K51">
        <v>0</v>
      </c>
      <c r="L51">
        <v>145663.72</v>
      </c>
    </row>
    <row r="52" spans="1:12" x14ac:dyDescent="0.25">
      <c r="A52" s="57">
        <v>2014</v>
      </c>
      <c r="B52" s="57">
        <v>4</v>
      </c>
      <c r="C52" s="57" t="s">
        <v>26</v>
      </c>
      <c r="D52" s="57">
        <v>20</v>
      </c>
      <c r="E52" s="57">
        <v>13568</v>
      </c>
      <c r="F52" s="57">
        <v>678.4</v>
      </c>
      <c r="G52" s="57">
        <v>848</v>
      </c>
      <c r="H52" s="57">
        <v>42.4</v>
      </c>
      <c r="I52" s="57">
        <v>0</v>
      </c>
      <c r="J52">
        <v>142.25303066037736</v>
      </c>
      <c r="K52">
        <v>0</v>
      </c>
      <c r="L52">
        <v>120630.57</v>
      </c>
    </row>
    <row r="53" spans="1:12" x14ac:dyDescent="0.25">
      <c r="A53" s="57">
        <v>2014</v>
      </c>
      <c r="B53" s="57">
        <v>5</v>
      </c>
      <c r="C53" s="57" t="s">
        <v>26</v>
      </c>
      <c r="D53" s="57">
        <v>5</v>
      </c>
      <c r="E53" s="57">
        <v>4032</v>
      </c>
      <c r="F53" s="57">
        <v>806.4</v>
      </c>
      <c r="G53" s="57">
        <v>252</v>
      </c>
      <c r="H53" s="57">
        <v>50.4</v>
      </c>
      <c r="I53" s="57">
        <v>0</v>
      </c>
      <c r="J53">
        <v>145.38257936507938</v>
      </c>
      <c r="K53">
        <v>0</v>
      </c>
      <c r="L53">
        <v>36636.410000000003</v>
      </c>
    </row>
    <row r="54" spans="1:12" x14ac:dyDescent="0.25">
      <c r="A54" s="57">
        <v>2014</v>
      </c>
      <c r="B54" s="57">
        <v>6</v>
      </c>
      <c r="C54" s="57" t="s">
        <v>26</v>
      </c>
      <c r="D54" s="57">
        <v>8</v>
      </c>
      <c r="E54" s="57">
        <v>7200</v>
      </c>
      <c r="F54" s="57">
        <v>900</v>
      </c>
      <c r="G54" s="57">
        <v>450</v>
      </c>
      <c r="H54" s="57">
        <v>56.25</v>
      </c>
      <c r="I54" s="57">
        <v>0</v>
      </c>
      <c r="J54">
        <v>100.97937777777778</v>
      </c>
      <c r="K54">
        <v>0</v>
      </c>
      <c r="L54">
        <v>45440.72</v>
      </c>
    </row>
    <row r="55" spans="1:12" x14ac:dyDescent="0.25">
      <c r="A55" s="57">
        <v>2014</v>
      </c>
      <c r="B55" s="57">
        <v>7</v>
      </c>
      <c r="C55" s="57" t="s">
        <v>26</v>
      </c>
      <c r="D55" s="57">
        <v>24</v>
      </c>
      <c r="E55" s="57">
        <v>17452</v>
      </c>
      <c r="F55" s="57">
        <v>727.16666666666663</v>
      </c>
      <c r="G55" s="57">
        <v>1090.75</v>
      </c>
      <c r="H55" s="57">
        <v>45.447916666666664</v>
      </c>
      <c r="I55" s="57">
        <v>0</v>
      </c>
      <c r="J55">
        <v>82.815319734127897</v>
      </c>
      <c r="K55">
        <v>0</v>
      </c>
      <c r="L55">
        <v>90330.81</v>
      </c>
    </row>
    <row r="56" spans="1:12" x14ac:dyDescent="0.25">
      <c r="A56" s="57">
        <v>2014</v>
      </c>
      <c r="B56" s="57">
        <v>8</v>
      </c>
      <c r="C56" s="57" t="s">
        <v>27</v>
      </c>
      <c r="D56" s="57">
        <v>20</v>
      </c>
      <c r="E56" s="57">
        <v>8224</v>
      </c>
      <c r="F56" s="57">
        <v>411.2</v>
      </c>
      <c r="G56" s="57">
        <v>514</v>
      </c>
      <c r="H56" s="57">
        <v>25.7</v>
      </c>
      <c r="I56" s="57">
        <v>0</v>
      </c>
      <c r="J56">
        <v>242.27612840466924</v>
      </c>
      <c r="K56">
        <v>0</v>
      </c>
      <c r="L56">
        <v>124529.93</v>
      </c>
    </row>
    <row r="57" spans="1:12" x14ac:dyDescent="0.25">
      <c r="A57" s="57">
        <v>2014</v>
      </c>
      <c r="B57" s="57">
        <v>9</v>
      </c>
      <c r="C57" s="57" t="s">
        <v>33</v>
      </c>
      <c r="D57" s="57">
        <v>20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>
        <v>0</v>
      </c>
      <c r="K57">
        <v>0</v>
      </c>
      <c r="L57">
        <v>0</v>
      </c>
    </row>
    <row r="58" spans="1:12" x14ac:dyDescent="0.25">
      <c r="A58" s="57">
        <v>2014</v>
      </c>
      <c r="B58" s="57">
        <v>10</v>
      </c>
      <c r="C58" s="57" t="s">
        <v>29</v>
      </c>
      <c r="D58" s="57">
        <v>20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>
        <v>0</v>
      </c>
      <c r="K58">
        <v>0</v>
      </c>
      <c r="L58">
        <v>0</v>
      </c>
    </row>
    <row r="59" spans="1:12" x14ac:dyDescent="0.25">
      <c r="A59" s="57">
        <v>2014</v>
      </c>
      <c r="B59" s="57">
        <v>11</v>
      </c>
      <c r="C59" s="57" t="s">
        <v>275</v>
      </c>
      <c r="D59" s="57">
        <v>17.5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>
        <v>0</v>
      </c>
      <c r="K59">
        <v>0</v>
      </c>
      <c r="L59">
        <v>0</v>
      </c>
    </row>
    <row r="60" spans="1:12" x14ac:dyDescent="0.25">
      <c r="A60" s="57">
        <v>2014</v>
      </c>
      <c r="B60" s="57">
        <v>12</v>
      </c>
      <c r="C60" s="57" t="s">
        <v>276</v>
      </c>
      <c r="D60" s="57">
        <v>18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>
        <v>0</v>
      </c>
      <c r="K60">
        <v>0</v>
      </c>
      <c r="L60">
        <v>0</v>
      </c>
    </row>
    <row r="61" spans="1:12" x14ac:dyDescent="0.25">
      <c r="A61" s="57">
        <v>2014</v>
      </c>
      <c r="B61" s="57">
        <v>13</v>
      </c>
      <c r="C61" s="57" t="s">
        <v>25</v>
      </c>
      <c r="D61" s="57">
        <v>5.5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>
        <v>0</v>
      </c>
      <c r="K61">
        <v>0</v>
      </c>
      <c r="L61">
        <v>0</v>
      </c>
    </row>
    <row r="62" spans="1:12" x14ac:dyDescent="0.25">
      <c r="A62" s="57">
        <v>2014</v>
      </c>
      <c r="B62" s="57">
        <v>14</v>
      </c>
      <c r="C62" s="57" t="s">
        <v>25</v>
      </c>
      <c r="D62" s="57">
        <v>10.39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>
        <v>0</v>
      </c>
      <c r="K62">
        <v>0</v>
      </c>
      <c r="L62">
        <v>0</v>
      </c>
    </row>
    <row r="63" spans="1:12" x14ac:dyDescent="0.25">
      <c r="A63" s="57">
        <v>2014</v>
      </c>
      <c r="B63" s="57">
        <v>15</v>
      </c>
      <c r="C63" s="57" t="s">
        <v>32</v>
      </c>
      <c r="D63" s="57">
        <v>9.57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>
        <v>0</v>
      </c>
      <c r="K63">
        <v>0</v>
      </c>
      <c r="L63">
        <v>0</v>
      </c>
    </row>
    <row r="64" spans="1:12" x14ac:dyDescent="0.25">
      <c r="A64" s="57">
        <v>2014</v>
      </c>
      <c r="B64" s="57">
        <v>16</v>
      </c>
      <c r="C64" s="57" t="s">
        <v>276</v>
      </c>
      <c r="D64" s="57">
        <v>20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>
        <v>0</v>
      </c>
      <c r="K64">
        <v>0</v>
      </c>
      <c r="L64">
        <v>0</v>
      </c>
    </row>
    <row r="65" spans="1:12" x14ac:dyDescent="0.25">
      <c r="A65" s="57">
        <v>2014</v>
      </c>
      <c r="B65" s="57">
        <v>17</v>
      </c>
      <c r="C65" s="57" t="s">
        <v>275</v>
      </c>
      <c r="D65" s="57">
        <v>10.68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>
        <v>0</v>
      </c>
      <c r="K65">
        <v>0</v>
      </c>
      <c r="L65">
        <v>0</v>
      </c>
    </row>
    <row r="66" spans="1:12" x14ac:dyDescent="0.25">
      <c r="A66" s="57">
        <v>2014</v>
      </c>
      <c r="B66" s="57">
        <v>18</v>
      </c>
      <c r="C66" s="57" t="s">
        <v>25</v>
      </c>
      <c r="D66" s="57">
        <v>39.67</v>
      </c>
      <c r="E66" s="57">
        <v>0</v>
      </c>
      <c r="F66" s="57">
        <v>0</v>
      </c>
      <c r="G66" s="57">
        <v>0</v>
      </c>
      <c r="H66" s="57">
        <v>0</v>
      </c>
      <c r="I66" s="57">
        <v>0</v>
      </c>
      <c r="J66">
        <v>0</v>
      </c>
      <c r="K66">
        <v>0</v>
      </c>
      <c r="L66">
        <v>0</v>
      </c>
    </row>
    <row r="67" spans="1:12" x14ac:dyDescent="0.25">
      <c r="A67" s="57">
        <v>2014</v>
      </c>
      <c r="B67" s="57">
        <v>19</v>
      </c>
      <c r="C67" s="57" t="s">
        <v>33</v>
      </c>
      <c r="D67" s="57">
        <v>11.54</v>
      </c>
      <c r="E67" s="57">
        <v>0</v>
      </c>
      <c r="F67" s="57">
        <v>0</v>
      </c>
      <c r="G67" s="57">
        <v>0</v>
      </c>
      <c r="H67" s="57">
        <v>0</v>
      </c>
      <c r="I67" s="57">
        <v>0</v>
      </c>
      <c r="J67">
        <v>0</v>
      </c>
      <c r="K67">
        <v>0</v>
      </c>
      <c r="L67">
        <v>0</v>
      </c>
    </row>
    <row r="68" spans="1:12" x14ac:dyDescent="0.25">
      <c r="A68" s="57">
        <v>2015</v>
      </c>
      <c r="B68" s="57" t="s">
        <v>270</v>
      </c>
      <c r="C68" s="57" t="s">
        <v>22</v>
      </c>
      <c r="D68" s="57">
        <v>20</v>
      </c>
      <c r="E68" s="57" cm="1">
        <f t="array" ref="E68:L89">TRANSPOSE(Revenue!F41:AA48)</f>
        <v>4288</v>
      </c>
      <c r="F68" s="57">
        <v>214.4</v>
      </c>
      <c r="G68" s="57">
        <v>268</v>
      </c>
      <c r="H68" s="57">
        <v>13.4</v>
      </c>
      <c r="I68">
        <v>0</v>
      </c>
      <c r="J68">
        <v>157.50638059701492</v>
      </c>
      <c r="K68">
        <v>0</v>
      </c>
      <c r="L68">
        <v>42211.71</v>
      </c>
    </row>
    <row r="69" spans="1:12" x14ac:dyDescent="0.25">
      <c r="A69" s="57">
        <v>2015</v>
      </c>
      <c r="B69" s="57" t="s">
        <v>273</v>
      </c>
      <c r="C69" s="57" t="s">
        <v>25</v>
      </c>
      <c r="D69" s="57">
        <v>9.5</v>
      </c>
      <c r="E69" s="57">
        <v>2400</v>
      </c>
      <c r="F69" s="57">
        <v>252.63157894736841</v>
      </c>
      <c r="G69" s="57">
        <v>150</v>
      </c>
      <c r="H69" s="57">
        <v>15.789473684210526</v>
      </c>
      <c r="I69">
        <v>0</v>
      </c>
      <c r="J69">
        <v>161.72293333333334</v>
      </c>
      <c r="K69">
        <v>0</v>
      </c>
      <c r="L69">
        <v>24258.440000000002</v>
      </c>
    </row>
    <row r="70" spans="1:12" x14ac:dyDescent="0.25">
      <c r="A70" s="57">
        <v>2015</v>
      </c>
      <c r="B70" s="57">
        <v>1</v>
      </c>
      <c r="C70" s="57" t="s">
        <v>274</v>
      </c>
      <c r="D70" s="57">
        <v>20</v>
      </c>
      <c r="E70" s="57">
        <v>0</v>
      </c>
      <c r="F70" s="57">
        <v>0</v>
      </c>
      <c r="G70" s="57">
        <v>0</v>
      </c>
      <c r="H70" s="57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57">
        <v>2015</v>
      </c>
      <c r="B71" s="57" t="s">
        <v>271</v>
      </c>
      <c r="C71" s="57" t="s">
        <v>275</v>
      </c>
      <c r="D71" s="57">
        <v>10</v>
      </c>
      <c r="E71" s="57">
        <v>0</v>
      </c>
      <c r="F71" s="57">
        <v>0</v>
      </c>
      <c r="G71" s="57">
        <v>0</v>
      </c>
      <c r="H71" s="57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57">
        <v>2015</v>
      </c>
      <c r="B72" s="57" t="s">
        <v>272</v>
      </c>
      <c r="C72" s="57" t="s">
        <v>274</v>
      </c>
      <c r="D72" s="57">
        <v>10</v>
      </c>
      <c r="E72" s="57">
        <v>0</v>
      </c>
      <c r="F72" s="57">
        <v>0</v>
      </c>
      <c r="G72" s="57">
        <v>0</v>
      </c>
      <c r="H72" s="57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57">
        <v>2015</v>
      </c>
      <c r="B73" s="57">
        <v>3</v>
      </c>
      <c r="C73" s="57" t="s">
        <v>25</v>
      </c>
      <c r="D73" s="57">
        <v>20</v>
      </c>
      <c r="E73" s="57">
        <v>7760</v>
      </c>
      <c r="F73" s="57">
        <v>388</v>
      </c>
      <c r="G73" s="57">
        <v>485</v>
      </c>
      <c r="H73" s="57">
        <v>24.25</v>
      </c>
      <c r="I73">
        <v>0</v>
      </c>
      <c r="J73">
        <v>140.95338144329898</v>
      </c>
      <c r="K73">
        <v>0</v>
      </c>
      <c r="L73">
        <v>68362.39</v>
      </c>
    </row>
    <row r="74" spans="1:12" x14ac:dyDescent="0.25">
      <c r="A74" s="57">
        <v>2015</v>
      </c>
      <c r="B74" s="57">
        <v>4</v>
      </c>
      <c r="C74" s="57" t="s">
        <v>26</v>
      </c>
      <c r="D74" s="57">
        <v>20</v>
      </c>
      <c r="E74" s="57">
        <v>10032</v>
      </c>
      <c r="F74" s="57">
        <v>501.6</v>
      </c>
      <c r="G74" s="57">
        <v>627</v>
      </c>
      <c r="H74" s="57">
        <v>31.35</v>
      </c>
      <c r="I74">
        <v>0</v>
      </c>
      <c r="J74">
        <v>132.79362041467306</v>
      </c>
      <c r="K74">
        <v>0</v>
      </c>
      <c r="L74">
        <v>83261.600000000006</v>
      </c>
    </row>
    <row r="75" spans="1:12" x14ac:dyDescent="0.25">
      <c r="A75" s="57">
        <v>2015</v>
      </c>
      <c r="B75" s="57">
        <v>5</v>
      </c>
      <c r="C75" s="57" t="s">
        <v>26</v>
      </c>
      <c r="D75" s="57">
        <v>5</v>
      </c>
      <c r="E75" s="57">
        <v>1840</v>
      </c>
      <c r="F75" s="57">
        <v>368</v>
      </c>
      <c r="G75" s="57">
        <v>115</v>
      </c>
      <c r="H75" s="57">
        <v>23</v>
      </c>
      <c r="I75">
        <v>0</v>
      </c>
      <c r="J75">
        <v>110.22547826086956</v>
      </c>
      <c r="K75">
        <v>0</v>
      </c>
      <c r="L75">
        <v>12675.93</v>
      </c>
    </row>
    <row r="76" spans="1:12" x14ac:dyDescent="0.25">
      <c r="A76" s="57">
        <v>2015</v>
      </c>
      <c r="B76" s="57">
        <v>6</v>
      </c>
      <c r="C76" s="57" t="s">
        <v>26</v>
      </c>
      <c r="D76" s="57">
        <v>8</v>
      </c>
      <c r="E76" s="57">
        <v>3232</v>
      </c>
      <c r="F76" s="57">
        <v>404</v>
      </c>
      <c r="G76" s="57">
        <v>202</v>
      </c>
      <c r="H76" s="57">
        <v>25.25</v>
      </c>
      <c r="I76">
        <v>0</v>
      </c>
      <c r="J76">
        <v>133.88960396039604</v>
      </c>
      <c r="K76">
        <v>0</v>
      </c>
      <c r="L76">
        <v>27045.7</v>
      </c>
    </row>
    <row r="77" spans="1:12" x14ac:dyDescent="0.25">
      <c r="A77" s="57">
        <v>2015</v>
      </c>
      <c r="B77" s="57">
        <v>7</v>
      </c>
      <c r="C77" s="57" t="s">
        <v>26</v>
      </c>
      <c r="D77" s="57">
        <v>24</v>
      </c>
      <c r="E77" s="57">
        <v>13504</v>
      </c>
      <c r="F77" s="57">
        <v>562.66666666666663</v>
      </c>
      <c r="G77" s="57">
        <v>844</v>
      </c>
      <c r="H77" s="57">
        <v>35.166666666666664</v>
      </c>
      <c r="I77">
        <v>0</v>
      </c>
      <c r="J77">
        <v>126.08984597156399</v>
      </c>
      <c r="K77">
        <v>0</v>
      </c>
      <c r="L77">
        <v>106419.83</v>
      </c>
    </row>
    <row r="78" spans="1:12" x14ac:dyDescent="0.25">
      <c r="A78" s="57">
        <v>2015</v>
      </c>
      <c r="B78" s="57">
        <v>8</v>
      </c>
      <c r="C78" s="57" t="s">
        <v>27</v>
      </c>
      <c r="D78" s="57">
        <v>20</v>
      </c>
      <c r="E78" s="57">
        <v>9344</v>
      </c>
      <c r="F78" s="57">
        <v>467.2</v>
      </c>
      <c r="G78" s="57">
        <v>584</v>
      </c>
      <c r="H78" s="57">
        <v>29.2</v>
      </c>
      <c r="I78">
        <v>0</v>
      </c>
      <c r="J78">
        <v>230.9227910958904</v>
      </c>
      <c r="K78">
        <v>0</v>
      </c>
      <c r="L78">
        <v>134858.91</v>
      </c>
    </row>
    <row r="79" spans="1:12" x14ac:dyDescent="0.25">
      <c r="A79" s="57">
        <v>2015</v>
      </c>
      <c r="B79" s="57">
        <v>9</v>
      </c>
      <c r="C79" s="57" t="s">
        <v>33</v>
      </c>
      <c r="D79" s="57">
        <v>20</v>
      </c>
      <c r="E79" s="57">
        <v>0</v>
      </c>
      <c r="F79" s="57">
        <v>0</v>
      </c>
      <c r="G79" s="57">
        <v>0</v>
      </c>
      <c r="H79" s="57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57">
        <v>2015</v>
      </c>
      <c r="B80" s="57">
        <v>10</v>
      </c>
      <c r="C80" s="57" t="s">
        <v>29</v>
      </c>
      <c r="D80" s="57">
        <v>20</v>
      </c>
      <c r="E80" s="57">
        <v>0</v>
      </c>
      <c r="F80" s="57">
        <v>0</v>
      </c>
      <c r="G80" s="57">
        <v>0</v>
      </c>
      <c r="H80" s="57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57">
        <v>2015</v>
      </c>
      <c r="B81" s="57">
        <v>11</v>
      </c>
      <c r="C81" s="57" t="s">
        <v>275</v>
      </c>
      <c r="D81" s="57">
        <v>17.5</v>
      </c>
      <c r="E81" s="57">
        <v>0</v>
      </c>
      <c r="F81" s="57">
        <v>0</v>
      </c>
      <c r="G81" s="57">
        <v>0</v>
      </c>
      <c r="H81" s="57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57">
        <v>2015</v>
      </c>
      <c r="B82" s="57">
        <v>12</v>
      </c>
      <c r="C82" s="57" t="s">
        <v>276</v>
      </c>
      <c r="D82" s="57">
        <v>18</v>
      </c>
      <c r="E82" s="57">
        <v>380</v>
      </c>
      <c r="F82" s="57">
        <v>21.111111111111111</v>
      </c>
      <c r="G82" s="57">
        <v>23.75</v>
      </c>
      <c r="H82" s="57">
        <v>1.3194444444444444</v>
      </c>
      <c r="I82">
        <v>0</v>
      </c>
      <c r="J82">
        <v>219.70736842105265</v>
      </c>
      <c r="K82">
        <v>0</v>
      </c>
      <c r="L82">
        <v>5218.05</v>
      </c>
    </row>
    <row r="83" spans="1:12" x14ac:dyDescent="0.25">
      <c r="A83" s="57">
        <v>2015</v>
      </c>
      <c r="B83" s="57">
        <v>13</v>
      </c>
      <c r="C83" s="57" t="s">
        <v>25</v>
      </c>
      <c r="D83" s="57">
        <v>5.5</v>
      </c>
      <c r="E83" s="57">
        <v>0</v>
      </c>
      <c r="F83" s="57">
        <v>0</v>
      </c>
      <c r="G83" s="57">
        <v>0</v>
      </c>
      <c r="H83" s="57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57">
        <v>2015</v>
      </c>
      <c r="B84" s="57">
        <v>14</v>
      </c>
      <c r="C84" s="57" t="s">
        <v>25</v>
      </c>
      <c r="D84" s="57">
        <v>10.39</v>
      </c>
      <c r="E84" s="57">
        <v>0</v>
      </c>
      <c r="F84" s="57">
        <v>0</v>
      </c>
      <c r="G84" s="57">
        <v>0</v>
      </c>
      <c r="H84" s="57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7">
        <v>2015</v>
      </c>
      <c r="B85" s="57">
        <v>15</v>
      </c>
      <c r="C85" s="57" t="s">
        <v>32</v>
      </c>
      <c r="D85" s="57">
        <v>9.57</v>
      </c>
      <c r="E85" s="57">
        <v>0</v>
      </c>
      <c r="F85" s="57">
        <v>0</v>
      </c>
      <c r="G85" s="57">
        <v>0</v>
      </c>
      <c r="H85" s="57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57">
        <v>2015</v>
      </c>
      <c r="B86" s="57">
        <v>16</v>
      </c>
      <c r="C86" s="57" t="s">
        <v>276</v>
      </c>
      <c r="D86" s="57">
        <v>20</v>
      </c>
      <c r="E86" s="57">
        <v>0</v>
      </c>
      <c r="F86" s="57">
        <v>0</v>
      </c>
      <c r="G86" s="57">
        <v>0</v>
      </c>
      <c r="H86" s="57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7">
        <v>2015</v>
      </c>
      <c r="B87" s="57">
        <v>17</v>
      </c>
      <c r="C87" s="57" t="s">
        <v>275</v>
      </c>
      <c r="D87" s="57">
        <v>10.68</v>
      </c>
      <c r="E87" s="57">
        <v>0</v>
      </c>
      <c r="F87" s="57">
        <v>0</v>
      </c>
      <c r="G87" s="57">
        <v>0</v>
      </c>
      <c r="H87" s="5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7">
        <v>2015</v>
      </c>
      <c r="B88" s="57">
        <v>18</v>
      </c>
      <c r="C88" s="57" t="s">
        <v>25</v>
      </c>
      <c r="D88" s="57">
        <v>39.67</v>
      </c>
      <c r="E88" s="57">
        <v>0</v>
      </c>
      <c r="F88" s="57">
        <v>0</v>
      </c>
      <c r="G88" s="57">
        <v>0</v>
      </c>
      <c r="H88" s="57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57">
        <v>2015</v>
      </c>
      <c r="B89" s="57">
        <v>19</v>
      </c>
      <c r="C89" s="57" t="s">
        <v>33</v>
      </c>
      <c r="D89" s="57">
        <v>11.54</v>
      </c>
      <c r="E89" s="57">
        <v>0</v>
      </c>
      <c r="F89" s="57">
        <v>0</v>
      </c>
      <c r="G89" s="57">
        <v>0</v>
      </c>
      <c r="H89" s="57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57">
        <v>2016</v>
      </c>
      <c r="B90" s="57" t="s">
        <v>270</v>
      </c>
      <c r="C90" s="57" t="s">
        <v>22</v>
      </c>
      <c r="D90" s="57">
        <v>20</v>
      </c>
      <c r="E90" s="57" cm="1">
        <f t="array" ref="E90:L111">TRANSPOSE(Revenue!F52:AA59)</f>
        <v>8512</v>
      </c>
      <c r="F90" s="57">
        <v>425.6</v>
      </c>
      <c r="G90" s="57">
        <v>532</v>
      </c>
      <c r="H90" s="57">
        <v>26.6</v>
      </c>
      <c r="I90">
        <v>0</v>
      </c>
      <c r="J90">
        <v>142.35296258397472</v>
      </c>
      <c r="K90">
        <v>0</v>
      </c>
      <c r="L90">
        <v>75731.776094674555</v>
      </c>
    </row>
    <row r="91" spans="1:12" x14ac:dyDescent="0.25">
      <c r="A91" s="57">
        <v>2016</v>
      </c>
      <c r="B91" s="57" t="s">
        <v>273</v>
      </c>
      <c r="C91" s="57" t="s">
        <v>25</v>
      </c>
      <c r="D91" s="57">
        <v>9.5</v>
      </c>
      <c r="E91" s="57">
        <v>4064</v>
      </c>
      <c r="F91" s="57">
        <v>427.78947368421052</v>
      </c>
      <c r="G91" s="57">
        <v>254</v>
      </c>
      <c r="H91" s="57">
        <v>26.736842105263158</v>
      </c>
      <c r="I91">
        <v>0</v>
      </c>
      <c r="J91">
        <v>50.541388668872017</v>
      </c>
      <c r="K91">
        <v>0</v>
      </c>
      <c r="L91">
        <v>12837.512721893492</v>
      </c>
    </row>
    <row r="92" spans="1:12" x14ac:dyDescent="0.25">
      <c r="A92" s="57">
        <v>2016</v>
      </c>
      <c r="B92" s="57">
        <v>1</v>
      </c>
      <c r="C92" s="57" t="s">
        <v>274</v>
      </c>
      <c r="D92" s="57">
        <v>20</v>
      </c>
      <c r="E92" s="57">
        <v>0</v>
      </c>
      <c r="F92" s="57">
        <v>0</v>
      </c>
      <c r="G92" s="57">
        <v>0</v>
      </c>
      <c r="H92" s="57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57">
        <v>2016</v>
      </c>
      <c r="B93" s="57" t="s">
        <v>271</v>
      </c>
      <c r="C93" s="57" t="s">
        <v>275</v>
      </c>
      <c r="D93" s="57">
        <v>10</v>
      </c>
      <c r="E93" s="57">
        <v>0</v>
      </c>
      <c r="F93" s="57">
        <v>0</v>
      </c>
      <c r="G93" s="57">
        <v>0</v>
      </c>
      <c r="H93" s="57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57">
        <v>2016</v>
      </c>
      <c r="B94" s="57" t="s">
        <v>272</v>
      </c>
      <c r="C94" s="57" t="s">
        <v>274</v>
      </c>
      <c r="D94" s="57">
        <v>10</v>
      </c>
      <c r="E94" s="57">
        <v>0</v>
      </c>
      <c r="F94" s="57">
        <v>0</v>
      </c>
      <c r="G94" s="57">
        <v>0</v>
      </c>
      <c r="H94" s="57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57">
        <v>2016</v>
      </c>
      <c r="B95" s="57">
        <v>3</v>
      </c>
      <c r="C95" s="57" t="s">
        <v>25</v>
      </c>
      <c r="D95" s="57">
        <v>20</v>
      </c>
      <c r="E95" s="57">
        <v>13088</v>
      </c>
      <c r="F95" s="57">
        <v>654.4</v>
      </c>
      <c r="G95" s="57">
        <v>818</v>
      </c>
      <c r="H95" s="57">
        <v>40.9</v>
      </c>
      <c r="I95">
        <v>0</v>
      </c>
      <c r="J95">
        <v>62.688365547373451</v>
      </c>
      <c r="K95">
        <v>0</v>
      </c>
      <c r="L95">
        <v>51279.08301775148</v>
      </c>
    </row>
    <row r="96" spans="1:12" x14ac:dyDescent="0.25">
      <c r="A96" s="57">
        <v>2016</v>
      </c>
      <c r="B96" s="57">
        <v>4</v>
      </c>
      <c r="C96" s="57" t="s">
        <v>26</v>
      </c>
      <c r="D96" s="57">
        <v>20</v>
      </c>
      <c r="E96" s="57">
        <v>14464</v>
      </c>
      <c r="F96" s="57">
        <v>723.2</v>
      </c>
      <c r="G96" s="57">
        <v>904</v>
      </c>
      <c r="H96" s="57">
        <v>45.2</v>
      </c>
      <c r="I96">
        <v>0</v>
      </c>
      <c r="J96">
        <v>100.31597345132744</v>
      </c>
      <c r="K96">
        <v>0</v>
      </c>
      <c r="L96">
        <v>90685.64</v>
      </c>
    </row>
    <row r="97" spans="1:12" x14ac:dyDescent="0.25">
      <c r="A97" s="57">
        <v>2016</v>
      </c>
      <c r="B97" s="57">
        <v>5</v>
      </c>
      <c r="C97" s="57" t="s">
        <v>26</v>
      </c>
      <c r="D97" s="57">
        <v>5</v>
      </c>
      <c r="E97" s="57">
        <v>4800</v>
      </c>
      <c r="F97" s="57">
        <v>960</v>
      </c>
      <c r="G97" s="57">
        <v>300</v>
      </c>
      <c r="H97" s="57">
        <v>60</v>
      </c>
      <c r="I97">
        <v>0</v>
      </c>
      <c r="J97">
        <v>86.459033333333323</v>
      </c>
      <c r="K97">
        <v>0</v>
      </c>
      <c r="L97">
        <v>25937.71</v>
      </c>
    </row>
    <row r="98" spans="1:12" x14ac:dyDescent="0.25">
      <c r="A98" s="57">
        <v>2016</v>
      </c>
      <c r="B98" s="57">
        <v>6</v>
      </c>
      <c r="C98" s="57" t="s">
        <v>26</v>
      </c>
      <c r="D98" s="57">
        <v>8</v>
      </c>
      <c r="E98" s="57">
        <v>8288</v>
      </c>
      <c r="F98" s="57">
        <v>1036</v>
      </c>
      <c r="G98" s="57">
        <v>518</v>
      </c>
      <c r="H98" s="57">
        <v>64.75</v>
      </c>
      <c r="I98">
        <v>0</v>
      </c>
      <c r="J98">
        <v>85.335386100386103</v>
      </c>
      <c r="K98">
        <v>0</v>
      </c>
      <c r="L98">
        <v>44203.73</v>
      </c>
    </row>
    <row r="99" spans="1:12" x14ac:dyDescent="0.25">
      <c r="A99" s="57">
        <v>2016</v>
      </c>
      <c r="B99" s="57">
        <v>7</v>
      </c>
      <c r="C99" s="57" t="s">
        <v>26</v>
      </c>
      <c r="D99" s="57">
        <v>24</v>
      </c>
      <c r="E99" s="57">
        <v>21664</v>
      </c>
      <c r="F99" s="57">
        <v>902.66666666666663</v>
      </c>
      <c r="G99" s="57">
        <v>1354</v>
      </c>
      <c r="H99" s="57">
        <v>56.416666666666664</v>
      </c>
      <c r="I99">
        <v>0</v>
      </c>
      <c r="J99">
        <v>75.788774002954213</v>
      </c>
      <c r="K99">
        <v>0</v>
      </c>
      <c r="L99">
        <v>102618</v>
      </c>
    </row>
    <row r="100" spans="1:12" x14ac:dyDescent="0.25">
      <c r="A100" s="57">
        <v>2016</v>
      </c>
      <c r="B100" s="57">
        <v>8</v>
      </c>
      <c r="C100" s="57" t="s">
        <v>27</v>
      </c>
      <c r="D100" s="57">
        <v>20</v>
      </c>
      <c r="E100" s="57">
        <v>12192</v>
      </c>
      <c r="F100" s="57">
        <v>609.6</v>
      </c>
      <c r="G100" s="57">
        <v>762</v>
      </c>
      <c r="H100" s="57">
        <v>38.1</v>
      </c>
      <c r="I100">
        <v>0</v>
      </c>
      <c r="J100">
        <v>88.878750873596417</v>
      </c>
      <c r="K100">
        <v>0</v>
      </c>
      <c r="L100">
        <v>67725.608165680474</v>
      </c>
    </row>
    <row r="101" spans="1:12" x14ac:dyDescent="0.25">
      <c r="A101" s="57">
        <v>2016</v>
      </c>
      <c r="B101" s="57">
        <v>9</v>
      </c>
      <c r="C101" s="57" t="s">
        <v>33</v>
      </c>
      <c r="D101" s="57">
        <v>20</v>
      </c>
      <c r="E101" s="57">
        <v>224</v>
      </c>
      <c r="F101" s="57">
        <v>11.2</v>
      </c>
      <c r="G101" s="57">
        <v>14</v>
      </c>
      <c r="H101" s="57">
        <v>0.7</v>
      </c>
      <c r="I101">
        <v>0</v>
      </c>
      <c r="J101">
        <v>183.39928571428572</v>
      </c>
      <c r="K101">
        <v>0</v>
      </c>
      <c r="L101">
        <v>2567.59</v>
      </c>
    </row>
    <row r="102" spans="1:12" x14ac:dyDescent="0.25">
      <c r="A102" s="57">
        <v>2016</v>
      </c>
      <c r="B102" s="57">
        <v>10</v>
      </c>
      <c r="C102" s="57" t="s">
        <v>29</v>
      </c>
      <c r="D102" s="57">
        <v>20</v>
      </c>
      <c r="E102" s="57">
        <v>0</v>
      </c>
      <c r="F102" s="57">
        <v>0</v>
      </c>
      <c r="G102" s="57">
        <v>0</v>
      </c>
      <c r="H102" s="57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57">
        <v>2016</v>
      </c>
      <c r="B103" s="57">
        <v>11</v>
      </c>
      <c r="C103" s="57" t="s">
        <v>275</v>
      </c>
      <c r="D103" s="57">
        <v>17.5</v>
      </c>
      <c r="E103" s="57">
        <v>0</v>
      </c>
      <c r="F103" s="57">
        <v>0</v>
      </c>
      <c r="G103" s="57">
        <v>0</v>
      </c>
      <c r="H103" s="57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57">
        <v>2016</v>
      </c>
      <c r="B104" s="57">
        <v>12</v>
      </c>
      <c r="C104" s="57" t="s">
        <v>276</v>
      </c>
      <c r="D104" s="57">
        <v>18</v>
      </c>
      <c r="E104" s="57">
        <v>4528</v>
      </c>
      <c r="F104" s="57">
        <v>251.55555555555554</v>
      </c>
      <c r="G104" s="57">
        <v>283</v>
      </c>
      <c r="H104" s="57">
        <v>15.722222222222221</v>
      </c>
      <c r="I104">
        <v>0</v>
      </c>
      <c r="J104">
        <v>271.02565371024735</v>
      </c>
      <c r="K104">
        <v>0</v>
      </c>
      <c r="L104">
        <v>76700.259999999995</v>
      </c>
    </row>
    <row r="105" spans="1:12" x14ac:dyDescent="0.25">
      <c r="A105" s="57">
        <v>2016</v>
      </c>
      <c r="B105" s="57">
        <v>13</v>
      </c>
      <c r="C105" s="57" t="s">
        <v>25</v>
      </c>
      <c r="D105" s="57">
        <v>5.5</v>
      </c>
      <c r="E105" s="57">
        <v>0</v>
      </c>
      <c r="F105" s="57">
        <v>0</v>
      </c>
      <c r="G105" s="57">
        <v>0</v>
      </c>
      <c r="H105" s="57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57">
        <v>2016</v>
      </c>
      <c r="B106" s="57">
        <v>14</v>
      </c>
      <c r="C106" s="57" t="s">
        <v>25</v>
      </c>
      <c r="D106" s="57">
        <v>10.39</v>
      </c>
      <c r="E106" s="57">
        <v>0</v>
      </c>
      <c r="F106" s="57">
        <v>0</v>
      </c>
      <c r="G106" s="57">
        <v>0</v>
      </c>
      <c r="H106" s="57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57">
        <v>2016</v>
      </c>
      <c r="B107" s="57">
        <v>15</v>
      </c>
      <c r="C107" s="57" t="s">
        <v>32</v>
      </c>
      <c r="D107" s="57">
        <v>9.57</v>
      </c>
      <c r="E107" s="57">
        <v>0</v>
      </c>
      <c r="F107" s="57">
        <v>0</v>
      </c>
      <c r="G107" s="57">
        <v>0</v>
      </c>
      <c r="H107" s="5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57">
        <v>2016</v>
      </c>
      <c r="B108" s="57">
        <v>16</v>
      </c>
      <c r="C108" s="57" t="s">
        <v>276</v>
      </c>
      <c r="D108" s="57">
        <v>20</v>
      </c>
      <c r="E108" s="57">
        <v>0</v>
      </c>
      <c r="F108" s="57">
        <v>0</v>
      </c>
      <c r="G108" s="57">
        <v>0</v>
      </c>
      <c r="H108" s="57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57">
        <v>2016</v>
      </c>
      <c r="B109" s="57">
        <v>17</v>
      </c>
      <c r="C109" s="57" t="s">
        <v>275</v>
      </c>
      <c r="D109" s="57">
        <v>10.68</v>
      </c>
      <c r="E109" s="57">
        <v>0</v>
      </c>
      <c r="F109" s="57">
        <v>0</v>
      </c>
      <c r="G109" s="57">
        <v>0</v>
      </c>
      <c r="H109" s="57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7">
        <v>2016</v>
      </c>
      <c r="B110" s="57">
        <v>18</v>
      </c>
      <c r="C110" s="57" t="s">
        <v>25</v>
      </c>
      <c r="D110" s="57">
        <v>39.67</v>
      </c>
      <c r="E110" s="57">
        <v>0</v>
      </c>
      <c r="F110" s="57">
        <v>0</v>
      </c>
      <c r="G110" s="57">
        <v>0</v>
      </c>
      <c r="H110" s="57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57">
        <v>2016</v>
      </c>
      <c r="B111" s="57">
        <v>19</v>
      </c>
      <c r="C111" s="57" t="s">
        <v>33</v>
      </c>
      <c r="D111" s="57">
        <v>11.54</v>
      </c>
      <c r="E111" s="57">
        <v>0</v>
      </c>
      <c r="F111" s="57">
        <v>0</v>
      </c>
      <c r="G111" s="57">
        <v>0</v>
      </c>
      <c r="H111" s="57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57">
        <v>2017</v>
      </c>
      <c r="B112" s="57" t="s">
        <v>270</v>
      </c>
      <c r="C112" s="57" t="s">
        <v>22</v>
      </c>
      <c r="D112" s="57">
        <v>20</v>
      </c>
      <c r="E112" s="57" cm="1">
        <f t="array" ref="E112:L133">TRANSPOSE(Revenue!F63:AA70)</f>
        <v>0</v>
      </c>
      <c r="F112" s="57">
        <v>0</v>
      </c>
      <c r="G112" s="57">
        <v>0</v>
      </c>
      <c r="H112" s="57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57">
        <v>2017</v>
      </c>
      <c r="B113" s="57" t="s">
        <v>273</v>
      </c>
      <c r="C113" s="57" t="s">
        <v>25</v>
      </c>
      <c r="D113" s="57">
        <v>9.5</v>
      </c>
      <c r="E113" s="57">
        <v>0</v>
      </c>
      <c r="F113" s="57">
        <v>0</v>
      </c>
      <c r="G113" s="57">
        <v>0</v>
      </c>
      <c r="H113" s="57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57">
        <v>2017</v>
      </c>
      <c r="B114" s="57">
        <v>1</v>
      </c>
      <c r="C114" s="57" t="s">
        <v>274</v>
      </c>
      <c r="D114" s="57">
        <v>20</v>
      </c>
      <c r="E114" s="57">
        <v>0</v>
      </c>
      <c r="F114" s="57">
        <v>0</v>
      </c>
      <c r="G114" s="57">
        <v>0</v>
      </c>
      <c r="H114" s="57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7">
        <v>2017</v>
      </c>
      <c r="B115" s="57" t="s">
        <v>271</v>
      </c>
      <c r="C115" s="57" t="s">
        <v>275</v>
      </c>
      <c r="D115" s="57">
        <v>10</v>
      </c>
      <c r="E115" s="57">
        <v>0</v>
      </c>
      <c r="F115" s="57">
        <v>0</v>
      </c>
      <c r="G115" s="57">
        <v>0</v>
      </c>
      <c r="H115" s="57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7">
        <v>2017</v>
      </c>
      <c r="B116" s="57" t="s">
        <v>272</v>
      </c>
      <c r="C116" s="57" t="s">
        <v>274</v>
      </c>
      <c r="D116" s="57">
        <v>10</v>
      </c>
      <c r="E116" s="57">
        <v>0</v>
      </c>
      <c r="F116" s="57">
        <v>0</v>
      </c>
      <c r="G116" s="57">
        <v>0</v>
      </c>
      <c r="H116" s="57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57">
        <v>2017</v>
      </c>
      <c r="B117" s="57">
        <v>3</v>
      </c>
      <c r="C117" s="57" t="s">
        <v>25</v>
      </c>
      <c r="D117" s="57">
        <v>20</v>
      </c>
      <c r="E117" s="57">
        <v>11104</v>
      </c>
      <c r="F117" s="57">
        <v>555.20000000000005</v>
      </c>
      <c r="G117" s="57">
        <v>694</v>
      </c>
      <c r="H117" s="57">
        <v>34.700000000000003</v>
      </c>
      <c r="I117">
        <v>0</v>
      </c>
      <c r="J117">
        <v>166.82766570605187</v>
      </c>
      <c r="K117">
        <v>0</v>
      </c>
      <c r="L117">
        <v>115778.4</v>
      </c>
    </row>
    <row r="118" spans="1:12" x14ac:dyDescent="0.25">
      <c r="A118" s="57">
        <v>2017</v>
      </c>
      <c r="B118" s="57">
        <v>4</v>
      </c>
      <c r="C118" s="57" t="s">
        <v>26</v>
      </c>
      <c r="D118" s="57">
        <v>20</v>
      </c>
      <c r="E118" s="57">
        <v>10472</v>
      </c>
      <c r="F118" s="57">
        <v>523.6</v>
      </c>
      <c r="G118" s="57">
        <v>654.5</v>
      </c>
      <c r="H118" s="57">
        <v>32.725000000000001</v>
      </c>
      <c r="I118">
        <v>0</v>
      </c>
      <c r="J118">
        <v>243.79026737967916</v>
      </c>
      <c r="K118">
        <v>0</v>
      </c>
      <c r="L118">
        <v>159560.73000000001</v>
      </c>
    </row>
    <row r="119" spans="1:12" x14ac:dyDescent="0.25">
      <c r="A119" s="57">
        <v>2017</v>
      </c>
      <c r="B119" s="57">
        <v>5</v>
      </c>
      <c r="C119" s="57" t="s">
        <v>26</v>
      </c>
      <c r="D119" s="57">
        <v>5</v>
      </c>
      <c r="E119" s="57">
        <v>2752</v>
      </c>
      <c r="F119" s="57">
        <v>550.4</v>
      </c>
      <c r="G119" s="57">
        <v>172</v>
      </c>
      <c r="H119" s="57">
        <v>34.4</v>
      </c>
      <c r="I119">
        <v>0</v>
      </c>
      <c r="J119">
        <v>223.22790697674418</v>
      </c>
      <c r="K119">
        <v>0</v>
      </c>
      <c r="L119">
        <v>38395.199999999997</v>
      </c>
    </row>
    <row r="120" spans="1:12" x14ac:dyDescent="0.25">
      <c r="A120" s="57">
        <v>2017</v>
      </c>
      <c r="B120" s="57">
        <v>6</v>
      </c>
      <c r="C120" s="57" t="s">
        <v>26</v>
      </c>
      <c r="D120" s="57">
        <v>8</v>
      </c>
      <c r="E120" s="57">
        <v>4288</v>
      </c>
      <c r="F120" s="57">
        <v>536</v>
      </c>
      <c r="G120" s="57">
        <v>268</v>
      </c>
      <c r="H120" s="57">
        <v>33.5</v>
      </c>
      <c r="I120">
        <v>0</v>
      </c>
      <c r="J120">
        <v>204.77563432835822</v>
      </c>
      <c r="K120">
        <v>0</v>
      </c>
      <c r="L120">
        <v>54879.87</v>
      </c>
    </row>
    <row r="121" spans="1:12" x14ac:dyDescent="0.25">
      <c r="A121" s="57">
        <v>2017</v>
      </c>
      <c r="B121" s="57">
        <v>7</v>
      </c>
      <c r="C121" s="57" t="s">
        <v>26</v>
      </c>
      <c r="D121" s="57">
        <v>24</v>
      </c>
      <c r="E121" s="57">
        <v>15904</v>
      </c>
      <c r="F121" s="57">
        <v>662.66666666666663</v>
      </c>
      <c r="G121" s="57">
        <v>994</v>
      </c>
      <c r="H121" s="57">
        <v>41.416666666666664</v>
      </c>
      <c r="I121">
        <v>0</v>
      </c>
      <c r="J121">
        <v>241.63240442655933</v>
      </c>
      <c r="K121">
        <v>0</v>
      </c>
      <c r="L121">
        <v>240182.61</v>
      </c>
    </row>
    <row r="122" spans="1:12" x14ac:dyDescent="0.25">
      <c r="A122" s="57">
        <v>2017</v>
      </c>
      <c r="B122" s="57">
        <v>8</v>
      </c>
      <c r="C122" s="57" t="s">
        <v>27</v>
      </c>
      <c r="D122" s="57">
        <v>20</v>
      </c>
      <c r="E122" s="57">
        <v>7776</v>
      </c>
      <c r="F122" s="57">
        <v>388.8</v>
      </c>
      <c r="G122" s="57">
        <v>486</v>
      </c>
      <c r="H122" s="57">
        <v>24.3</v>
      </c>
      <c r="I122">
        <v>0</v>
      </c>
      <c r="J122">
        <v>295.81012345679011</v>
      </c>
      <c r="K122">
        <v>0</v>
      </c>
      <c r="L122">
        <v>143763.72</v>
      </c>
    </row>
    <row r="123" spans="1:12" x14ac:dyDescent="0.25">
      <c r="A123" s="57">
        <v>2017</v>
      </c>
      <c r="B123" s="57">
        <v>9</v>
      </c>
      <c r="C123" s="57" t="s">
        <v>33</v>
      </c>
      <c r="D123" s="57">
        <v>20</v>
      </c>
      <c r="E123" s="57">
        <v>1504</v>
      </c>
      <c r="F123" s="57">
        <v>75.2</v>
      </c>
      <c r="G123" s="57">
        <v>94</v>
      </c>
      <c r="H123" s="57">
        <v>4.7</v>
      </c>
      <c r="I123">
        <v>0</v>
      </c>
      <c r="J123">
        <v>135.19627659574468</v>
      </c>
      <c r="K123">
        <v>0</v>
      </c>
      <c r="L123">
        <v>12708.45</v>
      </c>
    </row>
    <row r="124" spans="1:12" x14ac:dyDescent="0.25">
      <c r="A124" s="57">
        <v>2017</v>
      </c>
      <c r="B124" s="57">
        <v>10</v>
      </c>
      <c r="C124" s="57" t="s">
        <v>29</v>
      </c>
      <c r="D124" s="57">
        <v>20</v>
      </c>
      <c r="E124" s="57">
        <v>1312</v>
      </c>
      <c r="F124" s="57">
        <v>65.599999999999994</v>
      </c>
      <c r="G124" s="57">
        <v>82</v>
      </c>
      <c r="H124" s="57">
        <v>4.0999999999999996</v>
      </c>
      <c r="I124">
        <v>0</v>
      </c>
      <c r="J124">
        <v>132.4208536585366</v>
      </c>
      <c r="K124">
        <v>0</v>
      </c>
      <c r="L124">
        <v>10858.51</v>
      </c>
    </row>
    <row r="125" spans="1:12" x14ac:dyDescent="0.25">
      <c r="A125" s="57">
        <v>2017</v>
      </c>
      <c r="B125" s="57">
        <v>11</v>
      </c>
      <c r="C125" s="57" t="s">
        <v>275</v>
      </c>
      <c r="D125" s="57">
        <v>17.5</v>
      </c>
      <c r="E125" s="57">
        <v>0</v>
      </c>
      <c r="F125" s="57">
        <v>0</v>
      </c>
      <c r="G125" s="57">
        <v>0</v>
      </c>
      <c r="H125" s="57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7">
        <v>2017</v>
      </c>
      <c r="B126" s="57">
        <v>12</v>
      </c>
      <c r="C126" s="57" t="s">
        <v>276</v>
      </c>
      <c r="D126" s="57">
        <v>18</v>
      </c>
      <c r="E126" s="57">
        <v>4400</v>
      </c>
      <c r="F126" s="57">
        <v>244.44444444444446</v>
      </c>
      <c r="G126" s="57">
        <v>275</v>
      </c>
      <c r="H126" s="57">
        <v>15.277777777777779</v>
      </c>
      <c r="I126">
        <v>0</v>
      </c>
      <c r="J126">
        <v>260.52774545454548</v>
      </c>
      <c r="K126">
        <v>0</v>
      </c>
      <c r="L126">
        <v>71645.13</v>
      </c>
    </row>
    <row r="127" spans="1:12" x14ac:dyDescent="0.25">
      <c r="A127" s="57">
        <v>2017</v>
      </c>
      <c r="B127" s="57">
        <v>13</v>
      </c>
      <c r="C127" s="57" t="s">
        <v>25</v>
      </c>
      <c r="D127" s="57">
        <v>5.5</v>
      </c>
      <c r="E127" s="57">
        <v>0</v>
      </c>
      <c r="F127" s="57">
        <v>0</v>
      </c>
      <c r="G127" s="57">
        <v>0</v>
      </c>
      <c r="H127" s="5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57">
        <v>2017</v>
      </c>
      <c r="B128" s="57">
        <v>14</v>
      </c>
      <c r="C128" s="57" t="s">
        <v>25</v>
      </c>
      <c r="D128" s="57">
        <v>10.39</v>
      </c>
      <c r="E128" s="57">
        <v>0</v>
      </c>
      <c r="F128" s="57">
        <v>0</v>
      </c>
      <c r="G128" s="57">
        <v>0</v>
      </c>
      <c r="H128" s="57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57">
        <v>2017</v>
      </c>
      <c r="B129" s="57">
        <v>15</v>
      </c>
      <c r="C129" s="57" t="s">
        <v>32</v>
      </c>
      <c r="D129" s="57">
        <v>9.57</v>
      </c>
      <c r="E129" s="57">
        <v>0</v>
      </c>
      <c r="F129" s="57">
        <v>0</v>
      </c>
      <c r="G129" s="57">
        <v>0</v>
      </c>
      <c r="H129" s="57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57">
        <v>2017</v>
      </c>
      <c r="B130" s="57">
        <v>16</v>
      </c>
      <c r="C130" s="57" t="s">
        <v>276</v>
      </c>
      <c r="D130" s="57">
        <v>20</v>
      </c>
      <c r="E130" s="57">
        <v>0</v>
      </c>
      <c r="F130" s="57">
        <v>0</v>
      </c>
      <c r="G130" s="57">
        <v>0</v>
      </c>
      <c r="H130" s="57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57">
        <v>2017</v>
      </c>
      <c r="B131" s="57">
        <v>17</v>
      </c>
      <c r="C131" s="57" t="s">
        <v>275</v>
      </c>
      <c r="D131" s="57">
        <v>10.68</v>
      </c>
      <c r="E131" s="57">
        <v>0</v>
      </c>
      <c r="F131" s="57">
        <v>0</v>
      </c>
      <c r="G131" s="57">
        <v>0</v>
      </c>
      <c r="H131" s="57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57">
        <v>2017</v>
      </c>
      <c r="B132" s="57">
        <v>18</v>
      </c>
      <c r="C132" s="57" t="s">
        <v>25</v>
      </c>
      <c r="D132" s="57">
        <v>39.67</v>
      </c>
      <c r="E132" s="57">
        <v>0</v>
      </c>
      <c r="F132" s="57">
        <v>0</v>
      </c>
      <c r="G132" s="57">
        <v>0</v>
      </c>
      <c r="H132" s="57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57">
        <v>2017</v>
      </c>
      <c r="B133" s="57">
        <v>19</v>
      </c>
      <c r="C133" s="57" t="s">
        <v>33</v>
      </c>
      <c r="D133" s="57">
        <v>11.54</v>
      </c>
      <c r="E133" s="57">
        <v>0</v>
      </c>
      <c r="F133" s="57">
        <v>0</v>
      </c>
      <c r="G133" s="57">
        <v>0</v>
      </c>
      <c r="H133" s="57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7">
        <v>2018</v>
      </c>
      <c r="B134" s="57" t="s">
        <v>270</v>
      </c>
      <c r="C134" s="57" t="s">
        <v>22</v>
      </c>
      <c r="D134" s="57">
        <v>20</v>
      </c>
      <c r="E134" s="57" cm="1">
        <f t="array" ref="E134:L155">TRANSPOSE(Revenue!F74:AA81)</f>
        <v>0</v>
      </c>
      <c r="F134" s="57">
        <v>0</v>
      </c>
      <c r="G134" s="57">
        <v>0</v>
      </c>
      <c r="H134" s="57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7">
        <v>2018</v>
      </c>
      <c r="B135" s="57" t="s">
        <v>273</v>
      </c>
      <c r="C135" s="57" t="s">
        <v>25</v>
      </c>
      <c r="D135" s="57">
        <v>9.5</v>
      </c>
      <c r="E135" s="57">
        <v>0</v>
      </c>
      <c r="F135" s="57">
        <v>0</v>
      </c>
      <c r="G135" s="57">
        <v>0</v>
      </c>
      <c r="H135" s="57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57">
        <v>2018</v>
      </c>
      <c r="B136" s="57">
        <v>1</v>
      </c>
      <c r="C136" s="57" t="s">
        <v>274</v>
      </c>
      <c r="D136" s="57">
        <v>20</v>
      </c>
      <c r="E136" s="57">
        <v>0</v>
      </c>
      <c r="F136" s="57">
        <v>0</v>
      </c>
      <c r="G136" s="57">
        <v>0</v>
      </c>
      <c r="H136" s="57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7">
        <v>2018</v>
      </c>
      <c r="B137" s="57" t="s">
        <v>271</v>
      </c>
      <c r="C137" s="57" t="s">
        <v>275</v>
      </c>
      <c r="D137" s="57">
        <v>10</v>
      </c>
      <c r="E137" s="57">
        <v>0</v>
      </c>
      <c r="F137" s="57">
        <v>0</v>
      </c>
      <c r="G137" s="57">
        <v>0</v>
      </c>
      <c r="H137" s="5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7">
        <v>2018</v>
      </c>
      <c r="B138" s="57" t="s">
        <v>272</v>
      </c>
      <c r="C138" s="57" t="s">
        <v>274</v>
      </c>
      <c r="D138" s="57">
        <v>10</v>
      </c>
      <c r="E138" s="57">
        <v>992</v>
      </c>
      <c r="F138" s="57">
        <v>99.2</v>
      </c>
      <c r="G138" s="57">
        <v>62</v>
      </c>
      <c r="H138" s="57">
        <v>6.2</v>
      </c>
      <c r="I138">
        <v>0</v>
      </c>
      <c r="J138">
        <v>290.11241935483872</v>
      </c>
      <c r="K138">
        <v>0</v>
      </c>
      <c r="L138">
        <v>17986.97</v>
      </c>
    </row>
    <row r="139" spans="1:12" x14ac:dyDescent="0.25">
      <c r="A139" s="57">
        <v>2018</v>
      </c>
      <c r="B139" s="57">
        <v>3</v>
      </c>
      <c r="C139" s="57" t="s">
        <v>25</v>
      </c>
      <c r="D139" s="57">
        <v>20</v>
      </c>
      <c r="E139" s="57">
        <v>8980</v>
      </c>
      <c r="F139" s="57">
        <v>449</v>
      </c>
      <c r="G139" s="57">
        <v>561.25</v>
      </c>
      <c r="H139" s="57">
        <v>28.0625</v>
      </c>
      <c r="I139">
        <v>0</v>
      </c>
      <c r="J139">
        <v>297.96429398663696</v>
      </c>
      <c r="K139">
        <v>0</v>
      </c>
      <c r="L139">
        <v>167232.46</v>
      </c>
    </row>
    <row r="140" spans="1:12" x14ac:dyDescent="0.25">
      <c r="A140" s="57">
        <v>2018</v>
      </c>
      <c r="B140" s="57">
        <v>4</v>
      </c>
      <c r="C140" s="57" t="s">
        <v>26</v>
      </c>
      <c r="D140" s="57">
        <v>20</v>
      </c>
      <c r="E140" s="57">
        <v>8064</v>
      </c>
      <c r="F140" s="57">
        <v>403.2</v>
      </c>
      <c r="G140" s="57">
        <v>504</v>
      </c>
      <c r="H140" s="57">
        <v>25.2</v>
      </c>
      <c r="I140">
        <v>0</v>
      </c>
      <c r="J140">
        <v>241.03146825396826</v>
      </c>
      <c r="K140">
        <v>0</v>
      </c>
      <c r="L140">
        <v>121479.86</v>
      </c>
    </row>
    <row r="141" spans="1:12" x14ac:dyDescent="0.25">
      <c r="A141" s="57">
        <v>2018</v>
      </c>
      <c r="B141" s="57">
        <v>5</v>
      </c>
      <c r="C141" s="57" t="s">
        <v>26</v>
      </c>
      <c r="D141" s="57">
        <v>5</v>
      </c>
      <c r="E141" s="57">
        <v>2976</v>
      </c>
      <c r="F141" s="57">
        <v>595.20000000000005</v>
      </c>
      <c r="G141" s="57">
        <v>186</v>
      </c>
      <c r="H141" s="57">
        <v>37.200000000000003</v>
      </c>
      <c r="I141">
        <v>0</v>
      </c>
      <c r="J141">
        <v>227.81677419354838</v>
      </c>
      <c r="K141">
        <v>0</v>
      </c>
      <c r="L141">
        <v>42373.919999999998</v>
      </c>
    </row>
    <row r="142" spans="1:12" x14ac:dyDescent="0.25">
      <c r="A142" s="57">
        <v>2018</v>
      </c>
      <c r="B142" s="57">
        <v>6</v>
      </c>
      <c r="C142" s="57" t="s">
        <v>26</v>
      </c>
      <c r="D142" s="57">
        <v>8</v>
      </c>
      <c r="E142" s="57">
        <v>5280</v>
      </c>
      <c r="F142" s="57">
        <v>660</v>
      </c>
      <c r="G142" s="57">
        <v>330</v>
      </c>
      <c r="H142" s="57">
        <v>41.25</v>
      </c>
      <c r="I142">
        <v>0</v>
      </c>
      <c r="J142">
        <v>186.44060606060606</v>
      </c>
      <c r="K142">
        <v>0</v>
      </c>
      <c r="L142">
        <v>61525.4</v>
      </c>
    </row>
    <row r="143" spans="1:12" x14ac:dyDescent="0.25">
      <c r="A143" s="57">
        <v>2018</v>
      </c>
      <c r="B143" s="57">
        <v>7</v>
      </c>
      <c r="C143" s="57" t="s">
        <v>26</v>
      </c>
      <c r="D143" s="57">
        <v>24</v>
      </c>
      <c r="E143" s="57">
        <v>15488</v>
      </c>
      <c r="F143" s="57">
        <v>645.33333333333337</v>
      </c>
      <c r="G143" s="57">
        <v>968</v>
      </c>
      <c r="H143" s="57">
        <v>40.333333333333336</v>
      </c>
      <c r="I143">
        <v>0</v>
      </c>
      <c r="J143">
        <v>202.04183884297521</v>
      </c>
      <c r="K143">
        <v>0</v>
      </c>
      <c r="L143">
        <v>195576.5</v>
      </c>
    </row>
    <row r="144" spans="1:12" x14ac:dyDescent="0.25">
      <c r="A144" s="57">
        <v>2018</v>
      </c>
      <c r="B144" s="57">
        <v>8</v>
      </c>
      <c r="C144" s="57" t="s">
        <v>27</v>
      </c>
      <c r="D144" s="57">
        <v>20</v>
      </c>
      <c r="E144" s="57">
        <v>10688</v>
      </c>
      <c r="F144" s="57">
        <v>534.4</v>
      </c>
      <c r="G144" s="57">
        <v>668</v>
      </c>
      <c r="H144" s="57">
        <v>33.4</v>
      </c>
      <c r="I144">
        <v>0</v>
      </c>
      <c r="J144">
        <v>323.28392215568857</v>
      </c>
      <c r="K144">
        <v>0</v>
      </c>
      <c r="L144">
        <v>215953.65999999997</v>
      </c>
    </row>
    <row r="145" spans="1:12" x14ac:dyDescent="0.25">
      <c r="A145" s="57">
        <v>2018</v>
      </c>
      <c r="B145" s="57">
        <v>9</v>
      </c>
      <c r="C145" s="57" t="s">
        <v>33</v>
      </c>
      <c r="D145" s="57">
        <v>20</v>
      </c>
      <c r="E145" s="57">
        <v>3280</v>
      </c>
      <c r="F145" s="57">
        <v>164</v>
      </c>
      <c r="G145" s="57">
        <v>205</v>
      </c>
      <c r="H145" s="57">
        <v>10.25</v>
      </c>
      <c r="I145">
        <v>0</v>
      </c>
      <c r="J145">
        <v>329.63248780487805</v>
      </c>
      <c r="K145">
        <v>0</v>
      </c>
      <c r="L145">
        <v>67574.66</v>
      </c>
    </row>
    <row r="146" spans="1:12" x14ac:dyDescent="0.25">
      <c r="A146" s="57">
        <v>2018</v>
      </c>
      <c r="B146" s="57">
        <v>10</v>
      </c>
      <c r="C146" s="57" t="s">
        <v>29</v>
      </c>
      <c r="D146" s="57">
        <v>20</v>
      </c>
      <c r="E146" s="57">
        <v>1824</v>
      </c>
      <c r="F146" s="57">
        <v>91.2</v>
      </c>
      <c r="G146" s="57">
        <v>114</v>
      </c>
      <c r="H146" s="57">
        <v>5.7</v>
      </c>
      <c r="I146">
        <v>0</v>
      </c>
      <c r="J146">
        <v>257.70192982456143</v>
      </c>
      <c r="K146">
        <v>0</v>
      </c>
      <c r="L146">
        <v>29378.02</v>
      </c>
    </row>
    <row r="147" spans="1:12" x14ac:dyDescent="0.25">
      <c r="A147" s="57">
        <v>2018</v>
      </c>
      <c r="B147" s="57">
        <v>11</v>
      </c>
      <c r="C147" s="57" t="s">
        <v>275</v>
      </c>
      <c r="D147" s="57">
        <v>17.5</v>
      </c>
      <c r="E147" s="57">
        <v>0</v>
      </c>
      <c r="F147" s="57">
        <v>0</v>
      </c>
      <c r="G147" s="57">
        <v>0</v>
      </c>
      <c r="H147" s="5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57">
        <v>2018</v>
      </c>
      <c r="B148" s="57">
        <v>12</v>
      </c>
      <c r="C148" s="57" t="s">
        <v>276</v>
      </c>
      <c r="D148" s="57">
        <v>18</v>
      </c>
      <c r="E148" s="57">
        <v>13120</v>
      </c>
      <c r="F148" s="57">
        <v>728.88888888888891</v>
      </c>
      <c r="G148" s="57">
        <v>820</v>
      </c>
      <c r="H148" s="57">
        <v>45.555555555555557</v>
      </c>
      <c r="I148">
        <v>0</v>
      </c>
      <c r="J148">
        <v>333.43941463414637</v>
      </c>
      <c r="K148">
        <v>0</v>
      </c>
      <c r="L148">
        <v>273420.32</v>
      </c>
    </row>
    <row r="149" spans="1:12" x14ac:dyDescent="0.25">
      <c r="A149" s="57">
        <v>2018</v>
      </c>
      <c r="B149" s="57">
        <v>13</v>
      </c>
      <c r="C149" s="57" t="s">
        <v>25</v>
      </c>
      <c r="D149" s="57">
        <v>5.5</v>
      </c>
      <c r="E149" s="57">
        <v>0</v>
      </c>
      <c r="F149" s="57">
        <v>0</v>
      </c>
      <c r="G149" s="57">
        <v>0</v>
      </c>
      <c r="H149" s="57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57">
        <v>2018</v>
      </c>
      <c r="B150" s="57">
        <v>14</v>
      </c>
      <c r="C150" s="57" t="s">
        <v>25</v>
      </c>
      <c r="D150" s="57">
        <v>10.39</v>
      </c>
      <c r="E150" s="57">
        <v>0</v>
      </c>
      <c r="F150" s="57">
        <v>0</v>
      </c>
      <c r="G150" s="57">
        <v>0</v>
      </c>
      <c r="H150" s="57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57">
        <v>2018</v>
      </c>
      <c r="B151" s="57">
        <v>15</v>
      </c>
      <c r="C151" s="57" t="s">
        <v>32</v>
      </c>
      <c r="D151" s="57">
        <v>9.57</v>
      </c>
      <c r="E151" s="57">
        <v>0</v>
      </c>
      <c r="F151" s="57">
        <v>0</v>
      </c>
      <c r="G151" s="57">
        <v>0</v>
      </c>
      <c r="H151" s="57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57">
        <v>2018</v>
      </c>
      <c r="B152" s="57">
        <v>16</v>
      </c>
      <c r="C152" s="57" t="s">
        <v>276</v>
      </c>
      <c r="D152" s="57">
        <v>20</v>
      </c>
      <c r="E152" s="57">
        <v>0</v>
      </c>
      <c r="F152" s="57">
        <v>0</v>
      </c>
      <c r="G152" s="57">
        <v>0</v>
      </c>
      <c r="H152" s="57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57">
        <v>2018</v>
      </c>
      <c r="B153" s="57">
        <v>17</v>
      </c>
      <c r="C153" s="57" t="s">
        <v>275</v>
      </c>
      <c r="D153" s="57">
        <v>10.68</v>
      </c>
      <c r="E153" s="57">
        <v>0</v>
      </c>
      <c r="F153" s="57">
        <v>0</v>
      </c>
      <c r="G153" s="57">
        <v>0</v>
      </c>
      <c r="H153" s="57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57">
        <v>2018</v>
      </c>
      <c r="B154" s="57">
        <v>18</v>
      </c>
      <c r="C154" s="57" t="s">
        <v>25</v>
      </c>
      <c r="D154" s="57">
        <v>39.67</v>
      </c>
      <c r="E154" s="57">
        <v>0</v>
      </c>
      <c r="F154" s="57">
        <v>0</v>
      </c>
      <c r="G154" s="57">
        <v>0</v>
      </c>
      <c r="H154" s="57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57">
        <v>2018</v>
      </c>
      <c r="B155" s="57">
        <v>19</v>
      </c>
      <c r="C155" s="57" t="s">
        <v>33</v>
      </c>
      <c r="D155" s="57">
        <v>11.54</v>
      </c>
      <c r="E155" s="57">
        <v>0</v>
      </c>
      <c r="F155" s="57">
        <v>0</v>
      </c>
      <c r="G155" s="57">
        <v>0</v>
      </c>
      <c r="H155" s="57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57">
        <v>2019</v>
      </c>
      <c r="B156" s="57" t="s">
        <v>270</v>
      </c>
      <c r="C156" s="57" t="s">
        <v>22</v>
      </c>
      <c r="D156" s="57">
        <v>20</v>
      </c>
      <c r="E156" s="57" cm="1">
        <f t="array" ref="E156:L177">TRANSPOSE(Revenue!F85:AA92)</f>
        <v>0</v>
      </c>
      <c r="F156" s="57">
        <v>0</v>
      </c>
      <c r="G156" s="57">
        <v>0</v>
      </c>
      <c r="H156" s="57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57">
        <v>2019</v>
      </c>
      <c r="B157" s="57" t="s">
        <v>273</v>
      </c>
      <c r="C157" s="57" t="s">
        <v>25</v>
      </c>
      <c r="D157" s="57">
        <v>9.5</v>
      </c>
      <c r="E157" s="57">
        <v>0</v>
      </c>
      <c r="F157" s="57">
        <v>0</v>
      </c>
      <c r="G157" s="57">
        <v>0</v>
      </c>
      <c r="H157" s="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57">
        <v>2019</v>
      </c>
      <c r="B158" s="57">
        <v>1</v>
      </c>
      <c r="C158" s="57" t="s">
        <v>274</v>
      </c>
      <c r="D158" s="57">
        <v>20</v>
      </c>
      <c r="E158" s="57">
        <v>0</v>
      </c>
      <c r="F158" s="57">
        <v>0</v>
      </c>
      <c r="G158" s="57">
        <v>0</v>
      </c>
      <c r="H158" s="57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57">
        <v>2019</v>
      </c>
      <c r="B159" s="57" t="s">
        <v>271</v>
      </c>
      <c r="C159" s="57" t="s">
        <v>275</v>
      </c>
      <c r="D159" s="57">
        <v>10</v>
      </c>
      <c r="E159" s="57">
        <v>0</v>
      </c>
      <c r="F159" s="57">
        <v>0</v>
      </c>
      <c r="G159" s="57">
        <v>0</v>
      </c>
      <c r="H159" s="57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57">
        <v>2019</v>
      </c>
      <c r="B160" s="57" t="s">
        <v>272</v>
      </c>
      <c r="C160" s="57" t="s">
        <v>274</v>
      </c>
      <c r="D160" s="57">
        <v>10</v>
      </c>
      <c r="E160" s="57">
        <v>3152</v>
      </c>
      <c r="F160" s="57">
        <v>315.2</v>
      </c>
      <c r="G160" s="57">
        <v>197</v>
      </c>
      <c r="H160" s="57">
        <v>19.7</v>
      </c>
      <c r="I160">
        <v>0</v>
      </c>
      <c r="J160">
        <v>214.78426395939087</v>
      </c>
      <c r="K160">
        <v>0</v>
      </c>
      <c r="L160">
        <v>42312.5</v>
      </c>
    </row>
    <row r="161" spans="1:12" x14ac:dyDescent="0.25">
      <c r="A161" s="57">
        <v>2019</v>
      </c>
      <c r="B161" s="57">
        <v>3</v>
      </c>
      <c r="C161" s="57" t="s">
        <v>25</v>
      </c>
      <c r="D161" s="57">
        <v>20</v>
      </c>
      <c r="E161" s="57">
        <v>9328</v>
      </c>
      <c r="F161" s="57">
        <v>466.4</v>
      </c>
      <c r="G161" s="57">
        <v>583</v>
      </c>
      <c r="H161" s="57">
        <v>29.15</v>
      </c>
      <c r="I161">
        <v>0</v>
      </c>
      <c r="J161">
        <v>53.247015437392797</v>
      </c>
      <c r="K161">
        <v>0</v>
      </c>
      <c r="L161">
        <v>31043.010000000002</v>
      </c>
    </row>
    <row r="162" spans="1:12" x14ac:dyDescent="0.25">
      <c r="A162" s="57">
        <v>2019</v>
      </c>
      <c r="B162" s="57">
        <v>4</v>
      </c>
      <c r="C162" s="57" t="s">
        <v>26</v>
      </c>
      <c r="D162" s="57">
        <v>20</v>
      </c>
      <c r="E162" s="57">
        <v>12848</v>
      </c>
      <c r="F162" s="57">
        <v>642.4</v>
      </c>
      <c r="G162" s="57">
        <v>803</v>
      </c>
      <c r="H162" s="57">
        <v>40.15</v>
      </c>
      <c r="I162">
        <v>0</v>
      </c>
      <c r="J162">
        <v>103.52734744707348</v>
      </c>
      <c r="K162">
        <v>0</v>
      </c>
      <c r="L162">
        <v>83132.460000000006</v>
      </c>
    </row>
    <row r="163" spans="1:12" x14ac:dyDescent="0.25">
      <c r="A163" s="57">
        <v>2019</v>
      </c>
      <c r="B163" s="57">
        <v>5</v>
      </c>
      <c r="C163" s="57" t="s">
        <v>26</v>
      </c>
      <c r="D163" s="57">
        <v>5</v>
      </c>
      <c r="E163" s="57">
        <v>3424</v>
      </c>
      <c r="F163" s="57">
        <v>684.8</v>
      </c>
      <c r="G163" s="57">
        <v>214</v>
      </c>
      <c r="H163" s="57">
        <v>42.8</v>
      </c>
      <c r="I163">
        <v>0</v>
      </c>
      <c r="J163">
        <v>99.515841121495328</v>
      </c>
      <c r="K163">
        <v>0</v>
      </c>
      <c r="L163">
        <v>21296.39</v>
      </c>
    </row>
    <row r="164" spans="1:12" x14ac:dyDescent="0.25">
      <c r="A164" s="57">
        <v>2019</v>
      </c>
      <c r="B164" s="57">
        <v>6</v>
      </c>
      <c r="C164" s="57" t="s">
        <v>26</v>
      </c>
      <c r="D164" s="57">
        <v>8</v>
      </c>
      <c r="E164" s="57">
        <v>6144</v>
      </c>
      <c r="F164" s="57">
        <v>768</v>
      </c>
      <c r="G164" s="57">
        <v>384</v>
      </c>
      <c r="H164" s="57">
        <v>48</v>
      </c>
      <c r="I164">
        <v>0</v>
      </c>
      <c r="J164">
        <v>95.477708333333339</v>
      </c>
      <c r="K164">
        <v>0</v>
      </c>
      <c r="L164">
        <v>36663.440000000002</v>
      </c>
    </row>
    <row r="165" spans="1:12" x14ac:dyDescent="0.25">
      <c r="A165" s="57">
        <v>2019</v>
      </c>
      <c r="B165" s="57">
        <v>7</v>
      </c>
      <c r="C165" s="57" t="s">
        <v>26</v>
      </c>
      <c r="D165" s="57">
        <v>24</v>
      </c>
      <c r="E165" s="57">
        <v>18432</v>
      </c>
      <c r="F165" s="57">
        <v>768</v>
      </c>
      <c r="G165" s="57">
        <v>1152</v>
      </c>
      <c r="H165" s="57">
        <v>48</v>
      </c>
      <c r="I165">
        <v>0</v>
      </c>
      <c r="J165">
        <v>100.70726562500001</v>
      </c>
      <c r="K165">
        <v>0</v>
      </c>
      <c r="L165">
        <v>116014.77</v>
      </c>
    </row>
    <row r="166" spans="1:12" x14ac:dyDescent="0.25">
      <c r="A166" s="57">
        <v>2019</v>
      </c>
      <c r="B166" s="57">
        <v>8</v>
      </c>
      <c r="C166" s="57" t="s">
        <v>27</v>
      </c>
      <c r="D166" s="57">
        <v>20</v>
      </c>
      <c r="E166" s="57">
        <v>11584</v>
      </c>
      <c r="F166" s="57">
        <v>579.20000000000005</v>
      </c>
      <c r="G166" s="57">
        <v>724</v>
      </c>
      <c r="H166" s="57">
        <v>36.200000000000003</v>
      </c>
      <c r="I166">
        <v>0</v>
      </c>
      <c r="J166">
        <v>87.76125690607735</v>
      </c>
      <c r="K166">
        <v>0</v>
      </c>
      <c r="L166">
        <v>63539.15</v>
      </c>
    </row>
    <row r="167" spans="1:12" x14ac:dyDescent="0.25">
      <c r="A167" s="57">
        <v>2019</v>
      </c>
      <c r="B167" s="57">
        <v>9</v>
      </c>
      <c r="C167" s="57" t="s">
        <v>33</v>
      </c>
      <c r="D167" s="57">
        <v>20</v>
      </c>
      <c r="E167" s="57">
        <v>7648</v>
      </c>
      <c r="F167" s="57">
        <v>382.4</v>
      </c>
      <c r="G167" s="57">
        <v>478</v>
      </c>
      <c r="H167" s="57">
        <v>23.9</v>
      </c>
      <c r="I167">
        <v>0</v>
      </c>
      <c r="J167">
        <v>289.16702928870291</v>
      </c>
      <c r="K167">
        <v>0</v>
      </c>
      <c r="L167">
        <v>138221.84</v>
      </c>
    </row>
    <row r="168" spans="1:12" x14ac:dyDescent="0.25">
      <c r="A168" s="57">
        <v>2019</v>
      </c>
      <c r="B168" s="57">
        <v>10</v>
      </c>
      <c r="C168" s="57" t="s">
        <v>29</v>
      </c>
      <c r="D168" s="57">
        <v>20</v>
      </c>
      <c r="E168" s="57">
        <v>6448</v>
      </c>
      <c r="F168" s="57">
        <v>322.39999999999998</v>
      </c>
      <c r="G168" s="57">
        <v>403</v>
      </c>
      <c r="H168" s="57">
        <v>20.149999999999999</v>
      </c>
      <c r="I168">
        <v>0</v>
      </c>
      <c r="J168">
        <v>60.183622828784117</v>
      </c>
      <c r="K168">
        <v>0</v>
      </c>
      <c r="L168">
        <v>24254</v>
      </c>
    </row>
    <row r="169" spans="1:12" x14ac:dyDescent="0.25">
      <c r="A169" s="57">
        <v>2019</v>
      </c>
      <c r="B169" s="57">
        <v>11</v>
      </c>
      <c r="C169" s="57" t="s">
        <v>275</v>
      </c>
      <c r="D169" s="57">
        <v>17.5</v>
      </c>
      <c r="E169" s="57">
        <v>0</v>
      </c>
      <c r="F169" s="57">
        <v>0</v>
      </c>
      <c r="G169" s="57">
        <v>0</v>
      </c>
      <c r="H169" s="57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57">
        <v>2019</v>
      </c>
      <c r="B170" s="57">
        <v>12</v>
      </c>
      <c r="C170" s="57" t="s">
        <v>276</v>
      </c>
      <c r="D170" s="57">
        <v>18</v>
      </c>
      <c r="E170" s="57">
        <v>10324</v>
      </c>
      <c r="F170" s="57">
        <v>573.55555555555554</v>
      </c>
      <c r="G170" s="57">
        <v>645.25</v>
      </c>
      <c r="H170" s="57">
        <v>35.847222222222221</v>
      </c>
      <c r="I170">
        <v>0</v>
      </c>
      <c r="J170">
        <v>325.51065478496707</v>
      </c>
      <c r="K170">
        <v>0</v>
      </c>
      <c r="L170">
        <v>210035.75</v>
      </c>
    </row>
    <row r="171" spans="1:12" x14ac:dyDescent="0.25">
      <c r="A171" s="57">
        <v>2019</v>
      </c>
      <c r="B171" s="57">
        <v>13</v>
      </c>
      <c r="C171" s="57" t="s">
        <v>25</v>
      </c>
      <c r="D171" s="57">
        <v>5.5</v>
      </c>
      <c r="E171" s="57">
        <v>0</v>
      </c>
      <c r="F171" s="57">
        <v>0</v>
      </c>
      <c r="G171" s="57">
        <v>0</v>
      </c>
      <c r="H171" s="57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57">
        <v>2019</v>
      </c>
      <c r="B172" s="57">
        <v>14</v>
      </c>
      <c r="C172" s="57" t="s">
        <v>25</v>
      </c>
      <c r="D172" s="57">
        <v>10.39</v>
      </c>
      <c r="E172" s="57">
        <v>0</v>
      </c>
      <c r="F172" s="57">
        <v>0</v>
      </c>
      <c r="G172" s="57">
        <v>0</v>
      </c>
      <c r="H172" s="57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57">
        <v>2019</v>
      </c>
      <c r="B173" s="57">
        <v>15</v>
      </c>
      <c r="C173" s="57" t="s">
        <v>32</v>
      </c>
      <c r="D173" s="57">
        <v>9.57</v>
      </c>
      <c r="E173" s="57">
        <v>0</v>
      </c>
      <c r="F173" s="57">
        <v>0</v>
      </c>
      <c r="G173" s="57">
        <v>0</v>
      </c>
      <c r="H173" s="57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57">
        <v>2019</v>
      </c>
      <c r="B174" s="57">
        <v>16</v>
      </c>
      <c r="C174" s="57" t="s">
        <v>276</v>
      </c>
      <c r="D174" s="57">
        <v>20</v>
      </c>
      <c r="E174" s="57">
        <v>0</v>
      </c>
      <c r="F174" s="57">
        <v>0</v>
      </c>
      <c r="G174" s="57">
        <v>0</v>
      </c>
      <c r="H174" s="57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57">
        <v>2019</v>
      </c>
      <c r="B175" s="57">
        <v>17</v>
      </c>
      <c r="C175" s="57" t="s">
        <v>275</v>
      </c>
      <c r="D175" s="57">
        <v>10.68</v>
      </c>
      <c r="E175" s="57">
        <v>0</v>
      </c>
      <c r="F175" s="57">
        <v>0</v>
      </c>
      <c r="G175" s="57">
        <v>0</v>
      </c>
      <c r="H175" s="57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57">
        <v>2019</v>
      </c>
      <c r="B176" s="57">
        <v>18</v>
      </c>
      <c r="C176" s="57" t="s">
        <v>25</v>
      </c>
      <c r="D176" s="57">
        <v>39.67</v>
      </c>
      <c r="E176" s="57">
        <v>0</v>
      </c>
      <c r="F176" s="57">
        <v>0</v>
      </c>
      <c r="G176" s="57">
        <v>0</v>
      </c>
      <c r="H176" s="57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57">
        <v>2019</v>
      </c>
      <c r="B177" s="57">
        <v>19</v>
      </c>
      <c r="C177" s="57" t="s">
        <v>33</v>
      </c>
      <c r="D177" s="57">
        <v>11.54</v>
      </c>
      <c r="E177" s="57">
        <v>0</v>
      </c>
      <c r="F177" s="57">
        <v>0</v>
      </c>
      <c r="G177" s="57">
        <v>0</v>
      </c>
      <c r="H177" s="5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57">
        <v>2020</v>
      </c>
      <c r="B178" s="57" t="s">
        <v>270</v>
      </c>
      <c r="C178" s="57" t="s">
        <v>22</v>
      </c>
      <c r="D178" s="57">
        <v>20</v>
      </c>
      <c r="E178" s="57" cm="1">
        <f t="array" ref="E178:L199">TRANSPOSE(Revenue!F96:AA103)</f>
        <v>0</v>
      </c>
      <c r="F178" s="57">
        <v>0</v>
      </c>
      <c r="G178" s="57">
        <v>0</v>
      </c>
      <c r="H178" s="57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57">
        <v>2020</v>
      </c>
      <c r="B179" s="57" t="s">
        <v>273</v>
      </c>
      <c r="C179" s="57" t="s">
        <v>25</v>
      </c>
      <c r="D179" s="57">
        <v>9.5</v>
      </c>
      <c r="E179" s="57">
        <v>0</v>
      </c>
      <c r="F179" s="57">
        <v>0</v>
      </c>
      <c r="G179" s="57">
        <v>0</v>
      </c>
      <c r="H179" s="57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57">
        <v>2020</v>
      </c>
      <c r="B180" s="57">
        <v>1</v>
      </c>
      <c r="C180" s="57" t="s">
        <v>274</v>
      </c>
      <c r="D180" s="57">
        <v>20</v>
      </c>
      <c r="E180" s="57">
        <v>0</v>
      </c>
      <c r="F180" s="57">
        <v>0</v>
      </c>
      <c r="G180" s="57">
        <v>0</v>
      </c>
      <c r="H180" s="57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57">
        <v>2020</v>
      </c>
      <c r="B181" s="57" t="s">
        <v>271</v>
      </c>
      <c r="C181" s="57" t="s">
        <v>275</v>
      </c>
      <c r="D181" s="57">
        <v>10</v>
      </c>
      <c r="E181" s="57">
        <v>164</v>
      </c>
      <c r="F181" s="57">
        <v>16.399999999999999</v>
      </c>
      <c r="G181" s="57">
        <v>10.25</v>
      </c>
      <c r="H181" s="57">
        <v>1.0249999999999999</v>
      </c>
      <c r="I181">
        <v>0</v>
      </c>
      <c r="J181">
        <v>304.42439024390245</v>
      </c>
      <c r="K181">
        <v>0</v>
      </c>
      <c r="L181">
        <v>3120.35</v>
      </c>
    </row>
    <row r="182" spans="1:12" x14ac:dyDescent="0.25">
      <c r="A182" s="57">
        <v>2020</v>
      </c>
      <c r="B182" s="57" t="s">
        <v>272</v>
      </c>
      <c r="C182" s="57" t="s">
        <v>274</v>
      </c>
      <c r="D182" s="57">
        <v>10</v>
      </c>
      <c r="E182" s="57">
        <v>1856</v>
      </c>
      <c r="F182" s="57">
        <v>185.6</v>
      </c>
      <c r="G182" s="57">
        <v>116</v>
      </c>
      <c r="H182" s="57">
        <v>11.6</v>
      </c>
      <c r="I182">
        <v>0</v>
      </c>
      <c r="J182">
        <v>273.00146551724134</v>
      </c>
      <c r="K182">
        <v>0</v>
      </c>
      <c r="L182">
        <v>31668.17</v>
      </c>
    </row>
    <row r="183" spans="1:12" x14ac:dyDescent="0.25">
      <c r="A183" s="57">
        <v>2020</v>
      </c>
      <c r="B183" s="57">
        <v>3</v>
      </c>
      <c r="C183" s="57" t="s">
        <v>25</v>
      </c>
      <c r="D183" s="57">
        <v>20</v>
      </c>
      <c r="E183" s="57">
        <v>9440</v>
      </c>
      <c r="F183" s="57">
        <v>472</v>
      </c>
      <c r="G183" s="57">
        <v>590</v>
      </c>
      <c r="H183" s="57">
        <v>29.5</v>
      </c>
      <c r="I183">
        <v>0</v>
      </c>
      <c r="J183">
        <v>102.83327118644067</v>
      </c>
      <c r="K183">
        <v>0</v>
      </c>
      <c r="L183">
        <v>60671.63</v>
      </c>
    </row>
    <row r="184" spans="1:12" x14ac:dyDescent="0.25">
      <c r="A184" s="57">
        <v>2020</v>
      </c>
      <c r="B184" s="57">
        <v>4</v>
      </c>
      <c r="C184" s="57" t="s">
        <v>26</v>
      </c>
      <c r="D184" s="57">
        <v>20</v>
      </c>
      <c r="E184" s="57">
        <v>9728</v>
      </c>
      <c r="F184" s="57">
        <v>486.4</v>
      </c>
      <c r="G184" s="57">
        <v>608</v>
      </c>
      <c r="H184" s="57">
        <v>30.4</v>
      </c>
      <c r="I184">
        <v>0</v>
      </c>
      <c r="J184">
        <v>176.00967105263157</v>
      </c>
      <c r="K184">
        <v>0</v>
      </c>
      <c r="L184">
        <v>107013.88</v>
      </c>
    </row>
    <row r="185" spans="1:12" x14ac:dyDescent="0.25">
      <c r="A185" s="57">
        <v>2020</v>
      </c>
      <c r="B185" s="57">
        <v>5</v>
      </c>
      <c r="C185" s="57" t="s">
        <v>26</v>
      </c>
      <c r="D185" s="57">
        <v>5</v>
      </c>
      <c r="E185" s="57">
        <v>3376</v>
      </c>
      <c r="F185" s="57">
        <v>675.2</v>
      </c>
      <c r="G185" s="57">
        <v>211</v>
      </c>
      <c r="H185" s="57">
        <v>42.2</v>
      </c>
      <c r="I185">
        <v>0</v>
      </c>
      <c r="J185">
        <v>151.98914691943128</v>
      </c>
      <c r="K185">
        <v>0</v>
      </c>
      <c r="L185">
        <v>32069.71</v>
      </c>
    </row>
    <row r="186" spans="1:12" x14ac:dyDescent="0.25">
      <c r="A186" s="57">
        <v>2020</v>
      </c>
      <c r="B186" s="57">
        <v>6</v>
      </c>
      <c r="C186" s="57" t="s">
        <v>26</v>
      </c>
      <c r="D186" s="57">
        <v>8</v>
      </c>
      <c r="E186" s="57">
        <v>5760</v>
      </c>
      <c r="F186" s="57">
        <v>720</v>
      </c>
      <c r="G186" s="57">
        <v>360</v>
      </c>
      <c r="H186" s="57">
        <v>45</v>
      </c>
      <c r="I186">
        <v>0</v>
      </c>
      <c r="J186">
        <v>166.28402777777777</v>
      </c>
      <c r="K186">
        <v>0</v>
      </c>
      <c r="L186">
        <v>59862.25</v>
      </c>
    </row>
    <row r="187" spans="1:12" x14ac:dyDescent="0.25">
      <c r="A187" s="57">
        <v>2020</v>
      </c>
      <c r="B187" s="57">
        <v>7</v>
      </c>
      <c r="C187" s="57" t="s">
        <v>26</v>
      </c>
      <c r="D187" s="57">
        <v>24</v>
      </c>
      <c r="E187" s="57">
        <v>17664</v>
      </c>
      <c r="F187" s="57">
        <v>736</v>
      </c>
      <c r="G187" s="57">
        <v>1104</v>
      </c>
      <c r="H187" s="57">
        <v>46</v>
      </c>
      <c r="I187">
        <v>0</v>
      </c>
      <c r="J187">
        <v>108.09846920289856</v>
      </c>
      <c r="K187">
        <v>0</v>
      </c>
      <c r="L187">
        <v>119340.71</v>
      </c>
    </row>
    <row r="188" spans="1:12" x14ac:dyDescent="0.25">
      <c r="A188" s="57">
        <v>2020</v>
      </c>
      <c r="B188" s="57">
        <v>8</v>
      </c>
      <c r="C188" s="57" t="s">
        <v>27</v>
      </c>
      <c r="D188" s="57">
        <v>20</v>
      </c>
      <c r="E188" s="57">
        <v>9824</v>
      </c>
      <c r="F188" s="57">
        <v>491.2</v>
      </c>
      <c r="G188" s="57">
        <v>614</v>
      </c>
      <c r="H188" s="57">
        <v>30.7</v>
      </c>
      <c r="I188">
        <v>0</v>
      </c>
      <c r="J188">
        <v>215.93952768729642</v>
      </c>
      <c r="K188">
        <v>0</v>
      </c>
      <c r="L188">
        <v>132586.87</v>
      </c>
    </row>
    <row r="189" spans="1:12" x14ac:dyDescent="0.25">
      <c r="A189" s="57">
        <v>2020</v>
      </c>
      <c r="B189" s="57">
        <v>9</v>
      </c>
      <c r="C189" s="57" t="s">
        <v>33</v>
      </c>
      <c r="D189" s="57">
        <v>20</v>
      </c>
      <c r="E189" s="57">
        <v>9984</v>
      </c>
      <c r="F189" s="57">
        <v>499.2</v>
      </c>
      <c r="G189" s="57">
        <v>624</v>
      </c>
      <c r="H189" s="57">
        <v>31.2</v>
      </c>
      <c r="I189">
        <v>0</v>
      </c>
      <c r="J189">
        <v>259.1830769230769</v>
      </c>
      <c r="K189">
        <v>0</v>
      </c>
      <c r="L189">
        <v>161730.23999999999</v>
      </c>
    </row>
    <row r="190" spans="1:12" x14ac:dyDescent="0.25">
      <c r="A190" s="57">
        <v>2020</v>
      </c>
      <c r="B190" s="57">
        <v>10</v>
      </c>
      <c r="C190" s="57" t="s">
        <v>29</v>
      </c>
      <c r="D190" s="57">
        <v>20</v>
      </c>
      <c r="E190" s="57">
        <v>6604</v>
      </c>
      <c r="F190" s="57">
        <v>330.2</v>
      </c>
      <c r="G190" s="57">
        <v>412.75</v>
      </c>
      <c r="H190" s="57">
        <v>20.637499999999999</v>
      </c>
      <c r="I190">
        <v>0</v>
      </c>
      <c r="J190">
        <v>202.27219866747427</v>
      </c>
      <c r="K190">
        <v>0</v>
      </c>
      <c r="L190">
        <v>83487.850000000006</v>
      </c>
    </row>
    <row r="191" spans="1:12" x14ac:dyDescent="0.25">
      <c r="A191" s="57">
        <v>2020</v>
      </c>
      <c r="B191" s="57">
        <v>11</v>
      </c>
      <c r="C191" s="57" t="s">
        <v>275</v>
      </c>
      <c r="D191" s="57">
        <v>17.5</v>
      </c>
      <c r="E191" s="57">
        <v>0</v>
      </c>
      <c r="F191" s="57">
        <v>0</v>
      </c>
      <c r="G191" s="57">
        <v>0</v>
      </c>
      <c r="H191" s="57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57">
        <v>2020</v>
      </c>
      <c r="B192" s="57">
        <v>12</v>
      </c>
      <c r="C192" s="57" t="s">
        <v>276</v>
      </c>
      <c r="D192" s="57">
        <v>18</v>
      </c>
      <c r="E192" s="57">
        <v>13896</v>
      </c>
      <c r="F192" s="57">
        <v>772</v>
      </c>
      <c r="G192" s="57">
        <v>868.5</v>
      </c>
      <c r="H192" s="57">
        <v>48.25</v>
      </c>
      <c r="I192">
        <v>0</v>
      </c>
      <c r="J192">
        <v>242.9590443293034</v>
      </c>
      <c r="K192">
        <v>0</v>
      </c>
      <c r="L192">
        <v>211009.93</v>
      </c>
    </row>
    <row r="193" spans="1:12" x14ac:dyDescent="0.25">
      <c r="A193" s="57">
        <v>2020</v>
      </c>
      <c r="B193" s="57">
        <v>13</v>
      </c>
      <c r="C193" s="57" t="s">
        <v>25</v>
      </c>
      <c r="D193" s="57">
        <v>5.5</v>
      </c>
      <c r="E193" s="57">
        <v>0</v>
      </c>
      <c r="F193" s="57">
        <v>0</v>
      </c>
      <c r="G193" s="57">
        <v>0</v>
      </c>
      <c r="H193" s="57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57">
        <v>2020</v>
      </c>
      <c r="B194" s="57">
        <v>14</v>
      </c>
      <c r="C194" s="57" t="s">
        <v>25</v>
      </c>
      <c r="D194" s="57">
        <v>10.39</v>
      </c>
      <c r="E194" s="57">
        <v>0</v>
      </c>
      <c r="F194" s="57">
        <v>0</v>
      </c>
      <c r="G194" s="57">
        <v>0</v>
      </c>
      <c r="H194" s="57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57">
        <v>2020</v>
      </c>
      <c r="B195" s="57">
        <v>15</v>
      </c>
      <c r="C195" s="57" t="s">
        <v>32</v>
      </c>
      <c r="D195" s="57">
        <v>9.57</v>
      </c>
      <c r="E195" s="57">
        <v>0</v>
      </c>
      <c r="F195" s="57">
        <v>0</v>
      </c>
      <c r="G195" s="57">
        <v>0</v>
      </c>
      <c r="H195" s="57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57">
        <v>2020</v>
      </c>
      <c r="B196" s="57">
        <v>16</v>
      </c>
      <c r="C196" s="57" t="s">
        <v>276</v>
      </c>
      <c r="D196" s="57">
        <v>20</v>
      </c>
      <c r="E196" s="57">
        <v>0</v>
      </c>
      <c r="F196" s="57">
        <v>0</v>
      </c>
      <c r="G196" s="57">
        <v>0</v>
      </c>
      <c r="H196" s="57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57">
        <v>2020</v>
      </c>
      <c r="B197" s="57">
        <v>17</v>
      </c>
      <c r="C197" s="57" t="s">
        <v>275</v>
      </c>
      <c r="D197" s="57">
        <v>10.68</v>
      </c>
      <c r="E197" s="57">
        <v>0</v>
      </c>
      <c r="F197" s="57">
        <v>0</v>
      </c>
      <c r="G197" s="57">
        <v>0</v>
      </c>
      <c r="H197" s="5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57">
        <v>2020</v>
      </c>
      <c r="B198" s="57">
        <v>18</v>
      </c>
      <c r="C198" s="57" t="s">
        <v>25</v>
      </c>
      <c r="D198" s="57">
        <v>39.67</v>
      </c>
      <c r="E198" s="57">
        <v>0</v>
      </c>
      <c r="F198" s="57">
        <v>0</v>
      </c>
      <c r="G198" s="57">
        <v>0</v>
      </c>
      <c r="H198" s="57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57">
        <v>2020</v>
      </c>
      <c r="B199" s="57">
        <v>19</v>
      </c>
      <c r="C199" s="57" t="s">
        <v>33</v>
      </c>
      <c r="D199" s="57">
        <v>11.54</v>
      </c>
      <c r="E199" s="57">
        <v>0</v>
      </c>
      <c r="F199" s="57">
        <v>0</v>
      </c>
      <c r="G199" s="57">
        <v>0</v>
      </c>
      <c r="H199" s="57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57">
        <v>2021</v>
      </c>
      <c r="B200" s="57" t="s">
        <v>270</v>
      </c>
      <c r="C200" s="57" t="s">
        <v>22</v>
      </c>
      <c r="D200" s="57">
        <v>20</v>
      </c>
      <c r="E200" s="57" cm="1">
        <f t="array" ref="E200:L221">TRANSPOSE(Revenue!F107:AA114)</f>
        <v>0</v>
      </c>
      <c r="F200" s="57">
        <v>0</v>
      </c>
      <c r="G200" s="57">
        <v>0</v>
      </c>
      <c r="H200" s="57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57">
        <v>2021</v>
      </c>
      <c r="B201" s="57" t="s">
        <v>273</v>
      </c>
      <c r="C201" s="57" t="s">
        <v>25</v>
      </c>
      <c r="D201" s="57">
        <v>9.5</v>
      </c>
      <c r="E201" s="57">
        <v>0</v>
      </c>
      <c r="F201" s="57">
        <v>0</v>
      </c>
      <c r="G201" s="57">
        <v>0</v>
      </c>
      <c r="H201" s="57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57">
        <v>2021</v>
      </c>
      <c r="B202" s="57">
        <v>1</v>
      </c>
      <c r="C202" s="57" t="s">
        <v>274</v>
      </c>
      <c r="D202" s="57">
        <v>20</v>
      </c>
      <c r="E202" s="57">
        <v>0</v>
      </c>
      <c r="F202" s="57">
        <v>0</v>
      </c>
      <c r="G202" s="57">
        <v>0</v>
      </c>
      <c r="H202" s="57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57">
        <v>2021</v>
      </c>
      <c r="B203" s="57" t="s">
        <v>271</v>
      </c>
      <c r="C203" s="57" t="s">
        <v>275</v>
      </c>
      <c r="D203" s="57">
        <v>10</v>
      </c>
      <c r="E203" s="57">
        <v>796</v>
      </c>
      <c r="F203" s="57">
        <v>79.599999999999994</v>
      </c>
      <c r="G203" s="57">
        <v>49.75</v>
      </c>
      <c r="H203" s="57">
        <v>4.9749999999999996</v>
      </c>
      <c r="I203">
        <v>0</v>
      </c>
      <c r="J203">
        <v>195.35839195979901</v>
      </c>
      <c r="K203">
        <v>0</v>
      </c>
      <c r="L203">
        <v>9719.08</v>
      </c>
    </row>
    <row r="204" spans="1:12" x14ac:dyDescent="0.25">
      <c r="A204" s="57">
        <v>2021</v>
      </c>
      <c r="B204" s="57" t="s">
        <v>272</v>
      </c>
      <c r="C204" s="57" t="s">
        <v>274</v>
      </c>
      <c r="D204" s="57">
        <v>10</v>
      </c>
      <c r="E204" s="57">
        <v>3392</v>
      </c>
      <c r="F204" s="57">
        <v>339.2</v>
      </c>
      <c r="G204" s="57">
        <v>212</v>
      </c>
      <c r="H204" s="57">
        <v>21.2</v>
      </c>
      <c r="I204">
        <v>0</v>
      </c>
      <c r="J204">
        <v>247.08627358490565</v>
      </c>
      <c r="K204">
        <v>0</v>
      </c>
      <c r="L204">
        <v>52382.29</v>
      </c>
    </row>
    <row r="205" spans="1:12" x14ac:dyDescent="0.25">
      <c r="A205" s="57">
        <v>2021</v>
      </c>
      <c r="B205" s="57">
        <v>3</v>
      </c>
      <c r="C205" s="57" t="s">
        <v>25</v>
      </c>
      <c r="D205" s="57">
        <v>20</v>
      </c>
      <c r="E205" s="57">
        <v>4736</v>
      </c>
      <c r="F205" s="57">
        <v>236.8</v>
      </c>
      <c r="G205" s="57">
        <v>296</v>
      </c>
      <c r="H205" s="57">
        <v>14.8</v>
      </c>
      <c r="I205">
        <v>0</v>
      </c>
      <c r="J205">
        <v>34.401047297297296</v>
      </c>
      <c r="K205">
        <v>0</v>
      </c>
      <c r="L205">
        <v>10182.709999999999</v>
      </c>
    </row>
    <row r="206" spans="1:12" x14ac:dyDescent="0.25">
      <c r="A206" s="57">
        <v>2021</v>
      </c>
      <c r="B206" s="57">
        <v>4</v>
      </c>
      <c r="C206" s="57" t="s">
        <v>26</v>
      </c>
      <c r="D206" s="57">
        <v>20</v>
      </c>
      <c r="E206" s="57">
        <v>11488</v>
      </c>
      <c r="F206" s="57">
        <v>574.4</v>
      </c>
      <c r="G206" s="57">
        <v>718</v>
      </c>
      <c r="H206" s="57">
        <v>35.9</v>
      </c>
      <c r="I206">
        <v>0</v>
      </c>
      <c r="J206">
        <v>141.66110027855152</v>
      </c>
      <c r="K206">
        <v>0</v>
      </c>
      <c r="L206">
        <v>101712.67</v>
      </c>
    </row>
    <row r="207" spans="1:12" x14ac:dyDescent="0.25">
      <c r="A207" s="57">
        <v>2021</v>
      </c>
      <c r="B207" s="57">
        <v>5</v>
      </c>
      <c r="C207" s="57" t="s">
        <v>26</v>
      </c>
      <c r="D207" s="57">
        <v>5</v>
      </c>
      <c r="E207" s="57">
        <v>2752</v>
      </c>
      <c r="F207" s="57">
        <v>550.4</v>
      </c>
      <c r="G207" s="57">
        <v>172</v>
      </c>
      <c r="H207" s="57">
        <v>34.4</v>
      </c>
      <c r="I207">
        <v>0</v>
      </c>
      <c r="J207">
        <v>133.69988372093025</v>
      </c>
      <c r="K207">
        <v>0</v>
      </c>
      <c r="L207">
        <v>22996.38</v>
      </c>
    </row>
    <row r="208" spans="1:12" x14ac:dyDescent="0.25">
      <c r="A208" s="57">
        <v>2021</v>
      </c>
      <c r="B208" s="57">
        <v>6</v>
      </c>
      <c r="C208" s="57" t="s">
        <v>26</v>
      </c>
      <c r="D208" s="57">
        <v>8</v>
      </c>
      <c r="E208" s="57">
        <v>4944</v>
      </c>
      <c r="F208" s="57">
        <v>618</v>
      </c>
      <c r="G208" s="57">
        <v>309</v>
      </c>
      <c r="H208" s="57">
        <v>38.625</v>
      </c>
      <c r="I208">
        <v>0</v>
      </c>
      <c r="J208">
        <v>128.35394822006472</v>
      </c>
      <c r="K208">
        <v>0</v>
      </c>
      <c r="L208">
        <v>39661.369999999995</v>
      </c>
    </row>
    <row r="209" spans="1:12" x14ac:dyDescent="0.25">
      <c r="A209" s="57">
        <v>2021</v>
      </c>
      <c r="B209" s="57">
        <v>7</v>
      </c>
      <c r="C209" s="57" t="s">
        <v>26</v>
      </c>
      <c r="D209" s="57">
        <v>24</v>
      </c>
      <c r="E209" s="57">
        <v>16952</v>
      </c>
      <c r="F209" s="57">
        <v>706.33333333333337</v>
      </c>
      <c r="G209" s="57">
        <v>1059.5</v>
      </c>
      <c r="H209" s="57">
        <v>44.145833333333336</v>
      </c>
      <c r="I209">
        <v>0</v>
      </c>
      <c r="J209">
        <v>93.134450212364314</v>
      </c>
      <c r="K209">
        <v>0</v>
      </c>
      <c r="L209">
        <v>98675.95</v>
      </c>
    </row>
    <row r="210" spans="1:12" x14ac:dyDescent="0.25">
      <c r="A210" s="57">
        <v>2021</v>
      </c>
      <c r="B210" s="57">
        <v>8</v>
      </c>
      <c r="C210" s="57" t="s">
        <v>27</v>
      </c>
      <c r="D210" s="57">
        <v>20</v>
      </c>
      <c r="E210" s="57">
        <v>11200</v>
      </c>
      <c r="F210" s="57">
        <v>560</v>
      </c>
      <c r="G210" s="57">
        <v>700</v>
      </c>
      <c r="H210" s="57">
        <v>35</v>
      </c>
      <c r="I210">
        <v>0</v>
      </c>
      <c r="J210">
        <v>131.62007142857144</v>
      </c>
      <c r="K210">
        <v>0</v>
      </c>
      <c r="L210">
        <v>92134.05</v>
      </c>
    </row>
    <row r="211" spans="1:12" x14ac:dyDescent="0.25">
      <c r="A211" s="57">
        <v>2021</v>
      </c>
      <c r="B211" s="57">
        <v>9</v>
      </c>
      <c r="C211" s="57" t="s">
        <v>33</v>
      </c>
      <c r="D211" s="57">
        <v>20</v>
      </c>
      <c r="E211" s="57">
        <v>9792</v>
      </c>
      <c r="F211" s="57">
        <v>489.6</v>
      </c>
      <c r="G211" s="57">
        <v>612</v>
      </c>
      <c r="H211" s="57">
        <v>30.6</v>
      </c>
      <c r="I211">
        <v>0</v>
      </c>
      <c r="J211">
        <v>159.1103267973856</v>
      </c>
      <c r="K211">
        <v>0</v>
      </c>
      <c r="L211">
        <v>97375.51999999999</v>
      </c>
    </row>
    <row r="212" spans="1:12" x14ac:dyDescent="0.25">
      <c r="A212" s="57">
        <v>2021</v>
      </c>
      <c r="B212" s="57">
        <v>10</v>
      </c>
      <c r="C212" s="57" t="s">
        <v>29</v>
      </c>
      <c r="D212" s="57">
        <v>20</v>
      </c>
      <c r="E212" s="57">
        <v>8704</v>
      </c>
      <c r="F212" s="57">
        <v>435.2</v>
      </c>
      <c r="G212" s="57">
        <v>544</v>
      </c>
      <c r="H212" s="57">
        <v>27.2</v>
      </c>
      <c r="I212">
        <v>0</v>
      </c>
      <c r="J212">
        <v>224.26897058823528</v>
      </c>
      <c r="K212">
        <v>0</v>
      </c>
      <c r="L212">
        <v>122002.31999999999</v>
      </c>
    </row>
    <row r="213" spans="1:12" x14ac:dyDescent="0.25">
      <c r="A213" s="57">
        <v>2021</v>
      </c>
      <c r="B213" s="57">
        <v>11</v>
      </c>
      <c r="C213" s="57" t="s">
        <v>275</v>
      </c>
      <c r="D213" s="57">
        <v>17.5</v>
      </c>
      <c r="E213" s="57">
        <v>624</v>
      </c>
      <c r="F213" s="57">
        <v>35.657142857142858</v>
      </c>
      <c r="G213" s="57">
        <v>39</v>
      </c>
      <c r="H213" s="57">
        <v>2.2285714285714286</v>
      </c>
      <c r="I213">
        <v>0</v>
      </c>
      <c r="J213">
        <v>195.22153846153847</v>
      </c>
      <c r="K213">
        <v>0</v>
      </c>
      <c r="L213">
        <v>7613.64</v>
      </c>
    </row>
    <row r="214" spans="1:12" x14ac:dyDescent="0.25">
      <c r="A214" s="57">
        <v>2021</v>
      </c>
      <c r="B214" s="57">
        <v>12</v>
      </c>
      <c r="C214" s="57" t="s">
        <v>276</v>
      </c>
      <c r="D214" s="57">
        <v>18</v>
      </c>
      <c r="E214" s="57">
        <v>15264</v>
      </c>
      <c r="F214" s="57">
        <v>848</v>
      </c>
      <c r="G214" s="57">
        <v>954</v>
      </c>
      <c r="H214" s="57">
        <v>53</v>
      </c>
      <c r="I214">
        <v>0</v>
      </c>
      <c r="J214">
        <v>270.2451362683438</v>
      </c>
      <c r="K214">
        <v>0</v>
      </c>
      <c r="L214">
        <v>257813.86</v>
      </c>
    </row>
    <row r="215" spans="1:12" x14ac:dyDescent="0.25">
      <c r="A215" s="57">
        <v>2021</v>
      </c>
      <c r="B215" s="57">
        <v>13</v>
      </c>
      <c r="C215" s="57" t="s">
        <v>25</v>
      </c>
      <c r="D215" s="57">
        <v>5.5</v>
      </c>
      <c r="E215" s="57">
        <v>0</v>
      </c>
      <c r="F215" s="57">
        <v>0</v>
      </c>
      <c r="G215" s="57">
        <v>0</v>
      </c>
      <c r="H215" s="57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57">
        <v>2021</v>
      </c>
      <c r="B216" s="57">
        <v>14</v>
      </c>
      <c r="C216" s="57" t="s">
        <v>25</v>
      </c>
      <c r="D216" s="57">
        <v>10.39</v>
      </c>
      <c r="E216" s="57">
        <v>0</v>
      </c>
      <c r="F216" s="57">
        <v>0</v>
      </c>
      <c r="G216" s="57">
        <v>0</v>
      </c>
      <c r="H216" s="57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57">
        <v>2021</v>
      </c>
      <c r="B217" s="57">
        <v>15</v>
      </c>
      <c r="C217" s="57" t="s">
        <v>32</v>
      </c>
      <c r="D217" s="57">
        <v>9.57</v>
      </c>
      <c r="E217" s="57">
        <v>0</v>
      </c>
      <c r="F217" s="57">
        <v>0</v>
      </c>
      <c r="G217" s="57">
        <v>0</v>
      </c>
      <c r="H217" s="5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57">
        <v>2021</v>
      </c>
      <c r="B218" s="57">
        <v>16</v>
      </c>
      <c r="C218" s="57" t="s">
        <v>276</v>
      </c>
      <c r="D218" s="57">
        <v>20</v>
      </c>
      <c r="E218" s="57">
        <v>0</v>
      </c>
      <c r="F218" s="57">
        <v>0</v>
      </c>
      <c r="G218" s="57">
        <v>0</v>
      </c>
      <c r="H218" s="57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57">
        <v>2021</v>
      </c>
      <c r="B219" s="57">
        <v>17</v>
      </c>
      <c r="C219" s="57" t="s">
        <v>275</v>
      </c>
      <c r="D219" s="57">
        <v>10.68</v>
      </c>
      <c r="E219" s="57">
        <v>0</v>
      </c>
      <c r="F219" s="57">
        <v>0</v>
      </c>
      <c r="G219" s="57">
        <v>0</v>
      </c>
      <c r="H219" s="57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57">
        <v>2021</v>
      </c>
      <c r="B220" s="57">
        <v>18</v>
      </c>
      <c r="C220" s="57" t="s">
        <v>25</v>
      </c>
      <c r="D220" s="57">
        <v>39.67</v>
      </c>
      <c r="E220" s="57">
        <v>0</v>
      </c>
      <c r="F220" s="57">
        <v>0</v>
      </c>
      <c r="G220" s="57">
        <v>0</v>
      </c>
      <c r="H220" s="57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57">
        <v>2021</v>
      </c>
      <c r="B221" s="57">
        <v>19</v>
      </c>
      <c r="C221" s="57" t="s">
        <v>33</v>
      </c>
      <c r="D221" s="57">
        <v>11.54</v>
      </c>
      <c r="E221" s="57">
        <v>0</v>
      </c>
      <c r="F221" s="57">
        <v>0</v>
      </c>
      <c r="G221" s="57">
        <v>0</v>
      </c>
      <c r="H221" s="57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57">
        <v>2022</v>
      </c>
      <c r="B222" s="57" t="s">
        <v>270</v>
      </c>
      <c r="C222" s="57" t="s">
        <v>22</v>
      </c>
      <c r="D222" s="57">
        <v>20</v>
      </c>
      <c r="E222" s="57" cm="1">
        <f t="array" ref="E222:L243">TRANSPOSE(Revenue!F122:AA129)</f>
        <v>0</v>
      </c>
      <c r="F222" s="57">
        <v>0</v>
      </c>
      <c r="G222" s="57">
        <v>0</v>
      </c>
      <c r="H222" s="57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57">
        <v>2022</v>
      </c>
      <c r="B223" s="57" t="s">
        <v>273</v>
      </c>
      <c r="C223" s="57" t="s">
        <v>25</v>
      </c>
      <c r="D223" s="57">
        <v>9.5</v>
      </c>
      <c r="E223" s="57">
        <v>0</v>
      </c>
      <c r="F223" s="57">
        <v>0</v>
      </c>
      <c r="G223" s="57">
        <v>0</v>
      </c>
      <c r="H223" s="57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57">
        <v>2022</v>
      </c>
      <c r="B224" s="57">
        <v>1</v>
      </c>
      <c r="C224" s="57" t="s">
        <v>274</v>
      </c>
      <c r="D224" s="57">
        <v>20</v>
      </c>
      <c r="E224" s="57">
        <v>1216</v>
      </c>
      <c r="F224" s="57">
        <v>60.8</v>
      </c>
      <c r="G224" s="57">
        <v>76</v>
      </c>
      <c r="H224" s="57">
        <v>3.8</v>
      </c>
      <c r="I224">
        <v>0</v>
      </c>
      <c r="J224">
        <v>331.73881578947368</v>
      </c>
      <c r="K224">
        <v>0</v>
      </c>
      <c r="L224">
        <v>25212.15</v>
      </c>
    </row>
    <row r="225" spans="1:12" x14ac:dyDescent="0.25">
      <c r="A225" s="57">
        <v>2022</v>
      </c>
      <c r="B225" s="57" t="s">
        <v>271</v>
      </c>
      <c r="C225" s="57" t="s">
        <v>275</v>
      </c>
      <c r="D225" s="57">
        <v>10</v>
      </c>
      <c r="E225" s="57">
        <v>1568</v>
      </c>
      <c r="F225" s="57">
        <v>156.80000000000001</v>
      </c>
      <c r="G225" s="57">
        <v>98</v>
      </c>
      <c r="H225" s="57">
        <v>9.8000000000000007</v>
      </c>
      <c r="I225">
        <v>0</v>
      </c>
      <c r="J225">
        <v>404.74000000000007</v>
      </c>
      <c r="K225">
        <v>0</v>
      </c>
      <c r="L225">
        <v>39664.520000000004</v>
      </c>
    </row>
    <row r="226" spans="1:12" x14ac:dyDescent="0.25">
      <c r="A226" s="57">
        <v>2022</v>
      </c>
      <c r="B226" s="57" t="s">
        <v>272</v>
      </c>
      <c r="C226" s="57" t="s">
        <v>274</v>
      </c>
      <c r="D226" s="57">
        <v>10</v>
      </c>
      <c r="E226" s="57">
        <v>2160</v>
      </c>
      <c r="F226" s="57">
        <v>216</v>
      </c>
      <c r="G226" s="57">
        <v>135</v>
      </c>
      <c r="H226" s="57">
        <v>13.5</v>
      </c>
      <c r="I226">
        <v>0</v>
      </c>
      <c r="J226">
        <v>273.8685185185185</v>
      </c>
      <c r="K226">
        <v>0</v>
      </c>
      <c r="L226">
        <v>36972.25</v>
      </c>
    </row>
    <row r="227" spans="1:12" x14ac:dyDescent="0.25">
      <c r="A227" s="57">
        <v>2022</v>
      </c>
      <c r="B227" s="57">
        <v>3</v>
      </c>
      <c r="C227" s="57" t="s">
        <v>25</v>
      </c>
      <c r="D227" s="57">
        <v>20</v>
      </c>
      <c r="E227" s="57">
        <v>6032</v>
      </c>
      <c r="F227" s="57">
        <v>301.60000000000002</v>
      </c>
      <c r="G227" s="57">
        <v>377</v>
      </c>
      <c r="H227" s="57">
        <v>18.850000000000001</v>
      </c>
      <c r="I227">
        <v>0</v>
      </c>
      <c r="J227">
        <v>166.97827586206895</v>
      </c>
      <c r="K227">
        <v>0</v>
      </c>
      <c r="L227">
        <v>62950.81</v>
      </c>
    </row>
    <row r="228" spans="1:12" x14ac:dyDescent="0.25">
      <c r="A228" s="57">
        <v>2022</v>
      </c>
      <c r="B228" s="57">
        <v>4</v>
      </c>
      <c r="C228" s="57" t="s">
        <v>26</v>
      </c>
      <c r="D228" s="57">
        <v>20</v>
      </c>
      <c r="E228" s="57">
        <v>5336.347826086957</v>
      </c>
      <c r="F228" s="57">
        <v>266.81739130434784</v>
      </c>
      <c r="G228" s="57">
        <v>333.52173913043481</v>
      </c>
      <c r="H228" s="57">
        <v>16.67608695652174</v>
      </c>
      <c r="I228">
        <v>0</v>
      </c>
      <c r="J228">
        <v>205.62908486507627</v>
      </c>
      <c r="K228">
        <v>0</v>
      </c>
      <c r="L228">
        <v>68581.77</v>
      </c>
    </row>
    <row r="229" spans="1:12" x14ac:dyDescent="0.25">
      <c r="A229" s="57">
        <v>2022</v>
      </c>
      <c r="B229" s="57">
        <v>5</v>
      </c>
      <c r="C229" s="57" t="s">
        <v>26</v>
      </c>
      <c r="D229" s="57">
        <v>5</v>
      </c>
      <c r="E229" s="57">
        <v>2096</v>
      </c>
      <c r="F229" s="57">
        <v>419.2</v>
      </c>
      <c r="G229" s="57">
        <v>131</v>
      </c>
      <c r="H229" s="57">
        <v>26.2</v>
      </c>
      <c r="I229">
        <v>0</v>
      </c>
      <c r="J229">
        <v>197.72091603053434</v>
      </c>
      <c r="K229">
        <v>0</v>
      </c>
      <c r="L229">
        <v>25901.439999999999</v>
      </c>
    </row>
    <row r="230" spans="1:12" x14ac:dyDescent="0.25">
      <c r="A230" s="57">
        <v>2022</v>
      </c>
      <c r="B230" s="57">
        <v>6</v>
      </c>
      <c r="C230" s="57" t="s">
        <v>26</v>
      </c>
      <c r="D230" s="57">
        <v>8</v>
      </c>
      <c r="E230" s="57">
        <v>3304</v>
      </c>
      <c r="F230" s="57">
        <v>413</v>
      </c>
      <c r="G230" s="57">
        <v>206.5</v>
      </c>
      <c r="H230" s="57">
        <v>25.8125</v>
      </c>
      <c r="I230">
        <v>0</v>
      </c>
      <c r="J230">
        <v>201.78590799031477</v>
      </c>
      <c r="K230">
        <v>0</v>
      </c>
      <c r="L230">
        <v>41668.79</v>
      </c>
    </row>
    <row r="231" spans="1:12" x14ac:dyDescent="0.25">
      <c r="A231" s="57">
        <v>2022</v>
      </c>
      <c r="B231" s="57">
        <v>7</v>
      </c>
      <c r="C231" s="57" t="s">
        <v>26</v>
      </c>
      <c r="D231" s="57">
        <v>24</v>
      </c>
      <c r="E231" s="57">
        <v>13056</v>
      </c>
      <c r="F231" s="57">
        <v>544</v>
      </c>
      <c r="G231" s="57">
        <v>816</v>
      </c>
      <c r="H231" s="57">
        <v>34</v>
      </c>
      <c r="I231">
        <v>0</v>
      </c>
      <c r="J231">
        <v>175.83398284313725</v>
      </c>
      <c r="K231">
        <v>0</v>
      </c>
      <c r="L231">
        <v>143480.53</v>
      </c>
    </row>
    <row r="232" spans="1:12" x14ac:dyDescent="0.25">
      <c r="A232" s="57">
        <v>2022</v>
      </c>
      <c r="B232" s="57">
        <v>8</v>
      </c>
      <c r="C232" s="57" t="s">
        <v>27</v>
      </c>
      <c r="D232" s="57">
        <v>20</v>
      </c>
      <c r="E232" s="57">
        <v>7808</v>
      </c>
      <c r="F232" s="57">
        <v>390.4</v>
      </c>
      <c r="G232" s="57">
        <v>488</v>
      </c>
      <c r="H232" s="57">
        <v>24.4</v>
      </c>
      <c r="I232">
        <v>0</v>
      </c>
      <c r="J232">
        <v>332.60831967213113</v>
      </c>
      <c r="K232">
        <v>0</v>
      </c>
      <c r="L232">
        <v>162312.85999999999</v>
      </c>
    </row>
    <row r="233" spans="1:12" x14ac:dyDescent="0.25">
      <c r="A233" s="57">
        <v>2022</v>
      </c>
      <c r="B233" s="57">
        <v>9</v>
      </c>
      <c r="C233" s="57" t="s">
        <v>33</v>
      </c>
      <c r="D233" s="57">
        <v>20</v>
      </c>
      <c r="E233" s="57">
        <v>7504</v>
      </c>
      <c r="F233" s="57">
        <v>375.2</v>
      </c>
      <c r="G233" s="57">
        <v>469</v>
      </c>
      <c r="H233" s="57">
        <v>23.45</v>
      </c>
      <c r="I233">
        <v>0</v>
      </c>
      <c r="J233">
        <v>235.76609808102347</v>
      </c>
      <c r="K233">
        <v>0</v>
      </c>
      <c r="L233">
        <v>110574.3</v>
      </c>
    </row>
    <row r="234" spans="1:12" x14ac:dyDescent="0.25">
      <c r="A234" s="57">
        <v>2022</v>
      </c>
      <c r="B234" s="57">
        <v>10</v>
      </c>
      <c r="C234" s="57" t="s">
        <v>29</v>
      </c>
      <c r="D234" s="57">
        <v>20</v>
      </c>
      <c r="E234" s="57">
        <v>4928</v>
      </c>
      <c r="F234" s="57">
        <v>246.4</v>
      </c>
      <c r="G234" s="57">
        <v>308</v>
      </c>
      <c r="H234" s="57">
        <v>15.4</v>
      </c>
      <c r="I234">
        <v>0</v>
      </c>
      <c r="J234">
        <v>286.73308441558441</v>
      </c>
      <c r="K234">
        <v>0</v>
      </c>
      <c r="L234">
        <v>88313.790000000008</v>
      </c>
    </row>
    <row r="235" spans="1:12" x14ac:dyDescent="0.25">
      <c r="A235" s="57">
        <v>2022</v>
      </c>
      <c r="B235" s="57">
        <v>11</v>
      </c>
      <c r="C235" s="57" t="s">
        <v>275</v>
      </c>
      <c r="D235" s="57">
        <v>17.5</v>
      </c>
      <c r="E235" s="57">
        <v>2144</v>
      </c>
      <c r="F235" s="57">
        <v>122.51428571428572</v>
      </c>
      <c r="G235" s="57">
        <v>134</v>
      </c>
      <c r="H235" s="57">
        <v>7.6571428571428575</v>
      </c>
      <c r="I235">
        <v>0</v>
      </c>
      <c r="J235">
        <v>402.82052238805966</v>
      </c>
      <c r="K235">
        <v>0</v>
      </c>
      <c r="L235">
        <v>53977.95</v>
      </c>
    </row>
    <row r="236" spans="1:12" x14ac:dyDescent="0.25">
      <c r="A236" s="57">
        <v>2022</v>
      </c>
      <c r="B236" s="57">
        <v>12</v>
      </c>
      <c r="C236" s="57" t="s">
        <v>276</v>
      </c>
      <c r="D236" s="57">
        <v>18</v>
      </c>
      <c r="E236" s="57">
        <v>13768</v>
      </c>
      <c r="F236" s="57">
        <v>764.88888888888891</v>
      </c>
      <c r="G236" s="57">
        <v>860.5</v>
      </c>
      <c r="H236" s="57">
        <v>47.805555555555557</v>
      </c>
      <c r="I236">
        <v>0</v>
      </c>
      <c r="J236">
        <v>185.30510168506683</v>
      </c>
      <c r="K236">
        <v>0</v>
      </c>
      <c r="L236">
        <v>159455.04000000001</v>
      </c>
    </row>
    <row r="237" spans="1:12" x14ac:dyDescent="0.25">
      <c r="A237" s="57">
        <v>2022</v>
      </c>
      <c r="B237" s="57">
        <v>13</v>
      </c>
      <c r="C237" s="57" t="s">
        <v>25</v>
      </c>
      <c r="D237" s="57">
        <v>5.5</v>
      </c>
      <c r="E237" s="57">
        <v>352</v>
      </c>
      <c r="F237" s="57">
        <v>64</v>
      </c>
      <c r="G237" s="57">
        <v>22</v>
      </c>
      <c r="H237" s="57">
        <v>4</v>
      </c>
      <c r="I237">
        <v>0</v>
      </c>
      <c r="J237">
        <v>148.56590909090909</v>
      </c>
      <c r="K237">
        <v>0</v>
      </c>
      <c r="L237">
        <v>3268.45</v>
      </c>
    </row>
    <row r="238" spans="1:12" x14ac:dyDescent="0.25">
      <c r="A238" s="57">
        <v>2022</v>
      </c>
      <c r="B238" s="57">
        <v>14</v>
      </c>
      <c r="C238" s="57" t="s">
        <v>25</v>
      </c>
      <c r="D238" s="57">
        <v>10.39</v>
      </c>
      <c r="E238" s="57">
        <v>0</v>
      </c>
      <c r="F238" s="57">
        <v>0</v>
      </c>
      <c r="G238" s="57">
        <v>0</v>
      </c>
      <c r="H238" s="57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57">
        <v>2022</v>
      </c>
      <c r="B239" s="57">
        <v>15</v>
      </c>
      <c r="C239" s="57" t="s">
        <v>32</v>
      </c>
      <c r="D239" s="57">
        <v>9.57</v>
      </c>
      <c r="E239" s="57">
        <v>0</v>
      </c>
      <c r="F239" s="57">
        <v>0</v>
      </c>
      <c r="G239" s="57">
        <v>0</v>
      </c>
      <c r="H239" s="57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57">
        <v>2022</v>
      </c>
      <c r="B240" s="57">
        <v>16</v>
      </c>
      <c r="C240" s="57" t="s">
        <v>276</v>
      </c>
      <c r="D240" s="57">
        <v>20</v>
      </c>
      <c r="E240" s="57">
        <v>0</v>
      </c>
      <c r="F240" s="57">
        <v>0</v>
      </c>
      <c r="G240" s="57">
        <v>0</v>
      </c>
      <c r="H240" s="57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57">
        <v>2022</v>
      </c>
      <c r="B241" s="57">
        <v>17</v>
      </c>
      <c r="C241" s="57" t="s">
        <v>275</v>
      </c>
      <c r="D241" s="57">
        <v>10.68</v>
      </c>
      <c r="E241" s="57">
        <v>0</v>
      </c>
      <c r="F241" s="57">
        <v>0</v>
      </c>
      <c r="G241" s="57">
        <v>0</v>
      </c>
      <c r="H241" s="57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57">
        <v>2022</v>
      </c>
      <c r="B242" s="57">
        <v>18</v>
      </c>
      <c r="C242" s="57" t="s">
        <v>25</v>
      </c>
      <c r="D242" s="57">
        <v>39.67</v>
      </c>
      <c r="E242" s="57">
        <v>0</v>
      </c>
      <c r="F242" s="57">
        <v>0</v>
      </c>
      <c r="G242" s="57">
        <v>0</v>
      </c>
      <c r="H242" s="57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57">
        <v>2022</v>
      </c>
      <c r="B243" s="57">
        <v>19</v>
      </c>
      <c r="C243" s="57" t="s">
        <v>33</v>
      </c>
      <c r="D243" s="57">
        <v>11.54</v>
      </c>
      <c r="E243" s="57">
        <v>0</v>
      </c>
      <c r="F243" s="57">
        <v>0</v>
      </c>
      <c r="G243" s="57">
        <v>0</v>
      </c>
      <c r="H243" s="57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57">
        <v>2023</v>
      </c>
      <c r="B244" s="57" t="s">
        <v>270</v>
      </c>
      <c r="C244" s="57" t="s">
        <v>22</v>
      </c>
      <c r="D244" s="57">
        <v>20</v>
      </c>
      <c r="E244" s="57" cm="1">
        <f t="array" ref="E244:L265">TRANSPOSE(Revenue!F133:AA140)</f>
        <v>0</v>
      </c>
      <c r="F244" s="57">
        <v>0</v>
      </c>
      <c r="G244" s="57">
        <v>0</v>
      </c>
      <c r="H244" s="57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57">
        <v>2023</v>
      </c>
      <c r="B245" s="57" t="s">
        <v>273</v>
      </c>
      <c r="C245" s="57" t="s">
        <v>25</v>
      </c>
      <c r="D245" s="57">
        <v>9.5</v>
      </c>
      <c r="E245" s="57">
        <v>0</v>
      </c>
      <c r="F245" s="57">
        <v>0</v>
      </c>
      <c r="G245" s="57">
        <v>0</v>
      </c>
      <c r="H245" s="57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57">
        <v>2023</v>
      </c>
      <c r="B246" s="57">
        <v>1</v>
      </c>
      <c r="C246" s="57" t="s">
        <v>274</v>
      </c>
      <c r="D246" s="57">
        <v>20</v>
      </c>
      <c r="E246" s="57">
        <v>2736</v>
      </c>
      <c r="F246" s="57">
        <v>136.80000000000001</v>
      </c>
      <c r="G246" s="57">
        <v>171</v>
      </c>
      <c r="H246" s="57">
        <v>8.5500000000000007</v>
      </c>
      <c r="I246">
        <v>0</v>
      </c>
      <c r="J246">
        <v>276.27087719298248</v>
      </c>
      <c r="K246">
        <v>0</v>
      </c>
      <c r="L246">
        <v>47242.32</v>
      </c>
    </row>
    <row r="247" spans="1:12" x14ac:dyDescent="0.25">
      <c r="A247" s="57">
        <v>2023</v>
      </c>
      <c r="B247" s="57" t="s">
        <v>271</v>
      </c>
      <c r="C247" s="57" t="s">
        <v>275</v>
      </c>
      <c r="D247" s="57">
        <v>10</v>
      </c>
      <c r="E247" s="57">
        <v>2932</v>
      </c>
      <c r="F247" s="57">
        <v>293.2</v>
      </c>
      <c r="G247" s="57">
        <v>183.25</v>
      </c>
      <c r="H247" s="57">
        <v>18.324999999999999</v>
      </c>
      <c r="I247">
        <v>0</v>
      </c>
      <c r="J247">
        <v>261.98150068212823</v>
      </c>
      <c r="K247">
        <v>0</v>
      </c>
      <c r="L247">
        <v>48008.11</v>
      </c>
    </row>
    <row r="248" spans="1:12" x14ac:dyDescent="0.25">
      <c r="A248" s="57">
        <v>2023</v>
      </c>
      <c r="B248" s="57" t="s">
        <v>272</v>
      </c>
      <c r="C248" s="57" t="s">
        <v>274</v>
      </c>
      <c r="D248" s="57">
        <v>10</v>
      </c>
      <c r="E248" s="57">
        <v>3400</v>
      </c>
      <c r="F248" s="57">
        <v>340</v>
      </c>
      <c r="G248" s="57">
        <v>212.5</v>
      </c>
      <c r="H248" s="57">
        <v>21.25</v>
      </c>
      <c r="I248">
        <v>0</v>
      </c>
      <c r="J248">
        <v>259.46785882352941</v>
      </c>
      <c r="K248">
        <v>0</v>
      </c>
      <c r="L248">
        <v>55136.92</v>
      </c>
    </row>
    <row r="249" spans="1:12" x14ac:dyDescent="0.25">
      <c r="A249" s="57">
        <v>2023</v>
      </c>
      <c r="B249" s="57">
        <v>3</v>
      </c>
      <c r="C249" s="57" t="s">
        <v>25</v>
      </c>
      <c r="D249" s="57">
        <v>20</v>
      </c>
      <c r="E249" s="57">
        <v>6384</v>
      </c>
      <c r="F249" s="57">
        <v>319.2</v>
      </c>
      <c r="G249" s="57">
        <v>399</v>
      </c>
      <c r="H249" s="57">
        <v>19.95</v>
      </c>
      <c r="I249">
        <v>0</v>
      </c>
      <c r="J249">
        <v>114.71443609022556</v>
      </c>
      <c r="K249">
        <v>0</v>
      </c>
      <c r="L249">
        <v>45771.06</v>
      </c>
    </row>
    <row r="250" spans="1:12" x14ac:dyDescent="0.25">
      <c r="A250" s="57">
        <v>2023</v>
      </c>
      <c r="B250" s="57">
        <v>4</v>
      </c>
      <c r="C250" s="57" t="s">
        <v>26</v>
      </c>
      <c r="D250" s="57">
        <v>20</v>
      </c>
      <c r="E250" s="57">
        <v>11136</v>
      </c>
      <c r="F250" s="57">
        <v>556.79999999999995</v>
      </c>
      <c r="G250" s="57">
        <v>696</v>
      </c>
      <c r="H250" s="57">
        <v>34.799999999999997</v>
      </c>
      <c r="I250">
        <v>0</v>
      </c>
      <c r="J250">
        <v>141.85331896551725</v>
      </c>
      <c r="K250">
        <v>0</v>
      </c>
      <c r="L250">
        <v>98729.91</v>
      </c>
    </row>
    <row r="251" spans="1:12" x14ac:dyDescent="0.25">
      <c r="A251" s="57">
        <v>2023</v>
      </c>
      <c r="B251" s="57">
        <v>5</v>
      </c>
      <c r="C251" s="57" t="s">
        <v>26</v>
      </c>
      <c r="D251" s="57">
        <v>5</v>
      </c>
      <c r="E251" s="57">
        <v>2576</v>
      </c>
      <c r="F251" s="57">
        <v>515.20000000000005</v>
      </c>
      <c r="G251" s="57">
        <v>161</v>
      </c>
      <c r="H251" s="57">
        <v>32.200000000000003</v>
      </c>
      <c r="I251">
        <v>0</v>
      </c>
      <c r="J251">
        <v>155.46652173913043</v>
      </c>
      <c r="K251">
        <v>0</v>
      </c>
      <c r="L251">
        <v>25030.11</v>
      </c>
    </row>
    <row r="252" spans="1:12" x14ac:dyDescent="0.25">
      <c r="A252" s="57">
        <v>2023</v>
      </c>
      <c r="B252" s="57">
        <v>6</v>
      </c>
      <c r="C252" s="57" t="s">
        <v>26</v>
      </c>
      <c r="D252" s="57">
        <v>8</v>
      </c>
      <c r="E252" s="57">
        <v>4304</v>
      </c>
      <c r="F252" s="57">
        <v>538</v>
      </c>
      <c r="G252" s="57">
        <v>269</v>
      </c>
      <c r="H252" s="57">
        <v>33.625</v>
      </c>
      <c r="I252">
        <v>0</v>
      </c>
      <c r="J252">
        <v>166.35159851301117</v>
      </c>
      <c r="K252">
        <v>0</v>
      </c>
      <c r="L252">
        <v>44748.58</v>
      </c>
    </row>
    <row r="253" spans="1:12" x14ac:dyDescent="0.25">
      <c r="A253" s="57">
        <v>2023</v>
      </c>
      <c r="B253" s="57">
        <v>7</v>
      </c>
      <c r="C253" s="57" t="s">
        <v>26</v>
      </c>
      <c r="D253" s="57">
        <v>24</v>
      </c>
      <c r="E253" s="57">
        <v>23136</v>
      </c>
      <c r="F253" s="57">
        <v>964</v>
      </c>
      <c r="G253" s="57">
        <v>1446</v>
      </c>
      <c r="H253" s="57">
        <v>60.25</v>
      </c>
      <c r="I253">
        <v>0</v>
      </c>
      <c r="J253">
        <v>183.89686030428769</v>
      </c>
      <c r="K253">
        <v>0</v>
      </c>
      <c r="L253">
        <v>265914.86</v>
      </c>
    </row>
    <row r="254" spans="1:12" x14ac:dyDescent="0.25">
      <c r="A254" s="57">
        <v>2023</v>
      </c>
      <c r="B254" s="57">
        <v>8</v>
      </c>
      <c r="C254" s="57" t="s">
        <v>27</v>
      </c>
      <c r="D254" s="57">
        <v>20</v>
      </c>
      <c r="E254" s="57">
        <v>9224</v>
      </c>
      <c r="F254" s="57">
        <v>461.2</v>
      </c>
      <c r="G254" s="57">
        <v>576.5</v>
      </c>
      <c r="H254" s="57">
        <v>28.824999999999999</v>
      </c>
      <c r="I254">
        <v>0</v>
      </c>
      <c r="J254">
        <v>164.58978317432786</v>
      </c>
      <c r="K254">
        <v>0</v>
      </c>
      <c r="L254">
        <v>94886.010000000009</v>
      </c>
    </row>
    <row r="255" spans="1:12" x14ac:dyDescent="0.25">
      <c r="A255" s="57">
        <v>2023</v>
      </c>
      <c r="B255" s="57">
        <v>9</v>
      </c>
      <c r="C255" s="57" t="s">
        <v>33</v>
      </c>
      <c r="D255" s="57">
        <v>20</v>
      </c>
      <c r="E255" s="57">
        <v>10456</v>
      </c>
      <c r="F255" s="57">
        <v>522.79999999999995</v>
      </c>
      <c r="G255" s="57">
        <v>653.5</v>
      </c>
      <c r="H255" s="57">
        <v>32.674999999999997</v>
      </c>
      <c r="I255">
        <v>0</v>
      </c>
      <c r="J255">
        <v>198.95568477429228</v>
      </c>
      <c r="K255">
        <v>0</v>
      </c>
      <c r="L255">
        <v>130017.54000000001</v>
      </c>
    </row>
    <row r="256" spans="1:12" x14ac:dyDescent="0.25">
      <c r="A256" s="57">
        <v>2023</v>
      </c>
      <c r="B256" s="57">
        <v>10</v>
      </c>
      <c r="C256" s="57" t="s">
        <v>29</v>
      </c>
      <c r="D256" s="57">
        <v>20</v>
      </c>
      <c r="E256" s="57">
        <v>8624</v>
      </c>
      <c r="F256" s="57">
        <v>431.2</v>
      </c>
      <c r="G256" s="57">
        <v>539</v>
      </c>
      <c r="H256" s="57">
        <v>26.95</v>
      </c>
      <c r="I256">
        <v>0</v>
      </c>
      <c r="J256">
        <v>220.56513914656773</v>
      </c>
      <c r="K256">
        <v>0</v>
      </c>
      <c r="L256">
        <v>118884.61</v>
      </c>
    </row>
    <row r="257" spans="1:12" x14ac:dyDescent="0.25">
      <c r="A257" s="57">
        <v>2023</v>
      </c>
      <c r="B257" s="57">
        <v>11</v>
      </c>
      <c r="C257" s="57" t="s">
        <v>275</v>
      </c>
      <c r="D257" s="57">
        <v>17.5</v>
      </c>
      <c r="E257" s="57">
        <v>4832</v>
      </c>
      <c r="F257" s="57">
        <v>276.1142857142857</v>
      </c>
      <c r="G257" s="57">
        <v>302</v>
      </c>
      <c r="H257" s="57">
        <v>17.257142857142856</v>
      </c>
      <c r="I257">
        <v>0</v>
      </c>
      <c r="J257">
        <v>217.75844370860929</v>
      </c>
      <c r="K257">
        <v>0</v>
      </c>
      <c r="L257">
        <v>65763.05</v>
      </c>
    </row>
    <row r="258" spans="1:12" x14ac:dyDescent="0.25">
      <c r="A258" s="57">
        <v>2023</v>
      </c>
      <c r="B258" s="57">
        <v>12</v>
      </c>
      <c r="C258" s="57" t="s">
        <v>276</v>
      </c>
      <c r="D258" s="57">
        <v>18</v>
      </c>
      <c r="E258" s="57">
        <v>13664</v>
      </c>
      <c r="F258" s="57">
        <v>759.11111111111109</v>
      </c>
      <c r="G258" s="57">
        <v>854</v>
      </c>
      <c r="H258" s="57">
        <v>47.444444444444443</v>
      </c>
      <c r="I258">
        <v>0</v>
      </c>
      <c r="J258">
        <v>140.67936768149883</v>
      </c>
      <c r="K258">
        <v>0</v>
      </c>
      <c r="L258">
        <v>120140.18</v>
      </c>
    </row>
    <row r="259" spans="1:12" x14ac:dyDescent="0.25">
      <c r="A259" s="57">
        <v>2023</v>
      </c>
      <c r="B259" s="57">
        <v>13</v>
      </c>
      <c r="C259" s="57" t="s">
        <v>25</v>
      </c>
      <c r="D259" s="57">
        <v>5.5</v>
      </c>
      <c r="E259" s="57">
        <v>688</v>
      </c>
      <c r="F259" s="57">
        <v>125.09090909090909</v>
      </c>
      <c r="G259" s="57">
        <v>43</v>
      </c>
      <c r="H259" s="57">
        <v>7.8181818181818183</v>
      </c>
      <c r="I259">
        <v>0</v>
      </c>
      <c r="J259">
        <v>194.51860465116278</v>
      </c>
      <c r="K259">
        <v>0</v>
      </c>
      <c r="L259">
        <v>8364.2999999999993</v>
      </c>
    </row>
    <row r="260" spans="1:12" x14ac:dyDescent="0.25">
      <c r="A260" s="57">
        <v>2023</v>
      </c>
      <c r="B260" s="57">
        <v>14</v>
      </c>
      <c r="C260" s="57" t="s">
        <v>25</v>
      </c>
      <c r="D260" s="57">
        <v>10.39</v>
      </c>
      <c r="E260" s="57">
        <v>0</v>
      </c>
      <c r="F260" s="57">
        <v>0</v>
      </c>
      <c r="G260" s="57">
        <v>0</v>
      </c>
      <c r="H260" s="57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57">
        <v>2023</v>
      </c>
      <c r="B261" s="57">
        <v>15</v>
      </c>
      <c r="C261" s="57" t="s">
        <v>32</v>
      </c>
      <c r="D261" s="57">
        <v>9.57</v>
      </c>
      <c r="E261" s="57">
        <v>0</v>
      </c>
      <c r="F261" s="57">
        <v>0</v>
      </c>
      <c r="G261" s="57">
        <v>0</v>
      </c>
      <c r="H261" s="57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57">
        <v>2023</v>
      </c>
      <c r="B262" s="57">
        <v>16</v>
      </c>
      <c r="C262" s="57" t="s">
        <v>276</v>
      </c>
      <c r="D262" s="57">
        <v>20</v>
      </c>
      <c r="E262" s="57">
        <v>288</v>
      </c>
      <c r="F262" s="57">
        <v>14.4</v>
      </c>
      <c r="G262" s="57">
        <v>18</v>
      </c>
      <c r="H262" s="57">
        <v>0.9</v>
      </c>
      <c r="I262">
        <v>0</v>
      </c>
      <c r="J262">
        <v>52.348333333333329</v>
      </c>
      <c r="K262">
        <v>0</v>
      </c>
      <c r="L262">
        <v>942.27</v>
      </c>
    </row>
    <row r="263" spans="1:12" x14ac:dyDescent="0.25">
      <c r="A263" s="57">
        <v>2023</v>
      </c>
      <c r="B263" s="57">
        <v>17</v>
      </c>
      <c r="C263" s="57" t="s">
        <v>275</v>
      </c>
      <c r="D263" s="57">
        <v>10.68</v>
      </c>
      <c r="E263" s="57">
        <v>0</v>
      </c>
      <c r="F263" s="57">
        <v>0</v>
      </c>
      <c r="G263" s="57">
        <v>0</v>
      </c>
      <c r="H263" s="57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57">
        <v>2023</v>
      </c>
      <c r="B264" s="57">
        <v>18</v>
      </c>
      <c r="C264" s="57" t="s">
        <v>25</v>
      </c>
      <c r="D264" s="57">
        <v>39.67</v>
      </c>
      <c r="E264" s="57">
        <v>0</v>
      </c>
      <c r="F264" s="57">
        <v>0</v>
      </c>
      <c r="G264" s="57">
        <v>0</v>
      </c>
      <c r="H264" s="57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57">
        <v>2023</v>
      </c>
      <c r="B265" s="57">
        <v>19</v>
      </c>
      <c r="C265" s="57" t="s">
        <v>33</v>
      </c>
      <c r="D265" s="57">
        <v>11.54</v>
      </c>
      <c r="E265" s="57">
        <v>0</v>
      </c>
      <c r="F265" s="57">
        <v>0</v>
      </c>
      <c r="G265" s="57">
        <v>0</v>
      </c>
      <c r="H265" s="57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57">
        <v>2024</v>
      </c>
      <c r="B266" s="57" t="s">
        <v>270</v>
      </c>
      <c r="C266" s="57" t="s">
        <v>22</v>
      </c>
      <c r="D266" s="57">
        <v>20</v>
      </c>
      <c r="E266" s="57" cm="1">
        <f t="array" ref="E266:L287">TRANSPOSE(Revenue!F148:AA155)</f>
        <v>0</v>
      </c>
      <c r="F266" s="57">
        <v>0</v>
      </c>
      <c r="G266" s="57">
        <v>0</v>
      </c>
      <c r="H266" s="57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57">
        <v>2024</v>
      </c>
      <c r="B267" s="57" t="s">
        <v>273</v>
      </c>
      <c r="C267" s="57" t="s">
        <v>25</v>
      </c>
      <c r="D267" s="57">
        <v>9.5</v>
      </c>
      <c r="E267" s="57">
        <v>0</v>
      </c>
      <c r="F267" s="57">
        <v>0</v>
      </c>
      <c r="G267" s="57">
        <v>0</v>
      </c>
      <c r="H267" s="5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57">
        <v>2024</v>
      </c>
      <c r="B268" s="57">
        <v>1</v>
      </c>
      <c r="C268" s="57" t="s">
        <v>274</v>
      </c>
      <c r="D268" s="57">
        <v>20</v>
      </c>
      <c r="E268" s="57">
        <v>1616</v>
      </c>
      <c r="F268" s="57">
        <v>80.8</v>
      </c>
      <c r="G268" s="57">
        <v>101</v>
      </c>
      <c r="H268" s="57">
        <v>5.05</v>
      </c>
      <c r="I268">
        <v>0</v>
      </c>
      <c r="J268">
        <v>167.86079207920795</v>
      </c>
      <c r="K268">
        <v>0</v>
      </c>
      <c r="L268">
        <v>16953.940000000002</v>
      </c>
    </row>
    <row r="269" spans="1:12" x14ac:dyDescent="0.25">
      <c r="A269" s="57">
        <v>2024</v>
      </c>
      <c r="B269" s="57" t="s">
        <v>271</v>
      </c>
      <c r="C269" s="57" t="s">
        <v>275</v>
      </c>
      <c r="D269" s="57">
        <v>10</v>
      </c>
      <c r="E269" s="57">
        <v>5792</v>
      </c>
      <c r="F269" s="57">
        <v>579.20000000000005</v>
      </c>
      <c r="G269" s="57">
        <v>362</v>
      </c>
      <c r="H269" s="57">
        <v>36.200000000000003</v>
      </c>
      <c r="I269">
        <v>0</v>
      </c>
      <c r="J269">
        <v>276.2160497237569</v>
      </c>
      <c r="K269">
        <v>0</v>
      </c>
      <c r="L269">
        <v>99990.21</v>
      </c>
    </row>
    <row r="270" spans="1:12" x14ac:dyDescent="0.25">
      <c r="A270" s="57">
        <v>2024</v>
      </c>
      <c r="B270" s="57" t="s">
        <v>272</v>
      </c>
      <c r="C270" s="57" t="s">
        <v>274</v>
      </c>
      <c r="D270" s="57">
        <v>10</v>
      </c>
      <c r="E270" s="57">
        <v>2800</v>
      </c>
      <c r="F270" s="57">
        <v>280</v>
      </c>
      <c r="G270" s="57">
        <v>175</v>
      </c>
      <c r="H270" s="57">
        <v>17.5</v>
      </c>
      <c r="I270">
        <v>0</v>
      </c>
      <c r="J270">
        <v>336.27291428571425</v>
      </c>
      <c r="K270">
        <v>0</v>
      </c>
      <c r="L270">
        <v>58847.759999999995</v>
      </c>
    </row>
    <row r="271" spans="1:12" x14ac:dyDescent="0.25">
      <c r="A271" s="57">
        <v>2024</v>
      </c>
      <c r="B271" s="57">
        <v>3</v>
      </c>
      <c r="C271" s="57" t="s">
        <v>25</v>
      </c>
      <c r="D271" s="57">
        <v>20</v>
      </c>
      <c r="E271" s="57">
        <v>7536</v>
      </c>
      <c r="F271" s="57">
        <v>376.8</v>
      </c>
      <c r="G271" s="57">
        <v>471</v>
      </c>
      <c r="H271" s="57">
        <v>23.55</v>
      </c>
      <c r="I271">
        <v>0</v>
      </c>
      <c r="J271">
        <v>114.02980891719746</v>
      </c>
      <c r="K271">
        <v>0</v>
      </c>
      <c r="L271">
        <v>53708.04</v>
      </c>
    </row>
    <row r="272" spans="1:12" x14ac:dyDescent="0.25">
      <c r="A272" s="57">
        <v>2024</v>
      </c>
      <c r="B272" s="57">
        <v>4</v>
      </c>
      <c r="C272" s="57" t="s">
        <v>26</v>
      </c>
      <c r="D272" s="57">
        <v>20</v>
      </c>
      <c r="E272" s="57">
        <v>7116</v>
      </c>
      <c r="F272" s="57">
        <v>355.8</v>
      </c>
      <c r="G272" s="57">
        <v>444.75</v>
      </c>
      <c r="H272" s="57">
        <v>22.237500000000001</v>
      </c>
      <c r="I272">
        <v>0</v>
      </c>
      <c r="J272">
        <v>173.3510961214165</v>
      </c>
      <c r="K272">
        <v>0</v>
      </c>
      <c r="L272">
        <v>77097.899999999994</v>
      </c>
    </row>
    <row r="273" spans="1:12" x14ac:dyDescent="0.25">
      <c r="A273" s="57">
        <v>2024</v>
      </c>
      <c r="B273" s="57">
        <v>5</v>
      </c>
      <c r="C273" s="57" t="s">
        <v>26</v>
      </c>
      <c r="D273" s="57">
        <v>5</v>
      </c>
      <c r="E273" s="57">
        <v>2784</v>
      </c>
      <c r="F273" s="57">
        <v>556.79999999999995</v>
      </c>
      <c r="G273" s="57">
        <v>174</v>
      </c>
      <c r="H273" s="57">
        <v>34.799999999999997</v>
      </c>
      <c r="I273">
        <v>0</v>
      </c>
      <c r="J273">
        <v>193.26017241379313</v>
      </c>
      <c r="K273">
        <v>0</v>
      </c>
      <c r="L273">
        <v>33627.270000000004</v>
      </c>
    </row>
    <row r="274" spans="1:12" x14ac:dyDescent="0.25">
      <c r="A274" s="57">
        <v>2024</v>
      </c>
      <c r="B274" s="57">
        <v>6</v>
      </c>
      <c r="C274" s="57" t="s">
        <v>26</v>
      </c>
      <c r="D274" s="57">
        <v>8</v>
      </c>
      <c r="E274" s="57">
        <v>4568</v>
      </c>
      <c r="F274" s="57">
        <v>571</v>
      </c>
      <c r="G274" s="57">
        <v>285.5</v>
      </c>
      <c r="H274" s="57">
        <v>35.6875</v>
      </c>
      <c r="I274">
        <v>0</v>
      </c>
      <c r="J274">
        <v>199.81597197898424</v>
      </c>
      <c r="K274">
        <v>0</v>
      </c>
      <c r="L274">
        <v>57047.46</v>
      </c>
    </row>
    <row r="275" spans="1:12" x14ac:dyDescent="0.25">
      <c r="A275" s="57">
        <v>2024</v>
      </c>
      <c r="B275" s="57">
        <v>7</v>
      </c>
      <c r="C275" s="57" t="s">
        <v>26</v>
      </c>
      <c r="D275" s="57">
        <v>24</v>
      </c>
      <c r="E275" s="57">
        <v>10400</v>
      </c>
      <c r="F275" s="57">
        <v>433.33333333333331</v>
      </c>
      <c r="G275" s="57">
        <v>650</v>
      </c>
      <c r="H275" s="57">
        <v>27.083333333333332</v>
      </c>
      <c r="I275">
        <v>0</v>
      </c>
      <c r="J275">
        <v>186.75724615384615</v>
      </c>
      <c r="K275">
        <v>0</v>
      </c>
      <c r="L275">
        <v>121392.20999999999</v>
      </c>
    </row>
    <row r="276" spans="1:12" x14ac:dyDescent="0.25">
      <c r="A276" s="57">
        <v>2024</v>
      </c>
      <c r="B276" s="57">
        <v>8</v>
      </c>
      <c r="C276" s="57" t="s">
        <v>27</v>
      </c>
      <c r="D276" s="57">
        <v>20</v>
      </c>
      <c r="E276" s="57">
        <v>9136</v>
      </c>
      <c r="F276" s="57">
        <v>456.8</v>
      </c>
      <c r="G276" s="57">
        <v>571</v>
      </c>
      <c r="H276" s="57">
        <v>28.55</v>
      </c>
      <c r="I276">
        <v>0</v>
      </c>
      <c r="J276">
        <v>105.00812609457093</v>
      </c>
      <c r="K276">
        <v>0</v>
      </c>
      <c r="L276">
        <v>59959.64</v>
      </c>
    </row>
    <row r="277" spans="1:12" x14ac:dyDescent="0.25">
      <c r="A277" s="57">
        <v>2024</v>
      </c>
      <c r="B277" s="57">
        <v>9</v>
      </c>
      <c r="C277" s="57" t="s">
        <v>33</v>
      </c>
      <c r="D277" s="57">
        <v>20</v>
      </c>
      <c r="E277" s="57">
        <v>10688</v>
      </c>
      <c r="F277" s="57">
        <v>534.4</v>
      </c>
      <c r="G277" s="57">
        <v>668</v>
      </c>
      <c r="H277" s="57">
        <v>33.4</v>
      </c>
      <c r="I277">
        <v>0</v>
      </c>
      <c r="J277">
        <v>189.05366766467066</v>
      </c>
      <c r="K277">
        <v>0</v>
      </c>
      <c r="L277">
        <v>126287.85</v>
      </c>
    </row>
    <row r="278" spans="1:12" x14ac:dyDescent="0.25">
      <c r="A278" s="57">
        <v>2024</v>
      </c>
      <c r="B278" s="57">
        <v>10</v>
      </c>
      <c r="C278" s="57" t="s">
        <v>29</v>
      </c>
      <c r="D278" s="57">
        <v>20</v>
      </c>
      <c r="E278" s="57">
        <v>7152</v>
      </c>
      <c r="F278" s="57">
        <v>357.6</v>
      </c>
      <c r="G278" s="57">
        <v>447</v>
      </c>
      <c r="H278" s="57">
        <v>22.35</v>
      </c>
      <c r="I278">
        <v>0</v>
      </c>
      <c r="J278">
        <v>217.48230425055928</v>
      </c>
      <c r="K278">
        <v>0</v>
      </c>
      <c r="L278">
        <v>97214.59</v>
      </c>
    </row>
    <row r="279" spans="1:12" x14ac:dyDescent="0.25">
      <c r="A279" s="57">
        <v>2024</v>
      </c>
      <c r="B279" s="57">
        <v>11</v>
      </c>
      <c r="C279" s="57" t="s">
        <v>275</v>
      </c>
      <c r="D279" s="57">
        <v>17.5</v>
      </c>
      <c r="E279" s="57">
        <v>4864</v>
      </c>
      <c r="F279" s="57">
        <v>277.94285714285712</v>
      </c>
      <c r="G279" s="57">
        <v>304</v>
      </c>
      <c r="H279" s="57">
        <v>17.37142857142857</v>
      </c>
      <c r="I279">
        <v>0</v>
      </c>
      <c r="J279">
        <v>196.71628289473685</v>
      </c>
      <c r="K279">
        <v>0</v>
      </c>
      <c r="L279">
        <v>59801.75</v>
      </c>
    </row>
    <row r="280" spans="1:12" x14ac:dyDescent="0.25">
      <c r="A280" s="57">
        <v>2024</v>
      </c>
      <c r="B280" s="57">
        <v>12</v>
      </c>
      <c r="C280" s="57" t="s">
        <v>276</v>
      </c>
      <c r="D280" s="57">
        <v>18</v>
      </c>
      <c r="E280" s="57">
        <v>16176</v>
      </c>
      <c r="F280" s="57">
        <v>898.66666666666663</v>
      </c>
      <c r="G280" s="57">
        <v>1011</v>
      </c>
      <c r="H280" s="57">
        <v>56.166666666666664</v>
      </c>
      <c r="I280">
        <v>0</v>
      </c>
      <c r="J280">
        <v>107.16082096933728</v>
      </c>
      <c r="K280">
        <v>0</v>
      </c>
      <c r="L280">
        <v>108339.59</v>
      </c>
    </row>
    <row r="281" spans="1:12" x14ac:dyDescent="0.25">
      <c r="A281" s="57">
        <v>2024</v>
      </c>
      <c r="B281" s="57">
        <v>13</v>
      </c>
      <c r="C281" s="57" t="s">
        <v>25</v>
      </c>
      <c r="D281" s="57">
        <v>5.5</v>
      </c>
      <c r="E281" s="57">
        <v>1024</v>
      </c>
      <c r="F281" s="57">
        <v>186.18181818181819</v>
      </c>
      <c r="G281" s="57">
        <v>64</v>
      </c>
      <c r="H281" s="57">
        <v>11.636363636363637</v>
      </c>
      <c r="I281">
        <v>0</v>
      </c>
      <c r="J281">
        <v>204.89859375</v>
      </c>
      <c r="K281">
        <v>0</v>
      </c>
      <c r="L281">
        <v>13113.51</v>
      </c>
    </row>
    <row r="282" spans="1:12" x14ac:dyDescent="0.25">
      <c r="A282" s="57">
        <v>2024</v>
      </c>
      <c r="B282" s="57">
        <v>14</v>
      </c>
      <c r="C282" s="57" t="s">
        <v>25</v>
      </c>
      <c r="D282" s="57">
        <v>10.39</v>
      </c>
      <c r="E282" s="57">
        <v>0</v>
      </c>
      <c r="F282" s="57">
        <v>0</v>
      </c>
      <c r="G282" s="57">
        <v>0</v>
      </c>
      <c r="H282" s="57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57">
        <v>2024</v>
      </c>
      <c r="B283" s="57">
        <v>15</v>
      </c>
      <c r="C283" s="57" t="s">
        <v>32</v>
      </c>
      <c r="D283" s="57">
        <v>9.57</v>
      </c>
      <c r="E283" s="57">
        <v>0</v>
      </c>
      <c r="F283" s="57">
        <v>0</v>
      </c>
      <c r="G283" s="57">
        <v>0</v>
      </c>
      <c r="H283" s="57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57">
        <v>2024</v>
      </c>
      <c r="B284" s="57">
        <v>16</v>
      </c>
      <c r="C284" s="57" t="s">
        <v>276</v>
      </c>
      <c r="D284" s="57">
        <v>20</v>
      </c>
      <c r="E284" s="57">
        <v>1456</v>
      </c>
      <c r="F284" s="57">
        <v>72.8</v>
      </c>
      <c r="G284" s="57">
        <v>91</v>
      </c>
      <c r="H284" s="57">
        <v>4.55</v>
      </c>
      <c r="I284">
        <v>0</v>
      </c>
      <c r="J284">
        <v>63.38</v>
      </c>
      <c r="K284">
        <v>0</v>
      </c>
      <c r="L284">
        <v>5767.58</v>
      </c>
    </row>
    <row r="285" spans="1:12" x14ac:dyDescent="0.25">
      <c r="A285" s="57">
        <v>2024</v>
      </c>
      <c r="B285" s="57">
        <v>17</v>
      </c>
      <c r="C285" s="57" t="s">
        <v>275</v>
      </c>
      <c r="D285" s="57">
        <v>10.68</v>
      </c>
      <c r="E285" s="57">
        <v>80</v>
      </c>
      <c r="F285" s="57">
        <v>7.4906367041198507</v>
      </c>
      <c r="G285" s="57">
        <v>5</v>
      </c>
      <c r="H285" s="57">
        <v>0.46816479400749067</v>
      </c>
      <c r="I285">
        <v>0</v>
      </c>
      <c r="J285">
        <v>180</v>
      </c>
      <c r="K285">
        <v>0</v>
      </c>
      <c r="L285">
        <v>900</v>
      </c>
    </row>
    <row r="286" spans="1:12" x14ac:dyDescent="0.25">
      <c r="A286" s="57">
        <v>2024</v>
      </c>
      <c r="B286" s="57">
        <v>18</v>
      </c>
      <c r="C286" s="57" t="s">
        <v>25</v>
      </c>
      <c r="D286" s="57">
        <v>39.67</v>
      </c>
      <c r="E286" s="57">
        <v>0</v>
      </c>
      <c r="F286" s="57">
        <v>0</v>
      </c>
      <c r="G286" s="57">
        <v>0</v>
      </c>
      <c r="H286" s="57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57">
        <v>2024</v>
      </c>
      <c r="B287" s="57">
        <v>19</v>
      </c>
      <c r="C287" s="57" t="s">
        <v>33</v>
      </c>
      <c r="D287" s="57">
        <v>11.54</v>
      </c>
      <c r="E287" s="57">
        <v>0</v>
      </c>
      <c r="F287" s="57">
        <v>0</v>
      </c>
      <c r="G287" s="57">
        <v>0</v>
      </c>
      <c r="H287" s="5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57">
        <v>2025</v>
      </c>
      <c r="B288" s="57" t="s">
        <v>270</v>
      </c>
      <c r="C288" s="57" t="s">
        <v>22</v>
      </c>
      <c r="D288" s="57">
        <v>20</v>
      </c>
      <c r="E288" s="57" cm="1">
        <f t="array" ref="E288:L309">TRANSPOSE(Revenue!F159:AA166)</f>
        <v>0</v>
      </c>
      <c r="F288" s="57">
        <v>0</v>
      </c>
      <c r="G288" s="57">
        <v>0</v>
      </c>
      <c r="H288" s="57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57">
        <v>2025</v>
      </c>
      <c r="B289" s="57" t="s">
        <v>273</v>
      </c>
      <c r="C289" s="57" t="s">
        <v>25</v>
      </c>
      <c r="D289" s="57">
        <v>9.5</v>
      </c>
      <c r="E289" s="57">
        <v>0</v>
      </c>
      <c r="F289" s="57">
        <v>0</v>
      </c>
      <c r="G289" s="57">
        <v>0</v>
      </c>
      <c r="H289" s="57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57">
        <v>2025</v>
      </c>
      <c r="B290" s="57">
        <v>1</v>
      </c>
      <c r="C290" s="57" t="s">
        <v>274</v>
      </c>
      <c r="D290" s="57">
        <v>20</v>
      </c>
      <c r="E290" s="57">
        <v>3056</v>
      </c>
      <c r="F290" s="57">
        <v>152.80000000000001</v>
      </c>
      <c r="G290" s="57">
        <v>191</v>
      </c>
      <c r="H290" s="57">
        <v>9.5500000000000007</v>
      </c>
      <c r="I290">
        <v>0</v>
      </c>
      <c r="J290">
        <v>200</v>
      </c>
      <c r="K290">
        <v>0</v>
      </c>
      <c r="L290">
        <v>38200</v>
      </c>
    </row>
    <row r="291" spans="1:12" x14ac:dyDescent="0.25">
      <c r="A291" s="57">
        <v>2025</v>
      </c>
      <c r="B291" s="57" t="s">
        <v>271</v>
      </c>
      <c r="C291" s="57" t="s">
        <v>275</v>
      </c>
      <c r="D291" s="57">
        <v>10</v>
      </c>
      <c r="E291" s="57">
        <v>4607</v>
      </c>
      <c r="F291" s="57">
        <v>460.7</v>
      </c>
      <c r="G291" s="57">
        <v>287.9375</v>
      </c>
      <c r="H291" s="57">
        <v>28.793749999999999</v>
      </c>
      <c r="I291">
        <v>0</v>
      </c>
      <c r="J291">
        <v>250</v>
      </c>
      <c r="K291">
        <v>0</v>
      </c>
      <c r="L291">
        <v>71984.375</v>
      </c>
    </row>
    <row r="292" spans="1:12" x14ac:dyDescent="0.25">
      <c r="A292" s="57">
        <v>2025</v>
      </c>
      <c r="B292" s="57" t="s">
        <v>272</v>
      </c>
      <c r="C292" s="57" t="s">
        <v>274</v>
      </c>
      <c r="D292" s="57">
        <v>10</v>
      </c>
      <c r="E292" s="57">
        <v>2816</v>
      </c>
      <c r="F292" s="57">
        <v>281.60000000000002</v>
      </c>
      <c r="G292" s="57">
        <v>176</v>
      </c>
      <c r="H292" s="57">
        <v>17.600000000000001</v>
      </c>
      <c r="I292">
        <v>0</v>
      </c>
      <c r="J292">
        <v>286.27291428571425</v>
      </c>
      <c r="K292">
        <v>0</v>
      </c>
      <c r="L292">
        <v>50384.032914285708</v>
      </c>
    </row>
    <row r="293" spans="1:12" x14ac:dyDescent="0.25">
      <c r="A293" s="57">
        <v>2025</v>
      </c>
      <c r="B293" s="57">
        <v>3</v>
      </c>
      <c r="C293" s="57" t="s">
        <v>25</v>
      </c>
      <c r="D293" s="57">
        <v>20</v>
      </c>
      <c r="E293" s="57">
        <v>8303.0769230769256</v>
      </c>
      <c r="F293" s="57">
        <v>415.1538461538463</v>
      </c>
      <c r="G293" s="57">
        <v>518.94230769230785</v>
      </c>
      <c r="H293" s="57">
        <v>25.94711538461539</v>
      </c>
      <c r="I293">
        <v>0</v>
      </c>
      <c r="J293">
        <v>134.24762369388307</v>
      </c>
      <c r="K293">
        <v>0</v>
      </c>
      <c r="L293">
        <v>69666.77164191223</v>
      </c>
    </row>
    <row r="294" spans="1:12" x14ac:dyDescent="0.25">
      <c r="A294" s="57">
        <v>2025</v>
      </c>
      <c r="B294" s="57">
        <v>4</v>
      </c>
      <c r="C294" s="57" t="s">
        <v>26</v>
      </c>
      <c r="D294" s="57">
        <v>20</v>
      </c>
      <c r="E294" s="57">
        <v>10205.257525083611</v>
      </c>
      <c r="F294" s="57">
        <v>510.26287625418053</v>
      </c>
      <c r="G294" s="57">
        <v>637.82859531772567</v>
      </c>
      <c r="H294" s="57">
        <v>31.891429765886283</v>
      </c>
      <c r="I294">
        <v>0</v>
      </c>
      <c r="J294">
        <v>180</v>
      </c>
      <c r="K294">
        <v>0</v>
      </c>
      <c r="L294">
        <v>114809.14715719061</v>
      </c>
    </row>
    <row r="295" spans="1:12" x14ac:dyDescent="0.25">
      <c r="A295" s="57">
        <v>2025</v>
      </c>
      <c r="B295" s="57">
        <v>5</v>
      </c>
      <c r="C295" s="57" t="s">
        <v>26</v>
      </c>
      <c r="D295" s="57">
        <v>5</v>
      </c>
      <c r="E295" s="57">
        <v>3010.4615384615386</v>
      </c>
      <c r="F295" s="57">
        <v>602.09230769230771</v>
      </c>
      <c r="G295" s="57">
        <v>188.15384615384616</v>
      </c>
      <c r="H295" s="57">
        <v>37.630769230769232</v>
      </c>
      <c r="I295">
        <v>0</v>
      </c>
      <c r="J295">
        <v>180</v>
      </c>
      <c r="K295">
        <v>0</v>
      </c>
      <c r="L295">
        <v>33867.692307692312</v>
      </c>
    </row>
    <row r="296" spans="1:12" x14ac:dyDescent="0.25">
      <c r="A296" s="57">
        <v>2025</v>
      </c>
      <c r="B296" s="57">
        <v>6</v>
      </c>
      <c r="C296" s="57" t="s">
        <v>26</v>
      </c>
      <c r="D296" s="57">
        <v>8</v>
      </c>
      <c r="E296" s="57">
        <v>5229.5384615384619</v>
      </c>
      <c r="F296" s="57">
        <v>653.69230769230774</v>
      </c>
      <c r="G296" s="57">
        <v>326.84615384615387</v>
      </c>
      <c r="H296" s="57">
        <v>40.855769230769234</v>
      </c>
      <c r="I296">
        <v>0</v>
      </c>
      <c r="J296">
        <v>180</v>
      </c>
      <c r="K296">
        <v>0</v>
      </c>
      <c r="L296">
        <v>58832.307692307695</v>
      </c>
    </row>
    <row r="297" spans="1:12" x14ac:dyDescent="0.25">
      <c r="A297" s="57">
        <v>2025</v>
      </c>
      <c r="B297" s="57">
        <v>7</v>
      </c>
      <c r="C297" s="57" t="s">
        <v>26</v>
      </c>
      <c r="D297" s="57">
        <v>24</v>
      </c>
      <c r="E297" s="57">
        <v>16648.923076923078</v>
      </c>
      <c r="F297" s="57">
        <v>693.70512820512829</v>
      </c>
      <c r="G297" s="57">
        <v>1040.5576923076924</v>
      </c>
      <c r="H297" s="57">
        <v>43.356570512820511</v>
      </c>
      <c r="I297">
        <v>0</v>
      </c>
      <c r="J297">
        <v>180</v>
      </c>
      <c r="K297">
        <v>0</v>
      </c>
      <c r="L297">
        <v>187300.38461538462</v>
      </c>
    </row>
    <row r="298" spans="1:12" x14ac:dyDescent="0.25">
      <c r="A298" s="57">
        <v>2025</v>
      </c>
      <c r="B298" s="57">
        <v>8</v>
      </c>
      <c r="C298" s="57" t="s">
        <v>27</v>
      </c>
      <c r="D298" s="57">
        <v>20</v>
      </c>
      <c r="E298" s="57">
        <v>9530.461538461539</v>
      </c>
      <c r="F298" s="57">
        <v>476.52307692307693</v>
      </c>
      <c r="G298" s="57">
        <v>595.65384615384619</v>
      </c>
      <c r="H298" s="57">
        <v>29.782692307692308</v>
      </c>
      <c r="I298">
        <v>0</v>
      </c>
      <c r="J298">
        <v>180</v>
      </c>
      <c r="K298">
        <v>0</v>
      </c>
      <c r="L298">
        <v>107217.69230769231</v>
      </c>
    </row>
    <row r="299" spans="1:12" x14ac:dyDescent="0.25">
      <c r="A299" s="57">
        <v>2025</v>
      </c>
      <c r="B299" s="57">
        <v>9</v>
      </c>
      <c r="C299" s="57" t="s">
        <v>33</v>
      </c>
      <c r="D299" s="57">
        <v>20</v>
      </c>
      <c r="E299" s="57">
        <v>12981</v>
      </c>
      <c r="F299" s="57">
        <v>649.04999999999995</v>
      </c>
      <c r="G299" s="57">
        <v>811.3125</v>
      </c>
      <c r="H299" s="57">
        <v>40.565624999999997</v>
      </c>
      <c r="I299">
        <v>0</v>
      </c>
      <c r="J299">
        <v>200</v>
      </c>
      <c r="K299">
        <v>0</v>
      </c>
      <c r="L299">
        <v>162262.5</v>
      </c>
    </row>
    <row r="300" spans="1:12" x14ac:dyDescent="0.25">
      <c r="A300" s="57">
        <v>2025</v>
      </c>
      <c r="B300" s="57">
        <v>10</v>
      </c>
      <c r="C300" s="57" t="s">
        <v>29</v>
      </c>
      <c r="D300" s="57">
        <v>20</v>
      </c>
      <c r="E300" s="57">
        <v>7076.6666666666661</v>
      </c>
      <c r="F300" s="57">
        <v>353.83333333333331</v>
      </c>
      <c r="G300" s="57">
        <v>442.29166666666663</v>
      </c>
      <c r="H300" s="57">
        <v>22.114583333333332</v>
      </c>
      <c r="I300">
        <v>0</v>
      </c>
      <c r="J300">
        <v>200.2035129225379</v>
      </c>
      <c r="K300">
        <v>0</v>
      </c>
      <c r="L300">
        <v>88548.34540303082</v>
      </c>
    </row>
    <row r="301" spans="1:12" x14ac:dyDescent="0.25">
      <c r="A301" s="57">
        <v>2025</v>
      </c>
      <c r="B301" s="57">
        <v>11</v>
      </c>
      <c r="C301" s="57" t="s">
        <v>275</v>
      </c>
      <c r="D301" s="57">
        <v>17.5</v>
      </c>
      <c r="E301" s="57">
        <v>12930</v>
      </c>
      <c r="F301" s="57">
        <v>738.85714285714289</v>
      </c>
      <c r="G301" s="57">
        <v>808.125</v>
      </c>
      <c r="H301" s="57">
        <v>46.178571428571431</v>
      </c>
      <c r="I301">
        <v>0</v>
      </c>
      <c r="J301">
        <v>250</v>
      </c>
      <c r="K301">
        <v>0</v>
      </c>
      <c r="L301">
        <v>202031.25</v>
      </c>
    </row>
    <row r="302" spans="1:12" x14ac:dyDescent="0.25">
      <c r="A302" s="57">
        <v>2025</v>
      </c>
      <c r="B302" s="57">
        <v>12</v>
      </c>
      <c r="C302" s="57" t="s">
        <v>276</v>
      </c>
      <c r="D302" s="57">
        <v>18</v>
      </c>
      <c r="E302" s="57">
        <v>14016</v>
      </c>
      <c r="F302" s="57">
        <v>778.66666666666663</v>
      </c>
      <c r="G302" s="57">
        <v>876</v>
      </c>
      <c r="H302" s="57">
        <v>48.666666666666664</v>
      </c>
      <c r="I302">
        <v>0</v>
      </c>
      <c r="J302">
        <v>100</v>
      </c>
      <c r="K302">
        <v>0</v>
      </c>
      <c r="L302">
        <v>87600</v>
      </c>
    </row>
    <row r="303" spans="1:12" x14ac:dyDescent="0.25">
      <c r="A303" s="57">
        <v>2025</v>
      </c>
      <c r="B303" s="57">
        <v>13</v>
      </c>
      <c r="C303" s="57" t="s">
        <v>25</v>
      </c>
      <c r="D303" s="57">
        <v>5.5</v>
      </c>
      <c r="E303" s="57">
        <v>1776</v>
      </c>
      <c r="F303" s="57">
        <v>322.90909090909093</v>
      </c>
      <c r="G303" s="57">
        <v>111</v>
      </c>
      <c r="H303" s="57">
        <v>20.181818181818183</v>
      </c>
      <c r="I303">
        <v>0</v>
      </c>
      <c r="J303">
        <v>200</v>
      </c>
      <c r="K303">
        <v>0</v>
      </c>
      <c r="L303">
        <v>22200</v>
      </c>
    </row>
    <row r="304" spans="1:12" x14ac:dyDescent="0.25">
      <c r="A304" s="57">
        <v>2025</v>
      </c>
      <c r="B304" s="57">
        <v>14</v>
      </c>
      <c r="C304" s="57" t="s">
        <v>25</v>
      </c>
      <c r="D304" s="57">
        <v>10.39</v>
      </c>
      <c r="E304" s="57">
        <v>343.62692210738595</v>
      </c>
      <c r="F304" s="57">
        <v>33.072851020922613</v>
      </c>
      <c r="G304" s="57">
        <v>21.476682631711622</v>
      </c>
      <c r="H304" s="57">
        <v>2.0670531888076633</v>
      </c>
      <c r="I304">
        <v>0</v>
      </c>
      <c r="J304">
        <v>200</v>
      </c>
      <c r="K304">
        <v>0</v>
      </c>
      <c r="L304">
        <v>4295.3365263423248</v>
      </c>
    </row>
    <row r="305" spans="1:12" x14ac:dyDescent="0.25">
      <c r="A305" s="57">
        <v>2025</v>
      </c>
      <c r="B305" s="57">
        <v>15</v>
      </c>
      <c r="C305" s="57" t="s">
        <v>32</v>
      </c>
      <c r="D305" s="57">
        <v>9.57</v>
      </c>
      <c r="E305" s="57">
        <v>765.6</v>
      </c>
      <c r="F305" s="57">
        <v>80</v>
      </c>
      <c r="G305" s="57">
        <v>47.85</v>
      </c>
      <c r="H305" s="57">
        <v>5</v>
      </c>
      <c r="I305">
        <v>0</v>
      </c>
      <c r="J305">
        <v>260</v>
      </c>
      <c r="K305">
        <v>0</v>
      </c>
      <c r="L305">
        <v>12441</v>
      </c>
    </row>
    <row r="306" spans="1:12" x14ac:dyDescent="0.25">
      <c r="A306" s="57">
        <v>2025</v>
      </c>
      <c r="B306" s="57">
        <v>16</v>
      </c>
      <c r="C306" s="57" t="s">
        <v>276</v>
      </c>
      <c r="D306" s="57">
        <v>20</v>
      </c>
      <c r="E306" s="57">
        <v>4576</v>
      </c>
      <c r="F306" s="57">
        <v>228.8</v>
      </c>
      <c r="G306" s="57">
        <v>286</v>
      </c>
      <c r="H306" s="57">
        <v>14.3</v>
      </c>
      <c r="I306">
        <v>0</v>
      </c>
      <c r="J306">
        <v>100</v>
      </c>
      <c r="K306">
        <v>0</v>
      </c>
      <c r="L306">
        <v>28600</v>
      </c>
    </row>
    <row r="307" spans="1:12" x14ac:dyDescent="0.25">
      <c r="A307" s="57">
        <v>2025</v>
      </c>
      <c r="B307" s="57">
        <v>17</v>
      </c>
      <c r="C307" s="57" t="s">
        <v>275</v>
      </c>
      <c r="D307" s="57">
        <v>10.68</v>
      </c>
      <c r="E307" s="57">
        <v>2208</v>
      </c>
      <c r="F307" s="57">
        <v>206.74157303370788</v>
      </c>
      <c r="G307" s="57">
        <v>138</v>
      </c>
      <c r="H307" s="57">
        <v>12.921348314606742</v>
      </c>
      <c r="I307">
        <v>0</v>
      </c>
      <c r="J307">
        <v>250</v>
      </c>
      <c r="K307">
        <v>0</v>
      </c>
      <c r="L307">
        <v>34500</v>
      </c>
    </row>
    <row r="308" spans="1:12" x14ac:dyDescent="0.25">
      <c r="A308" s="57">
        <v>2025</v>
      </c>
      <c r="B308" s="57">
        <v>18</v>
      </c>
      <c r="C308" s="57" t="s">
        <v>25</v>
      </c>
      <c r="D308" s="57">
        <v>39.67</v>
      </c>
      <c r="E308" s="57">
        <v>1312</v>
      </c>
      <c r="F308" s="57">
        <v>33.072851020922613</v>
      </c>
      <c r="G308" s="57">
        <v>82</v>
      </c>
      <c r="H308" s="57">
        <v>2.0670531888076633</v>
      </c>
      <c r="I308">
        <v>0</v>
      </c>
      <c r="J308">
        <v>200</v>
      </c>
      <c r="K308">
        <v>0</v>
      </c>
      <c r="L308">
        <v>16400</v>
      </c>
    </row>
    <row r="309" spans="1:12" x14ac:dyDescent="0.25">
      <c r="A309" s="57">
        <v>2025</v>
      </c>
      <c r="B309" s="57">
        <v>19</v>
      </c>
      <c r="C309" s="57" t="s">
        <v>33</v>
      </c>
      <c r="D309" s="57">
        <v>11.54</v>
      </c>
      <c r="E309" s="57">
        <v>256</v>
      </c>
      <c r="F309" s="57">
        <v>22.183708838821492</v>
      </c>
      <c r="G309" s="57">
        <v>16</v>
      </c>
      <c r="H309" s="57">
        <v>1.3864818024263432</v>
      </c>
      <c r="I309">
        <v>0</v>
      </c>
      <c r="J309">
        <v>200</v>
      </c>
      <c r="K309">
        <v>0</v>
      </c>
      <c r="L309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AA4B-4897-4849-AD64-5879DD7E3966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A9D-5E95-4FFE-88F0-2F008C2C75D6}">
  <sheetPr codeName="Sheet4"/>
  <dimension ref="A1:U40"/>
  <sheetViews>
    <sheetView workbookViewId="0">
      <selection activeCell="E15" sqref="E15"/>
    </sheetView>
  </sheetViews>
  <sheetFormatPr defaultRowHeight="15" x14ac:dyDescent="0.25"/>
  <cols>
    <col min="1" max="1" width="17.28515625" style="6" customWidth="1"/>
    <col min="2" max="2" width="11.7109375" style="57" bestFit="1" customWidth="1"/>
    <col min="3" max="3" width="10.140625" style="57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customWidth="1"/>
    <col min="11" max="11" width="9.7109375" style="57" bestFit="1" customWidth="1"/>
    <col min="12" max="12" width="7.7109375" style="57" bestFit="1" customWidth="1"/>
    <col min="13" max="13" width="11.85546875" style="57" customWidth="1"/>
    <col min="14" max="14" width="7.7109375" style="57" bestFit="1" customWidth="1"/>
    <col min="15" max="16" width="12" style="57" bestFit="1" customWidth="1"/>
    <col min="17" max="17" width="14.42578125" style="57" customWidth="1"/>
    <col min="18" max="18" width="12.85546875" style="57" customWidth="1"/>
    <col min="19" max="19" width="10.85546875" style="57" bestFit="1" customWidth="1"/>
    <col min="20" max="20" width="12" style="57" bestFit="1" customWidth="1"/>
    <col min="21" max="21" width="10.85546875" style="57" customWidth="1"/>
  </cols>
  <sheetData>
    <row r="1" spans="1:21" ht="15.75" thickBot="1" x14ac:dyDescent="0.3"/>
    <row r="2" spans="1:21" ht="15.75" thickBot="1" x14ac:dyDescent="0.3">
      <c r="B2" s="134" t="s">
        <v>58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s="1" customFormat="1" x14ac:dyDescent="0.25">
      <c r="A3" s="6"/>
      <c r="B3" s="6" t="str">
        <f>Revenue!H2</f>
        <v>Block 1</v>
      </c>
      <c r="C3" s="87" t="str">
        <f>Revenue!I2</f>
        <v>Block 2a</v>
      </c>
      <c r="D3" s="87" t="str">
        <f>Revenue!J2</f>
        <v>Block 2b</v>
      </c>
      <c r="E3" s="6" t="str">
        <f>Revenue!K2</f>
        <v>Block 3</v>
      </c>
      <c r="F3" s="6" t="str">
        <f>Revenue!L2</f>
        <v>Block 4 (1)</v>
      </c>
      <c r="G3" s="6" t="str">
        <f>Revenue!M2</f>
        <v>Block 5 (6W)</v>
      </c>
      <c r="H3" s="6" t="str">
        <f>Revenue!N2</f>
        <v>Block 6 (6M)</v>
      </c>
      <c r="I3" s="6" t="str">
        <f>Revenue!O2</f>
        <v>Block 7 (6E)</v>
      </c>
      <c r="J3" s="6" t="str">
        <f>Revenue!P2</f>
        <v>Block 8</v>
      </c>
      <c r="K3" s="87" t="str">
        <f>Revenue!Q2</f>
        <v>Block 9</v>
      </c>
      <c r="L3" s="87" t="str">
        <f>Revenue!R2</f>
        <v>Block 10</v>
      </c>
      <c r="M3" s="6" t="str">
        <f>Revenue!S2</f>
        <v>Block 11</v>
      </c>
      <c r="N3" s="87" t="str">
        <f>Revenue!T2</f>
        <v>Block 12</v>
      </c>
      <c r="O3" s="6" t="str">
        <f>Revenue!U2</f>
        <v>Block 13W</v>
      </c>
      <c r="P3" s="6" t="str">
        <f>Revenue!V2</f>
        <v>Block 14</v>
      </c>
      <c r="Q3" s="6" t="str">
        <f>Revenue!W2</f>
        <v>Block 15</v>
      </c>
      <c r="R3" s="6" t="str">
        <f>Revenue!X2</f>
        <v>Block 16L</v>
      </c>
      <c r="S3" s="6" t="str">
        <f>Revenue!Y2</f>
        <v>Block 17</v>
      </c>
      <c r="T3" s="6" t="str">
        <f>Revenue!Z2</f>
        <v>Block 18</v>
      </c>
      <c r="U3" s="6" t="str">
        <f>Revenue!AA2</f>
        <v>Block 19</v>
      </c>
    </row>
    <row r="4" spans="1:21" s="1" customFormat="1" x14ac:dyDescent="0.25">
      <c r="A4" s="6" t="s">
        <v>59</v>
      </c>
      <c r="B4" s="6">
        <f>Revenue!H5</f>
        <v>20</v>
      </c>
      <c r="C4" s="87">
        <f>Revenue!I5</f>
        <v>10</v>
      </c>
      <c r="D4" s="87">
        <f>Revenue!J5</f>
        <v>10</v>
      </c>
      <c r="E4" s="6">
        <f>Revenue!K5</f>
        <v>20</v>
      </c>
      <c r="F4" s="6">
        <f>Revenue!L5</f>
        <v>20</v>
      </c>
      <c r="G4" s="6">
        <f>Revenue!M5</f>
        <v>5</v>
      </c>
      <c r="H4" s="6">
        <f>Revenue!N5</f>
        <v>8</v>
      </c>
      <c r="I4" s="6">
        <f>Revenue!O5</f>
        <v>24</v>
      </c>
      <c r="J4" s="6">
        <f>Revenue!P5</f>
        <v>20</v>
      </c>
      <c r="K4" s="87">
        <f>Revenue!Q5</f>
        <v>20</v>
      </c>
      <c r="L4" s="87">
        <f>Revenue!R5</f>
        <v>20</v>
      </c>
      <c r="M4" s="6">
        <f>Revenue!S5</f>
        <v>17.5</v>
      </c>
      <c r="N4" s="87">
        <f>Revenue!T5</f>
        <v>18</v>
      </c>
      <c r="O4" s="6">
        <f>Revenue!U5</f>
        <v>5.5</v>
      </c>
      <c r="P4" s="6">
        <f>Revenue!V5</f>
        <v>10.39</v>
      </c>
      <c r="Q4" s="6">
        <f>Revenue!W5</f>
        <v>9.57</v>
      </c>
      <c r="R4" s="6">
        <f>Revenue!X5</f>
        <v>20</v>
      </c>
      <c r="S4" s="6">
        <f>Revenue!Y5</f>
        <v>10.68</v>
      </c>
      <c r="T4" s="6">
        <f>Revenue!Z5</f>
        <v>39.67</v>
      </c>
      <c r="U4" s="6">
        <f>Revenue!AA5</f>
        <v>11.54</v>
      </c>
    </row>
    <row r="5" spans="1:21" s="1" customFormat="1" x14ac:dyDescent="0.25">
      <c r="A5" s="6" t="s">
        <v>60</v>
      </c>
      <c r="B5" s="6" t="str">
        <f>Revenue!H3</f>
        <v>Clementines</v>
      </c>
      <c r="C5" s="87" t="str">
        <f>Revenue!I3</f>
        <v>Tangos</v>
      </c>
      <c r="D5" s="87" t="str">
        <f>Revenue!J3</f>
        <v>Clementines</v>
      </c>
      <c r="E5" s="6" t="str">
        <f>Revenue!K3</f>
        <v>Washington</v>
      </c>
      <c r="F5" s="6" t="str">
        <f>Revenue!L3</f>
        <v>Valencia</v>
      </c>
      <c r="G5" s="6" t="str">
        <f>Revenue!M3</f>
        <v>Valencia</v>
      </c>
      <c r="H5" s="6" t="str">
        <f>Revenue!N3</f>
        <v>Valencia</v>
      </c>
      <c r="I5" s="6" t="str">
        <f>Revenue!O3</f>
        <v>Valencia</v>
      </c>
      <c r="J5" s="6" t="str">
        <f>Revenue!P3</f>
        <v>Late Lane</v>
      </c>
      <c r="K5" s="87" t="str">
        <f>Revenue!Q3</f>
        <v>Cara Caras</v>
      </c>
      <c r="L5" s="87" t="str">
        <f>Revenue!R3</f>
        <v>Powells</v>
      </c>
      <c r="M5" s="6" t="str">
        <f>Revenue!S3</f>
        <v>Tangos</v>
      </c>
      <c r="N5" s="87" t="str">
        <f>Revenue!T3</f>
        <v>Lemons</v>
      </c>
      <c r="O5" s="6" t="str">
        <f>Revenue!U3</f>
        <v>Washingtons</v>
      </c>
      <c r="P5" s="6" t="str">
        <f>Revenue!V3</f>
        <v>Washingtons</v>
      </c>
      <c r="Q5" s="6" t="str">
        <f>Revenue!W3</f>
        <v>Grapefruit</v>
      </c>
      <c r="R5" s="6" t="str">
        <f>Revenue!X3</f>
        <v>Lemons</v>
      </c>
      <c r="S5" s="6" t="str">
        <f>Revenue!Y3</f>
        <v>Tangos</v>
      </c>
      <c r="T5" s="6" t="str">
        <f>Revenue!Z3</f>
        <v>Washingtons</v>
      </c>
      <c r="U5" s="6" t="str">
        <f>Revenue!AA3</f>
        <v>Cara Cara</v>
      </c>
    </row>
    <row r="6" spans="1:21" x14ac:dyDescent="0.25">
      <c r="A6" s="6">
        <v>2012</v>
      </c>
      <c r="B6" s="84">
        <f>Revenue!H11</f>
        <v>0</v>
      </c>
      <c r="C6" s="88">
        <f>Revenue!I11</f>
        <v>0</v>
      </c>
      <c r="D6" s="88">
        <f>Revenue!J11</f>
        <v>0</v>
      </c>
      <c r="E6" s="84">
        <f>Revenue!K11</f>
        <v>27.375</v>
      </c>
      <c r="F6" s="84">
        <f>Revenue!L11</f>
        <v>37.15</v>
      </c>
      <c r="G6" s="84">
        <f>Revenue!M11</f>
        <v>41.6</v>
      </c>
      <c r="H6" s="84">
        <f>Revenue!N11</f>
        <v>55.625</v>
      </c>
      <c r="I6" s="84">
        <f>Revenue!O11</f>
        <v>51</v>
      </c>
      <c r="J6" s="84">
        <f>Revenue!P11</f>
        <v>35.9</v>
      </c>
      <c r="K6" s="88">
        <f>Revenue!Q11</f>
        <v>0</v>
      </c>
      <c r="L6" s="88">
        <f>Revenue!R11</f>
        <v>0</v>
      </c>
      <c r="M6" s="84">
        <f>Revenue!S11</f>
        <v>0</v>
      </c>
      <c r="N6" s="88">
        <f>Revenue!T11</f>
        <v>0</v>
      </c>
      <c r="O6" s="84">
        <f>Revenue!U11</f>
        <v>0</v>
      </c>
      <c r="P6" s="84">
        <f>Revenue!V11</f>
        <v>0</v>
      </c>
      <c r="Q6" s="84">
        <f>Revenue!W11</f>
        <v>0</v>
      </c>
      <c r="R6" s="84">
        <f>Revenue!X11</f>
        <v>0</v>
      </c>
      <c r="S6" s="84">
        <f>Revenue!Y11</f>
        <v>0</v>
      </c>
      <c r="T6" s="84">
        <f>Revenue!Z11</f>
        <v>0</v>
      </c>
      <c r="U6" s="84">
        <f>Revenue!AA11</f>
        <v>0</v>
      </c>
    </row>
    <row r="7" spans="1:21" x14ac:dyDescent="0.25">
      <c r="A7" s="6">
        <v>2013</v>
      </c>
      <c r="B7" s="84">
        <f>Revenue!H22</f>
        <v>0</v>
      </c>
      <c r="C7" s="88">
        <f>Revenue!I22</f>
        <v>0</v>
      </c>
      <c r="D7" s="88">
        <f>Revenue!J22</f>
        <v>0</v>
      </c>
      <c r="E7" s="84">
        <f>Revenue!K22</f>
        <v>16.225000000000001</v>
      </c>
      <c r="F7" s="84">
        <f>Revenue!L22</f>
        <v>20.399999999999999</v>
      </c>
      <c r="G7" s="84">
        <f>Revenue!M22</f>
        <v>30</v>
      </c>
      <c r="H7" s="84">
        <f>Revenue!N22</f>
        <v>27.75</v>
      </c>
      <c r="I7" s="84">
        <f>Revenue!O22</f>
        <v>34.375</v>
      </c>
      <c r="J7" s="84">
        <f>Revenue!P22</f>
        <v>16.899999999999999</v>
      </c>
      <c r="K7" s="88">
        <f>Revenue!Q22</f>
        <v>0</v>
      </c>
      <c r="L7" s="88">
        <f>Revenue!R22</f>
        <v>0</v>
      </c>
      <c r="M7" s="84">
        <f>Revenue!S22</f>
        <v>0</v>
      </c>
      <c r="N7" s="88">
        <f>Revenue!T22</f>
        <v>0</v>
      </c>
      <c r="O7" s="84">
        <f>Revenue!U22</f>
        <v>0</v>
      </c>
      <c r="P7" s="84">
        <f>Revenue!V22</f>
        <v>0</v>
      </c>
      <c r="Q7" s="84">
        <f>Revenue!W22</f>
        <v>0</v>
      </c>
      <c r="R7" s="84">
        <f>Revenue!X22</f>
        <v>0</v>
      </c>
      <c r="S7" s="84">
        <f>Revenue!Y22</f>
        <v>0</v>
      </c>
      <c r="T7" s="84">
        <f>Revenue!Z22</f>
        <v>0</v>
      </c>
      <c r="U7" s="84">
        <f>Revenue!AA22</f>
        <v>0</v>
      </c>
    </row>
    <row r="8" spans="1:21" x14ac:dyDescent="0.25">
      <c r="A8" s="6">
        <v>2014</v>
      </c>
      <c r="B8" s="84">
        <f>Revenue!H33</f>
        <v>0</v>
      </c>
      <c r="C8" s="88">
        <f>Revenue!I33</f>
        <v>0</v>
      </c>
      <c r="D8" s="88">
        <f>Revenue!J33</f>
        <v>0</v>
      </c>
      <c r="E8" s="84">
        <f>Revenue!K33</f>
        <v>30</v>
      </c>
      <c r="F8" s="84">
        <f>Revenue!L33</f>
        <v>42.4</v>
      </c>
      <c r="G8" s="84">
        <f>Revenue!M33</f>
        <v>50.4</v>
      </c>
      <c r="H8" s="84">
        <f>Revenue!N33</f>
        <v>56.25</v>
      </c>
      <c r="I8" s="84">
        <f>Revenue!O33</f>
        <v>45.447916666666664</v>
      </c>
      <c r="J8" s="84">
        <f>Revenue!P33</f>
        <v>25.7</v>
      </c>
      <c r="K8" s="88">
        <f>Revenue!Q33</f>
        <v>0</v>
      </c>
      <c r="L8" s="88">
        <f>Revenue!R33</f>
        <v>0</v>
      </c>
      <c r="M8" s="84">
        <f>Revenue!S33</f>
        <v>0</v>
      </c>
      <c r="N8" s="88">
        <f>Revenue!T33</f>
        <v>0</v>
      </c>
      <c r="O8" s="84">
        <f>Revenue!U33</f>
        <v>0</v>
      </c>
      <c r="P8" s="84">
        <f>Revenue!V33</f>
        <v>0</v>
      </c>
      <c r="Q8" s="84">
        <f>Revenue!W33</f>
        <v>0</v>
      </c>
      <c r="R8" s="84">
        <f>Revenue!X33</f>
        <v>0</v>
      </c>
      <c r="S8" s="84">
        <f>Revenue!Y33</f>
        <v>0</v>
      </c>
      <c r="T8" s="84">
        <f>Revenue!Z33</f>
        <v>0</v>
      </c>
      <c r="U8" s="84">
        <f>Revenue!AA33</f>
        <v>0</v>
      </c>
    </row>
    <row r="9" spans="1:21" x14ac:dyDescent="0.25">
      <c r="A9" s="6">
        <v>2015</v>
      </c>
      <c r="B9" s="84">
        <f>Revenue!H44</f>
        <v>0</v>
      </c>
      <c r="C9" s="88">
        <f>Revenue!I44</f>
        <v>0</v>
      </c>
      <c r="D9" s="88">
        <f>Revenue!J44</f>
        <v>0</v>
      </c>
      <c r="E9" s="84">
        <f>Revenue!K44</f>
        <v>24.25</v>
      </c>
      <c r="F9" s="84">
        <f>Revenue!L44</f>
        <v>31.35</v>
      </c>
      <c r="G9" s="84">
        <f>Revenue!M44</f>
        <v>23</v>
      </c>
      <c r="H9" s="84">
        <f>Revenue!N44</f>
        <v>25.25</v>
      </c>
      <c r="I9" s="84">
        <f>Revenue!O44</f>
        <v>35.166666666666664</v>
      </c>
      <c r="J9" s="84">
        <f>Revenue!P44</f>
        <v>29.2</v>
      </c>
      <c r="K9" s="88">
        <f>Revenue!Q44</f>
        <v>0</v>
      </c>
      <c r="L9" s="88">
        <f>Revenue!R44</f>
        <v>0</v>
      </c>
      <c r="M9" s="84">
        <f>Revenue!S44</f>
        <v>0</v>
      </c>
      <c r="N9" s="88">
        <f>Revenue!T44</f>
        <v>1.3194444444444444</v>
      </c>
      <c r="O9" s="84">
        <f>Revenue!U44</f>
        <v>0</v>
      </c>
      <c r="P9" s="84">
        <f>Revenue!V44</f>
        <v>0</v>
      </c>
      <c r="Q9" s="84">
        <f>Revenue!W44</f>
        <v>0</v>
      </c>
      <c r="R9" s="84">
        <f>Revenue!X44</f>
        <v>0</v>
      </c>
      <c r="S9" s="84">
        <f>Revenue!Y44</f>
        <v>0</v>
      </c>
      <c r="T9" s="84">
        <f>Revenue!Z44</f>
        <v>0</v>
      </c>
      <c r="U9" s="84">
        <f>Revenue!AA44</f>
        <v>0</v>
      </c>
    </row>
    <row r="10" spans="1:21" x14ac:dyDescent="0.25">
      <c r="A10" s="6">
        <v>2016</v>
      </c>
      <c r="B10" s="84">
        <f>Revenue!H55</f>
        <v>0</v>
      </c>
      <c r="C10" s="88">
        <f>Revenue!I55</f>
        <v>0</v>
      </c>
      <c r="D10" s="88">
        <f>Revenue!J55</f>
        <v>0</v>
      </c>
      <c r="E10" s="84">
        <f>Revenue!K55</f>
        <v>40.9</v>
      </c>
      <c r="F10" s="84">
        <f>Revenue!L55</f>
        <v>45.2</v>
      </c>
      <c r="G10" s="84">
        <f>Revenue!M55</f>
        <v>60</v>
      </c>
      <c r="H10" s="84">
        <f>Revenue!N55</f>
        <v>64.75</v>
      </c>
      <c r="I10" s="84">
        <f>Revenue!O55</f>
        <v>56.416666666666664</v>
      </c>
      <c r="J10" s="84">
        <f>Revenue!P55</f>
        <v>38.1</v>
      </c>
      <c r="K10" s="88">
        <f>Revenue!Q55</f>
        <v>0.7</v>
      </c>
      <c r="L10" s="88">
        <f>Revenue!R55</f>
        <v>0</v>
      </c>
      <c r="M10" s="84">
        <f>Revenue!S55</f>
        <v>0</v>
      </c>
      <c r="N10" s="88">
        <f>Revenue!T55</f>
        <v>15.722222222222221</v>
      </c>
      <c r="O10" s="84">
        <f>Revenue!U55</f>
        <v>0</v>
      </c>
      <c r="P10" s="84">
        <f>Revenue!V55</f>
        <v>0</v>
      </c>
      <c r="Q10" s="84">
        <f>Revenue!W55</f>
        <v>0</v>
      </c>
      <c r="R10" s="84">
        <f>Revenue!X55</f>
        <v>0</v>
      </c>
      <c r="S10" s="84">
        <f>Revenue!Y55</f>
        <v>0</v>
      </c>
      <c r="T10" s="84">
        <f>Revenue!Z55</f>
        <v>0</v>
      </c>
      <c r="U10" s="84">
        <f>Revenue!AA55</f>
        <v>0</v>
      </c>
    </row>
    <row r="11" spans="1:21" x14ac:dyDescent="0.25">
      <c r="A11" s="6">
        <v>2017</v>
      </c>
      <c r="B11" s="84">
        <f>Revenue!H66</f>
        <v>0</v>
      </c>
      <c r="C11" s="88">
        <f>Revenue!I66</f>
        <v>0</v>
      </c>
      <c r="D11" s="88">
        <f>Revenue!J66</f>
        <v>0</v>
      </c>
      <c r="E11" s="84">
        <f>Revenue!K66</f>
        <v>34.700000000000003</v>
      </c>
      <c r="F11" s="84">
        <f>Revenue!L66</f>
        <v>32.725000000000001</v>
      </c>
      <c r="G11" s="84">
        <f>Revenue!M66</f>
        <v>34.4</v>
      </c>
      <c r="H11" s="84">
        <f>Revenue!N66</f>
        <v>33.5</v>
      </c>
      <c r="I11" s="84">
        <f>Revenue!O66</f>
        <v>41.416666666666664</v>
      </c>
      <c r="J11" s="84">
        <f>Revenue!P66</f>
        <v>24.3</v>
      </c>
      <c r="K11" s="88">
        <f>Revenue!Q66</f>
        <v>4.7</v>
      </c>
      <c r="L11" s="88">
        <f>Revenue!R66</f>
        <v>4.0999999999999996</v>
      </c>
      <c r="M11" s="84">
        <f>Revenue!S66</f>
        <v>0</v>
      </c>
      <c r="N11" s="88">
        <f>Revenue!T66</f>
        <v>15.277777777777779</v>
      </c>
      <c r="O11" s="84">
        <f>Revenue!U66</f>
        <v>0</v>
      </c>
      <c r="P11" s="84">
        <f>Revenue!V66</f>
        <v>0</v>
      </c>
      <c r="Q11" s="84">
        <f>Revenue!W66</f>
        <v>0</v>
      </c>
      <c r="R11" s="84">
        <f>Revenue!X66</f>
        <v>0</v>
      </c>
      <c r="S11" s="84">
        <f>Revenue!Y66</f>
        <v>0</v>
      </c>
      <c r="T11" s="84">
        <f>Revenue!Z66</f>
        <v>0</v>
      </c>
      <c r="U11" s="84">
        <f>Revenue!AA66</f>
        <v>0</v>
      </c>
    </row>
    <row r="12" spans="1:21" x14ac:dyDescent="0.25">
      <c r="A12" s="6">
        <v>2018</v>
      </c>
      <c r="B12" s="84">
        <f>Revenue!H77</f>
        <v>0</v>
      </c>
      <c r="C12" s="88">
        <f>Revenue!I77</f>
        <v>0</v>
      </c>
      <c r="D12" s="88">
        <f>Revenue!J77</f>
        <v>6.2</v>
      </c>
      <c r="E12" s="84">
        <f>Revenue!K77</f>
        <v>28.0625</v>
      </c>
      <c r="F12" s="84">
        <f>Revenue!L77</f>
        <v>25.2</v>
      </c>
      <c r="G12" s="84">
        <f>Revenue!M77</f>
        <v>37.200000000000003</v>
      </c>
      <c r="H12" s="84">
        <f>Revenue!N77</f>
        <v>41.25</v>
      </c>
      <c r="I12" s="84">
        <f>Revenue!O77</f>
        <v>40.333333333333336</v>
      </c>
      <c r="J12" s="84">
        <f>Revenue!P77</f>
        <v>33.4</v>
      </c>
      <c r="K12" s="88">
        <f>Revenue!Q77</f>
        <v>10.25</v>
      </c>
      <c r="L12" s="88">
        <f>Revenue!R77</f>
        <v>5.7</v>
      </c>
      <c r="M12" s="84">
        <f>Revenue!S77</f>
        <v>0</v>
      </c>
      <c r="N12" s="88">
        <f>Revenue!T77</f>
        <v>45.555555555555557</v>
      </c>
      <c r="O12" s="84">
        <f>Revenue!U77</f>
        <v>0</v>
      </c>
      <c r="P12" s="84">
        <f>Revenue!V77</f>
        <v>0</v>
      </c>
      <c r="Q12" s="84">
        <f>Revenue!W77</f>
        <v>0</v>
      </c>
      <c r="R12" s="84">
        <f>Revenue!X77</f>
        <v>0</v>
      </c>
      <c r="S12" s="84">
        <f>Revenue!Y77</f>
        <v>0</v>
      </c>
      <c r="T12" s="84">
        <f>Revenue!Z77</f>
        <v>0</v>
      </c>
      <c r="U12" s="84">
        <f>Revenue!AA77</f>
        <v>0</v>
      </c>
    </row>
    <row r="13" spans="1:21" x14ac:dyDescent="0.25">
      <c r="A13" s="6">
        <v>2019</v>
      </c>
      <c r="B13" s="84">
        <f>Revenue!H88</f>
        <v>0</v>
      </c>
      <c r="C13" s="88">
        <f>Revenue!I88</f>
        <v>0</v>
      </c>
      <c r="D13" s="88">
        <f>Revenue!J88</f>
        <v>19.7</v>
      </c>
      <c r="E13" s="84">
        <f>Revenue!K88</f>
        <v>29.15</v>
      </c>
      <c r="F13" s="84">
        <f>Revenue!L88</f>
        <v>40.15</v>
      </c>
      <c r="G13" s="84">
        <f>Revenue!M88</f>
        <v>42.8</v>
      </c>
      <c r="H13" s="84">
        <f>Revenue!N88</f>
        <v>48</v>
      </c>
      <c r="I13" s="84">
        <f>Revenue!O88</f>
        <v>48</v>
      </c>
      <c r="J13" s="84">
        <f>Revenue!P88</f>
        <v>36.200000000000003</v>
      </c>
      <c r="K13" s="88">
        <f>Revenue!Q88</f>
        <v>23.9</v>
      </c>
      <c r="L13" s="88">
        <f>Revenue!R88</f>
        <v>20.149999999999999</v>
      </c>
      <c r="M13" s="84">
        <f>Revenue!S88</f>
        <v>0</v>
      </c>
      <c r="N13" s="88">
        <f>Revenue!T88</f>
        <v>35.847222222222221</v>
      </c>
      <c r="O13" s="84">
        <f>Revenue!U88</f>
        <v>0</v>
      </c>
      <c r="P13" s="84">
        <f>Revenue!V88</f>
        <v>0</v>
      </c>
      <c r="Q13" s="84">
        <f>Revenue!W88</f>
        <v>0</v>
      </c>
      <c r="R13" s="84">
        <f>Revenue!X88</f>
        <v>0</v>
      </c>
      <c r="S13" s="84">
        <f>Revenue!Y88</f>
        <v>0</v>
      </c>
      <c r="T13" s="84">
        <f>Revenue!Z88</f>
        <v>0</v>
      </c>
      <c r="U13" s="84">
        <f>Revenue!AA88</f>
        <v>0</v>
      </c>
    </row>
    <row r="14" spans="1:21" x14ac:dyDescent="0.25">
      <c r="A14" s="6">
        <v>2020</v>
      </c>
      <c r="B14" s="84">
        <f>Revenue!H99</f>
        <v>0</v>
      </c>
      <c r="C14" s="88">
        <f>Revenue!I99</f>
        <v>1.0249999999999999</v>
      </c>
      <c r="D14" s="88">
        <f>Revenue!J99</f>
        <v>11.6</v>
      </c>
      <c r="E14" s="84">
        <f>Revenue!K99</f>
        <v>29.5</v>
      </c>
      <c r="F14" s="84">
        <f>Revenue!L99</f>
        <v>30.4</v>
      </c>
      <c r="G14" s="84">
        <f>Revenue!M99</f>
        <v>42.2</v>
      </c>
      <c r="H14" s="84">
        <f>Revenue!N99</f>
        <v>45</v>
      </c>
      <c r="I14" s="84">
        <f>Revenue!O99</f>
        <v>46</v>
      </c>
      <c r="J14" s="84">
        <f>Revenue!P99</f>
        <v>30.7</v>
      </c>
      <c r="K14" s="88">
        <f>Revenue!Q99</f>
        <v>31.2</v>
      </c>
      <c r="L14" s="88">
        <f>Revenue!R99</f>
        <v>20.637499999999999</v>
      </c>
      <c r="M14" s="84">
        <f>Revenue!S99</f>
        <v>0</v>
      </c>
      <c r="N14" s="88">
        <f>Revenue!T99</f>
        <v>48.25</v>
      </c>
      <c r="O14" s="84">
        <f>Revenue!U99</f>
        <v>0</v>
      </c>
      <c r="P14" s="84">
        <f>Revenue!V99</f>
        <v>0</v>
      </c>
      <c r="Q14" s="84">
        <f>Revenue!W99</f>
        <v>0</v>
      </c>
      <c r="R14" s="84">
        <f>Revenue!X99</f>
        <v>0</v>
      </c>
      <c r="S14" s="84">
        <f>Revenue!Y99</f>
        <v>0</v>
      </c>
      <c r="T14" s="84">
        <f>Revenue!Z99</f>
        <v>0</v>
      </c>
      <c r="U14" s="84">
        <f>Revenue!AA99</f>
        <v>0</v>
      </c>
    </row>
    <row r="15" spans="1:21" x14ac:dyDescent="0.25">
      <c r="A15" s="6">
        <v>2021</v>
      </c>
      <c r="B15" s="84">
        <f>Revenue!H110</f>
        <v>0</v>
      </c>
      <c r="C15" s="88">
        <f>Revenue!I110</f>
        <v>4.9749999999999996</v>
      </c>
      <c r="D15" s="88">
        <f>Revenue!J110</f>
        <v>21.2</v>
      </c>
      <c r="E15" s="84">
        <f>Revenue!K110</f>
        <v>14.8</v>
      </c>
      <c r="F15" s="84">
        <f>Revenue!L110</f>
        <v>35.9</v>
      </c>
      <c r="G15" s="84">
        <f>Revenue!M110</f>
        <v>34.4</v>
      </c>
      <c r="H15" s="84">
        <f>Revenue!N110</f>
        <v>38.625</v>
      </c>
      <c r="I15" s="84">
        <f>Revenue!O110</f>
        <v>44.145833333333336</v>
      </c>
      <c r="J15" s="84">
        <f>Revenue!P110</f>
        <v>35</v>
      </c>
      <c r="K15" s="88">
        <f>Revenue!Q110</f>
        <v>30.6</v>
      </c>
      <c r="L15" s="88">
        <f>Revenue!R110</f>
        <v>27.2</v>
      </c>
      <c r="M15" s="84">
        <f>Revenue!S110</f>
        <v>2.2285714285714286</v>
      </c>
      <c r="N15" s="88">
        <f>Revenue!T110</f>
        <v>53</v>
      </c>
      <c r="O15" s="84">
        <f>Revenue!U110</f>
        <v>0</v>
      </c>
      <c r="P15" s="84">
        <f>Revenue!V110</f>
        <v>0</v>
      </c>
      <c r="Q15" s="84">
        <f>Revenue!W110</f>
        <v>0</v>
      </c>
      <c r="R15" s="84">
        <f>Revenue!X110</f>
        <v>0</v>
      </c>
      <c r="S15" s="84">
        <f>Revenue!Y110</f>
        <v>0</v>
      </c>
      <c r="T15" s="84">
        <f>Revenue!Z110</f>
        <v>0</v>
      </c>
      <c r="U15" s="84">
        <f>Revenue!AA110</f>
        <v>0</v>
      </c>
    </row>
    <row r="16" spans="1:21" x14ac:dyDescent="0.25">
      <c r="A16" s="6">
        <v>2022</v>
      </c>
      <c r="B16" s="84">
        <f>Revenue!H125</f>
        <v>3.8</v>
      </c>
      <c r="C16" s="88">
        <f>Revenue!I125</f>
        <v>9.8000000000000007</v>
      </c>
      <c r="D16" s="88">
        <f>Revenue!J125</f>
        <v>13.5</v>
      </c>
      <c r="E16" s="84">
        <f>Revenue!K125</f>
        <v>18.850000000000001</v>
      </c>
      <c r="F16" s="84">
        <f>Revenue!L125</f>
        <v>16.67608695652174</v>
      </c>
      <c r="G16" s="84">
        <f>Revenue!M125</f>
        <v>26.2</v>
      </c>
      <c r="H16" s="84">
        <f>Revenue!N125</f>
        <v>25.8125</v>
      </c>
      <c r="I16" s="84">
        <f>Revenue!O125</f>
        <v>34</v>
      </c>
      <c r="J16" s="84">
        <f>Revenue!P125</f>
        <v>24.4</v>
      </c>
      <c r="K16" s="88">
        <f>Revenue!Q125</f>
        <v>23.45</v>
      </c>
      <c r="L16" s="88">
        <f>Revenue!R125</f>
        <v>15.4</v>
      </c>
      <c r="M16" s="84">
        <f>Revenue!S125</f>
        <v>7.6571428571428575</v>
      </c>
      <c r="N16" s="88">
        <f>Revenue!T125</f>
        <v>47.805555555555557</v>
      </c>
      <c r="O16" s="84">
        <f>Revenue!U125</f>
        <v>4</v>
      </c>
      <c r="P16" s="84">
        <f>Revenue!V125</f>
        <v>0</v>
      </c>
      <c r="Q16" s="84">
        <f>Revenue!W125</f>
        <v>0</v>
      </c>
      <c r="R16" s="84">
        <f>Revenue!X125</f>
        <v>0</v>
      </c>
      <c r="S16" s="84">
        <f>Revenue!Y125</f>
        <v>0</v>
      </c>
      <c r="T16" s="84">
        <f>Revenue!Z125</f>
        <v>0</v>
      </c>
      <c r="U16" s="84">
        <f>Revenue!AA125</f>
        <v>0</v>
      </c>
    </row>
    <row r="17" spans="1:21" x14ac:dyDescent="0.25">
      <c r="A17" s="6">
        <v>2023</v>
      </c>
      <c r="B17" s="84">
        <f>Revenue!H136</f>
        <v>8.5500000000000007</v>
      </c>
      <c r="C17" s="88">
        <f>Revenue!I136</f>
        <v>18.324999999999999</v>
      </c>
      <c r="D17" s="88">
        <f>Revenue!J136</f>
        <v>21.25</v>
      </c>
      <c r="E17" s="84">
        <f>Revenue!K136</f>
        <v>19.95</v>
      </c>
      <c r="F17" s="84">
        <f>Revenue!L136</f>
        <v>34.799999999999997</v>
      </c>
      <c r="G17" s="84">
        <f>Revenue!M136</f>
        <v>32.200000000000003</v>
      </c>
      <c r="H17" s="84">
        <f>Revenue!N136</f>
        <v>33.625</v>
      </c>
      <c r="I17" s="84">
        <f>Revenue!O136</f>
        <v>60.25</v>
      </c>
      <c r="J17" s="84">
        <f>Revenue!P136</f>
        <v>28.824999999999999</v>
      </c>
      <c r="K17" s="88">
        <f>Revenue!Q136</f>
        <v>32.674999999999997</v>
      </c>
      <c r="L17" s="88">
        <f>Revenue!R136</f>
        <v>26.95</v>
      </c>
      <c r="M17" s="84">
        <f>Revenue!S136</f>
        <v>17.257142857142856</v>
      </c>
      <c r="N17" s="88">
        <f>Revenue!T136</f>
        <v>47.444444444444443</v>
      </c>
      <c r="O17" s="84">
        <f>Revenue!U136</f>
        <v>7.8181818181818183</v>
      </c>
      <c r="P17" s="84">
        <f>Revenue!V136</f>
        <v>0</v>
      </c>
      <c r="Q17" s="84">
        <f>Revenue!W136</f>
        <v>0</v>
      </c>
      <c r="R17" s="84">
        <f>Revenue!X136</f>
        <v>0.9</v>
      </c>
      <c r="S17" s="84">
        <f>Revenue!Y136</f>
        <v>0</v>
      </c>
      <c r="T17" s="84">
        <f>Revenue!Z136</f>
        <v>0</v>
      </c>
      <c r="U17" s="84">
        <f>Revenue!AA136</f>
        <v>0</v>
      </c>
    </row>
    <row r="18" spans="1:21" x14ac:dyDescent="0.25">
      <c r="A18" s="6">
        <v>2024</v>
      </c>
      <c r="B18" s="84">
        <f>Revenue!H151</f>
        <v>5.05</v>
      </c>
      <c r="C18" s="88">
        <f>Revenue!I151</f>
        <v>36.200000000000003</v>
      </c>
      <c r="D18" s="88">
        <f>Revenue!J151</f>
        <v>17.5</v>
      </c>
      <c r="E18" s="84">
        <f>Revenue!K151</f>
        <v>23.55</v>
      </c>
      <c r="F18" s="84">
        <f>Revenue!L151</f>
        <v>22.237500000000001</v>
      </c>
      <c r="G18" s="84">
        <f>Revenue!M151</f>
        <v>34.799999999999997</v>
      </c>
      <c r="H18" s="84">
        <f>Revenue!N151</f>
        <v>35.6875</v>
      </c>
      <c r="I18" s="84">
        <f>Revenue!O151</f>
        <v>27.083333333333332</v>
      </c>
      <c r="J18" s="84">
        <f>Revenue!P151</f>
        <v>28.55</v>
      </c>
      <c r="K18" s="88">
        <f>Revenue!Q151</f>
        <v>33.4</v>
      </c>
      <c r="L18" s="88">
        <f>Revenue!R151</f>
        <v>22.35</v>
      </c>
      <c r="M18" s="84">
        <f>Revenue!S151</f>
        <v>17.37142857142857</v>
      </c>
      <c r="N18" s="88">
        <f>Revenue!T151</f>
        <v>56.166666666666664</v>
      </c>
      <c r="O18" s="84">
        <f>Revenue!U151</f>
        <v>11.636363636363637</v>
      </c>
      <c r="P18" s="84">
        <f>Revenue!V151</f>
        <v>0</v>
      </c>
      <c r="Q18" s="84">
        <f>Revenue!W151</f>
        <v>0</v>
      </c>
      <c r="R18" s="84">
        <f>Revenue!X151</f>
        <v>4.55</v>
      </c>
      <c r="S18" s="84">
        <f>Revenue!Y151</f>
        <v>0.46816479400749067</v>
      </c>
      <c r="T18" s="84">
        <f>Revenue!Z151</f>
        <v>0</v>
      </c>
      <c r="U18" s="84">
        <f>Revenue!AA151</f>
        <v>0</v>
      </c>
    </row>
    <row r="19" spans="1:21" x14ac:dyDescent="0.25">
      <c r="A19" s="6" t="s">
        <v>56</v>
      </c>
      <c r="B19" s="93">
        <f>AVERAGE(D16,D18)</f>
        <v>15.5</v>
      </c>
      <c r="C19" s="96">
        <f>4607/16/C4</f>
        <v>28.793749999999999</v>
      </c>
      <c r="D19" s="95">
        <f>AVERAGE(D13,D15,D17)</f>
        <v>20.716666666666665</v>
      </c>
      <c r="E19" s="93">
        <f>AVERAGE(E6:E18)</f>
        <v>25.94711538461539</v>
      </c>
      <c r="F19" s="93">
        <f t="shared" ref="F19:I19" si="0">AVERAGE(F6:F18)</f>
        <v>31.891429765886283</v>
      </c>
      <c r="G19" s="93">
        <f t="shared" si="0"/>
        <v>37.630769230769232</v>
      </c>
      <c r="H19" s="93">
        <f t="shared" si="0"/>
        <v>40.855769230769234</v>
      </c>
      <c r="I19" s="93">
        <f t="shared" si="0"/>
        <v>43.356570512820511</v>
      </c>
      <c r="J19" s="93">
        <f>AVERAGE(J6:J18)</f>
        <v>29.782692307692308</v>
      </c>
      <c r="K19" s="96">
        <f>12981/16/K4</f>
        <v>40.565624999999997</v>
      </c>
      <c r="L19" s="95">
        <f>AVERAGE(L13:L18)</f>
        <v>22.114583333333332</v>
      </c>
      <c r="M19" s="96">
        <f>12930/16/M4</f>
        <v>46.178571428571431</v>
      </c>
      <c r="N19" s="96">
        <f>14468/16/N4</f>
        <v>50.236111111111114</v>
      </c>
      <c r="O19" s="96">
        <f>1776/16/O4</f>
        <v>20.181818181818183</v>
      </c>
      <c r="P19" s="93">
        <f>T19</f>
        <v>2.0670531888076633</v>
      </c>
      <c r="Q19" s="93">
        <v>5</v>
      </c>
      <c r="R19" s="96">
        <f>5018/16/R4</f>
        <v>15.68125</v>
      </c>
      <c r="S19" s="96">
        <f>2208/16/S4</f>
        <v>12.921348314606742</v>
      </c>
      <c r="T19" s="96">
        <f>1312/16/T4</f>
        <v>2.0670531888076633</v>
      </c>
      <c r="U19" s="96">
        <f>256/16/U4</f>
        <v>1.3864818024263432</v>
      </c>
    </row>
    <row r="20" spans="1:21" x14ac:dyDescent="0.25">
      <c r="A20" s="6" t="s">
        <v>57</v>
      </c>
      <c r="B20" s="84">
        <f>D19</f>
        <v>20.716666666666665</v>
      </c>
      <c r="C20" s="88">
        <f>C19</f>
        <v>28.793749999999999</v>
      </c>
      <c r="D20" s="88">
        <f>D19</f>
        <v>20.716666666666665</v>
      </c>
      <c r="E20" s="84">
        <f>E19</f>
        <v>25.94711538461539</v>
      </c>
      <c r="F20" s="84">
        <f t="shared" ref="F20:J20" si="1">F19</f>
        <v>31.891429765886283</v>
      </c>
      <c r="G20" s="84">
        <f t="shared" si="1"/>
        <v>37.630769230769232</v>
      </c>
      <c r="H20" s="84">
        <f t="shared" si="1"/>
        <v>40.855769230769234</v>
      </c>
      <c r="I20" s="84">
        <f t="shared" si="1"/>
        <v>43.356570512820511</v>
      </c>
      <c r="J20" s="84">
        <f t="shared" si="1"/>
        <v>29.782692307692308</v>
      </c>
      <c r="K20" s="88">
        <f>K19</f>
        <v>40.565624999999997</v>
      </c>
      <c r="L20" s="88">
        <f>L19</f>
        <v>22.114583333333332</v>
      </c>
      <c r="M20" s="84">
        <f>C20</f>
        <v>28.793749999999999</v>
      </c>
      <c r="N20" s="88">
        <f>N19</f>
        <v>50.236111111111114</v>
      </c>
      <c r="O20" s="84">
        <f>O19</f>
        <v>20.181818181818183</v>
      </c>
      <c r="P20" s="84">
        <f>O20</f>
        <v>20.181818181818183</v>
      </c>
      <c r="Q20" s="57">
        <v>37.4</v>
      </c>
      <c r="R20" s="84">
        <f>N20</f>
        <v>50.236111111111114</v>
      </c>
      <c r="S20" s="84">
        <f>C20</f>
        <v>28.793749999999999</v>
      </c>
      <c r="T20" s="84">
        <f>P20</f>
        <v>20.181818181818183</v>
      </c>
      <c r="U20" s="84">
        <f>K20</f>
        <v>40.565624999999997</v>
      </c>
    </row>
    <row r="21" spans="1:21" x14ac:dyDescent="0.25">
      <c r="C21" s="89"/>
      <c r="D21" s="89"/>
      <c r="K21" s="89"/>
      <c r="L21" s="89"/>
      <c r="N21" s="89"/>
    </row>
    <row r="22" spans="1:21" x14ac:dyDescent="0.25">
      <c r="A22" s="6" t="s">
        <v>36</v>
      </c>
      <c r="B22" s="57">
        <f>Revenue!H4</f>
        <v>2017</v>
      </c>
      <c r="C22" s="89">
        <f>Revenue!I4</f>
        <v>2017</v>
      </c>
      <c r="D22" s="89">
        <f>Revenue!J4</f>
        <v>2014</v>
      </c>
      <c r="E22" s="57">
        <f>Revenue!K4</f>
        <v>1964</v>
      </c>
      <c r="F22" s="57">
        <f>Revenue!L4</f>
        <v>1964</v>
      </c>
      <c r="G22" s="57">
        <f>Revenue!M4</f>
        <v>1989</v>
      </c>
      <c r="H22" s="57">
        <f>Revenue!N4</f>
        <v>1998</v>
      </c>
      <c r="I22" s="57">
        <f>Revenue!O4</f>
        <v>1998</v>
      </c>
      <c r="J22" s="57">
        <f>Revenue!P4</f>
        <v>1998</v>
      </c>
      <c r="K22" s="89">
        <f>Revenue!Q4</f>
        <v>2013</v>
      </c>
      <c r="L22" s="89">
        <f>Revenue!R4</f>
        <v>2013</v>
      </c>
      <c r="M22" s="57">
        <f>Revenue!S4</f>
        <v>2018</v>
      </c>
      <c r="N22" s="89">
        <f>Revenue!T4</f>
        <v>2013</v>
      </c>
      <c r="O22" s="57">
        <v>2017</v>
      </c>
      <c r="P22" s="57">
        <f>Revenue!V4</f>
        <v>2020</v>
      </c>
      <c r="Q22" s="57">
        <f>Revenue!W4</f>
        <v>2020</v>
      </c>
      <c r="R22" s="57">
        <f>Revenue!X4</f>
        <v>2020</v>
      </c>
      <c r="S22" s="57">
        <f>Revenue!Y4</f>
        <v>2020</v>
      </c>
      <c r="T22" s="57">
        <f>Revenue!Z4</f>
        <v>2020</v>
      </c>
      <c r="U22" s="57">
        <f>Revenue!AA4</f>
        <v>2020</v>
      </c>
    </row>
    <row r="23" spans="1:21" x14ac:dyDescent="0.25">
      <c r="A23" s="6" t="s">
        <v>38</v>
      </c>
      <c r="B23" s="57">
        <f>Revenue!H5</f>
        <v>20</v>
      </c>
      <c r="C23" s="89">
        <f>Revenue!I5</f>
        <v>10</v>
      </c>
      <c r="D23" s="89">
        <f>Revenue!J5</f>
        <v>10</v>
      </c>
      <c r="E23" s="57">
        <f>Revenue!K5</f>
        <v>20</v>
      </c>
      <c r="F23" s="57">
        <f>Revenue!L5</f>
        <v>20</v>
      </c>
      <c r="G23" s="57">
        <f>Revenue!M5</f>
        <v>5</v>
      </c>
      <c r="H23" s="57">
        <f>Revenue!N5</f>
        <v>8</v>
      </c>
      <c r="I23" s="57">
        <f>Revenue!O5</f>
        <v>24</v>
      </c>
      <c r="J23" s="57">
        <f>Revenue!P5</f>
        <v>20</v>
      </c>
      <c r="K23" s="89">
        <f>Revenue!Q5</f>
        <v>20</v>
      </c>
      <c r="L23" s="89">
        <f>Revenue!R5</f>
        <v>20</v>
      </c>
      <c r="M23" s="57">
        <f>Revenue!S5</f>
        <v>17.5</v>
      </c>
      <c r="N23" s="89">
        <f>Revenue!T5</f>
        <v>18</v>
      </c>
      <c r="O23" s="57">
        <f>Revenue!U5</f>
        <v>5.5</v>
      </c>
      <c r="P23" s="57">
        <f>Revenue!V5</f>
        <v>10.39</v>
      </c>
      <c r="Q23" s="57">
        <f>Revenue!W5</f>
        <v>9.57</v>
      </c>
      <c r="R23" s="57">
        <f>Revenue!X5</f>
        <v>20</v>
      </c>
      <c r="S23" s="57">
        <f>Revenue!Y5</f>
        <v>10.68</v>
      </c>
      <c r="T23" s="57">
        <f>Revenue!Z5</f>
        <v>39.67</v>
      </c>
      <c r="U23" s="57">
        <f>Revenue!AA5</f>
        <v>11.54</v>
      </c>
    </row>
    <row r="24" spans="1:21" x14ac:dyDescent="0.25">
      <c r="A24" s="6" t="s">
        <v>61</v>
      </c>
      <c r="B24" s="57">
        <f ca="1">YEAR(TODAY())-B22-1</f>
        <v>7</v>
      </c>
      <c r="C24" s="89">
        <f t="shared" ref="C24:U24" ca="1" si="2">YEAR(TODAY())-C22</f>
        <v>8</v>
      </c>
      <c r="D24" s="89">
        <f t="shared" ca="1" si="2"/>
        <v>11</v>
      </c>
      <c r="E24" s="57">
        <f t="shared" ca="1" si="2"/>
        <v>61</v>
      </c>
      <c r="F24" s="57">
        <f t="shared" ca="1" si="2"/>
        <v>61</v>
      </c>
      <c r="G24" s="57">
        <f t="shared" ca="1" si="2"/>
        <v>36</v>
      </c>
      <c r="H24" s="57">
        <f t="shared" ca="1" si="2"/>
        <v>27</v>
      </c>
      <c r="I24" s="57">
        <f t="shared" ca="1" si="2"/>
        <v>27</v>
      </c>
      <c r="J24" s="57">
        <f t="shared" ca="1" si="2"/>
        <v>27</v>
      </c>
      <c r="K24" s="89">
        <f t="shared" ca="1" si="2"/>
        <v>12</v>
      </c>
      <c r="L24" s="89">
        <f t="shared" ca="1" si="2"/>
        <v>12</v>
      </c>
      <c r="M24" s="57">
        <f t="shared" ca="1" si="2"/>
        <v>7</v>
      </c>
      <c r="N24" s="89">
        <f t="shared" ca="1" si="2"/>
        <v>12</v>
      </c>
      <c r="O24" s="57">
        <f t="shared" ca="1" si="2"/>
        <v>8</v>
      </c>
      <c r="P24" s="57">
        <f t="shared" ca="1" si="2"/>
        <v>5</v>
      </c>
      <c r="Q24" s="57">
        <f t="shared" ca="1" si="2"/>
        <v>5</v>
      </c>
      <c r="R24" s="57">
        <f t="shared" ca="1" si="2"/>
        <v>5</v>
      </c>
      <c r="S24" s="57">
        <f t="shared" ca="1" si="2"/>
        <v>5</v>
      </c>
      <c r="T24" s="57">
        <f t="shared" ca="1" si="2"/>
        <v>5</v>
      </c>
      <c r="U24" s="57">
        <f t="shared" ca="1" si="2"/>
        <v>5</v>
      </c>
    </row>
    <row r="25" spans="1:21" ht="45" x14ac:dyDescent="0.25">
      <c r="A25" s="85" t="s">
        <v>62</v>
      </c>
      <c r="B25" s="57">
        <v>6</v>
      </c>
      <c r="C25" s="89">
        <v>4</v>
      </c>
      <c r="D25" s="89">
        <v>5</v>
      </c>
      <c r="E25" s="57" t="s">
        <v>63</v>
      </c>
      <c r="F25" s="57" t="s">
        <v>63</v>
      </c>
      <c r="G25" s="57" t="s">
        <v>63</v>
      </c>
      <c r="H25" s="57" t="s">
        <v>63</v>
      </c>
      <c r="I25" s="57" t="s">
        <v>63</v>
      </c>
      <c r="J25" s="57" t="s">
        <v>63</v>
      </c>
      <c r="K25" s="89">
        <v>4</v>
      </c>
      <c r="L25" s="89">
        <v>5</v>
      </c>
      <c r="M25" s="57">
        <v>4</v>
      </c>
      <c r="N25" s="89">
        <v>3</v>
      </c>
      <c r="O25" s="86">
        <v>6</v>
      </c>
      <c r="P25" s="86" t="s">
        <v>64</v>
      </c>
      <c r="Q25" s="86">
        <v>3</v>
      </c>
      <c r="R25" s="86" t="s">
        <v>64</v>
      </c>
      <c r="S25" s="86" t="s">
        <v>64</v>
      </c>
      <c r="T25" s="86" t="s">
        <v>64</v>
      </c>
      <c r="U25" s="86" t="s">
        <v>64</v>
      </c>
    </row>
    <row r="26" spans="1:21" ht="45" x14ac:dyDescent="0.25">
      <c r="A26" s="85" t="s">
        <v>65</v>
      </c>
      <c r="B26" s="86" t="s">
        <v>64</v>
      </c>
      <c r="C26" s="89">
        <v>7</v>
      </c>
      <c r="D26" s="89">
        <v>6</v>
      </c>
      <c r="E26" s="57" t="s">
        <v>63</v>
      </c>
      <c r="F26" s="57" t="s">
        <v>63</v>
      </c>
      <c r="G26" s="57" t="s">
        <v>63</v>
      </c>
      <c r="H26" s="57" t="s">
        <v>63</v>
      </c>
      <c r="I26" s="57" t="s">
        <v>63</v>
      </c>
      <c r="J26" s="57" t="s">
        <v>63</v>
      </c>
      <c r="K26" s="89">
        <v>7</v>
      </c>
      <c r="L26" s="89">
        <v>7</v>
      </c>
      <c r="M26" s="86" t="s">
        <v>64</v>
      </c>
      <c r="N26" s="89">
        <v>6</v>
      </c>
      <c r="O26" s="86">
        <v>9</v>
      </c>
      <c r="P26" s="86" t="s">
        <v>64</v>
      </c>
      <c r="Q26" s="86">
        <v>6</v>
      </c>
      <c r="R26" s="86" t="s">
        <v>64</v>
      </c>
      <c r="S26" s="86" t="s">
        <v>64</v>
      </c>
      <c r="T26" s="86" t="s">
        <v>64</v>
      </c>
      <c r="U26" s="86" t="s">
        <v>64</v>
      </c>
    </row>
    <row r="27" spans="1:21" ht="30" x14ac:dyDescent="0.25">
      <c r="A27" s="85" t="s">
        <v>66</v>
      </c>
      <c r="B27" s="57" t="s">
        <v>63</v>
      </c>
      <c r="C27" s="89" t="s">
        <v>63</v>
      </c>
      <c r="D27" s="89" t="s">
        <v>63</v>
      </c>
      <c r="E27" s="57" t="s">
        <v>63</v>
      </c>
      <c r="F27" s="57" t="s">
        <v>63</v>
      </c>
      <c r="G27" s="57" t="s">
        <v>63</v>
      </c>
      <c r="H27" s="57" t="s">
        <v>63</v>
      </c>
      <c r="I27" s="57" t="s">
        <v>63</v>
      </c>
      <c r="J27" s="57" t="s">
        <v>63</v>
      </c>
      <c r="K27" s="89" t="s">
        <v>63</v>
      </c>
      <c r="L27" s="89" t="s">
        <v>63</v>
      </c>
      <c r="M27" s="57" t="s">
        <v>63</v>
      </c>
      <c r="N27" s="89" t="s">
        <v>63</v>
      </c>
      <c r="O27" s="57" t="s">
        <v>63</v>
      </c>
      <c r="P27" s="57">
        <v>2025</v>
      </c>
      <c r="Q27" s="57">
        <v>2022</v>
      </c>
      <c r="R27" s="57">
        <v>2022</v>
      </c>
      <c r="S27" s="57">
        <v>2023</v>
      </c>
      <c r="T27" s="57">
        <v>2025</v>
      </c>
      <c r="U27" s="57">
        <v>2023</v>
      </c>
    </row>
    <row r="28" spans="1:21" ht="30" x14ac:dyDescent="0.25">
      <c r="A28" s="85" t="s">
        <v>67</v>
      </c>
      <c r="B28" s="57">
        <v>2023</v>
      </c>
      <c r="C28" s="89" t="s">
        <v>63</v>
      </c>
      <c r="D28" s="89" t="s">
        <v>63</v>
      </c>
      <c r="E28" s="57" t="s">
        <v>63</v>
      </c>
      <c r="F28" s="57" t="s">
        <v>63</v>
      </c>
      <c r="G28" s="57" t="s">
        <v>63</v>
      </c>
      <c r="H28" s="57" t="s">
        <v>63</v>
      </c>
      <c r="I28" s="57" t="s">
        <v>63</v>
      </c>
      <c r="J28" s="57" t="s">
        <v>63</v>
      </c>
      <c r="K28" s="89" t="s">
        <v>63</v>
      </c>
      <c r="L28" s="89" t="s">
        <v>63</v>
      </c>
      <c r="M28" s="57">
        <v>2025</v>
      </c>
      <c r="N28" s="89" t="s">
        <v>63</v>
      </c>
      <c r="O28" s="57">
        <v>2025</v>
      </c>
      <c r="P28" s="57">
        <v>2028</v>
      </c>
      <c r="Q28" s="57">
        <v>2025</v>
      </c>
      <c r="R28" s="57">
        <v>2025</v>
      </c>
      <c r="S28" s="57">
        <v>2026</v>
      </c>
      <c r="T28" s="57">
        <v>2028</v>
      </c>
      <c r="U28" s="57">
        <v>2026</v>
      </c>
    </row>
    <row r="40" spans="2:2" x14ac:dyDescent="0.25">
      <c r="B40" s="94" t="s">
        <v>68</v>
      </c>
    </row>
  </sheetData>
  <mergeCells count="1">
    <mergeCell ref="B2:U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4BE6-2CDD-49FC-9F6F-B5A38B88CF6B}">
  <sheetPr codeName="Sheet5"/>
  <dimension ref="A1:U19"/>
  <sheetViews>
    <sheetView workbookViewId="0">
      <selection activeCell="J18" sqref="J18"/>
    </sheetView>
  </sheetViews>
  <sheetFormatPr defaultRowHeight="15" x14ac:dyDescent="0.25"/>
  <cols>
    <col min="1" max="1" width="7.140625" style="57" bestFit="1" customWidth="1"/>
    <col min="2" max="2" width="11.7109375" style="57" bestFit="1" customWidth="1"/>
    <col min="3" max="3" width="7.7109375" style="57" bestFit="1" customWidth="1"/>
    <col min="4" max="4" width="11.7109375" style="57" bestFit="1" customWidth="1"/>
    <col min="5" max="5" width="11.140625" style="57" bestFit="1" customWidth="1"/>
    <col min="6" max="6" width="9.5703125" style="57" bestFit="1" customWidth="1"/>
    <col min="7" max="7" width="11.42578125" style="57" bestFit="1" customWidth="1"/>
    <col min="8" max="8" width="11.28515625" style="57" bestFit="1" customWidth="1"/>
    <col min="9" max="9" width="10.42578125" style="57" bestFit="1" customWidth="1"/>
    <col min="10" max="10" width="8.85546875" style="57" bestFit="1" customWidth="1"/>
    <col min="11" max="11" width="9.7109375" style="57" bestFit="1" customWidth="1"/>
    <col min="12" max="14" width="7.7109375" style="57" bestFit="1" customWidth="1"/>
    <col min="15" max="16" width="12" style="57" bestFit="1" customWidth="1"/>
    <col min="17" max="17" width="9.85546875" style="57" bestFit="1" customWidth="1"/>
    <col min="18" max="18" width="8.5703125" style="57" bestFit="1" customWidth="1"/>
    <col min="19" max="19" width="7.7109375" style="57" bestFit="1" customWidth="1"/>
    <col min="20" max="20" width="12" style="57" bestFit="1" customWidth="1"/>
    <col min="21" max="21" width="8.85546875" style="57" bestFit="1" customWidth="1"/>
  </cols>
  <sheetData>
    <row r="1" spans="1:21" ht="15.75" thickBot="1" x14ac:dyDescent="0.3">
      <c r="A1" s="6"/>
    </row>
    <row r="2" spans="1:21" ht="15.75" thickBot="1" x14ac:dyDescent="0.3">
      <c r="A2" s="6"/>
      <c r="B2" s="134" t="s">
        <v>69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x14ac:dyDescent="0.25">
      <c r="A3" s="6"/>
      <c r="B3" s="6" t="str">
        <f>'Bin by Year'!B3</f>
        <v>Block 1</v>
      </c>
      <c r="C3" s="6" t="str">
        <f>'Bin by Year'!C3</f>
        <v>Block 2a</v>
      </c>
      <c r="D3" s="6" t="str">
        <f>'Bin by Year'!D3</f>
        <v>Block 2b</v>
      </c>
      <c r="E3" s="6" t="str">
        <f>'Bin by Year'!E3</f>
        <v>Block 3</v>
      </c>
      <c r="F3" s="6" t="str">
        <f>'Bin by Year'!F3</f>
        <v>Block 4 (1)</v>
      </c>
      <c r="G3" s="6" t="str">
        <f>'Bin by Year'!G3</f>
        <v>Block 5 (6W)</v>
      </c>
      <c r="H3" s="6" t="str">
        <f>'Bin by Year'!H3</f>
        <v>Block 6 (6M)</v>
      </c>
      <c r="I3" s="6" t="str">
        <f>'Bin by Year'!I3</f>
        <v>Block 7 (6E)</v>
      </c>
      <c r="J3" s="6" t="str">
        <f>'Bin by Year'!J3</f>
        <v>Block 8</v>
      </c>
      <c r="K3" s="6" t="str">
        <f>'Bin by Year'!K3</f>
        <v>Block 9</v>
      </c>
      <c r="L3" s="6" t="str">
        <f>'Bin by Year'!L3</f>
        <v>Block 10</v>
      </c>
      <c r="M3" s="6" t="str">
        <f>'Bin by Year'!M3</f>
        <v>Block 11</v>
      </c>
      <c r="N3" s="6" t="str">
        <f>'Bin by Year'!N3</f>
        <v>Block 12</v>
      </c>
      <c r="O3" s="6" t="str">
        <f>'Bin by Year'!O3</f>
        <v>Block 13W</v>
      </c>
      <c r="P3" s="6" t="str">
        <f>'Bin by Year'!P3</f>
        <v>Block 14</v>
      </c>
      <c r="Q3" s="6" t="str">
        <f>'Bin by Year'!Q3</f>
        <v>Block 15</v>
      </c>
      <c r="R3" s="6" t="str">
        <f>'Bin by Year'!R3</f>
        <v>Block 16L</v>
      </c>
      <c r="S3" s="6" t="str">
        <f>'Bin by Year'!S3</f>
        <v>Block 17</v>
      </c>
      <c r="T3" s="6" t="str">
        <f>'Bin by Year'!T3</f>
        <v>Block 18</v>
      </c>
      <c r="U3" s="6" t="str">
        <f>'Bin by Year'!U3</f>
        <v>Block 19</v>
      </c>
    </row>
    <row r="4" spans="1:21" x14ac:dyDescent="0.25">
      <c r="A4" s="6" t="s">
        <v>60</v>
      </c>
      <c r="B4" s="6" t="str">
        <f>'Bin by Year'!B5</f>
        <v>Clementines</v>
      </c>
      <c r="C4" s="6" t="str">
        <f>'Bin by Year'!C5</f>
        <v>Tangos</v>
      </c>
      <c r="D4" s="6" t="str">
        <f>'Bin by Year'!D5</f>
        <v>Clementines</v>
      </c>
      <c r="E4" s="6" t="str">
        <f>'Bin by Year'!E5</f>
        <v>Washington</v>
      </c>
      <c r="F4" s="6" t="str">
        <f>'Bin by Year'!F5</f>
        <v>Valencia</v>
      </c>
      <c r="G4" s="6" t="str">
        <f>'Bin by Year'!G5</f>
        <v>Valencia</v>
      </c>
      <c r="H4" s="6" t="str">
        <f>'Bin by Year'!H5</f>
        <v>Valencia</v>
      </c>
      <c r="I4" s="6" t="str">
        <f>'Bin by Year'!I5</f>
        <v>Valencia</v>
      </c>
      <c r="J4" s="6" t="str">
        <f>'Bin by Year'!J5</f>
        <v>Late Lane</v>
      </c>
      <c r="K4" s="6" t="str">
        <f>'Bin by Year'!K5</f>
        <v>Cara Caras</v>
      </c>
      <c r="L4" s="6" t="str">
        <f>'Bin by Year'!L5</f>
        <v>Powells</v>
      </c>
      <c r="M4" s="6" t="str">
        <f>'Bin by Year'!M5</f>
        <v>Tangos</v>
      </c>
      <c r="N4" s="6" t="str">
        <f>'Bin by Year'!N5</f>
        <v>Lemons</v>
      </c>
      <c r="O4" s="6" t="str">
        <f>'Bin by Year'!O5</f>
        <v>Washingtons</v>
      </c>
      <c r="P4" s="6" t="str">
        <f>'Bin by Year'!P5</f>
        <v>Washingtons</v>
      </c>
      <c r="Q4" s="6" t="str">
        <f>'Bin by Year'!Q5</f>
        <v>Grapefruit</v>
      </c>
      <c r="R4" s="6" t="str">
        <f>'Bin by Year'!R5</f>
        <v>Lemons</v>
      </c>
      <c r="S4" s="6" t="str">
        <f>'Bin by Year'!S5</f>
        <v>Tangos</v>
      </c>
      <c r="T4" s="6" t="str">
        <f>'Bin by Year'!T5</f>
        <v>Washingtons</v>
      </c>
      <c r="U4" s="6" t="str">
        <f>'Bin by Year'!U5</f>
        <v>Cara Cara</v>
      </c>
    </row>
    <row r="5" spans="1:21" x14ac:dyDescent="0.25">
      <c r="A5" s="6">
        <v>2012</v>
      </c>
      <c r="B5" s="84">
        <f>Revenue!H13</f>
        <v>0</v>
      </c>
      <c r="C5" s="88">
        <f>Revenue!I13</f>
        <v>0</v>
      </c>
      <c r="D5" s="88">
        <f>Revenue!J13</f>
        <v>0</v>
      </c>
      <c r="E5" s="84">
        <f>Revenue!K13</f>
        <v>97.465844748858459</v>
      </c>
      <c r="F5" s="84">
        <f>Revenue!L13</f>
        <v>77.48115746971736</v>
      </c>
      <c r="G5" s="84">
        <f>Revenue!M13</f>
        <v>78.57014423076923</v>
      </c>
      <c r="H5" s="84">
        <f>Revenue!N13</f>
        <v>71.913415730337078</v>
      </c>
      <c r="I5" s="84">
        <f>Revenue!O13</f>
        <v>57.286813725490191</v>
      </c>
      <c r="J5" s="84">
        <f>Revenue!P13</f>
        <v>117.7258356545961</v>
      </c>
      <c r="K5" s="88">
        <f>Revenue!Q13</f>
        <v>0</v>
      </c>
      <c r="L5" s="88">
        <f>Revenue!R13</f>
        <v>0</v>
      </c>
      <c r="M5" s="84">
        <f>Revenue!S13</f>
        <v>0</v>
      </c>
      <c r="N5" s="88">
        <f>Revenue!T13</f>
        <v>0</v>
      </c>
      <c r="O5" s="84">
        <f>Revenue!U13</f>
        <v>0</v>
      </c>
      <c r="P5" s="84">
        <f>Revenue!V13</f>
        <v>0</v>
      </c>
      <c r="Q5" s="84">
        <f>Revenue!W13</f>
        <v>0</v>
      </c>
      <c r="R5" s="84">
        <f>Revenue!X13</f>
        <v>0</v>
      </c>
      <c r="S5" s="84">
        <f>Revenue!Y13</f>
        <v>0</v>
      </c>
      <c r="T5" s="84">
        <f>Revenue!Z13</f>
        <v>0</v>
      </c>
      <c r="U5" s="84">
        <f>Revenue!AA13</f>
        <v>0</v>
      </c>
    </row>
    <row r="6" spans="1:21" x14ac:dyDescent="0.25">
      <c r="A6" s="6">
        <v>2013</v>
      </c>
      <c r="B6" s="84">
        <f>Revenue!H24</f>
        <v>0</v>
      </c>
      <c r="C6" s="88">
        <f>Revenue!I24</f>
        <v>0</v>
      </c>
      <c r="D6" s="88">
        <f>Revenue!J24</f>
        <v>0</v>
      </c>
      <c r="E6" s="84">
        <f>Revenue!K24</f>
        <v>150.34283513097071</v>
      </c>
      <c r="F6" s="84">
        <f>Revenue!L24</f>
        <v>131.76678921568626</v>
      </c>
      <c r="G6" s="84">
        <f>Revenue!M24</f>
        <v>131.03326666666666</v>
      </c>
      <c r="H6" s="84">
        <f>Revenue!N24</f>
        <v>118.94333333333333</v>
      </c>
      <c r="I6" s="84">
        <f>Revenue!O24</f>
        <v>120.40112727272727</v>
      </c>
      <c r="J6" s="84">
        <f>Revenue!P24</f>
        <v>224.01029585798818</v>
      </c>
      <c r="K6" s="88">
        <f>Revenue!Q24</f>
        <v>0</v>
      </c>
      <c r="L6" s="88">
        <f>Revenue!R24</f>
        <v>0</v>
      </c>
      <c r="M6" s="84">
        <f>Revenue!S24</f>
        <v>0</v>
      </c>
      <c r="N6" s="88">
        <f>Revenue!T24</f>
        <v>0</v>
      </c>
      <c r="O6" s="84">
        <f>Revenue!U24</f>
        <v>0</v>
      </c>
      <c r="P6" s="84">
        <f>Revenue!V24</f>
        <v>0</v>
      </c>
      <c r="Q6" s="84">
        <f>Revenue!W24</f>
        <v>0</v>
      </c>
      <c r="R6" s="84">
        <f>Revenue!X24</f>
        <v>0</v>
      </c>
      <c r="S6" s="84">
        <f>Revenue!Y24</f>
        <v>0</v>
      </c>
      <c r="T6" s="84">
        <f>Revenue!Z24</f>
        <v>0</v>
      </c>
      <c r="U6" s="84">
        <f>Revenue!AA24</f>
        <v>0</v>
      </c>
    </row>
    <row r="7" spans="1:21" x14ac:dyDescent="0.25">
      <c r="A7" s="6">
        <v>2014</v>
      </c>
      <c r="B7" s="84">
        <f>Revenue!H35</f>
        <v>0</v>
      </c>
      <c r="C7" s="88">
        <f>Revenue!I35</f>
        <v>0</v>
      </c>
      <c r="D7" s="88">
        <f>Revenue!J35</f>
        <v>0</v>
      </c>
      <c r="E7" s="84">
        <f>Revenue!K35</f>
        <v>242.77286666666666</v>
      </c>
      <c r="F7" s="84">
        <f>Revenue!L35</f>
        <v>142.25303066037736</v>
      </c>
      <c r="G7" s="84">
        <f>Revenue!M35</f>
        <v>145.38257936507938</v>
      </c>
      <c r="H7" s="84">
        <f>Revenue!N35</f>
        <v>100.97937777777778</v>
      </c>
      <c r="I7" s="84">
        <f>Revenue!O35</f>
        <v>82.815319734127897</v>
      </c>
      <c r="J7" s="84">
        <f>Revenue!P35</f>
        <v>242.27612840466924</v>
      </c>
      <c r="K7" s="88">
        <f>Revenue!Q35</f>
        <v>0</v>
      </c>
      <c r="L7" s="88">
        <f>Revenue!R35</f>
        <v>0</v>
      </c>
      <c r="M7" s="84">
        <f>Revenue!S35</f>
        <v>0</v>
      </c>
      <c r="N7" s="88">
        <f>Revenue!T35</f>
        <v>0</v>
      </c>
      <c r="O7" s="84">
        <f>Revenue!U35</f>
        <v>0</v>
      </c>
      <c r="P7" s="84">
        <f>Revenue!V35</f>
        <v>0</v>
      </c>
      <c r="Q7" s="84">
        <f>Revenue!W35</f>
        <v>0</v>
      </c>
      <c r="R7" s="84">
        <f>Revenue!X35</f>
        <v>0</v>
      </c>
      <c r="S7" s="84">
        <f>Revenue!Y35</f>
        <v>0</v>
      </c>
      <c r="T7" s="84">
        <f>Revenue!Z35</f>
        <v>0</v>
      </c>
      <c r="U7" s="84">
        <f>Revenue!AA35</f>
        <v>0</v>
      </c>
    </row>
    <row r="8" spans="1:21" x14ac:dyDescent="0.25">
      <c r="A8" s="6">
        <v>2015</v>
      </c>
      <c r="B8" s="84">
        <f>Revenue!H46</f>
        <v>0</v>
      </c>
      <c r="C8" s="88">
        <f>Revenue!I46</f>
        <v>0</v>
      </c>
      <c r="D8" s="88">
        <f>Revenue!J46</f>
        <v>0</v>
      </c>
      <c r="E8" s="84">
        <f>Revenue!K46</f>
        <v>140.95338144329898</v>
      </c>
      <c r="F8" s="84">
        <f>Revenue!L46</f>
        <v>132.79362041467306</v>
      </c>
      <c r="G8" s="84">
        <f>Revenue!M46</f>
        <v>110.22547826086956</v>
      </c>
      <c r="H8" s="84">
        <f>Revenue!N46</f>
        <v>133.88960396039604</v>
      </c>
      <c r="I8" s="84">
        <f>Revenue!O46</f>
        <v>126.08984597156399</v>
      </c>
      <c r="J8" s="84">
        <f>Revenue!P46</f>
        <v>230.9227910958904</v>
      </c>
      <c r="K8" s="88">
        <f>Revenue!Q46</f>
        <v>0</v>
      </c>
      <c r="L8" s="88">
        <f>Revenue!R46</f>
        <v>0</v>
      </c>
      <c r="M8" s="84">
        <f>Revenue!S46</f>
        <v>0</v>
      </c>
      <c r="N8" s="88">
        <f>Revenue!T46</f>
        <v>219.70736842105265</v>
      </c>
      <c r="O8" s="84">
        <f>Revenue!U46</f>
        <v>0</v>
      </c>
      <c r="P8" s="84">
        <f>Revenue!V46</f>
        <v>0</v>
      </c>
      <c r="Q8" s="84">
        <f>Revenue!W46</f>
        <v>0</v>
      </c>
      <c r="R8" s="84">
        <f>Revenue!X46</f>
        <v>0</v>
      </c>
      <c r="S8" s="84">
        <f>Revenue!Y46</f>
        <v>0</v>
      </c>
      <c r="T8" s="84">
        <f>Revenue!Z46</f>
        <v>0</v>
      </c>
      <c r="U8" s="84">
        <f>Revenue!AA46</f>
        <v>0</v>
      </c>
    </row>
    <row r="9" spans="1:21" x14ac:dyDescent="0.25">
      <c r="A9" s="6">
        <v>2016</v>
      </c>
      <c r="B9" s="84">
        <f>Revenue!H57</f>
        <v>0</v>
      </c>
      <c r="C9" s="88">
        <f>Revenue!I57</f>
        <v>0</v>
      </c>
      <c r="D9" s="88">
        <f>Revenue!J57</f>
        <v>0</v>
      </c>
      <c r="E9" s="84">
        <f>Revenue!K57</f>
        <v>62.688365547373451</v>
      </c>
      <c r="F9" s="84">
        <f>Revenue!L57</f>
        <v>100.31597345132744</v>
      </c>
      <c r="G9" s="84">
        <f>Revenue!M57</f>
        <v>86.459033333333323</v>
      </c>
      <c r="H9" s="84">
        <f>Revenue!N57</f>
        <v>85.335386100386103</v>
      </c>
      <c r="I9" s="84">
        <f>Revenue!O57</f>
        <v>75.788774002954213</v>
      </c>
      <c r="J9" s="84">
        <f>Revenue!P57</f>
        <v>88.878750873596417</v>
      </c>
      <c r="K9" s="88">
        <f>Revenue!Q57</f>
        <v>183.39928571428572</v>
      </c>
      <c r="L9" s="88">
        <f>Revenue!R57</f>
        <v>0</v>
      </c>
      <c r="M9" s="84">
        <f>Revenue!S57</f>
        <v>0</v>
      </c>
      <c r="N9" s="88">
        <f>Revenue!T57</f>
        <v>271.02565371024735</v>
      </c>
      <c r="O9" s="84">
        <f>Revenue!U57</f>
        <v>0</v>
      </c>
      <c r="P9" s="84">
        <f>Revenue!V57</f>
        <v>0</v>
      </c>
      <c r="Q9" s="84">
        <f>Revenue!W57</f>
        <v>0</v>
      </c>
      <c r="R9" s="84">
        <f>Revenue!X57</f>
        <v>0</v>
      </c>
      <c r="S9" s="84">
        <f>Revenue!Y57</f>
        <v>0</v>
      </c>
      <c r="T9" s="84">
        <f>Revenue!Z57</f>
        <v>0</v>
      </c>
      <c r="U9" s="84">
        <f>Revenue!AA57</f>
        <v>0</v>
      </c>
    </row>
    <row r="10" spans="1:21" x14ac:dyDescent="0.25">
      <c r="A10" s="6">
        <v>2017</v>
      </c>
      <c r="B10" s="84">
        <f>Revenue!H68</f>
        <v>0</v>
      </c>
      <c r="C10" s="88">
        <f>Revenue!I68</f>
        <v>0</v>
      </c>
      <c r="D10" s="88">
        <f>Revenue!J68</f>
        <v>0</v>
      </c>
      <c r="E10" s="84">
        <f>Revenue!K68</f>
        <v>166.82766570605187</v>
      </c>
      <c r="F10" s="84">
        <f>Revenue!L68</f>
        <v>243.79026737967916</v>
      </c>
      <c r="G10" s="84">
        <f>Revenue!M68</f>
        <v>223.22790697674418</v>
      </c>
      <c r="H10" s="84">
        <f>Revenue!N68</f>
        <v>204.77563432835822</v>
      </c>
      <c r="I10" s="84">
        <f>Revenue!O68</f>
        <v>241.63240442655933</v>
      </c>
      <c r="J10" s="84">
        <f>Revenue!P68</f>
        <v>295.81012345679011</v>
      </c>
      <c r="K10" s="88">
        <f>Revenue!Q68</f>
        <v>135.19627659574468</v>
      </c>
      <c r="L10" s="88">
        <f>Revenue!R68</f>
        <v>132.4208536585366</v>
      </c>
      <c r="M10" s="84">
        <f>Revenue!S68</f>
        <v>0</v>
      </c>
      <c r="N10" s="88">
        <f>Revenue!T68</f>
        <v>260.52774545454548</v>
      </c>
      <c r="O10" s="84">
        <f>Revenue!U68</f>
        <v>0</v>
      </c>
      <c r="P10" s="84">
        <f>Revenue!V68</f>
        <v>0</v>
      </c>
      <c r="Q10" s="84">
        <f>Revenue!W68</f>
        <v>0</v>
      </c>
      <c r="R10" s="84">
        <f>Revenue!X68</f>
        <v>0</v>
      </c>
      <c r="S10" s="84">
        <f>Revenue!Y68</f>
        <v>0</v>
      </c>
      <c r="T10" s="84">
        <f>Revenue!Z68</f>
        <v>0</v>
      </c>
      <c r="U10" s="84">
        <f>Revenue!AA68</f>
        <v>0</v>
      </c>
    </row>
    <row r="11" spans="1:21" x14ac:dyDescent="0.25">
      <c r="A11" s="6">
        <v>2018</v>
      </c>
      <c r="B11" s="84">
        <f>Revenue!H79</f>
        <v>0</v>
      </c>
      <c r="C11" s="88">
        <f>Revenue!I79</f>
        <v>0</v>
      </c>
      <c r="D11" s="88">
        <f>Revenue!J79</f>
        <v>290.11241935483872</v>
      </c>
      <c r="E11" s="84">
        <f>Revenue!K79</f>
        <v>297.96429398663696</v>
      </c>
      <c r="F11" s="84">
        <f>Revenue!L79</f>
        <v>241.03146825396826</v>
      </c>
      <c r="G11" s="84">
        <f>Revenue!M79</f>
        <v>227.81677419354838</v>
      </c>
      <c r="H11" s="84">
        <f>Revenue!N79</f>
        <v>186.44060606060606</v>
      </c>
      <c r="I11" s="84">
        <f>Revenue!O79</f>
        <v>202.04183884297521</v>
      </c>
      <c r="J11" s="84">
        <f>Revenue!P79</f>
        <v>323.28392215568857</v>
      </c>
      <c r="K11" s="88">
        <f>Revenue!Q79</f>
        <v>329.63248780487805</v>
      </c>
      <c r="L11" s="88">
        <f>Revenue!R79</f>
        <v>257.70192982456143</v>
      </c>
      <c r="M11" s="84">
        <f>Revenue!S79</f>
        <v>0</v>
      </c>
      <c r="N11" s="88">
        <f>Revenue!T79</f>
        <v>333.43941463414637</v>
      </c>
      <c r="O11" s="84">
        <f>Revenue!U79</f>
        <v>0</v>
      </c>
      <c r="P11" s="84">
        <f>Revenue!V79</f>
        <v>0</v>
      </c>
      <c r="Q11" s="84">
        <f>Revenue!W79</f>
        <v>0</v>
      </c>
      <c r="R11" s="84">
        <f>Revenue!X79</f>
        <v>0</v>
      </c>
      <c r="S11" s="84">
        <f>Revenue!Y79</f>
        <v>0</v>
      </c>
      <c r="T11" s="84">
        <f>Revenue!Z79</f>
        <v>0</v>
      </c>
      <c r="U11" s="84">
        <f>Revenue!AA79</f>
        <v>0</v>
      </c>
    </row>
    <row r="12" spans="1:21" x14ac:dyDescent="0.25">
      <c r="A12" s="6">
        <v>2019</v>
      </c>
      <c r="B12" s="84">
        <f>Revenue!H90</f>
        <v>0</v>
      </c>
      <c r="C12" s="88">
        <f>Revenue!I90</f>
        <v>0</v>
      </c>
      <c r="D12" s="88">
        <f>Revenue!J90</f>
        <v>214.78426395939087</v>
      </c>
      <c r="E12" s="84">
        <f>Revenue!K90</f>
        <v>53.247015437392797</v>
      </c>
      <c r="F12" s="84">
        <f>Revenue!L90</f>
        <v>103.52734744707348</v>
      </c>
      <c r="G12" s="84">
        <f>Revenue!M90</f>
        <v>99.515841121495328</v>
      </c>
      <c r="H12" s="84">
        <f>Revenue!N90</f>
        <v>95.477708333333339</v>
      </c>
      <c r="I12" s="84">
        <f>Revenue!O90</f>
        <v>100.70726562500001</v>
      </c>
      <c r="J12" s="84">
        <f>Revenue!P90</f>
        <v>87.76125690607735</v>
      </c>
      <c r="K12" s="88">
        <f>Revenue!Q90</f>
        <v>289.16702928870291</v>
      </c>
      <c r="L12" s="88">
        <f>Revenue!R90</f>
        <v>60.183622828784117</v>
      </c>
      <c r="M12" s="84">
        <f>Revenue!S90</f>
        <v>0</v>
      </c>
      <c r="N12" s="88">
        <f>Revenue!T90</f>
        <v>325.51065478496707</v>
      </c>
      <c r="O12" s="84">
        <f>Revenue!U90</f>
        <v>0</v>
      </c>
      <c r="P12" s="84">
        <f>Revenue!V90</f>
        <v>0</v>
      </c>
      <c r="Q12" s="84">
        <f>Revenue!W90</f>
        <v>0</v>
      </c>
      <c r="R12" s="84">
        <f>Revenue!X90</f>
        <v>0</v>
      </c>
      <c r="S12" s="84">
        <f>Revenue!Y90</f>
        <v>0</v>
      </c>
      <c r="T12" s="84">
        <f>Revenue!Z90</f>
        <v>0</v>
      </c>
      <c r="U12" s="84">
        <f>Revenue!AA90</f>
        <v>0</v>
      </c>
    </row>
    <row r="13" spans="1:21" x14ac:dyDescent="0.25">
      <c r="A13" s="6">
        <v>2020</v>
      </c>
      <c r="B13" s="84">
        <f>Revenue!H101</f>
        <v>0</v>
      </c>
      <c r="C13" s="88">
        <f>Revenue!I101</f>
        <v>304.42439024390245</v>
      </c>
      <c r="D13" s="88">
        <f>Revenue!J101</f>
        <v>273.00146551724134</v>
      </c>
      <c r="E13" s="84">
        <f>Revenue!K101</f>
        <v>102.83327118644067</v>
      </c>
      <c r="F13" s="84">
        <f>Revenue!L101</f>
        <v>176.00967105263157</v>
      </c>
      <c r="G13" s="84">
        <f>Revenue!M101</f>
        <v>151.98914691943128</v>
      </c>
      <c r="H13" s="84">
        <f>Revenue!N101</f>
        <v>166.28402777777777</v>
      </c>
      <c r="I13" s="84">
        <f>Revenue!O101</f>
        <v>108.09846920289856</v>
      </c>
      <c r="J13" s="84">
        <f>Revenue!P101</f>
        <v>215.93952768729642</v>
      </c>
      <c r="K13" s="88">
        <f>Revenue!Q101</f>
        <v>259.1830769230769</v>
      </c>
      <c r="L13" s="88">
        <f>Revenue!R101</f>
        <v>202.27219866747427</v>
      </c>
      <c r="M13" s="84">
        <f>Revenue!S101</f>
        <v>0</v>
      </c>
      <c r="N13" s="88">
        <f>Revenue!T101</f>
        <v>242.9590443293034</v>
      </c>
      <c r="O13" s="84">
        <f>Revenue!U101</f>
        <v>0</v>
      </c>
      <c r="P13" s="84">
        <f>Revenue!V101</f>
        <v>0</v>
      </c>
      <c r="Q13" s="84">
        <f>Revenue!W101</f>
        <v>0</v>
      </c>
      <c r="R13" s="84">
        <f>Revenue!X101</f>
        <v>0</v>
      </c>
      <c r="S13" s="84">
        <f>Revenue!Y101</f>
        <v>0</v>
      </c>
      <c r="T13" s="84">
        <f>Revenue!Z101</f>
        <v>0</v>
      </c>
      <c r="U13" s="84">
        <f>Revenue!AA101</f>
        <v>0</v>
      </c>
    </row>
    <row r="14" spans="1:21" x14ac:dyDescent="0.25">
      <c r="A14" s="6">
        <v>2021</v>
      </c>
      <c r="B14" s="84">
        <f>Revenue!H112</f>
        <v>0</v>
      </c>
      <c r="C14" s="88">
        <f>Revenue!I112</f>
        <v>195.35839195979901</v>
      </c>
      <c r="D14" s="88">
        <f>Revenue!J112</f>
        <v>247.08627358490565</v>
      </c>
      <c r="E14" s="84">
        <f>Revenue!K112</f>
        <v>34.401047297297296</v>
      </c>
      <c r="F14" s="84">
        <f>Revenue!L112</f>
        <v>141.66110027855152</v>
      </c>
      <c r="G14" s="84">
        <f>Revenue!M112</f>
        <v>133.69988372093025</v>
      </c>
      <c r="H14" s="84">
        <f>Revenue!N112</f>
        <v>128.35394822006472</v>
      </c>
      <c r="I14" s="84">
        <f>Revenue!O112</f>
        <v>93.134450212364314</v>
      </c>
      <c r="J14" s="84">
        <f>Revenue!P112</f>
        <v>131.62007142857144</v>
      </c>
      <c r="K14" s="88">
        <f>Revenue!Q112</f>
        <v>159.1103267973856</v>
      </c>
      <c r="L14" s="88">
        <f>Revenue!R112</f>
        <v>224.26897058823528</v>
      </c>
      <c r="M14" s="84">
        <f>Revenue!S112</f>
        <v>195.22153846153847</v>
      </c>
      <c r="N14" s="88">
        <f>Revenue!T112</f>
        <v>270.2451362683438</v>
      </c>
      <c r="O14" s="84">
        <f>Revenue!U112</f>
        <v>0</v>
      </c>
      <c r="P14" s="84">
        <f>Revenue!V112</f>
        <v>0</v>
      </c>
      <c r="Q14" s="84">
        <f>Revenue!W112</f>
        <v>0</v>
      </c>
      <c r="R14" s="84">
        <f>Revenue!X112</f>
        <v>0</v>
      </c>
      <c r="S14" s="84">
        <f>Revenue!Y112</f>
        <v>0</v>
      </c>
      <c r="T14" s="84">
        <f>Revenue!Z112</f>
        <v>0</v>
      </c>
      <c r="U14" s="84">
        <f>Revenue!AA112</f>
        <v>0</v>
      </c>
    </row>
    <row r="15" spans="1:21" x14ac:dyDescent="0.25">
      <c r="A15" s="6">
        <v>2022</v>
      </c>
      <c r="B15" s="84">
        <f>Revenue!H127</f>
        <v>331.73881578947368</v>
      </c>
      <c r="C15" s="88">
        <f>Revenue!I127</f>
        <v>404.74000000000007</v>
      </c>
      <c r="D15" s="88">
        <f>Revenue!J127</f>
        <v>273.8685185185185</v>
      </c>
      <c r="E15" s="84">
        <f>Revenue!K127</f>
        <v>166.97827586206895</v>
      </c>
      <c r="F15" s="84">
        <f>Revenue!L127</f>
        <v>205.62908486507627</v>
      </c>
      <c r="G15" s="84">
        <f>Revenue!M127</f>
        <v>197.72091603053434</v>
      </c>
      <c r="H15" s="84">
        <f>Revenue!N127</f>
        <v>201.78590799031477</v>
      </c>
      <c r="I15" s="84">
        <f>Revenue!O127</f>
        <v>175.83398284313725</v>
      </c>
      <c r="J15" s="84">
        <f>Revenue!P127</f>
        <v>332.60831967213113</v>
      </c>
      <c r="K15" s="88">
        <f>Revenue!Q127</f>
        <v>235.76609808102347</v>
      </c>
      <c r="L15" s="88">
        <f>Revenue!R127</f>
        <v>286.73308441558441</v>
      </c>
      <c r="M15" s="84">
        <f>Revenue!S127</f>
        <v>402.82052238805966</v>
      </c>
      <c r="N15" s="88">
        <f>Revenue!T127</f>
        <v>185.30510168506683</v>
      </c>
      <c r="O15" s="84">
        <f>Revenue!U127</f>
        <v>148.56590909090909</v>
      </c>
      <c r="P15" s="84">
        <f>Revenue!V127</f>
        <v>0</v>
      </c>
      <c r="Q15" s="84">
        <f>Revenue!W127</f>
        <v>0</v>
      </c>
      <c r="R15" s="84">
        <f>Revenue!X127</f>
        <v>0</v>
      </c>
      <c r="S15" s="84">
        <f>Revenue!Y127</f>
        <v>0</v>
      </c>
      <c r="T15" s="84">
        <f>Revenue!Z127</f>
        <v>0</v>
      </c>
      <c r="U15" s="84">
        <f>Revenue!AA127</f>
        <v>0</v>
      </c>
    </row>
    <row r="16" spans="1:21" x14ac:dyDescent="0.25">
      <c r="A16" s="6">
        <v>2023</v>
      </c>
      <c r="B16" s="84">
        <f>Revenue!H138</f>
        <v>276.27087719298248</v>
      </c>
      <c r="C16" s="88">
        <f>Revenue!I138</f>
        <v>261.98150068212823</v>
      </c>
      <c r="D16" s="88">
        <f>Revenue!J138</f>
        <v>259.46785882352941</v>
      </c>
      <c r="E16" s="84">
        <f>Revenue!K138</f>
        <v>114.71443609022556</v>
      </c>
      <c r="F16" s="84">
        <f>Revenue!L138</f>
        <v>141.85331896551725</v>
      </c>
      <c r="G16" s="84">
        <f>Revenue!M138</f>
        <v>155.46652173913043</v>
      </c>
      <c r="H16" s="84">
        <f>Revenue!N138</f>
        <v>166.35159851301117</v>
      </c>
      <c r="I16" s="84">
        <f>Revenue!O138</f>
        <v>183.89686030428769</v>
      </c>
      <c r="J16" s="84">
        <f>Revenue!P138</f>
        <v>164.58978317432786</v>
      </c>
      <c r="K16" s="88">
        <f>Revenue!Q138</f>
        <v>198.95568477429228</v>
      </c>
      <c r="L16" s="88">
        <f>Revenue!R138</f>
        <v>220.56513914656773</v>
      </c>
      <c r="M16" s="84">
        <f>Revenue!S138</f>
        <v>217.75844370860929</v>
      </c>
      <c r="N16" s="88">
        <f>Revenue!T138</f>
        <v>140.67936768149883</v>
      </c>
      <c r="O16" s="84">
        <f>Revenue!U138</f>
        <v>194.51860465116278</v>
      </c>
      <c r="P16" s="84">
        <f>Revenue!V138</f>
        <v>0</v>
      </c>
      <c r="Q16" s="84">
        <f>Revenue!W138</f>
        <v>0</v>
      </c>
      <c r="R16" s="84">
        <f>Revenue!X138</f>
        <v>52.348333333333329</v>
      </c>
      <c r="S16" s="84">
        <f>Revenue!Y138</f>
        <v>0</v>
      </c>
      <c r="T16" s="84">
        <f>Revenue!Z138</f>
        <v>0</v>
      </c>
      <c r="U16" s="84">
        <f>Revenue!AA138</f>
        <v>0</v>
      </c>
    </row>
    <row r="17" spans="1:21" x14ac:dyDescent="0.25">
      <c r="A17" s="6">
        <v>2024</v>
      </c>
      <c r="B17" s="84">
        <f>Revenue!H153</f>
        <v>167.86079207920795</v>
      </c>
      <c r="C17" s="88">
        <f>Revenue!I153</f>
        <v>276.2160497237569</v>
      </c>
      <c r="D17" s="88">
        <f>Revenue!J153</f>
        <v>336.27291428571425</v>
      </c>
      <c r="E17" s="84">
        <f>Revenue!K153</f>
        <v>114.02980891719746</v>
      </c>
      <c r="F17" s="84">
        <f>Revenue!L153</f>
        <v>173.3510961214165</v>
      </c>
      <c r="G17" s="84">
        <f>Revenue!M153</f>
        <v>193.26017241379313</v>
      </c>
      <c r="H17" s="84">
        <f>Revenue!N153</f>
        <v>199.81597197898424</v>
      </c>
      <c r="I17" s="84">
        <f>Revenue!O153</f>
        <v>186.75724615384615</v>
      </c>
      <c r="J17" s="84">
        <f>Revenue!P153</f>
        <v>105.00812609457093</v>
      </c>
      <c r="K17" s="88">
        <f>Revenue!Q153</f>
        <v>189.05366766467066</v>
      </c>
      <c r="L17" s="88">
        <f>Revenue!R153</f>
        <v>217.48230425055928</v>
      </c>
      <c r="M17" s="84">
        <f>Revenue!S153</f>
        <v>196.71628289473685</v>
      </c>
      <c r="N17" s="88">
        <f>Revenue!T153</f>
        <v>107.16082096933728</v>
      </c>
      <c r="O17" s="84">
        <f>Revenue!U153</f>
        <v>204.89859375</v>
      </c>
      <c r="P17" s="84">
        <f>Revenue!V153</f>
        <v>0</v>
      </c>
      <c r="Q17" s="84">
        <f>Revenue!W153</f>
        <v>0</v>
      </c>
      <c r="R17" s="84">
        <f>Revenue!X153</f>
        <v>63.38</v>
      </c>
      <c r="S17" s="84">
        <f>Revenue!Y153</f>
        <v>180</v>
      </c>
      <c r="T17" s="84">
        <f>Revenue!Z153</f>
        <v>0</v>
      </c>
      <c r="U17" s="84">
        <f>Revenue!AA153</f>
        <v>0</v>
      </c>
    </row>
    <row r="18" spans="1:21" x14ac:dyDescent="0.25">
      <c r="A18" s="6" t="s">
        <v>56</v>
      </c>
      <c r="B18" s="91">
        <v>200</v>
      </c>
      <c r="C18" s="90">
        <v>250</v>
      </c>
      <c r="D18" s="90">
        <v>250</v>
      </c>
      <c r="E18" s="91">
        <f>AVERAGE(E5:E17)</f>
        <v>134.24762369388307</v>
      </c>
      <c r="F18" s="91">
        <v>180</v>
      </c>
      <c r="G18" s="91">
        <v>180</v>
      </c>
      <c r="H18" s="91">
        <v>180</v>
      </c>
      <c r="I18" s="91">
        <v>180</v>
      </c>
      <c r="J18" s="91">
        <v>180</v>
      </c>
      <c r="K18" s="90">
        <v>200</v>
      </c>
      <c r="L18" s="90">
        <f>AVERAGE(L10:L17)</f>
        <v>200.2035129225379</v>
      </c>
      <c r="M18" s="91">
        <v>250</v>
      </c>
      <c r="N18" s="90">
        <v>200</v>
      </c>
      <c r="O18" s="91">
        <v>200</v>
      </c>
      <c r="P18" s="91">
        <v>200</v>
      </c>
      <c r="Q18" s="93">
        <f>1.3*R18</f>
        <v>260</v>
      </c>
      <c r="R18" s="91">
        <f>N18</f>
        <v>200</v>
      </c>
      <c r="S18" s="91">
        <v>250</v>
      </c>
      <c r="T18" s="91">
        <v>200</v>
      </c>
      <c r="U18" s="91">
        <f>K18</f>
        <v>200</v>
      </c>
    </row>
    <row r="19" spans="1:21" x14ac:dyDescent="0.25">
      <c r="A19" s="6">
        <v>2028</v>
      </c>
      <c r="B19" s="84">
        <f>B18</f>
        <v>200</v>
      </c>
      <c r="C19" s="84">
        <f t="shared" ref="C19:U19" si="0">C18</f>
        <v>250</v>
      </c>
      <c r="D19" s="84">
        <f t="shared" si="0"/>
        <v>250</v>
      </c>
      <c r="E19" s="84">
        <f t="shared" si="0"/>
        <v>134.24762369388307</v>
      </c>
      <c r="F19" s="84">
        <f t="shared" si="0"/>
        <v>180</v>
      </c>
      <c r="G19" s="84">
        <f t="shared" si="0"/>
        <v>180</v>
      </c>
      <c r="H19" s="84">
        <f t="shared" si="0"/>
        <v>180</v>
      </c>
      <c r="I19" s="84">
        <f t="shared" si="0"/>
        <v>180</v>
      </c>
      <c r="J19" s="84">
        <f t="shared" si="0"/>
        <v>180</v>
      </c>
      <c r="K19" s="84">
        <f t="shared" si="0"/>
        <v>200</v>
      </c>
      <c r="L19" s="84">
        <f t="shared" si="0"/>
        <v>200.2035129225379</v>
      </c>
      <c r="M19" s="84">
        <f t="shared" si="0"/>
        <v>250</v>
      </c>
      <c r="N19" s="84">
        <f t="shared" si="0"/>
        <v>200</v>
      </c>
      <c r="O19" s="84">
        <f t="shared" si="0"/>
        <v>200</v>
      </c>
      <c r="P19" s="84">
        <f>P18</f>
        <v>200</v>
      </c>
      <c r="Q19" s="84">
        <f t="shared" si="0"/>
        <v>260</v>
      </c>
      <c r="R19" s="84">
        <f t="shared" si="0"/>
        <v>200</v>
      </c>
      <c r="S19" s="84">
        <f t="shared" si="0"/>
        <v>250</v>
      </c>
      <c r="T19" s="84">
        <f t="shared" si="0"/>
        <v>200</v>
      </c>
      <c r="U19" s="84">
        <f t="shared" si="0"/>
        <v>200</v>
      </c>
    </row>
  </sheetData>
  <mergeCells count="1">
    <mergeCell ref="B2:U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A3AC-8C7A-431C-A3F2-32D489F74FF6}">
  <sheetPr codeName="Sheet6"/>
  <dimension ref="B1:R87"/>
  <sheetViews>
    <sheetView topLeftCell="A8" zoomScaleNormal="100" zoomScalePageLayoutView="17" workbookViewId="0">
      <selection activeCell="I12" sqref="I12"/>
    </sheetView>
  </sheetViews>
  <sheetFormatPr defaultRowHeight="15" x14ac:dyDescent="0.25"/>
  <cols>
    <col min="2" max="2" width="10.42578125" style="57" bestFit="1" customWidth="1"/>
    <col min="3" max="3" width="10.140625" style="57" bestFit="1" customWidth="1"/>
    <col min="4" max="4" width="9.5703125" style="63" bestFit="1" customWidth="1"/>
    <col min="5" max="5" width="8.85546875" style="57" bestFit="1" customWidth="1"/>
    <col min="6" max="6" width="14.140625" style="74" bestFit="1" customWidth="1"/>
    <col min="7" max="7" width="8.5703125" style="58" bestFit="1" customWidth="1"/>
    <col min="8" max="8" width="20" style="57" bestFit="1" customWidth="1"/>
    <col min="9" max="9" width="38.140625" style="57" bestFit="1" customWidth="1"/>
    <col min="10" max="10" width="26.85546875" bestFit="1" customWidth="1"/>
    <col min="12" max="12" width="22.42578125" style="57" bestFit="1" customWidth="1"/>
    <col min="13" max="13" width="17.7109375" style="58" bestFit="1" customWidth="1"/>
    <col min="14" max="14" width="12.140625" style="58" bestFit="1" customWidth="1"/>
    <col min="15" max="15" width="6" style="68" bestFit="1" customWidth="1"/>
    <col min="16" max="16" width="17.7109375" style="58" customWidth="1"/>
    <col min="17" max="17" width="13" style="57" bestFit="1" customWidth="1"/>
  </cols>
  <sheetData>
    <row r="1" spans="2:18" s="1" customFormat="1" x14ac:dyDescent="0.25">
      <c r="B1" s="2" t="s">
        <v>70</v>
      </c>
      <c r="C1" s="2" t="s">
        <v>71</v>
      </c>
      <c r="D1" s="61" t="s">
        <v>72</v>
      </c>
      <c r="E1" s="2" t="s">
        <v>73</v>
      </c>
      <c r="F1" s="73" t="s">
        <v>74</v>
      </c>
      <c r="G1" s="70" t="s">
        <v>75</v>
      </c>
      <c r="H1" s="2" t="s">
        <v>76</v>
      </c>
      <c r="I1" s="2" t="s">
        <v>77</v>
      </c>
      <c r="L1" s="59" t="s">
        <v>71</v>
      </c>
      <c r="M1" s="60" t="s">
        <v>78</v>
      </c>
      <c r="N1" s="60" t="s">
        <v>79</v>
      </c>
      <c r="O1" s="67" t="s">
        <v>74</v>
      </c>
      <c r="P1" s="60" t="s">
        <v>80</v>
      </c>
      <c r="Q1" s="59" t="s">
        <v>81</v>
      </c>
      <c r="R1" s="1" t="s">
        <v>82</v>
      </c>
    </row>
    <row r="2" spans="2:18" x14ac:dyDescent="0.25">
      <c r="B2" s="62">
        <v>45688</v>
      </c>
      <c r="C2" s="57" t="s">
        <v>2</v>
      </c>
      <c r="D2" s="63">
        <v>7450</v>
      </c>
      <c r="E2" s="57" t="s">
        <v>83</v>
      </c>
      <c r="H2" s="71" t="s">
        <v>84</v>
      </c>
      <c r="I2" s="57" t="s">
        <v>85</v>
      </c>
      <c r="L2" s="75" t="s">
        <v>2</v>
      </c>
      <c r="M2" s="76">
        <f t="shared" ref="M2:M19" si="0">SUMIFS($D$2:$D$62,$C$2:$C$62,L2)</f>
        <v>24350</v>
      </c>
      <c r="N2" s="76">
        <f>M2</f>
        <v>24350</v>
      </c>
      <c r="O2" s="77">
        <v>191</v>
      </c>
      <c r="P2" s="76">
        <f t="shared" ref="P2:P13" si="1">N2/O2</f>
        <v>127.4869109947644</v>
      </c>
      <c r="Q2" s="75" t="s">
        <v>86</v>
      </c>
    </row>
    <row r="3" spans="2:18" x14ac:dyDescent="0.25">
      <c r="B3" s="62">
        <v>45688</v>
      </c>
      <c r="C3" s="57" t="s">
        <v>15</v>
      </c>
      <c r="D3" s="63">
        <v>11600</v>
      </c>
      <c r="E3" s="57" t="s">
        <v>83</v>
      </c>
      <c r="H3" s="71" t="s">
        <v>84</v>
      </c>
      <c r="I3" s="57" t="s">
        <v>87</v>
      </c>
      <c r="L3" s="75" t="s">
        <v>88</v>
      </c>
      <c r="M3" s="76">
        <f t="shared" si="0"/>
        <v>0</v>
      </c>
      <c r="N3" s="76">
        <f t="shared" ref="N3:N18" si="2">M3</f>
        <v>0</v>
      </c>
      <c r="O3" s="77">
        <f>3080/16</f>
        <v>192.5</v>
      </c>
      <c r="P3" s="76">
        <f>N3/O3</f>
        <v>0</v>
      </c>
      <c r="Q3" s="75" t="s">
        <v>86</v>
      </c>
    </row>
    <row r="4" spans="2:18" x14ac:dyDescent="0.25">
      <c r="B4" s="62">
        <v>45688</v>
      </c>
      <c r="C4" s="57" t="s">
        <v>89</v>
      </c>
      <c r="D4" s="63">
        <v>10550</v>
      </c>
      <c r="E4" s="57" t="s">
        <v>83</v>
      </c>
      <c r="H4" s="71" t="s">
        <v>84</v>
      </c>
      <c r="I4" s="57" t="s">
        <v>85</v>
      </c>
      <c r="L4" s="75" t="s">
        <v>89</v>
      </c>
      <c r="M4" s="76">
        <f t="shared" si="0"/>
        <v>22350</v>
      </c>
      <c r="N4" s="76">
        <f t="shared" si="2"/>
        <v>22350</v>
      </c>
      <c r="O4" s="77">
        <v>176</v>
      </c>
      <c r="P4" s="76">
        <f t="shared" si="1"/>
        <v>126.98863636363636</v>
      </c>
      <c r="Q4" s="75" t="s">
        <v>86</v>
      </c>
    </row>
    <row r="5" spans="2:18" x14ac:dyDescent="0.25">
      <c r="B5" s="62">
        <v>45663</v>
      </c>
      <c r="C5" s="57" t="s">
        <v>14</v>
      </c>
      <c r="D5" s="63">
        <v>13650</v>
      </c>
      <c r="E5" s="57" t="s">
        <v>90</v>
      </c>
      <c r="H5" s="71" t="s">
        <v>84</v>
      </c>
      <c r="I5" s="57" t="s">
        <v>91</v>
      </c>
      <c r="L5" s="75" t="s">
        <v>5</v>
      </c>
      <c r="M5" s="76">
        <f t="shared" si="0"/>
        <v>0</v>
      </c>
      <c r="N5" s="76">
        <f t="shared" si="2"/>
        <v>0</v>
      </c>
      <c r="O5" s="77">
        <f t="shared" ref="O5:O10" si="3">SUMIFS($F$2:$F$62,$C$2:$C$62,L5)</f>
        <v>0</v>
      </c>
      <c r="P5" s="76" t="e">
        <f t="shared" si="1"/>
        <v>#DIV/0!</v>
      </c>
      <c r="Q5" s="75" t="s">
        <v>86</v>
      </c>
    </row>
    <row r="6" spans="2:18" x14ac:dyDescent="0.25">
      <c r="B6" s="62">
        <v>45663</v>
      </c>
      <c r="C6" s="57" t="s">
        <v>18</v>
      </c>
      <c r="D6" s="63">
        <v>8700</v>
      </c>
      <c r="E6" s="57" t="s">
        <v>90</v>
      </c>
      <c r="H6" s="71" t="s">
        <v>84</v>
      </c>
      <c r="I6" s="57" t="s">
        <v>91</v>
      </c>
      <c r="L6" s="75" t="s">
        <v>92</v>
      </c>
      <c r="M6" s="76">
        <f t="shared" si="0"/>
        <v>0</v>
      </c>
      <c r="N6" s="76">
        <f t="shared" si="2"/>
        <v>0</v>
      </c>
      <c r="O6" s="77">
        <f t="shared" si="3"/>
        <v>0</v>
      </c>
      <c r="P6" s="76" t="e">
        <f t="shared" si="1"/>
        <v>#DIV/0!</v>
      </c>
      <c r="Q6" s="75" t="s">
        <v>86</v>
      </c>
      <c r="R6" s="49"/>
    </row>
    <row r="7" spans="2:18" x14ac:dyDescent="0.25">
      <c r="B7" s="62">
        <v>45663</v>
      </c>
      <c r="C7" s="57" t="s">
        <v>2</v>
      </c>
      <c r="D7" s="63">
        <v>16900</v>
      </c>
      <c r="E7" s="57" t="s">
        <v>90</v>
      </c>
      <c r="H7" s="71" t="s">
        <v>84</v>
      </c>
      <c r="I7" s="57" t="s">
        <v>85</v>
      </c>
      <c r="L7" s="75" t="s">
        <v>93</v>
      </c>
      <c r="M7" s="76">
        <f t="shared" si="0"/>
        <v>0</v>
      </c>
      <c r="N7" s="76">
        <f t="shared" si="2"/>
        <v>0</v>
      </c>
      <c r="O7" s="77">
        <f t="shared" si="3"/>
        <v>0</v>
      </c>
      <c r="P7" s="76" t="e">
        <f t="shared" si="1"/>
        <v>#DIV/0!</v>
      </c>
      <c r="Q7" s="75" t="s">
        <v>86</v>
      </c>
      <c r="R7" s="49"/>
    </row>
    <row r="8" spans="2:18" x14ac:dyDescent="0.25">
      <c r="B8" s="62">
        <v>45663</v>
      </c>
      <c r="C8" s="57" t="s">
        <v>89</v>
      </c>
      <c r="D8" s="63">
        <v>11800</v>
      </c>
      <c r="E8" s="57" t="s">
        <v>90</v>
      </c>
      <c r="H8" s="71" t="s">
        <v>84</v>
      </c>
      <c r="I8" s="57" t="s">
        <v>85</v>
      </c>
      <c r="L8" s="75" t="s">
        <v>94</v>
      </c>
      <c r="M8" s="76">
        <f t="shared" si="0"/>
        <v>0</v>
      </c>
      <c r="N8" s="76">
        <f t="shared" si="2"/>
        <v>0</v>
      </c>
      <c r="O8" s="77">
        <f t="shared" si="3"/>
        <v>0</v>
      </c>
      <c r="P8" s="76" t="e">
        <f t="shared" si="1"/>
        <v>#DIV/0!</v>
      </c>
      <c r="Q8" s="75" t="s">
        <v>86</v>
      </c>
      <c r="R8" s="49"/>
    </row>
    <row r="9" spans="2:18" x14ac:dyDescent="0.25">
      <c r="B9" s="62">
        <v>45719</v>
      </c>
      <c r="C9" s="57" t="s">
        <v>95</v>
      </c>
      <c r="D9" s="63">
        <v>8500</v>
      </c>
      <c r="E9" s="57" t="s">
        <v>96</v>
      </c>
      <c r="H9" s="71" t="s">
        <v>84</v>
      </c>
      <c r="I9" s="57" t="s">
        <v>87</v>
      </c>
      <c r="L9" s="75" t="s">
        <v>97</v>
      </c>
      <c r="M9" s="76">
        <f t="shared" si="0"/>
        <v>0</v>
      </c>
      <c r="N9" s="76">
        <f t="shared" si="2"/>
        <v>0</v>
      </c>
      <c r="O9" s="77">
        <f t="shared" si="3"/>
        <v>0</v>
      </c>
      <c r="P9" s="76" t="e">
        <f t="shared" si="1"/>
        <v>#DIV/0!</v>
      </c>
      <c r="Q9" s="75" t="s">
        <v>86</v>
      </c>
      <c r="R9" s="49"/>
    </row>
    <row r="10" spans="2:18" x14ac:dyDescent="0.25">
      <c r="B10" s="62">
        <v>45719</v>
      </c>
      <c r="C10" s="57" t="s">
        <v>98</v>
      </c>
      <c r="D10" s="63">
        <v>1200</v>
      </c>
      <c r="E10" s="57" t="s">
        <v>96</v>
      </c>
      <c r="F10" s="80"/>
      <c r="H10" s="71" t="s">
        <v>84</v>
      </c>
      <c r="I10" s="57" t="s">
        <v>99</v>
      </c>
      <c r="L10" s="75" t="s">
        <v>10</v>
      </c>
      <c r="M10" s="76">
        <f t="shared" si="0"/>
        <v>0</v>
      </c>
      <c r="N10" s="76">
        <f t="shared" si="2"/>
        <v>0</v>
      </c>
      <c r="O10" s="77">
        <f t="shared" si="3"/>
        <v>0</v>
      </c>
      <c r="P10" s="76" t="e">
        <f t="shared" si="1"/>
        <v>#DIV/0!</v>
      </c>
      <c r="Q10" s="75" t="s">
        <v>86</v>
      </c>
    </row>
    <row r="11" spans="2:18" x14ac:dyDescent="0.25">
      <c r="B11" s="62">
        <v>45719</v>
      </c>
      <c r="C11" s="57" t="s">
        <v>11</v>
      </c>
      <c r="D11" s="63">
        <v>42450</v>
      </c>
      <c r="E11" s="57" t="s">
        <v>96</v>
      </c>
      <c r="F11" s="80"/>
      <c r="H11" s="71" t="s">
        <v>84</v>
      </c>
      <c r="I11" s="57" t="s">
        <v>99</v>
      </c>
      <c r="L11" s="75" t="s">
        <v>11</v>
      </c>
      <c r="M11" s="76">
        <f t="shared" si="0"/>
        <v>42450</v>
      </c>
      <c r="N11" s="76">
        <f t="shared" si="2"/>
        <v>42450</v>
      </c>
      <c r="O11" s="77">
        <f>9144/16</f>
        <v>571.5</v>
      </c>
      <c r="P11" s="76">
        <f t="shared" si="1"/>
        <v>74.278215223097106</v>
      </c>
      <c r="Q11" s="75" t="s">
        <v>86</v>
      </c>
    </row>
    <row r="12" spans="2:18" x14ac:dyDescent="0.25">
      <c r="B12" s="62"/>
      <c r="F12" s="80"/>
      <c r="H12" s="71"/>
      <c r="L12" s="75" t="s">
        <v>12</v>
      </c>
      <c r="M12" s="76">
        <f t="shared" si="0"/>
        <v>0</v>
      </c>
      <c r="N12" s="76">
        <f t="shared" si="2"/>
        <v>0</v>
      </c>
      <c r="O12" s="77">
        <f>SUMIFS($F$2:$F$62,$C$2:$C$62,L12)</f>
        <v>0</v>
      </c>
      <c r="P12" s="76" t="e">
        <f t="shared" si="1"/>
        <v>#DIV/0!</v>
      </c>
      <c r="Q12" s="75" t="s">
        <v>86</v>
      </c>
    </row>
    <row r="13" spans="2:18" x14ac:dyDescent="0.25">
      <c r="B13" s="62"/>
      <c r="H13" s="71"/>
      <c r="L13" s="75" t="s">
        <v>13</v>
      </c>
      <c r="M13" s="76">
        <f t="shared" si="0"/>
        <v>0</v>
      </c>
      <c r="N13" s="76">
        <f t="shared" si="2"/>
        <v>0</v>
      </c>
      <c r="O13" s="77">
        <f>144+160</f>
        <v>304</v>
      </c>
      <c r="P13" s="76">
        <f t="shared" si="1"/>
        <v>0</v>
      </c>
      <c r="Q13" s="75" t="s">
        <v>86</v>
      </c>
    </row>
    <row r="14" spans="2:18" x14ac:dyDescent="0.25">
      <c r="B14" s="62"/>
      <c r="H14" s="71"/>
      <c r="L14" s="75" t="s">
        <v>14</v>
      </c>
      <c r="M14" s="76">
        <f t="shared" si="0"/>
        <v>13650</v>
      </c>
      <c r="N14" s="76">
        <f t="shared" si="2"/>
        <v>13650</v>
      </c>
      <c r="O14" s="77">
        <v>131</v>
      </c>
      <c r="P14" s="76">
        <f>N14/O14</f>
        <v>104.19847328244275</v>
      </c>
      <c r="Q14" s="75" t="s">
        <v>86</v>
      </c>
    </row>
    <row r="15" spans="2:18" x14ac:dyDescent="0.25">
      <c r="B15" s="62"/>
      <c r="H15" s="71"/>
      <c r="L15" s="75" t="s">
        <v>15</v>
      </c>
      <c r="M15" s="76">
        <f t="shared" si="0"/>
        <v>11600</v>
      </c>
      <c r="N15" s="76">
        <f t="shared" si="2"/>
        <v>11600</v>
      </c>
      <c r="O15" s="77">
        <v>111</v>
      </c>
      <c r="P15" s="76">
        <f t="shared" ref="P15:P18" si="4">N15/O15</f>
        <v>104.50450450450451</v>
      </c>
      <c r="Q15" s="75" t="s">
        <v>86</v>
      </c>
    </row>
    <row r="16" spans="2:18" x14ac:dyDescent="0.25">
      <c r="B16" s="62"/>
      <c r="H16" s="71"/>
      <c r="L16" s="75" t="s">
        <v>18</v>
      </c>
      <c r="M16" s="76">
        <f t="shared" si="0"/>
        <v>8700</v>
      </c>
      <c r="N16" s="76">
        <f t="shared" si="2"/>
        <v>8700</v>
      </c>
      <c r="O16" s="77">
        <v>86</v>
      </c>
      <c r="P16" s="76">
        <f t="shared" si="4"/>
        <v>101.16279069767442</v>
      </c>
      <c r="Q16" s="75" t="s">
        <v>86</v>
      </c>
    </row>
    <row r="17" spans="2:18" x14ac:dyDescent="0.25">
      <c r="B17" s="62"/>
      <c r="H17" s="71"/>
      <c r="L17" s="75" t="s">
        <v>19</v>
      </c>
      <c r="M17" s="76">
        <f t="shared" si="0"/>
        <v>0</v>
      </c>
      <c r="N17" s="76">
        <f t="shared" si="2"/>
        <v>0</v>
      </c>
      <c r="O17" s="77">
        <v>91</v>
      </c>
      <c r="P17" s="76">
        <f t="shared" si="4"/>
        <v>0</v>
      </c>
      <c r="Q17" s="75" t="s">
        <v>86</v>
      </c>
    </row>
    <row r="18" spans="2:18" x14ac:dyDescent="0.25">
      <c r="B18" s="62"/>
      <c r="H18" s="71"/>
      <c r="L18" s="100" t="s">
        <v>95</v>
      </c>
      <c r="M18" s="101">
        <f t="shared" si="0"/>
        <v>8500</v>
      </c>
      <c r="N18" s="101">
        <f t="shared" si="2"/>
        <v>8500</v>
      </c>
      <c r="O18" s="102">
        <v>82</v>
      </c>
      <c r="P18" s="101">
        <f t="shared" si="4"/>
        <v>103.65853658536585</v>
      </c>
      <c r="Q18" s="100"/>
    </row>
    <row r="19" spans="2:18" x14ac:dyDescent="0.25">
      <c r="B19" s="62"/>
      <c r="H19" s="71"/>
      <c r="L19" s="100" t="s">
        <v>98</v>
      </c>
      <c r="M19" s="101">
        <f t="shared" si="0"/>
        <v>1200</v>
      </c>
      <c r="N19" s="101">
        <f>M19</f>
        <v>1200</v>
      </c>
      <c r="O19" s="102">
        <v>16</v>
      </c>
      <c r="P19" s="101">
        <f>N19/O19</f>
        <v>75</v>
      </c>
      <c r="Q19" s="100"/>
    </row>
    <row r="20" spans="2:18" x14ac:dyDescent="0.25">
      <c r="B20" s="62"/>
      <c r="H20" s="71"/>
    </row>
    <row r="21" spans="2:18" x14ac:dyDescent="0.25">
      <c r="B21" s="62"/>
      <c r="H21" s="71"/>
    </row>
    <row r="22" spans="2:18" x14ac:dyDescent="0.25">
      <c r="B22" s="62"/>
      <c r="H22" s="71"/>
    </row>
    <row r="23" spans="2:18" x14ac:dyDescent="0.25">
      <c r="B23" s="62"/>
      <c r="H23" s="71"/>
      <c r="L23" s="57" t="s">
        <v>34</v>
      </c>
      <c r="M23" s="58">
        <f>SUM(M2:M21)</f>
        <v>132800</v>
      </c>
    </row>
    <row r="24" spans="2:18" x14ac:dyDescent="0.25">
      <c r="B24" s="62"/>
      <c r="H24" s="71"/>
      <c r="L24" s="57" t="s">
        <v>100</v>
      </c>
      <c r="M24" s="58">
        <v>1008389.1</v>
      </c>
    </row>
    <row r="25" spans="2:18" x14ac:dyDescent="0.25">
      <c r="B25" s="62"/>
      <c r="H25" s="71"/>
      <c r="L25" s="57" t="s">
        <v>101</v>
      </c>
      <c r="M25" s="58">
        <f>M24-M23</f>
        <v>875589.1</v>
      </c>
    </row>
    <row r="26" spans="2:18" x14ac:dyDescent="0.25">
      <c r="B26" s="62"/>
      <c r="H26" s="71"/>
      <c r="I26" s="63"/>
      <c r="R26" s="57"/>
    </row>
    <row r="27" spans="2:18" x14ac:dyDescent="0.25">
      <c r="B27" s="62"/>
      <c r="H27" s="71"/>
      <c r="I27" s="63"/>
      <c r="L27" s="57" t="s">
        <v>79</v>
      </c>
      <c r="M27" s="58">
        <f>Revenue!AE155</f>
        <v>1008389.1</v>
      </c>
    </row>
    <row r="28" spans="2:18" x14ac:dyDescent="0.25">
      <c r="B28" s="62"/>
      <c r="H28" s="71"/>
      <c r="I28" s="63"/>
      <c r="L28" s="57" t="s">
        <v>102</v>
      </c>
      <c r="M28" s="58">
        <f>M27-M24</f>
        <v>0</v>
      </c>
      <c r="R28" s="57"/>
    </row>
    <row r="29" spans="2:18" x14ac:dyDescent="0.25">
      <c r="B29" s="62"/>
      <c r="H29" s="71"/>
      <c r="I29" s="63"/>
    </row>
    <row r="30" spans="2:18" x14ac:dyDescent="0.25">
      <c r="B30" s="62"/>
      <c r="H30" s="71"/>
    </row>
    <row r="31" spans="2:18" x14ac:dyDescent="0.25">
      <c r="B31" s="62"/>
      <c r="E31" s="72"/>
      <c r="H31" s="71"/>
    </row>
    <row r="32" spans="2:18" x14ac:dyDescent="0.25">
      <c r="B32" s="62"/>
      <c r="H32" s="71"/>
      <c r="M32" s="57"/>
      <c r="N32" s="57"/>
      <c r="O32" s="57"/>
      <c r="P32" s="57"/>
    </row>
    <row r="33" spans="2:9" x14ac:dyDescent="0.25">
      <c r="B33" s="62"/>
      <c r="E33" s="72"/>
      <c r="H33" s="71"/>
    </row>
    <row r="34" spans="2:9" x14ac:dyDescent="0.25">
      <c r="B34" s="62"/>
      <c r="D34" s="57"/>
      <c r="I34" s="63"/>
    </row>
    <row r="35" spans="2:9" x14ac:dyDescent="0.25">
      <c r="B35" s="62"/>
    </row>
    <row r="36" spans="2:9" x14ac:dyDescent="0.25">
      <c r="B36" s="62"/>
    </row>
    <row r="37" spans="2:9" x14ac:dyDescent="0.25">
      <c r="B37" s="62"/>
    </row>
    <row r="38" spans="2:9" x14ac:dyDescent="0.25">
      <c r="B38" s="62"/>
    </row>
    <row r="39" spans="2:9" x14ac:dyDescent="0.25">
      <c r="B39" s="62"/>
    </row>
    <row r="40" spans="2:9" x14ac:dyDescent="0.25">
      <c r="B40" s="62"/>
    </row>
    <row r="41" spans="2:9" x14ac:dyDescent="0.25">
      <c r="B41" s="62"/>
    </row>
    <row r="51" spans="3:3" x14ac:dyDescent="0.25">
      <c r="C51" s="74">
        <f>3200/16</f>
        <v>200</v>
      </c>
    </row>
    <row r="52" spans="3:3" x14ac:dyDescent="0.25">
      <c r="C52" s="74">
        <f>(800+800+544)/16</f>
        <v>134</v>
      </c>
    </row>
    <row r="53" spans="3:3" x14ac:dyDescent="0.25">
      <c r="C53" s="74">
        <f>(1248+208)/16</f>
        <v>91</v>
      </c>
    </row>
    <row r="54" spans="3:3" x14ac:dyDescent="0.25">
      <c r="C54" s="74">
        <v>64</v>
      </c>
    </row>
    <row r="55" spans="3:3" x14ac:dyDescent="0.25">
      <c r="C55" s="74">
        <v>35</v>
      </c>
    </row>
    <row r="56" spans="3:3" x14ac:dyDescent="0.25">
      <c r="C56" s="74">
        <f>3712/16</f>
        <v>232</v>
      </c>
    </row>
    <row r="57" spans="3:3" x14ac:dyDescent="0.25">
      <c r="C57" s="74">
        <f>(496/16)</f>
        <v>31</v>
      </c>
    </row>
    <row r="58" spans="3:3" x14ac:dyDescent="0.25">
      <c r="C58" s="80">
        <v>198</v>
      </c>
    </row>
    <row r="59" spans="3:3" x14ac:dyDescent="0.25">
      <c r="C59" s="80">
        <v>101</v>
      </c>
    </row>
    <row r="60" spans="3:3" x14ac:dyDescent="0.25">
      <c r="C60" s="80">
        <v>175</v>
      </c>
    </row>
    <row r="61" spans="3:3" x14ac:dyDescent="0.25">
      <c r="C61" s="74">
        <v>144</v>
      </c>
    </row>
    <row r="62" spans="3:3" x14ac:dyDescent="0.25">
      <c r="C62" s="74">
        <v>447</v>
      </c>
    </row>
    <row r="63" spans="3:3" x14ac:dyDescent="0.25">
      <c r="C63" s="74">
        <f>(2400)/16</f>
        <v>150</v>
      </c>
    </row>
    <row r="64" spans="3:3" x14ac:dyDescent="0.25">
      <c r="C64" s="74">
        <f>2400/16</f>
        <v>150</v>
      </c>
    </row>
    <row r="65" spans="3:3" x14ac:dyDescent="0.25">
      <c r="C65" s="74"/>
    </row>
    <row r="66" spans="3:3" x14ac:dyDescent="0.25">
      <c r="C66" s="74">
        <v>5</v>
      </c>
    </row>
    <row r="67" spans="3:3" x14ac:dyDescent="0.25">
      <c r="C67" s="74">
        <f>1404/16</f>
        <v>87.75</v>
      </c>
    </row>
    <row r="68" spans="3:3" x14ac:dyDescent="0.25">
      <c r="C68" s="74"/>
    </row>
    <row r="69" spans="3:3" x14ac:dyDescent="0.25">
      <c r="C69" s="74"/>
    </row>
    <row r="70" spans="3:3" x14ac:dyDescent="0.25">
      <c r="C70" s="74">
        <f>668-C56-C57-C63-C65</f>
        <v>255</v>
      </c>
    </row>
    <row r="71" spans="3:3" x14ac:dyDescent="0.25">
      <c r="C71" s="74">
        <v>471</v>
      </c>
    </row>
    <row r="72" spans="3:3" x14ac:dyDescent="0.25">
      <c r="C72" s="74"/>
    </row>
    <row r="73" spans="3:3" x14ac:dyDescent="0.25">
      <c r="C73" s="74"/>
    </row>
    <row r="74" spans="3:3" x14ac:dyDescent="0.25">
      <c r="C74" s="74"/>
    </row>
    <row r="75" spans="3:3" x14ac:dyDescent="0.25">
      <c r="C75" s="74"/>
    </row>
    <row r="76" spans="3:3" x14ac:dyDescent="0.25">
      <c r="C76" s="81">
        <v>160</v>
      </c>
    </row>
    <row r="77" spans="3:3" x14ac:dyDescent="0.25">
      <c r="C77" s="81">
        <v>164</v>
      </c>
    </row>
    <row r="78" spans="3:3" x14ac:dyDescent="0.25">
      <c r="C78" s="81">
        <v>144</v>
      </c>
    </row>
    <row r="79" spans="3:3" x14ac:dyDescent="0.25">
      <c r="C79" s="81">
        <v>198</v>
      </c>
    </row>
    <row r="80" spans="3:3" x14ac:dyDescent="0.25">
      <c r="C80" s="81">
        <v>571</v>
      </c>
    </row>
    <row r="81" spans="3:3" x14ac:dyDescent="0.25">
      <c r="C81" s="81">
        <v>447</v>
      </c>
    </row>
    <row r="82" spans="3:3" x14ac:dyDescent="0.25">
      <c r="C82" s="81">
        <v>1011</v>
      </c>
    </row>
    <row r="83" spans="3:3" x14ac:dyDescent="0.25">
      <c r="C83" s="81">
        <v>91</v>
      </c>
    </row>
    <row r="84" spans="3:3" x14ac:dyDescent="0.25">
      <c r="C84" s="81">
        <v>444.75</v>
      </c>
    </row>
    <row r="85" spans="3:3" x14ac:dyDescent="0.25">
      <c r="C85" s="81">
        <v>174</v>
      </c>
    </row>
    <row r="86" spans="3:3" x14ac:dyDescent="0.25">
      <c r="C86" s="81">
        <v>285.5</v>
      </c>
    </row>
    <row r="87" spans="3:3" x14ac:dyDescent="0.25">
      <c r="C87" s="81">
        <v>650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4CA-B9AB-42DF-867A-B0D0722874D0}">
  <sheetPr codeName="Sheet7"/>
  <dimension ref="A1:L7"/>
  <sheetViews>
    <sheetView zoomScale="88" zoomScaleNormal="88" workbookViewId="0">
      <selection activeCell="I12" sqref="I12"/>
    </sheetView>
  </sheetViews>
  <sheetFormatPr defaultRowHeight="15" x14ac:dyDescent="0.25"/>
  <cols>
    <col min="1" max="1" width="9.42578125" style="98" bestFit="1" customWidth="1"/>
    <col min="2" max="2" width="12.5703125" style="57" customWidth="1"/>
    <col min="3" max="3" width="12.85546875" style="57" customWidth="1"/>
    <col min="4" max="4" width="12.140625" style="57" customWidth="1"/>
    <col min="5" max="5" width="13.140625" style="57" customWidth="1"/>
    <col min="6" max="6" width="12.85546875" customWidth="1"/>
    <col min="7" max="7" width="18.7109375" bestFit="1" customWidth="1"/>
    <col min="8" max="8" width="11.7109375" bestFit="1" customWidth="1"/>
    <col min="9" max="9" width="14.42578125" bestFit="1" customWidth="1"/>
    <col min="11" max="12" width="9.28515625" style="57" bestFit="1" customWidth="1"/>
  </cols>
  <sheetData>
    <row r="1" spans="1:9" s="1" customFormat="1" x14ac:dyDescent="0.25">
      <c r="A1" s="98"/>
      <c r="B1" s="6" t="s">
        <v>103</v>
      </c>
      <c r="C1" s="6" t="s">
        <v>104</v>
      </c>
      <c r="D1" s="6" t="s">
        <v>105</v>
      </c>
      <c r="E1" s="6" t="s">
        <v>106</v>
      </c>
      <c r="F1" s="1" t="s">
        <v>107</v>
      </c>
      <c r="G1" s="1" t="s">
        <v>108</v>
      </c>
      <c r="H1" s="6" t="s">
        <v>109</v>
      </c>
      <c r="I1" s="6" t="s">
        <v>110</v>
      </c>
    </row>
    <row r="2" spans="1:9" x14ac:dyDescent="0.25">
      <c r="A2" s="98" t="s">
        <v>2</v>
      </c>
      <c r="B2" s="58">
        <f>'2024 Checks'!E6</f>
        <v>6150</v>
      </c>
      <c r="C2" s="58">
        <f>'2024 Checks'!N2</f>
        <v>16953.940000000002</v>
      </c>
      <c r="D2" s="97">
        <f>B2/C2</f>
        <v>0.36274753833032319</v>
      </c>
      <c r="E2" s="58">
        <f>'2025 Checks'!D2+'2025 Checks'!D7</f>
        <v>24350</v>
      </c>
      <c r="F2" s="49">
        <f>E2/D2</f>
        <v>67126.575447154479</v>
      </c>
      <c r="G2" s="49">
        <f>Revenue!H166</f>
        <v>38200</v>
      </c>
      <c r="H2" s="68">
        <f>'2024 Checks'!P2</f>
        <v>101</v>
      </c>
      <c r="I2" s="68">
        <f>'2025 Checks'!O2</f>
        <v>191</v>
      </c>
    </row>
    <row r="3" spans="1:9" x14ac:dyDescent="0.25">
      <c r="A3" s="98" t="s">
        <v>89</v>
      </c>
      <c r="B3" s="58">
        <f>'2024 Checks'!E7</f>
        <v>35700</v>
      </c>
      <c r="C3" s="58">
        <f>'2024 Checks'!N4</f>
        <v>58847.759999999995</v>
      </c>
      <c r="D3" s="97">
        <f t="shared" ref="D3:D6" si="0">B3/C3</f>
        <v>0.60665010868722957</v>
      </c>
      <c r="E3" s="58">
        <f>'2025 Checks'!D4+'2025 Checks'!D8</f>
        <v>22350</v>
      </c>
      <c r="F3" s="49">
        <f t="shared" ref="F3:F5" si="1">E3/D3</f>
        <v>36841.664873949579</v>
      </c>
      <c r="G3" s="49">
        <f>Revenue!J166</f>
        <v>50384.032914285708</v>
      </c>
      <c r="H3" s="68">
        <f>'2024 Checks'!P4</f>
        <v>175</v>
      </c>
      <c r="I3" s="68">
        <f>'2025 Checks'!O4</f>
        <v>176</v>
      </c>
    </row>
    <row r="4" spans="1:9" x14ac:dyDescent="0.25">
      <c r="A4" s="98" t="s">
        <v>14</v>
      </c>
      <c r="B4" s="58">
        <f>'2024 Checks'!E2+'2024 Checks'!E3</f>
        <v>42500</v>
      </c>
      <c r="C4" s="58">
        <f>'2024 Checks'!N14</f>
        <v>108339.59</v>
      </c>
      <c r="D4" s="97">
        <f t="shared" si="0"/>
        <v>0.39228503633805517</v>
      </c>
      <c r="E4" s="58">
        <f>'2025 Checks'!D5</f>
        <v>13650</v>
      </c>
      <c r="F4" s="49"/>
      <c r="G4" s="49">
        <f>Revenue!T166</f>
        <v>87600</v>
      </c>
      <c r="H4" s="68">
        <f>'2024 Checks'!P14</f>
        <v>1011</v>
      </c>
      <c r="I4" s="68">
        <f>'2025 Checks'!O14</f>
        <v>131</v>
      </c>
    </row>
    <row r="5" spans="1:9" x14ac:dyDescent="0.25">
      <c r="A5" s="98" t="s">
        <v>15</v>
      </c>
      <c r="B5" s="58">
        <f>'2024 Checks'!E5</f>
        <v>7800</v>
      </c>
      <c r="C5" s="58">
        <f>'2024 Checks'!N15</f>
        <v>13113.51</v>
      </c>
      <c r="D5" s="97">
        <f t="shared" si="0"/>
        <v>0.59480642482447488</v>
      </c>
      <c r="E5" s="58">
        <f>'2025 Checks'!D3</f>
        <v>11600</v>
      </c>
      <c r="F5" s="49">
        <f t="shared" si="1"/>
        <v>19502.143076923079</v>
      </c>
      <c r="G5" s="49">
        <f>Revenue!U166</f>
        <v>22200</v>
      </c>
      <c r="H5" s="68">
        <f>'2024 Checks'!P15</f>
        <v>64</v>
      </c>
      <c r="I5" s="68">
        <f>'2025 Checks'!O15</f>
        <v>111</v>
      </c>
    </row>
    <row r="6" spans="1:9" x14ac:dyDescent="0.25">
      <c r="A6" s="98" t="s">
        <v>18</v>
      </c>
      <c r="B6" s="58">
        <f>'2024 Checks'!E4</f>
        <v>4750</v>
      </c>
      <c r="C6" s="58">
        <f>'2024 Checks'!N16</f>
        <v>5767.58</v>
      </c>
      <c r="D6" s="97">
        <f t="shared" si="0"/>
        <v>0.82356898387191857</v>
      </c>
      <c r="E6" s="58">
        <f>'2025 Checks'!D6</f>
        <v>8700</v>
      </c>
      <c r="F6" s="49"/>
      <c r="G6" s="49">
        <f>Revenue!X166</f>
        <v>28600</v>
      </c>
      <c r="H6" s="68">
        <f>'2024 Checks'!P16</f>
        <v>91</v>
      </c>
      <c r="I6" s="68">
        <f>'2025 Checks'!O16</f>
        <v>86</v>
      </c>
    </row>
    <row r="7" spans="1:9" x14ac:dyDescent="0.25">
      <c r="C7" s="58"/>
      <c r="F7" s="58"/>
      <c r="G7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A605-D8F0-4585-B6DA-6C524A4AF016}">
  <sheetPr codeName="Sheet8"/>
  <dimension ref="B1:S87"/>
  <sheetViews>
    <sheetView topLeftCell="C1" zoomScaleNormal="100" zoomScalePageLayoutView="17" workbookViewId="0">
      <selection activeCell="D2" sqref="D2"/>
    </sheetView>
  </sheetViews>
  <sheetFormatPr defaultRowHeight="15" x14ac:dyDescent="0.25"/>
  <cols>
    <col min="2" max="2" width="10.42578125" style="57" bestFit="1" customWidth="1"/>
    <col min="3" max="3" width="12.42578125" style="57" bestFit="1" customWidth="1"/>
    <col min="4" max="4" width="17" style="57" bestFit="1" customWidth="1"/>
    <col min="5" max="5" width="9.85546875" style="63" bestFit="1" customWidth="1"/>
    <col min="6" max="6" width="9.140625" style="57"/>
    <col min="7" max="7" width="14.140625" style="74" bestFit="1" customWidth="1"/>
    <col min="8" max="8" width="8.5703125" style="58" bestFit="1" customWidth="1"/>
    <col min="9" max="9" width="20" style="57" bestFit="1" customWidth="1"/>
    <col min="10" max="10" width="38.140625" style="57" bestFit="1" customWidth="1"/>
    <col min="11" max="11" width="26.85546875" style="94" bestFit="1" customWidth="1"/>
    <col min="13" max="13" width="22.42578125" style="57" bestFit="1" customWidth="1"/>
    <col min="14" max="14" width="17.7109375" style="58" bestFit="1" customWidth="1"/>
    <col min="15" max="15" width="12.140625" style="58" bestFit="1" customWidth="1"/>
    <col min="16" max="16" width="6" style="68" bestFit="1" customWidth="1"/>
    <col min="17" max="17" width="17.7109375" style="58" customWidth="1"/>
    <col min="18" max="18" width="13" style="57" bestFit="1" customWidth="1"/>
  </cols>
  <sheetData>
    <row r="1" spans="2:19" s="1" customFormat="1" x14ac:dyDescent="0.25">
      <c r="B1" s="2" t="s">
        <v>70</v>
      </c>
      <c r="C1" s="2"/>
      <c r="D1" s="2" t="s">
        <v>71</v>
      </c>
      <c r="E1" s="61" t="s">
        <v>72</v>
      </c>
      <c r="F1" s="2" t="s">
        <v>73</v>
      </c>
      <c r="G1" s="73" t="s">
        <v>74</v>
      </c>
      <c r="H1" s="70" t="s">
        <v>75</v>
      </c>
      <c r="I1" s="2" t="s">
        <v>76</v>
      </c>
      <c r="J1" s="2" t="s">
        <v>77</v>
      </c>
      <c r="K1" s="35" t="s">
        <v>82</v>
      </c>
      <c r="M1" s="59" t="s">
        <v>71</v>
      </c>
      <c r="N1" s="60" t="s">
        <v>78</v>
      </c>
      <c r="O1" s="60" t="s">
        <v>79</v>
      </c>
      <c r="P1" s="67" t="s">
        <v>74</v>
      </c>
      <c r="Q1" s="60" t="s">
        <v>80</v>
      </c>
      <c r="R1" s="59" t="s">
        <v>81</v>
      </c>
      <c r="S1" s="1" t="s">
        <v>82</v>
      </c>
    </row>
    <row r="2" spans="2:19" x14ac:dyDescent="0.25">
      <c r="B2" s="62">
        <v>45310</v>
      </c>
      <c r="C2" s="57">
        <f>MONTH(B2)</f>
        <v>1</v>
      </c>
      <c r="D2" s="57" t="s">
        <v>14</v>
      </c>
      <c r="E2" s="63">
        <v>13500</v>
      </c>
      <c r="F2" s="57" t="s">
        <v>111</v>
      </c>
      <c r="H2" s="58" t="e">
        <f t="shared" ref="H2:H26" si="0">+E2/G2</f>
        <v>#DIV/0!</v>
      </c>
      <c r="I2" s="71" t="s">
        <v>84</v>
      </c>
      <c r="J2" s="57" t="s">
        <v>112</v>
      </c>
      <c r="K2" s="94" t="s">
        <v>113</v>
      </c>
      <c r="M2" s="75" t="s">
        <v>2</v>
      </c>
      <c r="N2" s="76">
        <f t="shared" ref="N2:N17" si="1">SUMIFS($E$2:$E$62,$D$2:$D$62,M2)</f>
        <v>16953.940000000002</v>
      </c>
      <c r="O2" s="76">
        <f>N2</f>
        <v>16953.940000000002</v>
      </c>
      <c r="P2" s="77">
        <f t="shared" ref="P2:P12" si="2">SUMIFS($G$2:$G$62,$D$2:$D$62,M2)</f>
        <v>101</v>
      </c>
      <c r="Q2" s="76">
        <f t="shared" ref="Q2:Q13" si="3">O2/P2</f>
        <v>167.86079207920795</v>
      </c>
      <c r="R2" s="75" t="s">
        <v>86</v>
      </c>
      <c r="S2" t="s">
        <v>114</v>
      </c>
    </row>
    <row r="3" spans="2:19" x14ac:dyDescent="0.25">
      <c r="B3" s="62">
        <v>45320</v>
      </c>
      <c r="C3" s="57">
        <f t="shared" ref="C3:C41" si="4">MONTH(B3)</f>
        <v>1</v>
      </c>
      <c r="D3" s="57" t="s">
        <v>14</v>
      </c>
      <c r="E3" s="63">
        <v>29000</v>
      </c>
      <c r="F3" s="57" t="s">
        <v>115</v>
      </c>
      <c r="H3" s="58" t="e">
        <f t="shared" si="0"/>
        <v>#DIV/0!</v>
      </c>
      <c r="I3" s="71" t="s">
        <v>84</v>
      </c>
      <c r="J3" s="57" t="s">
        <v>116</v>
      </c>
      <c r="K3" s="94" t="s">
        <v>113</v>
      </c>
      <c r="M3" s="75" t="s">
        <v>88</v>
      </c>
      <c r="N3" s="76">
        <f t="shared" si="1"/>
        <v>99990.21</v>
      </c>
      <c r="O3" s="76">
        <f t="shared" ref="O3:O17" si="5">N3</f>
        <v>99990.21</v>
      </c>
      <c r="P3" s="77">
        <f t="shared" si="2"/>
        <v>362</v>
      </c>
      <c r="Q3" s="76">
        <f t="shared" si="3"/>
        <v>276.2160497237569</v>
      </c>
      <c r="R3" s="75" t="s">
        <v>86</v>
      </c>
    </row>
    <row r="4" spans="2:19" x14ac:dyDescent="0.25">
      <c r="B4" s="62">
        <v>45320</v>
      </c>
      <c r="C4" s="57">
        <f t="shared" si="4"/>
        <v>1</v>
      </c>
      <c r="D4" s="57" t="s">
        <v>18</v>
      </c>
      <c r="E4" s="63">
        <v>4750</v>
      </c>
      <c r="F4" s="57" t="s">
        <v>115</v>
      </c>
      <c r="H4" s="58" t="e">
        <f t="shared" si="0"/>
        <v>#DIV/0!</v>
      </c>
      <c r="I4" s="71" t="s">
        <v>84</v>
      </c>
      <c r="J4" s="57" t="s">
        <v>117</v>
      </c>
      <c r="M4" s="75" t="s">
        <v>89</v>
      </c>
      <c r="N4" s="76">
        <f t="shared" si="1"/>
        <v>58847.759999999995</v>
      </c>
      <c r="O4" s="76">
        <f t="shared" si="5"/>
        <v>58847.759999999995</v>
      </c>
      <c r="P4" s="77">
        <f t="shared" si="2"/>
        <v>175</v>
      </c>
      <c r="Q4" s="76">
        <f t="shared" si="3"/>
        <v>336.27291428571425</v>
      </c>
      <c r="R4" s="75" t="s">
        <v>86</v>
      </c>
    </row>
    <row r="5" spans="2:19" x14ac:dyDescent="0.25">
      <c r="B5" s="62">
        <v>45320</v>
      </c>
      <c r="C5" s="57">
        <f t="shared" si="4"/>
        <v>1</v>
      </c>
      <c r="D5" s="57" t="s">
        <v>15</v>
      </c>
      <c r="E5" s="63">
        <v>7800</v>
      </c>
      <c r="F5" s="57" t="s">
        <v>115</v>
      </c>
      <c r="G5" s="81">
        <v>64</v>
      </c>
      <c r="H5" s="58">
        <f t="shared" si="0"/>
        <v>121.875</v>
      </c>
      <c r="I5" s="71" t="s">
        <v>84</v>
      </c>
      <c r="J5" s="57" t="s">
        <v>118</v>
      </c>
      <c r="M5" s="75" t="s">
        <v>5</v>
      </c>
      <c r="N5" s="76">
        <f t="shared" si="1"/>
        <v>53708.04</v>
      </c>
      <c r="O5" s="76">
        <f t="shared" si="5"/>
        <v>53708.04</v>
      </c>
      <c r="P5" s="77">
        <f t="shared" si="2"/>
        <v>471</v>
      </c>
      <c r="Q5" s="76">
        <f t="shared" si="3"/>
        <v>114.02980891719746</v>
      </c>
      <c r="R5" s="75" t="s">
        <v>86</v>
      </c>
    </row>
    <row r="6" spans="2:19" x14ac:dyDescent="0.25">
      <c r="B6" s="62">
        <v>45320</v>
      </c>
      <c r="C6" s="57">
        <f t="shared" si="4"/>
        <v>1</v>
      </c>
      <c r="D6" s="57" t="s">
        <v>2</v>
      </c>
      <c r="E6" s="63">
        <v>6150</v>
      </c>
      <c r="F6" s="57" t="s">
        <v>115</v>
      </c>
      <c r="G6" s="99"/>
      <c r="H6" s="58" t="e">
        <f t="shared" si="0"/>
        <v>#DIV/0!</v>
      </c>
      <c r="I6" s="71" t="s">
        <v>84</v>
      </c>
      <c r="J6" s="57" t="s">
        <v>119</v>
      </c>
      <c r="M6" s="75" t="s">
        <v>92</v>
      </c>
      <c r="N6" s="76">
        <f t="shared" si="1"/>
        <v>77097.899999999994</v>
      </c>
      <c r="O6" s="76">
        <f t="shared" si="5"/>
        <v>77097.899999999994</v>
      </c>
      <c r="P6" s="77">
        <f t="shared" si="2"/>
        <v>444.75</v>
      </c>
      <c r="Q6" s="76">
        <f t="shared" si="3"/>
        <v>173.3510961214165</v>
      </c>
      <c r="R6" s="75" t="s">
        <v>86</v>
      </c>
      <c r="S6" s="49"/>
    </row>
    <row r="7" spans="2:19" x14ac:dyDescent="0.25">
      <c r="B7" s="62">
        <v>45320</v>
      </c>
      <c r="C7" s="57">
        <f t="shared" si="4"/>
        <v>1</v>
      </c>
      <c r="D7" s="57" t="s">
        <v>89</v>
      </c>
      <c r="E7" s="63">
        <v>35700</v>
      </c>
      <c r="F7" s="57" t="s">
        <v>115</v>
      </c>
      <c r="G7" s="99"/>
      <c r="H7" s="58" t="e">
        <f>+E7/G7</f>
        <v>#DIV/0!</v>
      </c>
      <c r="I7" s="71" t="s">
        <v>84</v>
      </c>
      <c r="J7" s="57" t="s">
        <v>120</v>
      </c>
      <c r="M7" s="75" t="s">
        <v>93</v>
      </c>
      <c r="N7" s="76">
        <f t="shared" si="1"/>
        <v>33627.270000000004</v>
      </c>
      <c r="O7" s="76">
        <f t="shared" si="5"/>
        <v>33627.270000000004</v>
      </c>
      <c r="P7" s="77">
        <f t="shared" si="2"/>
        <v>174</v>
      </c>
      <c r="Q7" s="76">
        <f t="shared" si="3"/>
        <v>193.26017241379313</v>
      </c>
      <c r="R7" s="75" t="s">
        <v>86</v>
      </c>
      <c r="S7" s="49"/>
    </row>
    <row r="8" spans="2:19" x14ac:dyDescent="0.25">
      <c r="B8" s="62">
        <v>45320</v>
      </c>
      <c r="C8" s="57">
        <f t="shared" si="4"/>
        <v>1</v>
      </c>
      <c r="D8" s="57" t="s">
        <v>11</v>
      </c>
      <c r="E8" s="63">
        <v>23450</v>
      </c>
      <c r="F8" s="57" t="s">
        <v>115</v>
      </c>
      <c r="H8" s="58" t="e">
        <f t="shared" si="0"/>
        <v>#DIV/0!</v>
      </c>
      <c r="I8" s="71" t="s">
        <v>84</v>
      </c>
      <c r="J8" s="57" t="s">
        <v>121</v>
      </c>
      <c r="M8" s="75" t="s">
        <v>94</v>
      </c>
      <c r="N8" s="76">
        <f t="shared" si="1"/>
        <v>57047.46</v>
      </c>
      <c r="O8" s="76">
        <f t="shared" si="5"/>
        <v>57047.46</v>
      </c>
      <c r="P8" s="77">
        <f t="shared" si="2"/>
        <v>285.5</v>
      </c>
      <c r="Q8" s="76">
        <f t="shared" si="3"/>
        <v>199.81597197898424</v>
      </c>
      <c r="R8" s="75" t="s">
        <v>86</v>
      </c>
      <c r="S8" s="49"/>
    </row>
    <row r="9" spans="2:19" x14ac:dyDescent="0.25">
      <c r="B9" s="62">
        <v>45351</v>
      </c>
      <c r="C9" s="57">
        <f t="shared" si="4"/>
        <v>2</v>
      </c>
      <c r="D9" s="57" t="s">
        <v>11</v>
      </c>
      <c r="E9" s="63">
        <v>4800</v>
      </c>
      <c r="F9" s="57" t="s">
        <v>122</v>
      </c>
      <c r="H9" s="58" t="e">
        <f t="shared" si="0"/>
        <v>#DIV/0!</v>
      </c>
      <c r="I9" s="71" t="s">
        <v>84</v>
      </c>
      <c r="J9" s="57" t="s">
        <v>123</v>
      </c>
      <c r="M9" s="75" t="s">
        <v>97</v>
      </c>
      <c r="N9" s="76">
        <f t="shared" si="1"/>
        <v>121392.20999999999</v>
      </c>
      <c r="O9" s="76">
        <f t="shared" si="5"/>
        <v>121392.20999999999</v>
      </c>
      <c r="P9" s="77">
        <f t="shared" si="2"/>
        <v>650</v>
      </c>
      <c r="Q9" s="76">
        <f t="shared" si="3"/>
        <v>186.75724615384615</v>
      </c>
      <c r="R9" s="75" t="s">
        <v>86</v>
      </c>
      <c r="S9" s="49"/>
    </row>
    <row r="10" spans="2:19" x14ac:dyDescent="0.25">
      <c r="B10" s="62">
        <v>45414</v>
      </c>
      <c r="C10" s="57">
        <f t="shared" si="4"/>
        <v>5</v>
      </c>
      <c r="D10" s="57" t="s">
        <v>88</v>
      </c>
      <c r="E10" s="63">
        <v>47750</v>
      </c>
      <c r="F10" s="57" t="s">
        <v>124</v>
      </c>
      <c r="G10" s="80"/>
      <c r="H10" s="58" t="e">
        <f t="shared" si="0"/>
        <v>#DIV/0!</v>
      </c>
      <c r="I10" s="71" t="s">
        <v>84</v>
      </c>
      <c r="J10" s="57" t="s">
        <v>125</v>
      </c>
      <c r="M10" s="75" t="s">
        <v>10</v>
      </c>
      <c r="N10" s="76">
        <f t="shared" si="1"/>
        <v>59959.64</v>
      </c>
      <c r="O10" s="76">
        <f t="shared" si="5"/>
        <v>59959.64</v>
      </c>
      <c r="P10" s="77">
        <f t="shared" si="2"/>
        <v>571</v>
      </c>
      <c r="Q10" s="76">
        <f t="shared" si="3"/>
        <v>105.00812609457093</v>
      </c>
      <c r="R10" s="75" t="s">
        <v>86</v>
      </c>
    </row>
    <row r="11" spans="2:19" x14ac:dyDescent="0.25">
      <c r="B11" s="62">
        <v>45426</v>
      </c>
      <c r="C11" s="57">
        <f t="shared" si="4"/>
        <v>5</v>
      </c>
      <c r="D11" s="57" t="s">
        <v>2</v>
      </c>
      <c r="E11" s="63">
        <v>10803.94</v>
      </c>
      <c r="F11" s="57" t="s">
        <v>86</v>
      </c>
      <c r="G11" s="83">
        <v>101</v>
      </c>
      <c r="H11" s="58">
        <f t="shared" si="0"/>
        <v>106.96970297029704</v>
      </c>
      <c r="I11" s="71" t="s">
        <v>84</v>
      </c>
      <c r="J11" s="57" t="s">
        <v>126</v>
      </c>
      <c r="M11" s="75" t="s">
        <v>11</v>
      </c>
      <c r="N11" s="76">
        <f t="shared" si="1"/>
        <v>126287.85</v>
      </c>
      <c r="O11" s="76">
        <f t="shared" si="5"/>
        <v>126287.85</v>
      </c>
      <c r="P11" s="77">
        <f t="shared" si="2"/>
        <v>668</v>
      </c>
      <c r="Q11" s="76">
        <f t="shared" si="3"/>
        <v>189.05366766467066</v>
      </c>
      <c r="R11" s="75" t="s">
        <v>86</v>
      </c>
    </row>
    <row r="12" spans="2:19" x14ac:dyDescent="0.25">
      <c r="B12" s="62">
        <v>45426</v>
      </c>
      <c r="C12" s="57">
        <f t="shared" si="4"/>
        <v>5</v>
      </c>
      <c r="D12" s="57" t="s">
        <v>89</v>
      </c>
      <c r="E12" s="63">
        <v>23147.759999999998</v>
      </c>
      <c r="F12" s="57" t="s">
        <v>86</v>
      </c>
      <c r="G12" s="83">
        <v>175</v>
      </c>
      <c r="H12" s="58">
        <f t="shared" si="0"/>
        <v>132.27291428571428</v>
      </c>
      <c r="I12" s="71" t="s">
        <v>84</v>
      </c>
      <c r="J12" s="57" t="s">
        <v>126</v>
      </c>
      <c r="M12" s="75" t="s">
        <v>12</v>
      </c>
      <c r="N12" s="76">
        <f t="shared" si="1"/>
        <v>97214.59</v>
      </c>
      <c r="O12" s="76">
        <f t="shared" si="5"/>
        <v>97214.59</v>
      </c>
      <c r="P12" s="77">
        <f t="shared" si="2"/>
        <v>447</v>
      </c>
      <c r="Q12" s="76">
        <f t="shared" si="3"/>
        <v>217.48230425055928</v>
      </c>
      <c r="R12" s="75" t="s">
        <v>86</v>
      </c>
    </row>
    <row r="13" spans="2:19" x14ac:dyDescent="0.25">
      <c r="B13" s="62">
        <v>45442</v>
      </c>
      <c r="C13" s="57">
        <f t="shared" si="4"/>
        <v>5</v>
      </c>
      <c r="D13" s="57" t="s">
        <v>13</v>
      </c>
      <c r="E13" s="63">
        <v>14700</v>
      </c>
      <c r="F13" s="57" t="s">
        <v>127</v>
      </c>
      <c r="H13" s="58" t="e">
        <f t="shared" si="0"/>
        <v>#DIV/0!</v>
      </c>
      <c r="I13" s="71" t="s">
        <v>84</v>
      </c>
      <c r="J13" s="57" t="s">
        <v>128</v>
      </c>
      <c r="M13" s="75" t="s">
        <v>13</v>
      </c>
      <c r="N13" s="76">
        <f t="shared" si="1"/>
        <v>59801.75</v>
      </c>
      <c r="O13" s="76">
        <f t="shared" si="5"/>
        <v>59801.75</v>
      </c>
      <c r="P13" s="77">
        <f>144+160</f>
        <v>304</v>
      </c>
      <c r="Q13" s="76">
        <f t="shared" si="3"/>
        <v>196.71628289473685</v>
      </c>
      <c r="R13" s="75" t="s">
        <v>86</v>
      </c>
    </row>
    <row r="14" spans="2:19" x14ac:dyDescent="0.25">
      <c r="B14" s="62">
        <v>45442</v>
      </c>
      <c r="C14" s="57">
        <f t="shared" si="4"/>
        <v>5</v>
      </c>
      <c r="D14" s="57" t="s">
        <v>12</v>
      </c>
      <c r="E14" s="63">
        <v>47050</v>
      </c>
      <c r="F14" s="57" t="s">
        <v>127</v>
      </c>
      <c r="H14" s="58" t="e">
        <f t="shared" si="0"/>
        <v>#DIV/0!</v>
      </c>
      <c r="I14" s="71" t="s">
        <v>84</v>
      </c>
      <c r="J14" s="57" t="s">
        <v>129</v>
      </c>
      <c r="M14" s="75" t="s">
        <v>14</v>
      </c>
      <c r="N14" s="76">
        <f t="shared" si="1"/>
        <v>108339.59</v>
      </c>
      <c r="O14" s="76">
        <f t="shared" si="5"/>
        <v>108339.59</v>
      </c>
      <c r="P14" s="77">
        <f>SUMIFS($G$2:$G$62,$D$2:$D$62,M14)</f>
        <v>1011</v>
      </c>
      <c r="Q14" s="76">
        <f>O14/P14</f>
        <v>107.16082096933728</v>
      </c>
      <c r="R14" s="75" t="s">
        <v>86</v>
      </c>
    </row>
    <row r="15" spans="2:19" x14ac:dyDescent="0.25">
      <c r="B15" s="62">
        <v>45442</v>
      </c>
      <c r="C15" s="57">
        <f t="shared" si="4"/>
        <v>5</v>
      </c>
      <c r="D15" s="57" t="s">
        <v>11</v>
      </c>
      <c r="E15" s="63">
        <v>12350</v>
      </c>
      <c r="F15" s="57" t="s">
        <v>127</v>
      </c>
      <c r="H15" s="58" t="e">
        <f t="shared" si="0"/>
        <v>#DIV/0!</v>
      </c>
      <c r="I15" s="71" t="s">
        <v>84</v>
      </c>
      <c r="J15" s="57" t="s">
        <v>130</v>
      </c>
      <c r="M15" s="75" t="s">
        <v>15</v>
      </c>
      <c r="N15" s="76">
        <f t="shared" si="1"/>
        <v>13113.51</v>
      </c>
      <c r="O15" s="76">
        <f t="shared" si="5"/>
        <v>13113.51</v>
      </c>
      <c r="P15" s="77">
        <f>SUMIFS($G$2:$G$62,$D$2:$D$62,M15)</f>
        <v>64</v>
      </c>
      <c r="Q15" s="76">
        <f t="shared" ref="Q15:Q17" si="6">O15/P15</f>
        <v>204.89859375</v>
      </c>
      <c r="R15" s="75" t="s">
        <v>86</v>
      </c>
    </row>
    <row r="16" spans="2:19" x14ac:dyDescent="0.25">
      <c r="B16" s="62">
        <v>45475</v>
      </c>
      <c r="C16" s="57">
        <f t="shared" si="4"/>
        <v>7</v>
      </c>
      <c r="D16" s="57" t="s">
        <v>13</v>
      </c>
      <c r="E16" s="63">
        <v>19000</v>
      </c>
      <c r="F16" s="57" t="s">
        <v>131</v>
      </c>
      <c r="H16" s="58" t="e">
        <f t="shared" si="0"/>
        <v>#DIV/0!</v>
      </c>
      <c r="I16" s="71" t="s">
        <v>84</v>
      </c>
      <c r="J16" s="57" t="s">
        <v>132</v>
      </c>
      <c r="M16" s="75" t="s">
        <v>18</v>
      </c>
      <c r="N16" s="76">
        <f t="shared" si="1"/>
        <v>5767.58</v>
      </c>
      <c r="O16" s="76">
        <f t="shared" si="5"/>
        <v>5767.58</v>
      </c>
      <c r="P16" s="77">
        <f>SUMIFS($G$2:$G$62,$D$2:$D$62,M16)</f>
        <v>91</v>
      </c>
      <c r="Q16" s="76">
        <f t="shared" si="6"/>
        <v>63.38</v>
      </c>
      <c r="R16" s="75" t="s">
        <v>86</v>
      </c>
    </row>
    <row r="17" spans="2:19" x14ac:dyDescent="0.25">
      <c r="B17" s="62">
        <v>45475</v>
      </c>
      <c r="C17" s="57">
        <f t="shared" si="4"/>
        <v>7</v>
      </c>
      <c r="D17" s="57" t="s">
        <v>88</v>
      </c>
      <c r="E17" s="63">
        <v>11400</v>
      </c>
      <c r="F17" s="57" t="s">
        <v>131</v>
      </c>
      <c r="H17" s="58" t="e">
        <f t="shared" si="0"/>
        <v>#DIV/0!</v>
      </c>
      <c r="I17" s="71" t="s">
        <v>84</v>
      </c>
      <c r="J17" s="57" t="s">
        <v>133</v>
      </c>
      <c r="M17" s="75" t="s">
        <v>19</v>
      </c>
      <c r="N17" s="76">
        <f t="shared" si="1"/>
        <v>900</v>
      </c>
      <c r="O17" s="76">
        <f t="shared" si="5"/>
        <v>900</v>
      </c>
      <c r="P17" s="77">
        <f>SUMIFS($G$2:$G$62,$D$2:$D$62,M17)</f>
        <v>5</v>
      </c>
      <c r="Q17" s="76">
        <f t="shared" si="6"/>
        <v>180</v>
      </c>
      <c r="R17" s="75" t="s">
        <v>86</v>
      </c>
    </row>
    <row r="18" spans="2:19" x14ac:dyDescent="0.25">
      <c r="B18" s="62">
        <v>45475</v>
      </c>
      <c r="C18" s="57">
        <f t="shared" si="4"/>
        <v>7</v>
      </c>
      <c r="D18" s="57" t="s">
        <v>14</v>
      </c>
      <c r="E18" s="63">
        <v>34350</v>
      </c>
      <c r="F18" s="57" t="s">
        <v>131</v>
      </c>
      <c r="H18" s="58" t="e">
        <f t="shared" si="0"/>
        <v>#DIV/0!</v>
      </c>
      <c r="I18" s="71" t="s">
        <v>84</v>
      </c>
      <c r="J18" s="57" t="s">
        <v>134</v>
      </c>
    </row>
    <row r="19" spans="2:19" x14ac:dyDescent="0.25">
      <c r="B19" s="62">
        <v>45475</v>
      </c>
      <c r="C19" s="57">
        <f t="shared" si="4"/>
        <v>7</v>
      </c>
      <c r="D19" s="57" t="s">
        <v>11</v>
      </c>
      <c r="E19" s="63">
        <v>17400</v>
      </c>
      <c r="F19" s="57" t="s">
        <v>131</v>
      </c>
      <c r="H19" s="58" t="e">
        <f t="shared" si="0"/>
        <v>#DIV/0!</v>
      </c>
      <c r="I19" s="71" t="s">
        <v>84</v>
      </c>
      <c r="J19" s="57" t="s">
        <v>135</v>
      </c>
    </row>
    <row r="20" spans="2:19" x14ac:dyDescent="0.25">
      <c r="B20" s="62">
        <v>45484</v>
      </c>
      <c r="C20" s="57">
        <f t="shared" si="4"/>
        <v>7</v>
      </c>
      <c r="D20" s="57" t="s">
        <v>19</v>
      </c>
      <c r="E20" s="63">
        <v>900</v>
      </c>
      <c r="F20" s="57" t="s">
        <v>86</v>
      </c>
      <c r="G20" s="81">
        <v>5</v>
      </c>
      <c r="H20" s="58">
        <f t="shared" si="0"/>
        <v>180</v>
      </c>
      <c r="I20" s="71" t="s">
        <v>136</v>
      </c>
      <c r="J20" s="57" t="s">
        <v>137</v>
      </c>
      <c r="M20" s="57" t="s">
        <v>138</v>
      </c>
      <c r="N20" s="58">
        <v>10093.6</v>
      </c>
    </row>
    <row r="21" spans="2:19" x14ac:dyDescent="0.25">
      <c r="B21" s="62">
        <v>45503</v>
      </c>
      <c r="C21" s="57">
        <f t="shared" si="4"/>
        <v>7</v>
      </c>
      <c r="D21" s="57" t="s">
        <v>88</v>
      </c>
      <c r="E21" s="63">
        <v>6300</v>
      </c>
      <c r="F21" s="57" t="s">
        <v>139</v>
      </c>
      <c r="H21" s="58" t="e">
        <f t="shared" si="0"/>
        <v>#DIV/0!</v>
      </c>
      <c r="I21" s="71" t="s">
        <v>84</v>
      </c>
      <c r="J21" s="57" t="s">
        <v>140</v>
      </c>
      <c r="M21" s="57" t="s">
        <v>141</v>
      </c>
      <c r="N21" s="58">
        <v>8246.2000000000007</v>
      </c>
    </row>
    <row r="22" spans="2:19" x14ac:dyDescent="0.25">
      <c r="B22" s="62">
        <v>45503</v>
      </c>
      <c r="C22" s="57">
        <f t="shared" si="4"/>
        <v>7</v>
      </c>
      <c r="D22" s="57" t="s">
        <v>10</v>
      </c>
      <c r="E22" s="63">
        <v>16250</v>
      </c>
      <c r="F22" s="57" t="s">
        <v>139</v>
      </c>
      <c r="H22" s="58" t="e">
        <f t="shared" si="0"/>
        <v>#DIV/0!</v>
      </c>
      <c r="I22" s="71" t="s">
        <v>84</v>
      </c>
      <c r="J22" s="57" t="s">
        <v>142</v>
      </c>
    </row>
    <row r="23" spans="2:19" x14ac:dyDescent="0.25">
      <c r="B23" s="62">
        <v>45516</v>
      </c>
      <c r="C23" s="57">
        <f t="shared" si="4"/>
        <v>8</v>
      </c>
      <c r="D23" s="57" t="s">
        <v>15</v>
      </c>
      <c r="E23" s="63">
        <v>5313.51</v>
      </c>
      <c r="F23" s="57" t="s">
        <v>86</v>
      </c>
      <c r="H23" s="58" t="e">
        <f t="shared" si="0"/>
        <v>#DIV/0!</v>
      </c>
      <c r="I23" s="71" t="s">
        <v>84</v>
      </c>
      <c r="J23" s="57" t="s">
        <v>143</v>
      </c>
      <c r="M23" s="57" t="s">
        <v>34</v>
      </c>
      <c r="N23" s="58">
        <f>SUM(N2:N21)</f>
        <v>1008389.0999999999</v>
      </c>
    </row>
    <row r="24" spans="2:19" x14ac:dyDescent="0.25">
      <c r="B24" s="62">
        <v>45538</v>
      </c>
      <c r="C24" s="57">
        <f t="shared" si="4"/>
        <v>9</v>
      </c>
      <c r="D24" s="57" t="s">
        <v>11</v>
      </c>
      <c r="E24" s="63">
        <v>68287.850000000006</v>
      </c>
      <c r="F24" s="57" t="s">
        <v>86</v>
      </c>
      <c r="G24" s="81">
        <v>668</v>
      </c>
      <c r="H24" s="58">
        <f t="shared" si="0"/>
        <v>102.22732035928145</v>
      </c>
      <c r="I24" s="71" t="s">
        <v>84</v>
      </c>
      <c r="J24" s="57" t="s">
        <v>144</v>
      </c>
      <c r="M24" s="57" t="s">
        <v>100</v>
      </c>
      <c r="N24" s="58">
        <v>1008389.1</v>
      </c>
    </row>
    <row r="25" spans="2:19" x14ac:dyDescent="0.25">
      <c r="B25" s="62">
        <v>45539</v>
      </c>
      <c r="C25" s="57">
        <f t="shared" si="4"/>
        <v>9</v>
      </c>
      <c r="D25" s="57" t="s">
        <v>5</v>
      </c>
      <c r="E25" s="63">
        <v>53708.04</v>
      </c>
      <c r="F25" s="57" t="s">
        <v>86</v>
      </c>
      <c r="G25" s="81">
        <v>471</v>
      </c>
      <c r="H25" s="58">
        <f t="shared" si="0"/>
        <v>114.02980891719746</v>
      </c>
      <c r="I25" s="71" t="s">
        <v>84</v>
      </c>
      <c r="J25" s="57" t="s">
        <v>145</v>
      </c>
      <c r="M25" s="57" t="s">
        <v>101</v>
      </c>
      <c r="N25" s="58">
        <f>N24-N23</f>
        <v>0</v>
      </c>
    </row>
    <row r="26" spans="2:19" x14ac:dyDescent="0.25">
      <c r="B26" s="62">
        <v>45558</v>
      </c>
      <c r="C26" s="57">
        <f t="shared" si="4"/>
        <v>9</v>
      </c>
      <c r="D26" s="57" t="s">
        <v>92</v>
      </c>
      <c r="E26" s="63">
        <v>35448.730000000003</v>
      </c>
      <c r="F26" s="57" t="s">
        <v>146</v>
      </c>
      <c r="H26" s="58" t="e">
        <f t="shared" si="0"/>
        <v>#DIV/0!</v>
      </c>
      <c r="I26" s="71" t="s">
        <v>84</v>
      </c>
      <c r="J26" s="63" t="s">
        <v>147</v>
      </c>
      <c r="S26" s="57"/>
    </row>
    <row r="27" spans="2:19" x14ac:dyDescent="0.25">
      <c r="B27" s="62">
        <v>45558</v>
      </c>
      <c r="C27" s="57">
        <f t="shared" si="4"/>
        <v>9</v>
      </c>
      <c r="D27" s="57" t="s">
        <v>93</v>
      </c>
      <c r="E27" s="63">
        <v>16121.25</v>
      </c>
      <c r="F27" s="57" t="s">
        <v>146</v>
      </c>
      <c r="H27" s="58" t="e">
        <f t="shared" ref="H27:H41" si="7">+E27/G27</f>
        <v>#DIV/0!</v>
      </c>
      <c r="I27" s="71" t="s">
        <v>84</v>
      </c>
      <c r="J27" s="63" t="s">
        <v>148</v>
      </c>
      <c r="M27" s="57" t="s">
        <v>79</v>
      </c>
      <c r="N27" s="58">
        <f>Revenue!AE155</f>
        <v>1008389.1</v>
      </c>
    </row>
    <row r="28" spans="2:19" x14ac:dyDescent="0.25">
      <c r="B28" s="62">
        <v>45558</v>
      </c>
      <c r="C28" s="57">
        <f t="shared" si="4"/>
        <v>9</v>
      </c>
      <c r="D28" s="57" t="s">
        <v>94</v>
      </c>
      <c r="E28" s="63">
        <v>27625.91</v>
      </c>
      <c r="F28" s="57" t="s">
        <v>146</v>
      </c>
      <c r="H28" s="58" t="e">
        <f t="shared" si="7"/>
        <v>#DIV/0!</v>
      </c>
      <c r="I28" s="71" t="s">
        <v>84</v>
      </c>
      <c r="J28" s="63" t="s">
        <v>149</v>
      </c>
      <c r="M28" s="57" t="s">
        <v>102</v>
      </c>
      <c r="N28" s="58">
        <f>N27-N24</f>
        <v>0</v>
      </c>
      <c r="S28" s="57"/>
    </row>
    <row r="29" spans="2:19" x14ac:dyDescent="0.25">
      <c r="B29" s="62">
        <v>45558</v>
      </c>
      <c r="C29" s="57">
        <f t="shared" si="4"/>
        <v>9</v>
      </c>
      <c r="D29" s="57" t="s">
        <v>97</v>
      </c>
      <c r="E29" s="63">
        <v>56945.35</v>
      </c>
      <c r="F29" s="57" t="s">
        <v>146</v>
      </c>
      <c r="H29" s="58" t="e">
        <f t="shared" si="7"/>
        <v>#DIV/0!</v>
      </c>
      <c r="I29" s="71" t="s">
        <v>84</v>
      </c>
      <c r="J29" s="63" t="s">
        <v>150</v>
      </c>
    </row>
    <row r="30" spans="2:19" x14ac:dyDescent="0.25">
      <c r="B30" s="62">
        <v>45572</v>
      </c>
      <c r="C30" s="57">
        <f t="shared" si="4"/>
        <v>10</v>
      </c>
      <c r="D30" s="57" t="s">
        <v>13</v>
      </c>
      <c r="E30" s="63">
        <v>14269.2</v>
      </c>
      <c r="F30" s="57" t="s">
        <v>86</v>
      </c>
      <c r="G30" s="81">
        <v>160</v>
      </c>
      <c r="H30" s="58">
        <f t="shared" si="7"/>
        <v>89.182500000000005</v>
      </c>
      <c r="I30" s="71" t="s">
        <v>84</v>
      </c>
      <c r="J30" s="57" t="s">
        <v>151</v>
      </c>
      <c r="K30" s="94" t="s">
        <v>152</v>
      </c>
    </row>
    <row r="31" spans="2:19" x14ac:dyDescent="0.25">
      <c r="B31" s="62">
        <v>45572</v>
      </c>
      <c r="C31" s="57">
        <f t="shared" si="4"/>
        <v>10</v>
      </c>
      <c r="D31" s="57" t="s">
        <v>88</v>
      </c>
      <c r="E31" s="63">
        <v>13672.6</v>
      </c>
      <c r="F31" s="72" t="s">
        <v>86</v>
      </c>
      <c r="G31" s="81">
        <v>164</v>
      </c>
      <c r="H31" s="58">
        <f t="shared" si="7"/>
        <v>83.369512195121956</v>
      </c>
      <c r="I31" s="71" t="s">
        <v>84</v>
      </c>
      <c r="J31" s="57" t="s">
        <v>153</v>
      </c>
      <c r="K31" s="94" t="s">
        <v>152</v>
      </c>
    </row>
    <row r="32" spans="2:19" x14ac:dyDescent="0.25">
      <c r="B32" s="62">
        <v>45572</v>
      </c>
      <c r="C32" s="57">
        <f t="shared" si="4"/>
        <v>10</v>
      </c>
      <c r="D32" s="57" t="s">
        <v>13</v>
      </c>
      <c r="E32" s="63">
        <v>11832.55</v>
      </c>
      <c r="F32" s="57" t="s">
        <v>86</v>
      </c>
      <c r="G32" s="81">
        <v>144</v>
      </c>
      <c r="H32" s="58">
        <f t="shared" si="7"/>
        <v>82.170486111111103</v>
      </c>
      <c r="I32" s="71" t="s">
        <v>84</v>
      </c>
      <c r="J32" s="57" t="s">
        <v>154</v>
      </c>
      <c r="K32" s="94" t="s">
        <v>155</v>
      </c>
      <c r="N32" s="57"/>
      <c r="O32" s="57"/>
      <c r="P32" s="57"/>
      <c r="Q32" s="57"/>
    </row>
    <row r="33" spans="2:11" x14ac:dyDescent="0.25">
      <c r="B33" s="62">
        <v>45572</v>
      </c>
      <c r="C33" s="57">
        <f t="shared" si="4"/>
        <v>10</v>
      </c>
      <c r="D33" s="57" t="s">
        <v>88</v>
      </c>
      <c r="E33" s="63">
        <v>20867.61</v>
      </c>
      <c r="F33" s="72" t="s">
        <v>86</v>
      </c>
      <c r="G33" s="81">
        <v>198</v>
      </c>
      <c r="H33" s="58">
        <f t="shared" si="7"/>
        <v>105.3919696969697</v>
      </c>
      <c r="I33" s="71" t="s">
        <v>84</v>
      </c>
      <c r="J33" s="57" t="s">
        <v>156</v>
      </c>
      <c r="K33" s="94" t="s">
        <v>155</v>
      </c>
    </row>
    <row r="34" spans="2:11" x14ac:dyDescent="0.25">
      <c r="B34" s="62">
        <v>45583</v>
      </c>
      <c r="C34" s="57">
        <f t="shared" si="4"/>
        <v>10</v>
      </c>
      <c r="D34" s="57" t="s">
        <v>10</v>
      </c>
      <c r="E34" s="57">
        <v>43709.64</v>
      </c>
      <c r="F34" s="57" t="s">
        <v>86</v>
      </c>
      <c r="G34" s="81">
        <v>571</v>
      </c>
      <c r="H34" s="58">
        <f t="shared" si="7"/>
        <v>76.549281961471095</v>
      </c>
      <c r="I34" s="57" t="s">
        <v>84</v>
      </c>
      <c r="J34" s="63" t="s">
        <v>157</v>
      </c>
    </row>
    <row r="35" spans="2:11" x14ac:dyDescent="0.25">
      <c r="B35" s="62">
        <v>45595</v>
      </c>
      <c r="C35" s="57">
        <f t="shared" si="4"/>
        <v>10</v>
      </c>
      <c r="D35" s="57" t="s">
        <v>12</v>
      </c>
      <c r="E35" s="63">
        <v>50164.59</v>
      </c>
      <c r="F35" s="57" t="s">
        <v>86</v>
      </c>
      <c r="G35" s="81">
        <v>447</v>
      </c>
      <c r="H35" s="58">
        <f t="shared" si="7"/>
        <v>112.22503355704697</v>
      </c>
      <c r="I35" s="57" t="s">
        <v>84</v>
      </c>
      <c r="J35" s="57" t="s">
        <v>158</v>
      </c>
    </row>
    <row r="36" spans="2:11" x14ac:dyDescent="0.25">
      <c r="B36" s="62">
        <v>45614</v>
      </c>
      <c r="C36" s="57">
        <f t="shared" si="4"/>
        <v>11</v>
      </c>
      <c r="D36" s="57" t="s">
        <v>14</v>
      </c>
      <c r="E36" s="63">
        <v>31489.59</v>
      </c>
      <c r="F36" s="57" t="s">
        <v>86</v>
      </c>
      <c r="G36" s="81">
        <v>1011</v>
      </c>
      <c r="H36" s="58">
        <f t="shared" si="7"/>
        <v>31.146973293768546</v>
      </c>
      <c r="I36" s="57" t="s">
        <v>84</v>
      </c>
      <c r="J36" s="57" t="s">
        <v>159</v>
      </c>
      <c r="K36" s="94" t="s">
        <v>160</v>
      </c>
    </row>
    <row r="37" spans="2:11" x14ac:dyDescent="0.25">
      <c r="B37" s="62">
        <v>45614</v>
      </c>
      <c r="C37" s="57">
        <f t="shared" si="4"/>
        <v>11</v>
      </c>
      <c r="D37" s="57" t="s">
        <v>18</v>
      </c>
      <c r="E37" s="63">
        <v>1017.58</v>
      </c>
      <c r="F37" s="57" t="s">
        <v>86</v>
      </c>
      <c r="G37" s="81">
        <v>91</v>
      </c>
      <c r="H37" s="58">
        <f t="shared" si="7"/>
        <v>11.182197802197802</v>
      </c>
      <c r="I37" s="57" t="s">
        <v>84</v>
      </c>
      <c r="J37" s="57" t="s">
        <v>159</v>
      </c>
      <c r="K37" s="94" t="s">
        <v>160</v>
      </c>
    </row>
    <row r="38" spans="2:11" x14ac:dyDescent="0.25">
      <c r="B38" s="62">
        <v>45618</v>
      </c>
      <c r="C38" s="57">
        <f t="shared" si="4"/>
        <v>11</v>
      </c>
      <c r="D38" s="57" t="s">
        <v>92</v>
      </c>
      <c r="E38" s="63">
        <v>41649.17</v>
      </c>
      <c r="F38" s="57" t="s">
        <v>86</v>
      </c>
      <c r="G38" s="81">
        <v>444.75</v>
      </c>
      <c r="H38" s="58">
        <f t="shared" si="7"/>
        <v>93.646250702641936</v>
      </c>
      <c r="I38" s="57" t="s">
        <v>161</v>
      </c>
      <c r="J38" s="57" t="s">
        <v>162</v>
      </c>
    </row>
    <row r="39" spans="2:11" x14ac:dyDescent="0.25">
      <c r="B39" s="62">
        <v>45618</v>
      </c>
      <c r="C39" s="57">
        <f t="shared" si="4"/>
        <v>11</v>
      </c>
      <c r="D39" s="57" t="s">
        <v>93</v>
      </c>
      <c r="E39" s="63">
        <v>17506.02</v>
      </c>
      <c r="F39" s="57" t="s">
        <v>86</v>
      </c>
      <c r="G39" s="81">
        <v>174</v>
      </c>
      <c r="H39" s="58">
        <f t="shared" si="7"/>
        <v>100.60931034482759</v>
      </c>
      <c r="I39" s="57" t="s">
        <v>161</v>
      </c>
      <c r="J39" s="57" t="s">
        <v>163</v>
      </c>
    </row>
    <row r="40" spans="2:11" x14ac:dyDescent="0.25">
      <c r="B40" s="62">
        <v>45618</v>
      </c>
      <c r="C40" s="57">
        <f t="shared" si="4"/>
        <v>11</v>
      </c>
      <c r="D40" s="57" t="s">
        <v>94</v>
      </c>
      <c r="E40" s="63">
        <v>29421.55</v>
      </c>
      <c r="F40" s="57" t="s">
        <v>86</v>
      </c>
      <c r="G40" s="81">
        <v>285.5</v>
      </c>
      <c r="H40" s="58">
        <f t="shared" si="7"/>
        <v>103.05271453590193</v>
      </c>
      <c r="I40" s="57" t="s">
        <v>161</v>
      </c>
      <c r="J40" s="57" t="s">
        <v>164</v>
      </c>
    </row>
    <row r="41" spans="2:11" x14ac:dyDescent="0.25">
      <c r="B41" s="62">
        <v>45618</v>
      </c>
      <c r="C41" s="57">
        <f t="shared" si="4"/>
        <v>11</v>
      </c>
      <c r="D41" s="57" t="s">
        <v>97</v>
      </c>
      <c r="E41" s="63">
        <v>64446.86</v>
      </c>
      <c r="F41" s="57" t="s">
        <v>86</v>
      </c>
      <c r="G41" s="81">
        <v>650</v>
      </c>
      <c r="H41" s="58">
        <f t="shared" si="7"/>
        <v>99.149015384615382</v>
      </c>
      <c r="I41" s="57" t="s">
        <v>161</v>
      </c>
      <c r="J41" s="57" t="s">
        <v>165</v>
      </c>
    </row>
    <row r="46" spans="2:11" x14ac:dyDescent="0.25">
      <c r="C46" s="57" t="s">
        <v>166</v>
      </c>
      <c r="D46" s="57" t="s">
        <v>167</v>
      </c>
    </row>
    <row r="47" spans="2:11" x14ac:dyDescent="0.25">
      <c r="B47" s="57">
        <v>1</v>
      </c>
      <c r="C47" s="57">
        <f>SUMIF($C$2:$C$41, B47,$E$2:$E$41)</f>
        <v>120350</v>
      </c>
      <c r="D47" s="57">
        <f>C47/SUM($C$47:$C$58)</f>
        <v>0.12155960314299499</v>
      </c>
      <c r="E47" s="63">
        <f>D47*$C$60</f>
        <v>188043.40310578473</v>
      </c>
    </row>
    <row r="48" spans="2:11" x14ac:dyDescent="0.25">
      <c r="B48" s="57">
        <v>2</v>
      </c>
      <c r="C48" s="57">
        <f t="shared" ref="C48:C58" si="8">SUMIF($C$2:$C$41, B48,$E$2:$E$41)</f>
        <v>4800</v>
      </c>
      <c r="D48" s="57">
        <f t="shared" ref="D48:D57" si="9">C48/SUM($C$47:$C$58)</f>
        <v>4.8482434157571747E-3</v>
      </c>
      <c r="E48" s="63">
        <f t="shared" ref="E48:E58" si="10">D48*$C$60</f>
        <v>7499.8615281077409</v>
      </c>
    </row>
    <row r="49" spans="2:5" x14ac:dyDescent="0.25">
      <c r="B49" s="57">
        <v>3</v>
      </c>
      <c r="C49" s="57">
        <f t="shared" si="8"/>
        <v>0</v>
      </c>
      <c r="D49" s="57">
        <f t="shared" si="9"/>
        <v>0</v>
      </c>
      <c r="E49" s="63">
        <f t="shared" si="10"/>
        <v>0</v>
      </c>
    </row>
    <row r="50" spans="2:5" x14ac:dyDescent="0.25">
      <c r="B50" s="57">
        <v>4</v>
      </c>
      <c r="C50" s="57">
        <f t="shared" si="8"/>
        <v>0</v>
      </c>
      <c r="D50" s="57">
        <f t="shared" si="9"/>
        <v>0</v>
      </c>
      <c r="E50" s="63">
        <f t="shared" si="10"/>
        <v>0</v>
      </c>
    </row>
    <row r="51" spans="2:5" x14ac:dyDescent="0.25">
      <c r="B51" s="57">
        <v>5</v>
      </c>
      <c r="C51" s="57">
        <f t="shared" si="8"/>
        <v>155801.70000000001</v>
      </c>
      <c r="D51" s="57">
        <f t="shared" si="9"/>
        <v>0.15736761795599472</v>
      </c>
      <c r="E51" s="63">
        <f t="shared" si="10"/>
        <v>243435.66163412164</v>
      </c>
    </row>
    <row r="52" spans="2:5" x14ac:dyDescent="0.25">
      <c r="B52" s="57">
        <v>6</v>
      </c>
      <c r="C52" s="57">
        <f t="shared" si="8"/>
        <v>0</v>
      </c>
      <c r="D52" s="57">
        <f t="shared" si="9"/>
        <v>0</v>
      </c>
      <c r="E52" s="63">
        <f t="shared" si="10"/>
        <v>0</v>
      </c>
    </row>
    <row r="53" spans="2:5" x14ac:dyDescent="0.25">
      <c r="B53" s="57">
        <v>7</v>
      </c>
      <c r="C53" s="57">
        <f t="shared" si="8"/>
        <v>105600</v>
      </c>
      <c r="D53" s="57">
        <f t="shared" si="9"/>
        <v>0.10666135514665784</v>
      </c>
      <c r="E53" s="63">
        <f t="shared" si="10"/>
        <v>164996.95361837029</v>
      </c>
    </row>
    <row r="54" spans="2:5" x14ac:dyDescent="0.25">
      <c r="B54" s="57">
        <v>8</v>
      </c>
      <c r="C54" s="57">
        <f t="shared" si="8"/>
        <v>5313.51</v>
      </c>
      <c r="D54" s="57">
        <f t="shared" si="9"/>
        <v>5.3669145566791468E-3</v>
      </c>
      <c r="E54" s="63">
        <f t="shared" si="10"/>
        <v>8302.2060892116169</v>
      </c>
    </row>
    <row r="55" spans="2:5" x14ac:dyDescent="0.25">
      <c r="B55" s="57">
        <v>9</v>
      </c>
      <c r="C55" s="57">
        <f t="shared" si="8"/>
        <v>258137.13000000003</v>
      </c>
      <c r="D55" s="57">
        <f t="shared" si="9"/>
        <v>0.26073159185103206</v>
      </c>
      <c r="E55" s="63">
        <f t="shared" si="10"/>
        <v>403331.81880482222</v>
      </c>
    </row>
    <row r="56" spans="2:5" x14ac:dyDescent="0.25">
      <c r="B56" s="57">
        <v>10</v>
      </c>
      <c r="C56" s="57">
        <f t="shared" si="8"/>
        <v>154516.19</v>
      </c>
      <c r="D56" s="57">
        <f t="shared" si="9"/>
        <v>0.15606918766570513</v>
      </c>
      <c r="E56" s="63">
        <f t="shared" si="10"/>
        <v>241427.08934391377</v>
      </c>
    </row>
    <row r="57" spans="2:5" x14ac:dyDescent="0.25">
      <c r="B57" s="57">
        <v>11</v>
      </c>
      <c r="C57" s="57">
        <f t="shared" si="8"/>
        <v>185530.77000000002</v>
      </c>
      <c r="D57" s="57">
        <f t="shared" si="9"/>
        <v>0.18739548626517893</v>
      </c>
      <c r="E57" s="63">
        <f t="shared" si="10"/>
        <v>289886.47587566794</v>
      </c>
    </row>
    <row r="58" spans="2:5" x14ac:dyDescent="0.25">
      <c r="B58" s="57">
        <v>12</v>
      </c>
      <c r="C58" s="57">
        <f t="shared" si="8"/>
        <v>0</v>
      </c>
      <c r="D58" s="57">
        <f>C58/SUM($C$47:$C$58)</f>
        <v>0</v>
      </c>
      <c r="E58" s="63">
        <f t="shared" si="10"/>
        <v>0</v>
      </c>
    </row>
    <row r="59" spans="2:5" x14ac:dyDescent="0.25">
      <c r="D59" s="80"/>
    </row>
    <row r="60" spans="2:5" x14ac:dyDescent="0.25">
      <c r="C60" s="57">
        <v>1546923.47</v>
      </c>
      <c r="D60" s="80"/>
    </row>
    <row r="61" spans="2:5" x14ac:dyDescent="0.25">
      <c r="D61" s="74"/>
    </row>
    <row r="62" spans="2:5" x14ac:dyDescent="0.25">
      <c r="D62" s="74"/>
    </row>
    <row r="63" spans="2:5" x14ac:dyDescent="0.25">
      <c r="D63" s="74"/>
    </row>
    <row r="64" spans="2:5" x14ac:dyDescent="0.25">
      <c r="D64" s="74"/>
    </row>
    <row r="65" spans="4:4" x14ac:dyDescent="0.25">
      <c r="D65" s="74"/>
    </row>
    <row r="66" spans="4:4" x14ac:dyDescent="0.25">
      <c r="D66" s="74">
        <v>5</v>
      </c>
    </row>
    <row r="67" spans="4:4" x14ac:dyDescent="0.25">
      <c r="D67" s="74">
        <f>1404/16</f>
        <v>87.75</v>
      </c>
    </row>
    <row r="68" spans="4:4" x14ac:dyDescent="0.25">
      <c r="D68" s="74"/>
    </row>
    <row r="69" spans="4:4" x14ac:dyDescent="0.25">
      <c r="D69" s="74"/>
    </row>
    <row r="70" spans="4:4" x14ac:dyDescent="0.25">
      <c r="D70" s="74">
        <f>668-D56-D57-D63-D65</f>
        <v>667.65653532606916</v>
      </c>
    </row>
    <row r="71" spans="4:4" x14ac:dyDescent="0.25">
      <c r="D71" s="74">
        <v>471</v>
      </c>
    </row>
    <row r="72" spans="4:4" x14ac:dyDescent="0.25">
      <c r="D72" s="74"/>
    </row>
    <row r="73" spans="4:4" x14ac:dyDescent="0.25">
      <c r="D73" s="74"/>
    </row>
    <row r="74" spans="4:4" x14ac:dyDescent="0.25">
      <c r="D74" s="74"/>
    </row>
    <row r="75" spans="4:4" x14ac:dyDescent="0.25">
      <c r="D75" s="74"/>
    </row>
    <row r="76" spans="4:4" x14ac:dyDescent="0.25">
      <c r="D76" s="81">
        <v>160</v>
      </c>
    </row>
    <row r="77" spans="4:4" x14ac:dyDescent="0.25">
      <c r="D77" s="81">
        <v>164</v>
      </c>
    </row>
    <row r="78" spans="4:4" x14ac:dyDescent="0.25">
      <c r="D78" s="81">
        <v>144</v>
      </c>
    </row>
    <row r="79" spans="4:4" x14ac:dyDescent="0.25">
      <c r="D79" s="81">
        <v>198</v>
      </c>
    </row>
    <row r="80" spans="4:4" x14ac:dyDescent="0.25">
      <c r="D80" s="81">
        <v>571</v>
      </c>
    </row>
    <row r="81" spans="4:4" x14ac:dyDescent="0.25">
      <c r="D81" s="81">
        <v>447</v>
      </c>
    </row>
    <row r="82" spans="4:4" x14ac:dyDescent="0.25">
      <c r="D82" s="81">
        <v>1011</v>
      </c>
    </row>
    <row r="83" spans="4:4" x14ac:dyDescent="0.25">
      <c r="D83" s="81">
        <v>91</v>
      </c>
    </row>
    <row r="84" spans="4:4" x14ac:dyDescent="0.25">
      <c r="D84" s="81">
        <v>444.75</v>
      </c>
    </row>
    <row r="85" spans="4:4" x14ac:dyDescent="0.25">
      <c r="D85" s="81">
        <v>174</v>
      </c>
    </row>
    <row r="86" spans="4:4" x14ac:dyDescent="0.25">
      <c r="D86" s="81">
        <v>285.5</v>
      </c>
    </row>
    <row r="87" spans="4:4" x14ac:dyDescent="0.25">
      <c r="D87" s="81">
        <v>650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1812-ADE2-471B-BBCF-8A58073AC632}">
  <sheetPr codeName="Sheet9"/>
  <dimension ref="B2:K63"/>
  <sheetViews>
    <sheetView workbookViewId="0">
      <selection activeCell="F20" sqref="F20"/>
    </sheetView>
  </sheetViews>
  <sheetFormatPr defaultRowHeight="15" x14ac:dyDescent="0.25"/>
  <cols>
    <col min="2" max="2" width="25" bestFit="1" customWidth="1"/>
    <col min="4" max="4" width="9.5703125" bestFit="1" customWidth="1"/>
    <col min="5" max="5" width="14.42578125" bestFit="1" customWidth="1"/>
    <col min="7" max="7" width="9.7109375" bestFit="1" customWidth="1"/>
    <col min="11" max="11" width="36.28515625" customWidth="1"/>
  </cols>
  <sheetData>
    <row r="2" spans="2:11" x14ac:dyDescent="0.25">
      <c r="G2" s="2" t="s">
        <v>34</v>
      </c>
      <c r="H2" s="2" t="s">
        <v>74</v>
      </c>
      <c r="I2" s="2" t="s">
        <v>75</v>
      </c>
      <c r="K2" s="51" t="s">
        <v>77</v>
      </c>
    </row>
    <row r="3" spans="2:11" x14ac:dyDescent="0.25">
      <c r="B3" s="7">
        <v>44951</v>
      </c>
      <c r="C3" t="s">
        <v>2</v>
      </c>
      <c r="D3" s="50">
        <v>13700</v>
      </c>
      <c r="E3" s="3" t="s">
        <v>111</v>
      </c>
      <c r="G3" s="50">
        <f>D3/0.75</f>
        <v>18266.666666666668</v>
      </c>
      <c r="H3" s="9">
        <f>(528+656)/16</f>
        <v>74</v>
      </c>
      <c r="I3" s="5">
        <f>G3/H3</f>
        <v>246.84684684684686</v>
      </c>
    </row>
    <row r="4" spans="2:11" x14ac:dyDescent="0.25">
      <c r="C4" t="s">
        <v>14</v>
      </c>
      <c r="D4" s="50">
        <v>26350</v>
      </c>
      <c r="E4" s="3" t="s">
        <v>111</v>
      </c>
      <c r="G4" s="50">
        <f t="shared" ref="G4:G11" si="0">D4/0.75</f>
        <v>35133.333333333336</v>
      </c>
      <c r="H4" s="9">
        <f>(176+480+2096)/16</f>
        <v>172</v>
      </c>
      <c r="I4" s="5">
        <f t="shared" ref="I4:I11" si="1">G4/H4</f>
        <v>204.26356589147289</v>
      </c>
      <c r="K4" t="s">
        <v>168</v>
      </c>
    </row>
    <row r="5" spans="2:11" x14ac:dyDescent="0.25">
      <c r="C5" t="s">
        <v>89</v>
      </c>
      <c r="D5" s="50">
        <v>23300</v>
      </c>
      <c r="E5" s="3" t="s">
        <v>111</v>
      </c>
      <c r="G5" s="50">
        <f t="shared" si="0"/>
        <v>31066.666666666668</v>
      </c>
      <c r="H5" s="9">
        <f>(768+992)/16</f>
        <v>110</v>
      </c>
      <c r="I5" s="5">
        <f t="shared" si="1"/>
        <v>282.42424242424244</v>
      </c>
    </row>
    <row r="6" spans="2:11" x14ac:dyDescent="0.25">
      <c r="D6" s="50"/>
      <c r="E6" s="3"/>
      <c r="G6" s="50"/>
      <c r="H6" s="9"/>
      <c r="I6" s="5"/>
    </row>
    <row r="7" spans="2:11" x14ac:dyDescent="0.25">
      <c r="B7" s="7">
        <v>44974</v>
      </c>
      <c r="C7" t="s">
        <v>2</v>
      </c>
      <c r="D7" s="50">
        <v>19500</v>
      </c>
      <c r="E7" s="3" t="s">
        <v>115</v>
      </c>
      <c r="G7" s="50">
        <f t="shared" si="0"/>
        <v>26000</v>
      </c>
      <c r="H7" s="9">
        <f>1552/16</f>
        <v>97</v>
      </c>
      <c r="I7" s="5">
        <f t="shared" si="1"/>
        <v>268.04123711340208</v>
      </c>
    </row>
    <row r="8" spans="2:11" x14ac:dyDescent="0.25">
      <c r="C8" t="s">
        <v>89</v>
      </c>
      <c r="D8" s="50">
        <v>15100</v>
      </c>
      <c r="E8" s="3" t="s">
        <v>115</v>
      </c>
      <c r="G8" s="50">
        <f t="shared" si="0"/>
        <v>20133.333333333332</v>
      </c>
      <c r="H8" s="9">
        <f>1640/16</f>
        <v>102.5</v>
      </c>
      <c r="I8" s="5">
        <f t="shared" si="1"/>
        <v>196.42276422764226</v>
      </c>
    </row>
    <row r="9" spans="2:11" x14ac:dyDescent="0.25">
      <c r="D9" s="50"/>
      <c r="E9" s="3"/>
      <c r="G9" s="50"/>
      <c r="H9" s="9"/>
      <c r="I9" s="5"/>
    </row>
    <row r="10" spans="2:11" x14ac:dyDescent="0.25">
      <c r="B10" s="7">
        <v>44999</v>
      </c>
      <c r="C10" t="s">
        <v>15</v>
      </c>
      <c r="D10" s="50">
        <v>5100</v>
      </c>
      <c r="E10" s="3" t="s">
        <v>122</v>
      </c>
      <c r="G10" s="50">
        <f>D10/0.75</f>
        <v>6800</v>
      </c>
      <c r="H10" s="9">
        <f>688/16</f>
        <v>43</v>
      </c>
      <c r="I10" s="5">
        <f t="shared" si="1"/>
        <v>158.13953488372093</v>
      </c>
      <c r="K10" t="s">
        <v>169</v>
      </c>
    </row>
    <row r="11" spans="2:11" x14ac:dyDescent="0.25">
      <c r="C11" t="s">
        <v>11</v>
      </c>
      <c r="D11" s="50">
        <v>48550</v>
      </c>
      <c r="E11" s="3" t="s">
        <v>122</v>
      </c>
      <c r="G11" s="50">
        <f t="shared" si="0"/>
        <v>64733.333333333336</v>
      </c>
      <c r="H11" s="9">
        <f>(2400+1600+1392)/16</f>
        <v>337</v>
      </c>
      <c r="I11" s="5">
        <f t="shared" si="1"/>
        <v>192.0870425321464</v>
      </c>
    </row>
    <row r="12" spans="2:11" x14ac:dyDescent="0.25">
      <c r="D12" s="50"/>
      <c r="E12" s="3"/>
      <c r="G12" s="50"/>
      <c r="H12" s="9"/>
      <c r="I12" s="5"/>
    </row>
    <row r="13" spans="2:11" x14ac:dyDescent="0.25">
      <c r="B13" s="7">
        <v>45029</v>
      </c>
      <c r="C13" t="s">
        <v>13</v>
      </c>
      <c r="D13" s="50">
        <v>28400</v>
      </c>
      <c r="E13" s="3" t="s">
        <v>170</v>
      </c>
      <c r="G13" s="50">
        <f t="shared" ref="G13:G14" si="2">D13/0.75</f>
        <v>37866.666666666664</v>
      </c>
      <c r="H13" s="9">
        <f>2304/16</f>
        <v>144</v>
      </c>
      <c r="I13" s="5">
        <f t="shared" ref="I13:I14" si="3">G13/H13</f>
        <v>262.96296296296293</v>
      </c>
      <c r="K13" t="s">
        <v>171</v>
      </c>
    </row>
    <row r="14" spans="2:11" x14ac:dyDescent="0.25">
      <c r="C14" t="s">
        <v>3</v>
      </c>
      <c r="D14" s="50">
        <v>20600</v>
      </c>
      <c r="E14" s="3" t="s">
        <v>170</v>
      </c>
      <c r="G14" s="50">
        <f t="shared" si="2"/>
        <v>27466.666666666668</v>
      </c>
      <c r="H14" s="9">
        <f>1544/16</f>
        <v>96.5</v>
      </c>
      <c r="I14" s="5">
        <f t="shared" si="3"/>
        <v>284.62867012089811</v>
      </c>
      <c r="K14" t="s">
        <v>172</v>
      </c>
    </row>
    <row r="15" spans="2:11" x14ac:dyDescent="0.25">
      <c r="D15" s="50"/>
      <c r="E15" s="3"/>
      <c r="G15" s="50"/>
      <c r="H15" s="9"/>
      <c r="I15" s="5"/>
    </row>
    <row r="16" spans="2:11" x14ac:dyDescent="0.25">
      <c r="B16" s="7">
        <v>45078</v>
      </c>
      <c r="C16" t="s">
        <v>2</v>
      </c>
      <c r="D16" s="50">
        <v>14042.32</v>
      </c>
      <c r="E16" s="3" t="s">
        <v>86</v>
      </c>
      <c r="G16" s="50"/>
      <c r="H16" s="9"/>
      <c r="I16" s="5"/>
    </row>
    <row r="17" spans="2:11" x14ac:dyDescent="0.25">
      <c r="C17" t="s">
        <v>4</v>
      </c>
      <c r="D17" s="50">
        <v>16736.919999999998</v>
      </c>
      <c r="E17" s="3" t="s">
        <v>86</v>
      </c>
      <c r="G17" s="50"/>
      <c r="H17" s="9"/>
      <c r="I17" s="5"/>
    </row>
    <row r="18" spans="2:11" x14ac:dyDescent="0.25">
      <c r="D18" s="50"/>
      <c r="E18" s="3"/>
      <c r="G18" s="50"/>
      <c r="H18" s="9"/>
      <c r="I18" s="5"/>
    </row>
    <row r="19" spans="2:11" x14ac:dyDescent="0.25">
      <c r="B19" s="7">
        <v>45092</v>
      </c>
      <c r="C19" t="s">
        <v>13</v>
      </c>
      <c r="D19" s="50">
        <v>14450</v>
      </c>
      <c r="E19" s="3" t="s">
        <v>127</v>
      </c>
      <c r="G19" s="50">
        <f t="shared" ref="G19:G20" si="4">D19/0.75</f>
        <v>19266.666666666668</v>
      </c>
      <c r="H19" s="9">
        <f>2528/16</f>
        <v>158</v>
      </c>
      <c r="I19" s="5">
        <f t="shared" ref="I19:I21" si="5">G19/H19</f>
        <v>121.94092827004221</v>
      </c>
      <c r="K19" t="s">
        <v>173</v>
      </c>
    </row>
    <row r="20" spans="2:11" x14ac:dyDescent="0.25">
      <c r="C20" t="s">
        <v>88</v>
      </c>
      <c r="D20" s="50">
        <v>12250</v>
      </c>
      <c r="E20" s="3" t="s">
        <v>127</v>
      </c>
      <c r="G20" s="50">
        <f t="shared" si="4"/>
        <v>16333.333333333334</v>
      </c>
      <c r="H20" s="9">
        <f>1388/16</f>
        <v>86.75</v>
      </c>
      <c r="I20" s="5">
        <f t="shared" si="5"/>
        <v>188.2804995196926</v>
      </c>
      <c r="K20" t="s">
        <v>174</v>
      </c>
    </row>
    <row r="21" spans="2:11" x14ac:dyDescent="0.25">
      <c r="C21" t="s">
        <v>14</v>
      </c>
      <c r="D21" s="50">
        <v>36600</v>
      </c>
      <c r="E21" s="3" t="s">
        <v>127</v>
      </c>
      <c r="G21" s="50">
        <f>D21/0.65</f>
        <v>56307.692307692305</v>
      </c>
      <c r="H21" s="9">
        <f>(5312+4800+800)/16</f>
        <v>682</v>
      </c>
      <c r="I21" s="5">
        <f t="shared" si="5"/>
        <v>82.562598691630939</v>
      </c>
      <c r="K21" t="s">
        <v>175</v>
      </c>
    </row>
    <row r="22" spans="2:11" x14ac:dyDescent="0.25">
      <c r="D22" s="50"/>
      <c r="E22" s="3"/>
      <c r="G22" s="50"/>
      <c r="H22" s="9"/>
      <c r="I22" s="5"/>
    </row>
    <row r="23" spans="2:11" x14ac:dyDescent="0.25">
      <c r="B23" s="7">
        <v>45120</v>
      </c>
      <c r="C23" t="s">
        <v>11</v>
      </c>
      <c r="D23" s="50">
        <v>26450</v>
      </c>
      <c r="E23" s="3" t="s">
        <v>131</v>
      </c>
      <c r="G23" s="50">
        <f t="shared" ref="G23" si="6">D23/0.75</f>
        <v>35266.666666666664</v>
      </c>
      <c r="H23" s="9">
        <f>5064/16</f>
        <v>316.5</v>
      </c>
      <c r="I23" s="5">
        <f t="shared" ref="I23" si="7">G23/H23</f>
        <v>111.42706687730383</v>
      </c>
      <c r="K23" t="s">
        <v>176</v>
      </c>
    </row>
    <row r="24" spans="2:11" x14ac:dyDescent="0.25">
      <c r="D24" s="50"/>
      <c r="E24" s="3"/>
      <c r="G24" s="50"/>
      <c r="H24" s="9"/>
      <c r="I24" s="5"/>
    </row>
    <row r="25" spans="2:11" x14ac:dyDescent="0.25">
      <c r="B25" s="7">
        <v>45126</v>
      </c>
      <c r="C25" t="s">
        <v>5</v>
      </c>
      <c r="D25" s="50">
        <v>21300</v>
      </c>
      <c r="E25" s="3" t="s">
        <v>177</v>
      </c>
      <c r="G25" s="50">
        <f>D25/0.5</f>
        <v>42600</v>
      </c>
      <c r="H25" s="9">
        <v>399</v>
      </c>
      <c r="I25" s="5">
        <f t="shared" ref="I25:I28" si="8">G25/H25</f>
        <v>106.76691729323308</v>
      </c>
      <c r="K25" t="s">
        <v>177</v>
      </c>
    </row>
    <row r="26" spans="2:11" x14ac:dyDescent="0.25">
      <c r="D26" s="50"/>
      <c r="E26" s="3"/>
    </row>
    <row r="27" spans="2:11" x14ac:dyDescent="0.25">
      <c r="B27" s="7">
        <v>45133</v>
      </c>
      <c r="C27" t="s">
        <v>12</v>
      </c>
      <c r="D27" s="50">
        <v>58050</v>
      </c>
      <c r="E27" s="3" t="s">
        <v>178</v>
      </c>
      <c r="G27" s="50">
        <f t="shared" ref="G27:G28" si="9">D27/0.75</f>
        <v>77400</v>
      </c>
      <c r="H27">
        <f>8624/16</f>
        <v>539</v>
      </c>
      <c r="I27" s="5">
        <f t="shared" si="8"/>
        <v>143.59925788497216</v>
      </c>
    </row>
    <row r="28" spans="2:11" x14ac:dyDescent="0.25">
      <c r="B28" s="7"/>
      <c r="C28" t="s">
        <v>10</v>
      </c>
      <c r="D28" s="50">
        <v>53200</v>
      </c>
      <c r="E28" s="3" t="s">
        <v>178</v>
      </c>
      <c r="G28" s="50">
        <f t="shared" si="9"/>
        <v>70933.333333333328</v>
      </c>
      <c r="H28">
        <f>9224/16</f>
        <v>576.5</v>
      </c>
      <c r="I28" s="5">
        <f t="shared" si="8"/>
        <v>123.04134142815842</v>
      </c>
    </row>
    <row r="29" spans="2:11" x14ac:dyDescent="0.25">
      <c r="D29" s="50"/>
      <c r="E29" s="3"/>
    </row>
    <row r="30" spans="2:11" x14ac:dyDescent="0.25">
      <c r="B30" s="7">
        <v>45183</v>
      </c>
      <c r="C30" t="s">
        <v>11</v>
      </c>
      <c r="D30" s="50">
        <v>55017.54</v>
      </c>
      <c r="E30" s="3" t="s">
        <v>86</v>
      </c>
    </row>
    <row r="31" spans="2:11" x14ac:dyDescent="0.25">
      <c r="D31" s="50"/>
      <c r="E31" s="3"/>
    </row>
    <row r="32" spans="2:11" x14ac:dyDescent="0.25">
      <c r="B32" s="7">
        <v>45176</v>
      </c>
      <c r="C32" t="s">
        <v>5</v>
      </c>
      <c r="D32" s="50">
        <v>24471.06</v>
      </c>
      <c r="E32" s="3" t="s">
        <v>86</v>
      </c>
    </row>
    <row r="33" spans="2:9" x14ac:dyDescent="0.25">
      <c r="B33" s="7"/>
      <c r="D33" s="50"/>
      <c r="E33" s="3"/>
    </row>
    <row r="34" spans="2:9" x14ac:dyDescent="0.25">
      <c r="B34" s="56">
        <v>45161</v>
      </c>
      <c r="C34" s="1" t="s">
        <v>15</v>
      </c>
      <c r="D34" s="55">
        <v>3264.3</v>
      </c>
      <c r="E34" s="4" t="s">
        <v>86</v>
      </c>
    </row>
    <row r="35" spans="2:9" x14ac:dyDescent="0.25">
      <c r="D35" s="50"/>
      <c r="E35" s="3"/>
      <c r="F35" s="50"/>
    </row>
    <row r="36" spans="2:9" x14ac:dyDescent="0.25">
      <c r="B36" s="7">
        <v>45194</v>
      </c>
      <c r="C36" t="s">
        <v>179</v>
      </c>
      <c r="D36" s="50">
        <v>56649.02</v>
      </c>
      <c r="E36" s="3" t="s">
        <v>180</v>
      </c>
      <c r="F36" s="50"/>
      <c r="G36" s="50">
        <f>+D36/0.5</f>
        <v>113298.04</v>
      </c>
      <c r="H36">
        <v>804</v>
      </c>
      <c r="I36" s="5">
        <f>+G36/H36</f>
        <v>140.91796019900497</v>
      </c>
    </row>
    <row r="37" spans="2:9" x14ac:dyDescent="0.25">
      <c r="D37" s="50"/>
      <c r="E37" s="3"/>
      <c r="F37" s="50"/>
    </row>
    <row r="38" spans="2:9" x14ac:dyDescent="0.25">
      <c r="B38" s="7">
        <v>45191</v>
      </c>
      <c r="C38" t="s">
        <v>13</v>
      </c>
      <c r="D38" s="50">
        <v>22913.05</v>
      </c>
      <c r="E38" s="3" t="s">
        <v>86</v>
      </c>
      <c r="F38" s="50"/>
    </row>
    <row r="39" spans="2:9" x14ac:dyDescent="0.25">
      <c r="D39" s="50"/>
      <c r="E39" s="3"/>
      <c r="F39" s="50"/>
    </row>
    <row r="40" spans="2:9" x14ac:dyDescent="0.25">
      <c r="B40" s="7">
        <v>45191</v>
      </c>
      <c r="C40" t="s">
        <v>3</v>
      </c>
      <c r="D40" s="50">
        <v>15158.11</v>
      </c>
      <c r="E40" s="3" t="s">
        <v>86</v>
      </c>
      <c r="F40" s="50"/>
    </row>
    <row r="41" spans="2:9" x14ac:dyDescent="0.25">
      <c r="B41" s="7"/>
      <c r="D41" s="50"/>
      <c r="E41" s="3"/>
      <c r="F41" s="50"/>
    </row>
    <row r="42" spans="2:9" x14ac:dyDescent="0.25">
      <c r="B42" s="7">
        <v>45216</v>
      </c>
      <c r="C42" t="s">
        <v>181</v>
      </c>
      <c r="D42" s="50">
        <v>41686.01</v>
      </c>
      <c r="E42" s="3" t="s">
        <v>86</v>
      </c>
      <c r="F42" s="50"/>
    </row>
    <row r="43" spans="2:9" x14ac:dyDescent="0.25">
      <c r="D43" s="50"/>
      <c r="E43" s="3"/>
    </row>
    <row r="44" spans="2:9" x14ac:dyDescent="0.25">
      <c r="B44" s="7">
        <v>45230</v>
      </c>
      <c r="C44" t="s">
        <v>12</v>
      </c>
      <c r="D44" s="50">
        <v>60834.61</v>
      </c>
      <c r="E44" s="3" t="s">
        <v>86</v>
      </c>
    </row>
    <row r="45" spans="2:9" x14ac:dyDescent="0.25">
      <c r="D45" s="50"/>
      <c r="E45" s="3"/>
    </row>
    <row r="46" spans="2:9" x14ac:dyDescent="0.25">
      <c r="B46" s="7">
        <v>45237</v>
      </c>
      <c r="C46" t="s">
        <v>14</v>
      </c>
      <c r="D46" s="50">
        <v>57190.18</v>
      </c>
      <c r="E46" s="3" t="s">
        <v>86</v>
      </c>
    </row>
    <row r="47" spans="2:9" x14ac:dyDescent="0.25">
      <c r="B47" s="7"/>
      <c r="C47" t="s">
        <v>18</v>
      </c>
      <c r="D47" s="50">
        <v>942.27</v>
      </c>
      <c r="E47" s="3" t="s">
        <v>86</v>
      </c>
    </row>
    <row r="48" spans="2:9" x14ac:dyDescent="0.25">
      <c r="D48" s="50"/>
      <c r="E48" s="3"/>
    </row>
    <row r="49" spans="2:5" x14ac:dyDescent="0.25">
      <c r="B49" s="7">
        <v>45280</v>
      </c>
      <c r="C49" t="s">
        <v>92</v>
      </c>
      <c r="D49" s="50">
        <v>74499.28</v>
      </c>
      <c r="E49" s="3"/>
    </row>
    <row r="50" spans="2:5" x14ac:dyDescent="0.25">
      <c r="C50" t="s">
        <v>93</v>
      </c>
      <c r="D50" s="50">
        <v>14007.6</v>
      </c>
      <c r="E50" s="3"/>
    </row>
    <row r="51" spans="2:5" x14ac:dyDescent="0.25">
      <c r="C51" t="s">
        <v>94</v>
      </c>
      <c r="D51" s="50">
        <v>23352.6</v>
      </c>
      <c r="E51" s="3"/>
    </row>
    <row r="52" spans="2:5" x14ac:dyDescent="0.25">
      <c r="C52" t="s">
        <v>97</v>
      </c>
      <c r="D52" s="50">
        <v>265914.86</v>
      </c>
      <c r="E52" s="3"/>
    </row>
    <row r="53" spans="2:5" x14ac:dyDescent="0.25">
      <c r="D53" s="50"/>
      <c r="E53" s="3"/>
    </row>
    <row r="54" spans="2:5" x14ac:dyDescent="0.25">
      <c r="B54" t="s">
        <v>182</v>
      </c>
      <c r="D54" s="50">
        <v>34953</v>
      </c>
      <c r="E54" s="3"/>
    </row>
    <row r="55" spans="2:5" x14ac:dyDescent="0.25">
      <c r="D55" s="50"/>
      <c r="E55" s="3"/>
    </row>
    <row r="56" spans="2:5" x14ac:dyDescent="0.25">
      <c r="B56" t="s">
        <v>35</v>
      </c>
      <c r="D56" s="50">
        <f>SUM(D62:D63)</f>
        <v>9869.89</v>
      </c>
      <c r="E56" s="3"/>
    </row>
    <row r="57" spans="2:5" x14ac:dyDescent="0.25">
      <c r="D57" s="50"/>
      <c r="E57" s="3"/>
    </row>
    <row r="58" spans="2:5" x14ac:dyDescent="0.25">
      <c r="D58" s="50"/>
      <c r="E58" s="3"/>
    </row>
    <row r="59" spans="2:5" x14ac:dyDescent="0.25">
      <c r="D59" s="50">
        <f>SUM(D3:D56)</f>
        <v>1214402.6199999999</v>
      </c>
    </row>
    <row r="60" spans="2:5" x14ac:dyDescent="0.25">
      <c r="D60" s="50"/>
    </row>
    <row r="62" spans="2:5" x14ac:dyDescent="0.25">
      <c r="B62" t="s">
        <v>183</v>
      </c>
      <c r="D62">
        <v>2465.89</v>
      </c>
    </row>
    <row r="63" spans="2:5" x14ac:dyDescent="0.25">
      <c r="B63" t="s">
        <v>184</v>
      </c>
      <c r="D63">
        <v>7404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21C0-E49F-439E-BD75-3C16CD7673C3}">
  <sheetPr codeName="Sheet10"/>
  <dimension ref="B2:O104"/>
  <sheetViews>
    <sheetView topLeftCell="A52" workbookViewId="0">
      <selection activeCell="C63" sqref="C63:F77"/>
    </sheetView>
  </sheetViews>
  <sheetFormatPr defaultRowHeight="15" x14ac:dyDescent="0.25"/>
  <cols>
    <col min="2" max="2" width="10.140625" bestFit="1" customWidth="1"/>
    <col min="4" max="4" width="11.140625" style="15" bestFit="1" customWidth="1"/>
    <col min="5" max="5" width="12.85546875" bestFit="1" customWidth="1"/>
    <col min="6" max="6" width="11.140625" bestFit="1" customWidth="1"/>
    <col min="9" max="10" width="9.5703125" bestFit="1" customWidth="1"/>
    <col min="14" max="14" width="13.42578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44578</v>
      </c>
      <c r="C3" t="s">
        <v>2</v>
      </c>
      <c r="D3" s="15">
        <v>11750</v>
      </c>
      <c r="E3" t="s">
        <v>111</v>
      </c>
      <c r="F3" s="15">
        <f t="shared" ref="F3:F7" si="0">+D3/0.75</f>
        <v>15666.666666666666</v>
      </c>
      <c r="G3">
        <f>736/16</f>
        <v>46</v>
      </c>
      <c r="H3" s="15">
        <f t="shared" ref="H3:H7" si="1">+F3/G3</f>
        <v>340.5797101449275</v>
      </c>
    </row>
    <row r="4" spans="2:11" x14ac:dyDescent="0.25">
      <c r="F4" s="15"/>
      <c r="H4" s="15"/>
    </row>
    <row r="5" spans="2:11" x14ac:dyDescent="0.25">
      <c r="B5" s="7">
        <v>44592</v>
      </c>
      <c r="C5" t="s">
        <v>2</v>
      </c>
      <c r="D5" s="15">
        <v>8550</v>
      </c>
      <c r="E5" t="s">
        <v>115</v>
      </c>
      <c r="F5" s="15">
        <f t="shared" si="0"/>
        <v>11400</v>
      </c>
      <c r="G5">
        <f>480/16</f>
        <v>30</v>
      </c>
      <c r="H5" s="15">
        <f t="shared" si="1"/>
        <v>380</v>
      </c>
    </row>
    <row r="6" spans="2:11" x14ac:dyDescent="0.25">
      <c r="C6" t="s">
        <v>89</v>
      </c>
      <c r="D6" s="15">
        <v>29400</v>
      </c>
      <c r="E6" t="s">
        <v>115</v>
      </c>
      <c r="F6" s="15">
        <f t="shared" si="0"/>
        <v>39200</v>
      </c>
      <c r="G6">
        <f>2160/16</f>
        <v>135</v>
      </c>
      <c r="H6" s="15">
        <f t="shared" si="1"/>
        <v>290.37037037037038</v>
      </c>
    </row>
    <row r="7" spans="2:11" x14ac:dyDescent="0.25">
      <c r="C7" t="s">
        <v>14</v>
      </c>
      <c r="D7" s="15">
        <v>66450</v>
      </c>
      <c r="E7" t="s">
        <v>115</v>
      </c>
      <c r="F7" s="15">
        <f t="shared" si="0"/>
        <v>88600</v>
      </c>
      <c r="G7">
        <f>(1600+4400)/16</f>
        <v>375</v>
      </c>
      <c r="H7" s="15">
        <f t="shared" si="1"/>
        <v>236.26666666666668</v>
      </c>
    </row>
    <row r="8" spans="2:11" x14ac:dyDescent="0.25">
      <c r="D8" s="15">
        <f>SUM(D5:D7)</f>
        <v>104400</v>
      </c>
      <c r="F8" s="15"/>
      <c r="H8" s="15"/>
    </row>
    <row r="9" spans="2:11" x14ac:dyDescent="0.25">
      <c r="B9" s="7"/>
      <c r="F9" s="15"/>
      <c r="H9" s="15"/>
      <c r="J9" s="15"/>
      <c r="K9" s="15"/>
    </row>
    <row r="10" spans="2:11" x14ac:dyDescent="0.25">
      <c r="B10" s="7">
        <v>44622</v>
      </c>
      <c r="C10" t="s">
        <v>11</v>
      </c>
      <c r="D10" s="15">
        <v>30150</v>
      </c>
      <c r="E10" t="s">
        <v>122</v>
      </c>
      <c r="F10" s="15">
        <f t="shared" ref="F10" si="2">+D10/0.75</f>
        <v>40200</v>
      </c>
      <c r="G10">
        <f>3184/16</f>
        <v>199</v>
      </c>
      <c r="H10" s="15">
        <f t="shared" ref="H10" si="3">+F10/G10</f>
        <v>202.01005025125627</v>
      </c>
    </row>
    <row r="11" spans="2:11" x14ac:dyDescent="0.25">
      <c r="B11" s="7"/>
      <c r="C11" t="s">
        <v>15</v>
      </c>
      <c r="D11" s="15">
        <v>1950</v>
      </c>
      <c r="E11" t="s">
        <v>122</v>
      </c>
      <c r="F11" s="15">
        <f t="shared" ref="F11" si="4">+D11/0.75</f>
        <v>2600</v>
      </c>
      <c r="G11">
        <f>352/16</f>
        <v>22</v>
      </c>
      <c r="H11" s="15">
        <f t="shared" ref="H11" si="5">+F11/G11</f>
        <v>118.18181818181819</v>
      </c>
    </row>
    <row r="12" spans="2:11" x14ac:dyDescent="0.25">
      <c r="D12" s="15">
        <f>SUM(D10:D11)</f>
        <v>32100</v>
      </c>
      <c r="F12" s="15"/>
      <c r="H12" s="15"/>
    </row>
    <row r="13" spans="2:11" x14ac:dyDescent="0.25">
      <c r="F13" s="15"/>
      <c r="H13" s="15"/>
    </row>
    <row r="14" spans="2:11" x14ac:dyDescent="0.25">
      <c r="B14" s="7">
        <v>44656</v>
      </c>
      <c r="C14" t="s">
        <v>13</v>
      </c>
      <c r="D14" s="15">
        <v>35850</v>
      </c>
      <c r="E14" t="s">
        <v>170</v>
      </c>
      <c r="F14" s="15">
        <f t="shared" ref="F14:F15" si="6">+D14/0.75</f>
        <v>47800</v>
      </c>
      <c r="G14">
        <f>2144/16</f>
        <v>134</v>
      </c>
      <c r="H14" s="15">
        <f t="shared" ref="H14:H15" si="7">+F14/G14</f>
        <v>356.71641791044777</v>
      </c>
    </row>
    <row r="15" spans="2:11" x14ac:dyDescent="0.25">
      <c r="C15" t="s">
        <v>88</v>
      </c>
      <c r="D15" s="15">
        <v>26350</v>
      </c>
      <c r="E15" t="s">
        <v>170</v>
      </c>
      <c r="F15" s="15">
        <f t="shared" si="6"/>
        <v>35133.333333333336</v>
      </c>
      <c r="G15">
        <f>1568/16</f>
        <v>98</v>
      </c>
      <c r="H15" s="15">
        <f t="shared" si="7"/>
        <v>358.50340136054422</v>
      </c>
    </row>
    <row r="16" spans="2:11" x14ac:dyDescent="0.25">
      <c r="D16" s="15">
        <f>SUM(D14:D15)</f>
        <v>62200</v>
      </c>
      <c r="F16" s="15"/>
    </row>
    <row r="17" spans="2:15" x14ac:dyDescent="0.25">
      <c r="B17" s="7"/>
      <c r="F17" s="15"/>
      <c r="H17" s="15"/>
    </row>
    <row r="18" spans="2:15" x14ac:dyDescent="0.25">
      <c r="B18" s="7">
        <v>44684</v>
      </c>
      <c r="C18" t="s">
        <v>11</v>
      </c>
      <c r="D18" s="15">
        <v>41000</v>
      </c>
      <c r="E18" t="s">
        <v>124</v>
      </c>
      <c r="F18" s="15">
        <f t="shared" ref="F18" si="8">+D18/0.75</f>
        <v>54666.666666666664</v>
      </c>
      <c r="G18">
        <f>+(2464+1856)/16</f>
        <v>270</v>
      </c>
      <c r="H18" s="15">
        <f t="shared" ref="H18" si="9">+F18/G18</f>
        <v>202.46913580246914</v>
      </c>
    </row>
    <row r="19" spans="2:15" x14ac:dyDescent="0.25">
      <c r="F19" s="15"/>
    </row>
    <row r="20" spans="2:15" x14ac:dyDescent="0.25">
      <c r="B20" s="7">
        <v>44712</v>
      </c>
      <c r="C20" t="s">
        <v>10</v>
      </c>
      <c r="D20" s="15">
        <v>62550</v>
      </c>
      <c r="E20" t="s">
        <v>127</v>
      </c>
      <c r="F20" s="15">
        <f t="shared" ref="F20" si="10">+D20/0.75</f>
        <v>83400</v>
      </c>
      <c r="G20">
        <f>5600/16</f>
        <v>350</v>
      </c>
      <c r="H20" s="15">
        <f t="shared" ref="H20" si="11">+F20/G20</f>
        <v>238.28571428571428</v>
      </c>
    </row>
    <row r="21" spans="2:15" x14ac:dyDescent="0.25">
      <c r="F21" s="15"/>
    </row>
    <row r="22" spans="2:15" x14ac:dyDescent="0.25">
      <c r="B22" s="7">
        <v>44697</v>
      </c>
      <c r="C22" t="s">
        <v>2</v>
      </c>
      <c r="D22" s="15">
        <v>4912.1499999999996</v>
      </c>
      <c r="E22" t="s">
        <v>86</v>
      </c>
      <c r="F22" s="15"/>
    </row>
    <row r="23" spans="2:15" x14ac:dyDescent="0.25">
      <c r="B23" s="7"/>
      <c r="C23" t="s">
        <v>89</v>
      </c>
      <c r="D23" s="15">
        <v>7572.25</v>
      </c>
      <c r="E23" t="s">
        <v>86</v>
      </c>
      <c r="F23" s="15"/>
    </row>
    <row r="24" spans="2:15" x14ac:dyDescent="0.25">
      <c r="F24" s="15"/>
    </row>
    <row r="25" spans="2:15" x14ac:dyDescent="0.25">
      <c r="B25" s="7">
        <v>44739</v>
      </c>
      <c r="C25" t="s">
        <v>12</v>
      </c>
      <c r="D25" s="15">
        <v>37000</v>
      </c>
      <c r="E25" t="s">
        <v>131</v>
      </c>
      <c r="F25" s="15">
        <f t="shared" ref="F25:F27" si="12">+D25/0.75</f>
        <v>49333.333333333336</v>
      </c>
      <c r="G25">
        <f>4928/16</f>
        <v>308</v>
      </c>
      <c r="H25" s="15">
        <f t="shared" ref="H25:H27" si="13">+F25/G25</f>
        <v>160.17316017316017</v>
      </c>
    </row>
    <row r="26" spans="2:15" x14ac:dyDescent="0.25">
      <c r="C26" t="s">
        <v>14</v>
      </c>
      <c r="D26" s="15">
        <v>20900</v>
      </c>
      <c r="E26" t="s">
        <v>131</v>
      </c>
      <c r="F26" s="15">
        <f>+D26/0.6</f>
        <v>34833.333333333336</v>
      </c>
      <c r="G26">
        <f>4800/16</f>
        <v>300</v>
      </c>
      <c r="H26" s="15">
        <f t="shared" si="13"/>
        <v>116.11111111111111</v>
      </c>
      <c r="J26" t="s">
        <v>185</v>
      </c>
    </row>
    <row r="27" spans="2:15" x14ac:dyDescent="0.25">
      <c r="C27" t="s">
        <v>10</v>
      </c>
      <c r="D27" s="15">
        <v>26400</v>
      </c>
      <c r="E27" t="s">
        <v>131</v>
      </c>
      <c r="F27" s="15">
        <f t="shared" si="12"/>
        <v>35200</v>
      </c>
      <c r="G27">
        <f>(1408+800)/16</f>
        <v>138</v>
      </c>
      <c r="H27" s="15">
        <f t="shared" si="13"/>
        <v>255.07246376811594</v>
      </c>
    </row>
    <row r="28" spans="2:15" x14ac:dyDescent="0.25">
      <c r="F28" s="15"/>
    </row>
    <row r="29" spans="2:15" x14ac:dyDescent="0.25">
      <c r="B29" s="7">
        <v>44748</v>
      </c>
      <c r="C29" t="s">
        <v>5</v>
      </c>
      <c r="D29" s="15">
        <v>62950.81</v>
      </c>
      <c r="E29" t="s">
        <v>86</v>
      </c>
      <c r="F29" s="15"/>
    </row>
    <row r="30" spans="2:15" x14ac:dyDescent="0.25">
      <c r="F30" s="15"/>
      <c r="O30" s="15"/>
    </row>
    <row r="31" spans="2:15" x14ac:dyDescent="0.25">
      <c r="B31" s="7">
        <v>44769</v>
      </c>
      <c r="C31" t="s">
        <v>11</v>
      </c>
      <c r="D31" s="15">
        <v>39424.300000000003</v>
      </c>
      <c r="E31" t="s">
        <v>86</v>
      </c>
      <c r="F31" s="15"/>
    </row>
    <row r="32" spans="2:15" x14ac:dyDescent="0.25">
      <c r="F32" s="15"/>
    </row>
    <row r="33" spans="2:10" x14ac:dyDescent="0.25">
      <c r="B33" s="7">
        <v>44767</v>
      </c>
      <c r="C33" t="s">
        <v>14</v>
      </c>
      <c r="D33" s="15">
        <v>11850</v>
      </c>
      <c r="E33" t="s">
        <v>139</v>
      </c>
      <c r="F33" s="15">
        <f>+D33/0.6</f>
        <v>19750</v>
      </c>
      <c r="G33">
        <f>(280+2400)/16</f>
        <v>167.5</v>
      </c>
      <c r="H33">
        <f>+F33/G33</f>
        <v>117.91044776119404</v>
      </c>
      <c r="J33" t="s">
        <v>185</v>
      </c>
    </row>
    <row r="34" spans="2:10" x14ac:dyDescent="0.25">
      <c r="F34" s="15"/>
    </row>
    <row r="35" spans="2:10" x14ac:dyDescent="0.25">
      <c r="C35" t="s">
        <v>92</v>
      </c>
      <c r="D35" s="15">
        <v>8801.08</v>
      </c>
      <c r="F35" s="47" t="s">
        <v>186</v>
      </c>
    </row>
    <row r="36" spans="2:10" x14ac:dyDescent="0.25">
      <c r="C36" t="s">
        <v>93</v>
      </c>
      <c r="D36" s="15">
        <v>10518.39</v>
      </c>
      <c r="F36" s="15"/>
    </row>
    <row r="37" spans="2:10" x14ac:dyDescent="0.25">
      <c r="C37" t="s">
        <v>94</v>
      </c>
      <c r="D37" s="15">
        <v>16888.830000000002</v>
      </c>
      <c r="F37" s="15"/>
      <c r="I37" s="15"/>
    </row>
    <row r="38" spans="2:10" x14ac:dyDescent="0.25">
      <c r="C38" t="s">
        <v>97</v>
      </c>
      <c r="D38" s="15">
        <v>56301.79</v>
      </c>
      <c r="F38" s="15"/>
    </row>
    <row r="39" spans="2:10" x14ac:dyDescent="0.25">
      <c r="F39" s="15"/>
    </row>
    <row r="40" spans="2:10" x14ac:dyDescent="0.25">
      <c r="B40" s="7">
        <v>44791</v>
      </c>
      <c r="C40" t="s">
        <v>15</v>
      </c>
      <c r="D40" s="15">
        <v>1318.45</v>
      </c>
      <c r="E40" t="s">
        <v>86</v>
      </c>
      <c r="F40" s="15"/>
    </row>
    <row r="41" spans="2:10" x14ac:dyDescent="0.25">
      <c r="F41" s="15"/>
    </row>
    <row r="42" spans="2:10" x14ac:dyDescent="0.25">
      <c r="B42" s="7">
        <v>44798</v>
      </c>
      <c r="C42" t="s">
        <v>13</v>
      </c>
      <c r="D42" s="15">
        <v>18127.95</v>
      </c>
      <c r="E42" t="s">
        <v>86</v>
      </c>
      <c r="F42" s="15"/>
    </row>
    <row r="43" spans="2:10" x14ac:dyDescent="0.25">
      <c r="C43" t="s">
        <v>88</v>
      </c>
      <c r="D43" s="15">
        <v>13314.52</v>
      </c>
      <c r="E43" t="s">
        <v>86</v>
      </c>
      <c r="F43" s="15"/>
    </row>
    <row r="44" spans="2:10" x14ac:dyDescent="0.25">
      <c r="F44" s="15"/>
      <c r="I44" s="15"/>
    </row>
    <row r="45" spans="2:10" x14ac:dyDescent="0.25">
      <c r="B45" s="7">
        <v>44844</v>
      </c>
      <c r="C45" t="s">
        <v>10</v>
      </c>
      <c r="D45" s="15">
        <v>12757.58</v>
      </c>
      <c r="E45" t="s">
        <v>187</v>
      </c>
      <c r="F45" s="15"/>
    </row>
    <row r="46" spans="2:10" x14ac:dyDescent="0.25">
      <c r="F46" s="15"/>
    </row>
    <row r="47" spans="2:10" x14ac:dyDescent="0.25">
      <c r="B47" s="7">
        <v>44847</v>
      </c>
      <c r="C47" t="s">
        <v>10</v>
      </c>
      <c r="D47" s="15">
        <v>60605.279999999999</v>
      </c>
      <c r="E47" t="s">
        <v>188</v>
      </c>
      <c r="F47" s="15"/>
    </row>
    <row r="48" spans="2:10" x14ac:dyDescent="0.25">
      <c r="C48" t="s">
        <v>12</v>
      </c>
      <c r="D48" s="15">
        <v>51313.79</v>
      </c>
      <c r="E48" t="s">
        <v>189</v>
      </c>
      <c r="F48" s="15"/>
    </row>
    <row r="49" spans="2:8" x14ac:dyDescent="0.25">
      <c r="F49" s="15"/>
    </row>
    <row r="50" spans="2:8" x14ac:dyDescent="0.25">
      <c r="B50" s="7">
        <v>44904</v>
      </c>
      <c r="C50" t="s">
        <v>14</v>
      </c>
      <c r="D50" s="15">
        <v>60255.040000000001</v>
      </c>
      <c r="E50" t="s">
        <v>190</v>
      </c>
      <c r="F50" s="15"/>
    </row>
    <row r="51" spans="2:8" x14ac:dyDescent="0.25">
      <c r="F51" s="15"/>
    </row>
    <row r="52" spans="2:8" x14ac:dyDescent="0.25">
      <c r="C52" t="s">
        <v>92</v>
      </c>
      <c r="D52" s="15">
        <v>59780.69</v>
      </c>
      <c r="E52" t="s">
        <v>86</v>
      </c>
      <c r="F52" s="15"/>
    </row>
    <row r="53" spans="2:8" x14ac:dyDescent="0.25">
      <c r="C53" t="s">
        <v>93</v>
      </c>
      <c r="D53" s="15">
        <v>15383.05</v>
      </c>
      <c r="E53" t="s">
        <v>86</v>
      </c>
      <c r="F53" s="15"/>
    </row>
    <row r="54" spans="2:8" x14ac:dyDescent="0.25">
      <c r="C54" t="s">
        <v>94</v>
      </c>
      <c r="D54" s="15">
        <v>24779.96</v>
      </c>
      <c r="E54" t="s">
        <v>86</v>
      </c>
      <c r="F54" s="15"/>
    </row>
    <row r="55" spans="2:8" x14ac:dyDescent="0.25">
      <c r="C55" t="s">
        <v>97</v>
      </c>
      <c r="D55" s="15">
        <v>87178.74</v>
      </c>
      <c r="E55" t="s">
        <v>86</v>
      </c>
      <c r="F55" s="15"/>
    </row>
    <row r="56" spans="2:8" x14ac:dyDescent="0.25">
      <c r="F56" s="15"/>
    </row>
    <row r="57" spans="2:8" x14ac:dyDescent="0.25">
      <c r="D57" s="15">
        <f>SUM(D3,D8,D12,D16,D18,D20,D22:D23,D25:D27,D29,D31,D33,D35:D38,D45,D47:D48,D50,D52:D55,D42:D43,D40)</f>
        <v>1022334.6499999999</v>
      </c>
      <c r="F57" s="15"/>
    </row>
    <row r="58" spans="2:8" x14ac:dyDescent="0.25">
      <c r="F58" s="15"/>
    </row>
    <row r="59" spans="2:8" x14ac:dyDescent="0.25">
      <c r="F59" s="15"/>
    </row>
    <row r="60" spans="2:8" x14ac:dyDescent="0.25">
      <c r="B60" s="7"/>
      <c r="D60"/>
      <c r="F60" s="15"/>
      <c r="H60" s="15"/>
    </row>
    <row r="61" spans="2:8" x14ac:dyDescent="0.25">
      <c r="D61"/>
      <c r="F61" s="15"/>
    </row>
    <row r="62" spans="2:8" x14ac:dyDescent="0.25">
      <c r="B62" s="7"/>
      <c r="D62"/>
      <c r="F62" s="15"/>
      <c r="G62" s="9"/>
      <c r="H62" s="15"/>
    </row>
    <row r="63" spans="2:8" x14ac:dyDescent="0.25">
      <c r="C63" t="s">
        <v>2</v>
      </c>
      <c r="D63"/>
      <c r="F63" s="15">
        <f>SUMIFS($D$3:$D$55,$C$3:$C$55,C63)</f>
        <v>25212.15</v>
      </c>
      <c r="G63" s="15"/>
      <c r="H63" s="15"/>
    </row>
    <row r="64" spans="2:8" x14ac:dyDescent="0.25">
      <c r="C64" t="s">
        <v>88</v>
      </c>
      <c r="F64" s="15">
        <f t="shared" ref="F64:F76" si="14">SUMIFS($D$3:$D$55,$C$3:$C$55,C64)</f>
        <v>39664.520000000004</v>
      </c>
      <c r="G64" s="15"/>
      <c r="H64" s="15"/>
    </row>
    <row r="65" spans="2:14" x14ac:dyDescent="0.25">
      <c r="C65" t="s">
        <v>89</v>
      </c>
      <c r="F65" s="15">
        <f t="shared" si="14"/>
        <v>36972.25</v>
      </c>
      <c r="G65" s="15"/>
      <c r="H65" s="15"/>
    </row>
    <row r="66" spans="2:14" x14ac:dyDescent="0.25">
      <c r="C66" t="s">
        <v>5</v>
      </c>
      <c r="F66" s="15">
        <f t="shared" si="14"/>
        <v>62950.81</v>
      </c>
      <c r="G66" s="15"/>
      <c r="H66" s="15"/>
    </row>
    <row r="67" spans="2:14" x14ac:dyDescent="0.25">
      <c r="C67" t="s">
        <v>92</v>
      </c>
      <c r="F67" s="15">
        <f t="shared" si="14"/>
        <v>68581.77</v>
      </c>
      <c r="G67" s="15"/>
      <c r="H67" s="15"/>
    </row>
    <row r="68" spans="2:14" x14ac:dyDescent="0.25">
      <c r="C68" t="s">
        <v>93</v>
      </c>
      <c r="F68" s="15">
        <f t="shared" si="14"/>
        <v>25901.439999999999</v>
      </c>
      <c r="G68" s="15"/>
      <c r="H68" s="15"/>
    </row>
    <row r="69" spans="2:14" x14ac:dyDescent="0.25">
      <c r="C69" t="s">
        <v>94</v>
      </c>
      <c r="F69" s="15">
        <f t="shared" si="14"/>
        <v>41668.79</v>
      </c>
      <c r="G69" s="15"/>
      <c r="H69" s="15"/>
    </row>
    <row r="70" spans="2:14" x14ac:dyDescent="0.25">
      <c r="C70" t="s">
        <v>97</v>
      </c>
      <c r="F70" s="15">
        <f t="shared" si="14"/>
        <v>143480.53</v>
      </c>
      <c r="G70" s="15"/>
      <c r="H70" s="15"/>
    </row>
    <row r="71" spans="2:14" x14ac:dyDescent="0.25">
      <c r="C71" t="s">
        <v>10</v>
      </c>
      <c r="F71" s="15">
        <f t="shared" si="14"/>
        <v>162312.85999999999</v>
      </c>
      <c r="G71" s="15"/>
      <c r="H71" s="15"/>
    </row>
    <row r="72" spans="2:14" x14ac:dyDescent="0.25">
      <c r="B72" s="7"/>
      <c r="C72" t="s">
        <v>11</v>
      </c>
      <c r="F72" s="15">
        <f t="shared" si="14"/>
        <v>110574.3</v>
      </c>
      <c r="G72" s="15"/>
      <c r="H72" s="15"/>
    </row>
    <row r="73" spans="2:14" x14ac:dyDescent="0.25">
      <c r="B73" s="7"/>
      <c r="C73" t="s">
        <v>12</v>
      </c>
      <c r="F73" s="15">
        <f t="shared" si="14"/>
        <v>88313.790000000008</v>
      </c>
      <c r="G73" s="15"/>
      <c r="H73" s="15"/>
    </row>
    <row r="74" spans="2:14" x14ac:dyDescent="0.25">
      <c r="B74" s="7"/>
      <c r="C74" t="s">
        <v>13</v>
      </c>
      <c r="F74" s="15">
        <f t="shared" si="14"/>
        <v>53977.95</v>
      </c>
      <c r="G74" s="15"/>
      <c r="H74" s="15"/>
    </row>
    <row r="75" spans="2:14" x14ac:dyDescent="0.25">
      <c r="B75" s="7"/>
      <c r="C75" t="s">
        <v>14</v>
      </c>
      <c r="F75" s="15">
        <f t="shared" si="14"/>
        <v>159455.04000000001</v>
      </c>
      <c r="G75" s="15"/>
      <c r="H75" s="15"/>
    </row>
    <row r="76" spans="2:14" x14ac:dyDescent="0.25">
      <c r="B76" s="7"/>
      <c r="C76" t="s">
        <v>15</v>
      </c>
      <c r="F76" s="15">
        <f t="shared" si="14"/>
        <v>3268.45</v>
      </c>
      <c r="G76" s="15"/>
      <c r="H76" s="15"/>
      <c r="N76" s="48"/>
    </row>
    <row r="77" spans="2:14" x14ac:dyDescent="0.25">
      <c r="F77" s="15">
        <f>SUM(F63:F76)</f>
        <v>1022334.65</v>
      </c>
      <c r="N77" s="49"/>
    </row>
    <row r="78" spans="2:14" x14ac:dyDescent="0.25">
      <c r="B78" s="7"/>
      <c r="F78" s="15"/>
    </row>
    <row r="79" spans="2:14" x14ac:dyDescent="0.25">
      <c r="F79" s="15"/>
      <c r="N79" s="49"/>
    </row>
    <row r="80" spans="2:14" x14ac:dyDescent="0.25">
      <c r="B80" s="7"/>
      <c r="F80" s="15"/>
    </row>
    <row r="81" spans="2:14" x14ac:dyDescent="0.25">
      <c r="F81" s="15"/>
      <c r="N81" s="49"/>
    </row>
    <row r="82" spans="2:14" x14ac:dyDescent="0.25">
      <c r="F82" s="15"/>
    </row>
    <row r="83" spans="2:14" x14ac:dyDescent="0.25">
      <c r="F83" s="15"/>
    </row>
    <row r="84" spans="2:14" x14ac:dyDescent="0.25">
      <c r="B84" s="7"/>
      <c r="F84" s="15"/>
    </row>
    <row r="85" spans="2:14" x14ac:dyDescent="0.25">
      <c r="F85" s="15"/>
    </row>
    <row r="86" spans="2:14" x14ac:dyDescent="0.25">
      <c r="F86" s="15"/>
    </row>
    <row r="87" spans="2:14" x14ac:dyDescent="0.25">
      <c r="B87" s="7"/>
      <c r="F87" s="15"/>
    </row>
    <row r="88" spans="2:14" x14ac:dyDescent="0.25">
      <c r="F88" s="15"/>
    </row>
    <row r="89" spans="2:14" x14ac:dyDescent="0.25">
      <c r="F89" s="15"/>
    </row>
    <row r="90" spans="2:14" x14ac:dyDescent="0.25">
      <c r="F90" s="15"/>
    </row>
    <row r="91" spans="2:14" x14ac:dyDescent="0.25">
      <c r="B91" s="7"/>
      <c r="F91" s="15"/>
    </row>
    <row r="92" spans="2:14" x14ac:dyDescent="0.25">
      <c r="F92" s="15"/>
    </row>
    <row r="93" spans="2:14" x14ac:dyDescent="0.25">
      <c r="F93" s="15"/>
    </row>
    <row r="94" spans="2:14" x14ac:dyDescent="0.25">
      <c r="F94" s="15"/>
    </row>
    <row r="95" spans="2:14" x14ac:dyDescent="0.25">
      <c r="F95" s="15"/>
    </row>
    <row r="96" spans="2:14" x14ac:dyDescent="0.25">
      <c r="F96" s="15"/>
    </row>
    <row r="97" spans="2:8" x14ac:dyDescent="0.25">
      <c r="F97" s="15"/>
    </row>
    <row r="100" spans="2:8" x14ac:dyDescent="0.25">
      <c r="B100" t="s">
        <v>30</v>
      </c>
      <c r="D100" s="15">
        <f>SUM(D3,D5,D13,D80)</f>
        <v>20300</v>
      </c>
      <c r="E100">
        <f>Revenue!T114</f>
        <v>257813.86</v>
      </c>
      <c r="F100" s="15">
        <f>+D100-E100</f>
        <v>-237513.86</v>
      </c>
      <c r="H100">
        <f>+D100/Revenue!T109</f>
        <v>21.278825995807129</v>
      </c>
    </row>
    <row r="101" spans="2:8" x14ac:dyDescent="0.25">
      <c r="B101" t="s">
        <v>191</v>
      </c>
      <c r="D101" s="15">
        <f>SUM(D9,D14,D17,D60,D81)</f>
        <v>35850</v>
      </c>
      <c r="E101" s="15"/>
    </row>
    <row r="102" spans="2:8" x14ac:dyDescent="0.25">
      <c r="D102" s="15">
        <f>D101/Revenue!Q109</f>
        <v>58.578431372549019</v>
      </c>
      <c r="E102">
        <f>+D102*Revenue!$Q$109</f>
        <v>35850</v>
      </c>
    </row>
    <row r="103" spans="2:8" x14ac:dyDescent="0.25">
      <c r="D103" s="15">
        <v>182.52</v>
      </c>
      <c r="E103">
        <f>+D103*Revenue!$Q$109</f>
        <v>111702.24</v>
      </c>
    </row>
    <row r="104" spans="2:8" x14ac:dyDescent="0.25">
      <c r="E104">
        <f>+E103-E102</f>
        <v>75852.240000000005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A12D-05DC-4A55-B1E2-8C6C6FC1B64F}">
  <sheetPr codeName="Sheet11"/>
  <dimension ref="B2:K63"/>
  <sheetViews>
    <sheetView workbookViewId="0">
      <selection activeCell="M31" sqref="M31:N33"/>
    </sheetView>
  </sheetViews>
  <sheetFormatPr defaultRowHeight="15" x14ac:dyDescent="0.25"/>
  <cols>
    <col min="2" max="2" width="10.140625" bestFit="1" customWidth="1"/>
    <col min="4" max="4" width="9.7109375" style="15" bestFit="1" customWidth="1"/>
    <col min="5" max="5" width="28.140625" bestFit="1" customWidth="1"/>
    <col min="6" max="6" width="9.5703125" bestFit="1" customWidth="1"/>
    <col min="10" max="10" width="9.5703125" bestFit="1" customWidth="1"/>
  </cols>
  <sheetData>
    <row r="2" spans="2:11" x14ac:dyDescent="0.25">
      <c r="F2" s="2" t="s">
        <v>34</v>
      </c>
      <c r="G2" s="2" t="s">
        <v>74</v>
      </c>
      <c r="H2" s="2" t="s">
        <v>75</v>
      </c>
    </row>
    <row r="3" spans="2:11" x14ac:dyDescent="0.25">
      <c r="B3" s="7">
        <v>44223</v>
      </c>
      <c r="C3" t="s">
        <v>14</v>
      </c>
      <c r="D3" s="15">
        <v>52700</v>
      </c>
      <c r="E3" t="s">
        <v>192</v>
      </c>
      <c r="F3" s="15">
        <f t="shared" ref="F3" si="0">+D3/0.75</f>
        <v>70266.666666666672</v>
      </c>
      <c r="G3">
        <v>302</v>
      </c>
      <c r="H3" s="15">
        <f t="shared" ref="H3" si="1">+F3/G3</f>
        <v>232.67108167770422</v>
      </c>
    </row>
    <row r="4" spans="2:11" x14ac:dyDescent="0.25">
      <c r="C4" t="s">
        <v>4</v>
      </c>
      <c r="D4" s="15">
        <v>15750</v>
      </c>
      <c r="E4" t="s">
        <v>193</v>
      </c>
      <c r="F4" s="15">
        <f t="shared" ref="F4" si="2">+D4/0.75</f>
        <v>21000</v>
      </c>
      <c r="G4">
        <v>164</v>
      </c>
      <c r="H4" s="15">
        <f t="shared" ref="H4" si="3">+F4/G4</f>
        <v>128.04878048780489</v>
      </c>
    </row>
    <row r="5" spans="2:11" x14ac:dyDescent="0.25">
      <c r="D5" s="15">
        <f>SUM(D3:D4)</f>
        <v>68450</v>
      </c>
      <c r="F5" s="15"/>
      <c r="H5" s="15"/>
    </row>
    <row r="6" spans="2:11" x14ac:dyDescent="0.25">
      <c r="F6" s="15"/>
      <c r="H6" s="15"/>
    </row>
    <row r="7" spans="2:11" x14ac:dyDescent="0.25">
      <c r="B7" s="7">
        <v>44253</v>
      </c>
      <c r="C7" t="s">
        <v>14</v>
      </c>
      <c r="D7" s="15">
        <v>59750</v>
      </c>
      <c r="E7" t="s">
        <v>194</v>
      </c>
      <c r="F7" s="15">
        <f t="shared" ref="F7:F8" si="4">+D7/0.75</f>
        <v>79666.666666666672</v>
      </c>
      <c r="G7">
        <v>339</v>
      </c>
      <c r="H7" s="15">
        <f t="shared" ref="H7:H8" si="5">+F7/G7</f>
        <v>235.00491642084563</v>
      </c>
    </row>
    <row r="8" spans="2:11" x14ac:dyDescent="0.25">
      <c r="C8" t="s">
        <v>4</v>
      </c>
      <c r="D8" s="15">
        <v>3150</v>
      </c>
      <c r="E8" t="s">
        <v>194</v>
      </c>
      <c r="F8" s="15">
        <f t="shared" si="4"/>
        <v>4200</v>
      </c>
      <c r="G8">
        <v>48</v>
      </c>
      <c r="H8" s="15">
        <f t="shared" si="5"/>
        <v>87.5</v>
      </c>
    </row>
    <row r="9" spans="2:11" x14ac:dyDescent="0.25">
      <c r="D9" s="15">
        <f>SUM(D7:D8)</f>
        <v>62900</v>
      </c>
      <c r="F9" s="15"/>
      <c r="H9" s="15"/>
    </row>
    <row r="10" spans="2:11" x14ac:dyDescent="0.25">
      <c r="F10" s="15"/>
      <c r="H10" s="15"/>
    </row>
    <row r="11" spans="2:11" x14ac:dyDescent="0.25">
      <c r="B11" s="7">
        <v>44284</v>
      </c>
      <c r="C11" t="s">
        <v>11</v>
      </c>
      <c r="D11" s="15">
        <v>21950</v>
      </c>
      <c r="E11" t="s">
        <v>195</v>
      </c>
      <c r="F11" s="15">
        <f t="shared" ref="F11:F16" si="6">+D11/0.75</f>
        <v>29266.666666666668</v>
      </c>
      <c r="G11">
        <v>100</v>
      </c>
      <c r="H11" s="15">
        <f t="shared" ref="H11:H16" si="7">+F11/G11</f>
        <v>292.66666666666669</v>
      </c>
      <c r="J11" s="15"/>
      <c r="K11" s="15"/>
    </row>
    <row r="12" spans="2:11" x14ac:dyDescent="0.25">
      <c r="F12" s="15"/>
    </row>
    <row r="13" spans="2:11" x14ac:dyDescent="0.25">
      <c r="B13" s="7">
        <v>44305</v>
      </c>
      <c r="C13" t="s">
        <v>13</v>
      </c>
      <c r="D13" s="15">
        <v>6800</v>
      </c>
      <c r="E13" t="s">
        <v>196</v>
      </c>
      <c r="F13" s="15">
        <f t="shared" si="6"/>
        <v>9066.6666666666661</v>
      </c>
      <c r="G13">
        <f>624/16</f>
        <v>39</v>
      </c>
      <c r="H13" s="15">
        <f t="shared" si="7"/>
        <v>232.47863247863248</v>
      </c>
    </row>
    <row r="14" spans="2:11" x14ac:dyDescent="0.25">
      <c r="C14" t="s">
        <v>88</v>
      </c>
      <c r="D14" s="15">
        <v>8650</v>
      </c>
      <c r="E14" t="s">
        <v>196</v>
      </c>
      <c r="F14" s="15">
        <f t="shared" si="6"/>
        <v>11533.333333333334</v>
      </c>
      <c r="G14">
        <f>796/16</f>
        <v>49.75</v>
      </c>
      <c r="H14" s="15">
        <f t="shared" si="7"/>
        <v>231.82579564489114</v>
      </c>
    </row>
    <row r="15" spans="2:11" x14ac:dyDescent="0.25">
      <c r="C15" t="s">
        <v>14</v>
      </c>
      <c r="D15" s="15">
        <v>40000</v>
      </c>
      <c r="E15" t="s">
        <v>196</v>
      </c>
      <c r="F15" s="15">
        <f t="shared" si="6"/>
        <v>53333.333333333336</v>
      </c>
      <c r="G15">
        <f>(432+2400+592+1600)/16</f>
        <v>314</v>
      </c>
      <c r="H15" s="15">
        <f t="shared" si="7"/>
        <v>169.85138004246286</v>
      </c>
    </row>
    <row r="16" spans="2:11" x14ac:dyDescent="0.25">
      <c r="C16" t="s">
        <v>11</v>
      </c>
      <c r="D16" s="15">
        <v>17950</v>
      </c>
      <c r="E16" t="s">
        <v>196</v>
      </c>
      <c r="F16" s="15">
        <f t="shared" si="6"/>
        <v>23933.333333333332</v>
      </c>
      <c r="G16">
        <v>100</v>
      </c>
      <c r="H16" s="15">
        <f t="shared" si="7"/>
        <v>239.33333333333331</v>
      </c>
    </row>
    <row r="17" spans="2:8" x14ac:dyDescent="0.25">
      <c r="D17" s="15">
        <f>SUM(D13:D16)</f>
        <v>73400</v>
      </c>
      <c r="F17" s="15"/>
    </row>
    <row r="18" spans="2:8" x14ac:dyDescent="0.25">
      <c r="F18" s="15"/>
    </row>
    <row r="19" spans="2:8" x14ac:dyDescent="0.25">
      <c r="B19" s="7">
        <v>44341</v>
      </c>
      <c r="C19" t="s">
        <v>11</v>
      </c>
      <c r="D19" s="15">
        <v>21700</v>
      </c>
      <c r="E19" t="s">
        <v>197</v>
      </c>
      <c r="F19" s="15">
        <f t="shared" ref="F19" si="8">+D19/0.75</f>
        <v>28933.333333333332</v>
      </c>
      <c r="G19">
        <f>+(1600+1600+800)/16</f>
        <v>250</v>
      </c>
      <c r="H19" s="15">
        <f t="shared" ref="H19" si="9">+F19/G19</f>
        <v>115.73333333333333</v>
      </c>
    </row>
    <row r="20" spans="2:8" x14ac:dyDescent="0.25">
      <c r="F20" s="15"/>
    </row>
    <row r="21" spans="2:8" x14ac:dyDescent="0.25">
      <c r="C21" t="s">
        <v>4</v>
      </c>
      <c r="D21" s="15">
        <v>33482.29</v>
      </c>
      <c r="E21" t="s">
        <v>198</v>
      </c>
      <c r="F21" s="15"/>
    </row>
    <row r="22" spans="2:8" x14ac:dyDescent="0.25">
      <c r="F22" s="15"/>
    </row>
    <row r="23" spans="2:8" x14ac:dyDescent="0.25">
      <c r="C23" t="s">
        <v>5</v>
      </c>
      <c r="D23" s="15">
        <v>6240</v>
      </c>
      <c r="E23" t="s">
        <v>31</v>
      </c>
      <c r="F23" s="15"/>
      <c r="G23">
        <v>104</v>
      </c>
    </row>
    <row r="24" spans="2:8" x14ac:dyDescent="0.25">
      <c r="F24" s="15"/>
    </row>
    <row r="25" spans="2:8" x14ac:dyDescent="0.25">
      <c r="B25" s="7">
        <v>44383</v>
      </c>
      <c r="C25" t="s">
        <v>11</v>
      </c>
      <c r="D25" s="15">
        <v>500</v>
      </c>
      <c r="E25" t="s">
        <v>199</v>
      </c>
      <c r="F25" s="15">
        <f>D25/0.75</f>
        <v>666.66666666666663</v>
      </c>
      <c r="G25">
        <f>2592/16</f>
        <v>162</v>
      </c>
      <c r="H25" s="15">
        <f t="shared" ref="H25:H28" si="10">+F25/G25</f>
        <v>4.1152263374485596</v>
      </c>
    </row>
    <row r="26" spans="2:8" x14ac:dyDescent="0.25">
      <c r="F26" s="15"/>
    </row>
    <row r="27" spans="2:8" x14ac:dyDescent="0.25">
      <c r="B27" s="7">
        <v>44414</v>
      </c>
      <c r="C27" t="s">
        <v>12</v>
      </c>
      <c r="D27" s="15">
        <f>4100+23700+21300</f>
        <v>49100</v>
      </c>
      <c r="E27" t="s">
        <v>200</v>
      </c>
      <c r="F27" s="15">
        <f>D27/0.5</f>
        <v>98200</v>
      </c>
      <c r="G27" s="9">
        <f>Revenue!R109</f>
        <v>544</v>
      </c>
      <c r="H27" s="15">
        <f t="shared" si="10"/>
        <v>180.51470588235293</v>
      </c>
    </row>
    <row r="28" spans="2:8" x14ac:dyDescent="0.25">
      <c r="C28" t="s">
        <v>10</v>
      </c>
      <c r="D28" s="15">
        <v>38150</v>
      </c>
      <c r="E28" t="s">
        <v>200</v>
      </c>
      <c r="F28" s="15">
        <f>D28/0.5</f>
        <v>76300</v>
      </c>
      <c r="G28" s="9">
        <f>Revenue!P109</f>
        <v>700</v>
      </c>
      <c r="H28" s="15">
        <f t="shared" si="10"/>
        <v>109</v>
      </c>
    </row>
    <row r="29" spans="2:8" x14ac:dyDescent="0.25">
      <c r="D29" s="15">
        <f>SUM(D27:D28)</f>
        <v>87250</v>
      </c>
      <c r="F29" s="15"/>
    </row>
    <row r="30" spans="2:8" x14ac:dyDescent="0.25">
      <c r="F30" s="15"/>
    </row>
    <row r="31" spans="2:8" x14ac:dyDescent="0.25">
      <c r="B31" s="7">
        <v>44460</v>
      </c>
      <c r="C31" t="s">
        <v>92</v>
      </c>
      <c r="D31" s="15">
        <v>36775.629999999997</v>
      </c>
      <c r="E31" t="s">
        <v>201</v>
      </c>
      <c r="F31" s="15"/>
      <c r="G31" s="9"/>
    </row>
    <row r="32" spans="2:8" x14ac:dyDescent="0.25">
      <c r="B32" s="7"/>
      <c r="C32" t="s">
        <v>93</v>
      </c>
      <c r="D32" s="15">
        <v>10103.84</v>
      </c>
      <c r="E32" t="s">
        <v>201</v>
      </c>
      <c r="F32" s="15"/>
      <c r="G32" s="9"/>
    </row>
    <row r="33" spans="2:7" x14ac:dyDescent="0.25">
      <c r="B33" s="7"/>
      <c r="C33" t="s">
        <v>94</v>
      </c>
      <c r="D33" s="15">
        <v>16546.09</v>
      </c>
      <c r="E33" t="s">
        <v>201</v>
      </c>
      <c r="F33" s="15"/>
      <c r="G33" s="9"/>
    </row>
    <row r="34" spans="2:7" x14ac:dyDescent="0.25">
      <c r="B34" s="7"/>
      <c r="C34" t="s">
        <v>97</v>
      </c>
      <c r="D34" s="15">
        <v>3424.27</v>
      </c>
      <c r="E34" t="s">
        <v>201</v>
      </c>
      <c r="F34" s="15"/>
      <c r="G34" s="9"/>
    </row>
    <row r="35" spans="2:7" x14ac:dyDescent="0.25">
      <c r="B35" s="7"/>
      <c r="D35" s="15">
        <f>SUM(D31:D34)</f>
        <v>66849.83</v>
      </c>
      <c r="F35" s="15"/>
      <c r="G35" s="9"/>
    </row>
    <row r="36" spans="2:7" x14ac:dyDescent="0.25">
      <c r="F36" s="15"/>
    </row>
    <row r="37" spans="2:7" x14ac:dyDescent="0.25">
      <c r="B37" s="7">
        <v>44467</v>
      </c>
      <c r="C37" t="s">
        <v>5</v>
      </c>
      <c r="D37" s="15">
        <v>3942.71</v>
      </c>
      <c r="E37" t="s">
        <v>86</v>
      </c>
      <c r="F37" s="15"/>
    </row>
    <row r="38" spans="2:7" x14ac:dyDescent="0.25">
      <c r="F38" s="15"/>
    </row>
    <row r="39" spans="2:7" x14ac:dyDescent="0.25">
      <c r="B39" s="7">
        <v>44488</v>
      </c>
      <c r="D39" s="15">
        <v>105363.86</v>
      </c>
      <c r="E39" t="s">
        <v>202</v>
      </c>
      <c r="F39" s="15"/>
    </row>
    <row r="40" spans="2:7" x14ac:dyDescent="0.25">
      <c r="D40" s="15">
        <v>35275.519999999997</v>
      </c>
      <c r="E40" t="s">
        <v>203</v>
      </c>
      <c r="F40" s="15"/>
    </row>
    <row r="41" spans="2:7" x14ac:dyDescent="0.25">
      <c r="D41" s="15">
        <f>SUM(D39:D40)</f>
        <v>140639.38</v>
      </c>
      <c r="F41" s="15"/>
    </row>
    <row r="42" spans="2:7" x14ac:dyDescent="0.25">
      <c r="F42" s="15"/>
    </row>
    <row r="43" spans="2:7" x14ac:dyDescent="0.25">
      <c r="B43" s="7">
        <v>44544</v>
      </c>
      <c r="C43" t="s">
        <v>13</v>
      </c>
      <c r="D43" s="15">
        <v>813.64</v>
      </c>
      <c r="E43" t="s">
        <v>204</v>
      </c>
      <c r="F43" s="15"/>
    </row>
    <row r="44" spans="2:7" x14ac:dyDescent="0.25">
      <c r="C44" t="s">
        <v>88</v>
      </c>
      <c r="D44" s="15">
        <v>1069.08</v>
      </c>
      <c r="E44" t="s">
        <v>205</v>
      </c>
      <c r="F44" s="15"/>
    </row>
    <row r="45" spans="2:7" x14ac:dyDescent="0.25">
      <c r="F45" s="15"/>
    </row>
    <row r="46" spans="2:7" x14ac:dyDescent="0.25">
      <c r="B46" s="7">
        <v>44561</v>
      </c>
      <c r="C46" t="s">
        <v>12</v>
      </c>
      <c r="D46" s="15">
        <f>5836.78+37658.78+29406.76</f>
        <v>72902.319999999992</v>
      </c>
      <c r="F46" s="15"/>
    </row>
    <row r="47" spans="2:7" x14ac:dyDescent="0.25">
      <c r="C47" t="s">
        <v>10</v>
      </c>
      <c r="D47" s="15">
        <v>53984.05</v>
      </c>
      <c r="F47" s="15"/>
    </row>
    <row r="48" spans="2:7" x14ac:dyDescent="0.25">
      <c r="D48" s="15">
        <f>SUM(D46:D47)</f>
        <v>126886.37</v>
      </c>
      <c r="F48" s="15"/>
    </row>
    <row r="49" spans="2:8" x14ac:dyDescent="0.25">
      <c r="F49" s="15"/>
    </row>
    <row r="50" spans="2:8" x14ac:dyDescent="0.25">
      <c r="B50" s="7">
        <v>44561</v>
      </c>
      <c r="C50" t="s">
        <v>92</v>
      </c>
      <c r="D50" s="15">
        <v>64937.04</v>
      </c>
      <c r="F50" s="15"/>
    </row>
    <row r="51" spans="2:8" x14ac:dyDescent="0.25">
      <c r="C51" t="s">
        <v>93</v>
      </c>
      <c r="D51" s="15">
        <v>12892.54</v>
      </c>
      <c r="F51" s="15"/>
    </row>
    <row r="52" spans="2:8" x14ac:dyDescent="0.25">
      <c r="C52" t="s">
        <v>94</v>
      </c>
      <c r="D52" s="15">
        <v>23115.279999999999</v>
      </c>
      <c r="F52" s="15"/>
    </row>
    <row r="53" spans="2:8" x14ac:dyDescent="0.25">
      <c r="C53" t="s">
        <v>97</v>
      </c>
      <c r="D53" s="15">
        <v>95251.68</v>
      </c>
      <c r="F53" s="15"/>
    </row>
    <row r="54" spans="2:8" x14ac:dyDescent="0.25">
      <c r="D54" s="15">
        <f>SUM(D50:D53)</f>
        <v>196196.53999999998</v>
      </c>
      <c r="F54" s="15"/>
    </row>
    <row r="55" spans="2:8" x14ac:dyDescent="0.25">
      <c r="F55" s="15"/>
    </row>
    <row r="56" spans="2:8" x14ac:dyDescent="0.25">
      <c r="D56" s="15">
        <f>+D5+D9+D11+D17+D19+D21+D23+D25+D29+D37+D41+D43+D44+D48+D35+D54</f>
        <v>912269.83999999985</v>
      </c>
      <c r="F56" s="15"/>
    </row>
    <row r="59" spans="2:8" x14ac:dyDescent="0.25">
      <c r="B59" t="s">
        <v>30</v>
      </c>
      <c r="D59" s="15">
        <f>SUM(D3,D7,D15,D39)</f>
        <v>257813.86</v>
      </c>
      <c r="E59">
        <f>Revenue!T114</f>
        <v>257813.86</v>
      </c>
      <c r="F59" s="15">
        <f>+D59-E59</f>
        <v>0</v>
      </c>
      <c r="H59">
        <f>+D59/Revenue!T109</f>
        <v>270.2451362683438</v>
      </c>
    </row>
    <row r="60" spans="2:8" x14ac:dyDescent="0.25">
      <c r="B60" t="s">
        <v>191</v>
      </c>
      <c r="D60" s="15">
        <f>SUM(D11,D16,D19,D25,D40)</f>
        <v>97375.51999999999</v>
      </c>
      <c r="E60" s="15"/>
    </row>
    <row r="61" spans="2:8" x14ac:dyDescent="0.25">
      <c r="D61" s="15">
        <f>D60/Revenue!Q109</f>
        <v>159.1103267973856</v>
      </c>
      <c r="E61">
        <f>+D61*Revenue!$Q$109</f>
        <v>97375.51999999999</v>
      </c>
    </row>
    <row r="62" spans="2:8" x14ac:dyDescent="0.25">
      <c r="D62" s="15">
        <v>182.52</v>
      </c>
      <c r="E62">
        <f>+D62*Revenue!$Q$109</f>
        <v>111702.24</v>
      </c>
    </row>
    <row r="63" spans="2:8" x14ac:dyDescent="0.25">
      <c r="E63">
        <f>+E62-E61</f>
        <v>14326.720000000016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CDCA-1AC1-45AD-9EBC-656259068E91}">
  <sheetPr codeName="Sheet12"/>
  <dimension ref="B2:H64"/>
  <sheetViews>
    <sheetView workbookViewId="0">
      <selection activeCell="D34" sqref="D34"/>
    </sheetView>
  </sheetViews>
  <sheetFormatPr defaultRowHeight="15" x14ac:dyDescent="0.25"/>
  <cols>
    <col min="2" max="2" width="10.42578125" bestFit="1" customWidth="1"/>
    <col min="4" max="4" width="11.42578125" style="15" bestFit="1" customWidth="1"/>
    <col min="5" max="5" width="28.140625" bestFit="1" customWidth="1"/>
    <col min="6" max="6" width="9.5703125" bestFit="1" customWidth="1"/>
  </cols>
  <sheetData>
    <row r="2" spans="2:8" x14ac:dyDescent="0.25">
      <c r="F2" s="2" t="s">
        <v>34</v>
      </c>
      <c r="G2" s="2" t="s">
        <v>74</v>
      </c>
      <c r="H2" s="2" t="s">
        <v>75</v>
      </c>
    </row>
    <row r="3" spans="2:8" x14ac:dyDescent="0.25">
      <c r="B3" s="7">
        <v>43983</v>
      </c>
      <c r="C3" t="s">
        <v>88</v>
      </c>
      <c r="D3" s="40">
        <v>2400</v>
      </c>
      <c r="F3">
        <f>+D3/0.75</f>
        <v>3200</v>
      </c>
      <c r="G3">
        <f>164/16</f>
        <v>10.25</v>
      </c>
      <c r="H3">
        <f>+F3/G3</f>
        <v>312.19512195121951</v>
      </c>
    </row>
    <row r="4" spans="2:8" x14ac:dyDescent="0.25">
      <c r="C4" t="s">
        <v>5</v>
      </c>
      <c r="D4" s="40">
        <v>20600</v>
      </c>
      <c r="F4">
        <f t="shared" ref="F4:F5" si="0">+D4/0.75</f>
        <v>27466.666666666668</v>
      </c>
      <c r="G4">
        <f>+(3200+1616)/16</f>
        <v>301</v>
      </c>
      <c r="H4">
        <f t="shared" ref="H4:H10" si="1">+F4/G4</f>
        <v>91.251384274640088</v>
      </c>
    </row>
    <row r="5" spans="2:8" x14ac:dyDescent="0.25">
      <c r="C5" t="s">
        <v>11</v>
      </c>
      <c r="D5" s="40">
        <v>64750</v>
      </c>
      <c r="F5">
        <f t="shared" si="0"/>
        <v>86333.333333333328</v>
      </c>
      <c r="G5">
        <f>(800+1600+2792)/16</f>
        <v>324.5</v>
      </c>
      <c r="H5">
        <f t="shared" si="1"/>
        <v>266.050333846944</v>
      </c>
    </row>
    <row r="6" spans="2:8" x14ac:dyDescent="0.25">
      <c r="C6" s="1" t="s">
        <v>34</v>
      </c>
      <c r="D6" s="37">
        <f>SUM(D3:D5)</f>
        <v>87750</v>
      </c>
    </row>
    <row r="8" spans="2:8" x14ac:dyDescent="0.25">
      <c r="B8" s="7">
        <v>43921</v>
      </c>
      <c r="C8" t="s">
        <v>11</v>
      </c>
      <c r="D8" s="40">
        <v>33500</v>
      </c>
      <c r="F8">
        <f>+D8/0.75</f>
        <v>44666.666666666664</v>
      </c>
      <c r="G8">
        <f>(3200)/16</f>
        <v>200</v>
      </c>
      <c r="H8">
        <f t="shared" si="1"/>
        <v>223.33333333333331</v>
      </c>
    </row>
    <row r="9" spans="2:8" x14ac:dyDescent="0.25">
      <c r="C9" t="s">
        <v>14</v>
      </c>
      <c r="D9" s="40">
        <v>75100</v>
      </c>
      <c r="F9">
        <f t="shared" ref="F9:F10" si="2">+D9/0.75</f>
        <v>100133.33333333333</v>
      </c>
      <c r="G9">
        <f>(4608+4488)/16</f>
        <v>568.5</v>
      </c>
      <c r="H9">
        <f t="shared" si="1"/>
        <v>176.13603048959249</v>
      </c>
    </row>
    <row r="10" spans="2:8" x14ac:dyDescent="0.25">
      <c r="C10" t="s">
        <v>5</v>
      </c>
      <c r="D10" s="40">
        <v>16250</v>
      </c>
      <c r="F10">
        <f t="shared" si="2"/>
        <v>21666.666666666668</v>
      </c>
      <c r="G10">
        <f>4624/16</f>
        <v>289</v>
      </c>
      <c r="H10">
        <f t="shared" si="1"/>
        <v>74.971164936562872</v>
      </c>
    </row>
    <row r="11" spans="2:8" x14ac:dyDescent="0.25">
      <c r="C11" s="1" t="s">
        <v>34</v>
      </c>
      <c r="D11" s="37">
        <f>SUM(D8:D10)</f>
        <v>124850</v>
      </c>
    </row>
    <row r="13" spans="2:8" x14ac:dyDescent="0.25">
      <c r="B13" s="7">
        <v>43892</v>
      </c>
      <c r="C13" t="s">
        <v>11</v>
      </c>
      <c r="D13" s="40">
        <v>19300</v>
      </c>
      <c r="F13">
        <f t="shared" ref="F13:F16" si="3">+D13/0.75</f>
        <v>25733.333333333332</v>
      </c>
      <c r="G13">
        <v>100</v>
      </c>
      <c r="H13">
        <f t="shared" ref="H13:H16" si="4">+F13/G13</f>
        <v>257.33333333333331</v>
      </c>
    </row>
    <row r="15" spans="2:8" x14ac:dyDescent="0.25">
      <c r="B15" s="7">
        <v>43864</v>
      </c>
      <c r="C15" t="s">
        <v>89</v>
      </c>
      <c r="D15" s="40">
        <v>9400</v>
      </c>
      <c r="F15">
        <f t="shared" si="3"/>
        <v>12533.333333333334</v>
      </c>
      <c r="G15">
        <f>(656+148)/16</f>
        <v>50.25</v>
      </c>
      <c r="H15">
        <f t="shared" si="4"/>
        <v>249.41956882255391</v>
      </c>
    </row>
    <row r="16" spans="2:8" x14ac:dyDescent="0.25">
      <c r="C16" t="s">
        <v>14</v>
      </c>
      <c r="D16" s="40">
        <v>41600</v>
      </c>
      <c r="F16">
        <f t="shared" si="3"/>
        <v>55466.666666666664</v>
      </c>
      <c r="G16">
        <f>4800/16</f>
        <v>300</v>
      </c>
      <c r="H16">
        <f t="shared" si="4"/>
        <v>184.88888888888889</v>
      </c>
    </row>
    <row r="17" spans="2:8" x14ac:dyDescent="0.25">
      <c r="C17" s="1" t="s">
        <v>34</v>
      </c>
      <c r="D17" s="37">
        <f>SUM(D15:D16)</f>
        <v>51000</v>
      </c>
    </row>
    <row r="19" spans="2:8" x14ac:dyDescent="0.25">
      <c r="B19" s="7">
        <v>43986</v>
      </c>
      <c r="C19" t="s">
        <v>89</v>
      </c>
      <c r="D19" s="40">
        <v>7468.17</v>
      </c>
    </row>
    <row r="22" spans="2:8" x14ac:dyDescent="0.25">
      <c r="B22" s="7">
        <v>43857</v>
      </c>
      <c r="C22" t="s">
        <v>89</v>
      </c>
      <c r="D22" s="40">
        <v>14800</v>
      </c>
      <c r="F22">
        <f t="shared" ref="F22" si="5">+D22/0.75</f>
        <v>19733.333333333332</v>
      </c>
      <c r="G22">
        <f>1056/16</f>
        <v>66</v>
      </c>
      <c r="H22">
        <f t="shared" ref="H22" si="6">+F22/G22</f>
        <v>298.98989898989896</v>
      </c>
    </row>
    <row r="24" spans="2:8" x14ac:dyDescent="0.25">
      <c r="B24" s="7">
        <v>44007</v>
      </c>
      <c r="C24" t="s">
        <v>12</v>
      </c>
      <c r="D24" s="40">
        <v>31200</v>
      </c>
      <c r="F24">
        <f>+D24/0.75</f>
        <v>41600</v>
      </c>
      <c r="G24">
        <v>413</v>
      </c>
      <c r="H24">
        <f>+F24/G24</f>
        <v>100.72639225181598</v>
      </c>
    </row>
    <row r="25" spans="2:8" x14ac:dyDescent="0.25">
      <c r="C25" t="s">
        <v>10</v>
      </c>
    </row>
    <row r="26" spans="2:8" x14ac:dyDescent="0.25">
      <c r="C26" s="3" t="s">
        <v>206</v>
      </c>
      <c r="D26" s="40">
        <v>47050</v>
      </c>
      <c r="F26">
        <f>+D26/0.75</f>
        <v>62733.333333333336</v>
      </c>
      <c r="G26">
        <v>239</v>
      </c>
      <c r="H26">
        <f>+F26/G26</f>
        <v>262.48256624825666</v>
      </c>
    </row>
    <row r="27" spans="2:8" x14ac:dyDescent="0.25">
      <c r="C27" s="3" t="s">
        <v>207</v>
      </c>
      <c r="D27" s="40">
        <f>13100+17600</f>
        <v>30700</v>
      </c>
      <c r="F27">
        <f>+D27/0.75</f>
        <v>40933.333333333336</v>
      </c>
      <c r="G27">
        <v>375</v>
      </c>
      <c r="H27">
        <f>+F27/G27</f>
        <v>109.15555555555557</v>
      </c>
    </row>
    <row r="28" spans="2:8" x14ac:dyDescent="0.25">
      <c r="C28" s="4" t="s">
        <v>34</v>
      </c>
      <c r="D28" s="37">
        <f>SUM(D24:D27)</f>
        <v>108950</v>
      </c>
    </row>
    <row r="30" spans="2:8" x14ac:dyDescent="0.25">
      <c r="B30" s="7">
        <v>44061</v>
      </c>
      <c r="C30" t="s">
        <v>5</v>
      </c>
      <c r="D30" s="40">
        <v>13900.38</v>
      </c>
      <c r="E30" t="s">
        <v>208</v>
      </c>
    </row>
    <row r="32" spans="2:8" x14ac:dyDescent="0.25">
      <c r="B32" s="7">
        <v>44092</v>
      </c>
      <c r="C32" t="s">
        <v>14</v>
      </c>
      <c r="D32" s="40">
        <v>94309.93</v>
      </c>
    </row>
    <row r="33" spans="2:6" x14ac:dyDescent="0.25">
      <c r="C33" t="s">
        <v>11</v>
      </c>
      <c r="D33" s="40">
        <v>44180.24</v>
      </c>
    </row>
    <row r="34" spans="2:6" x14ac:dyDescent="0.25">
      <c r="C34" t="s">
        <v>5</v>
      </c>
      <c r="D34" s="40">
        <v>9921.25</v>
      </c>
      <c r="E34" t="s">
        <v>209</v>
      </c>
    </row>
    <row r="35" spans="2:6" x14ac:dyDescent="0.25">
      <c r="C35" s="1" t="s">
        <v>34</v>
      </c>
      <c r="D35" s="37">
        <f>SUM(D32:D34)</f>
        <v>148411.41999999998</v>
      </c>
    </row>
    <row r="36" spans="2:6" x14ac:dyDescent="0.25">
      <c r="C36" s="1"/>
      <c r="D36" s="38"/>
    </row>
    <row r="37" spans="2:6" x14ac:dyDescent="0.25">
      <c r="B37" s="7">
        <v>44105</v>
      </c>
      <c r="C37" t="s">
        <v>88</v>
      </c>
      <c r="D37" s="40">
        <v>720.35</v>
      </c>
      <c r="E37" t="s">
        <v>86</v>
      </c>
    </row>
    <row r="39" spans="2:6" x14ac:dyDescent="0.25">
      <c r="B39" s="7">
        <v>44110</v>
      </c>
      <c r="C39" t="s">
        <v>179</v>
      </c>
      <c r="D39" s="40">
        <v>85772</v>
      </c>
      <c r="E39" t="s">
        <v>210</v>
      </c>
    </row>
    <row r="40" spans="2:6" x14ac:dyDescent="0.25">
      <c r="B40" s="7"/>
    </row>
    <row r="41" spans="2:6" x14ac:dyDescent="0.25">
      <c r="B41" s="7">
        <v>44126</v>
      </c>
      <c r="D41" s="40">
        <v>56000</v>
      </c>
    </row>
    <row r="42" spans="2:6" x14ac:dyDescent="0.25">
      <c r="B42" s="7"/>
    </row>
    <row r="44" spans="2:6" x14ac:dyDescent="0.25">
      <c r="B44" s="7">
        <v>44140</v>
      </c>
      <c r="C44" t="s">
        <v>10</v>
      </c>
      <c r="D44" s="40">
        <f>16242.03+24702.22</f>
        <v>40944.25</v>
      </c>
      <c r="E44" t="s">
        <v>211</v>
      </c>
      <c r="F44" s="15"/>
    </row>
    <row r="45" spans="2:6" x14ac:dyDescent="0.25">
      <c r="C45" t="s">
        <v>12</v>
      </c>
      <c r="D45" s="40">
        <v>52287.85</v>
      </c>
      <c r="E45" t="s">
        <v>212</v>
      </c>
    </row>
    <row r="46" spans="2:6" x14ac:dyDescent="0.25">
      <c r="D46" s="39">
        <f>SUM(D44:D45)</f>
        <v>93232.1</v>
      </c>
    </row>
    <row r="48" spans="2:6" x14ac:dyDescent="0.25">
      <c r="B48" s="7">
        <v>44131</v>
      </c>
      <c r="C48" t="s">
        <v>10</v>
      </c>
      <c r="D48" s="15">
        <v>13892.62</v>
      </c>
    </row>
    <row r="50" spans="2:6" x14ac:dyDescent="0.25">
      <c r="B50" s="7">
        <v>44196</v>
      </c>
      <c r="C50" t="s">
        <v>92</v>
      </c>
      <c r="D50" s="15">
        <v>56449.88</v>
      </c>
    </row>
    <row r="51" spans="2:6" x14ac:dyDescent="0.25">
      <c r="C51" t="s">
        <v>93</v>
      </c>
      <c r="D51" s="15">
        <v>18469.71</v>
      </c>
    </row>
    <row r="52" spans="2:6" x14ac:dyDescent="0.25">
      <c r="C52" t="s">
        <v>94</v>
      </c>
      <c r="D52" s="15">
        <v>34862.25</v>
      </c>
    </row>
    <row r="53" spans="2:6" x14ac:dyDescent="0.25">
      <c r="C53" t="s">
        <v>97</v>
      </c>
      <c r="D53" s="15">
        <v>66733.710000000006</v>
      </c>
    </row>
    <row r="54" spans="2:6" x14ac:dyDescent="0.25">
      <c r="D54" s="38">
        <f>SUM(D50:D53)</f>
        <v>176515.55</v>
      </c>
    </row>
    <row r="56" spans="2:6" x14ac:dyDescent="0.25">
      <c r="C56" s="1" t="s">
        <v>34</v>
      </c>
      <c r="D56" s="38">
        <f>SUM(D6,D11,D13,D17,D19,D22,D28,D30,D35,D37,D39,D46,D48,D41,D54)</f>
        <v>1002562.5899999999</v>
      </c>
    </row>
    <row r="59" spans="2:6" x14ac:dyDescent="0.25">
      <c r="C59" s="38"/>
      <c r="D59" s="38"/>
    </row>
    <row r="64" spans="2:6" x14ac:dyDescent="0.25">
      <c r="D64"/>
      <c r="F64" s="15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A1A1-973A-45DF-9024-BE3099A8B60D}">
  <sheetPr codeName="Sheet13"/>
  <dimension ref="B2:R36"/>
  <sheetViews>
    <sheetView workbookViewId="0">
      <selection activeCell="H2" sqref="H2:J2"/>
    </sheetView>
  </sheetViews>
  <sheetFormatPr defaultRowHeight="15" x14ac:dyDescent="0.25"/>
  <cols>
    <col min="2" max="2" width="10.7109375" bestFit="1" customWidth="1"/>
    <col min="4" max="4" width="10.140625" bestFit="1" customWidth="1"/>
    <col min="5" max="5" width="1.7109375" customWidth="1"/>
    <col min="6" max="6" width="25.140625" bestFit="1" customWidth="1"/>
    <col min="8" max="8" width="11.140625" bestFit="1" customWidth="1"/>
    <col min="10" max="10" width="10.140625" bestFit="1" customWidth="1"/>
    <col min="12" max="12" width="10.140625" bestFit="1" customWidth="1"/>
    <col min="18" max="18" width="10.140625" bestFit="1" customWidth="1"/>
  </cols>
  <sheetData>
    <row r="2" spans="2:10" x14ac:dyDescent="0.25">
      <c r="H2" s="2" t="s">
        <v>34</v>
      </c>
      <c r="I2" s="2" t="s">
        <v>74</v>
      </c>
      <c r="J2" s="2" t="s">
        <v>75</v>
      </c>
    </row>
    <row r="3" spans="2:10" x14ac:dyDescent="0.25">
      <c r="B3" s="7">
        <v>43468</v>
      </c>
      <c r="C3" t="s">
        <v>14</v>
      </c>
      <c r="D3" s="5">
        <v>82950</v>
      </c>
      <c r="F3" t="s">
        <v>213</v>
      </c>
      <c r="H3" s="5">
        <f>+D3/0.75</f>
        <v>110600</v>
      </c>
      <c r="I3" s="15">
        <v>346.75</v>
      </c>
      <c r="J3" s="5">
        <f>+H3/I3</f>
        <v>318.96178803172313</v>
      </c>
    </row>
    <row r="5" spans="2:10" x14ac:dyDescent="0.25">
      <c r="B5" s="7">
        <v>43531</v>
      </c>
      <c r="C5" t="s">
        <v>4</v>
      </c>
      <c r="D5" s="5">
        <v>30600</v>
      </c>
      <c r="E5" s="5"/>
      <c r="F5" t="s">
        <v>214</v>
      </c>
      <c r="H5" s="5">
        <f>+D5/0.75</f>
        <v>40800</v>
      </c>
      <c r="I5" s="15">
        <v>197</v>
      </c>
      <c r="J5" s="5">
        <f>+H5/I5</f>
        <v>207.10659898477158</v>
      </c>
    </row>
    <row r="7" spans="2:10" x14ac:dyDescent="0.25">
      <c r="B7" s="7">
        <v>43566</v>
      </c>
      <c r="C7" t="s">
        <v>11</v>
      </c>
      <c r="D7" s="5">
        <v>45300</v>
      </c>
      <c r="F7" t="s">
        <v>215</v>
      </c>
      <c r="H7" s="5">
        <f>+D7/0.75</f>
        <v>60400</v>
      </c>
      <c r="I7" s="15">
        <v>200</v>
      </c>
      <c r="J7" s="5">
        <f>+H7/I7</f>
        <v>302</v>
      </c>
    </row>
    <row r="8" spans="2:10" x14ac:dyDescent="0.25">
      <c r="B8" s="7">
        <v>43566</v>
      </c>
      <c r="C8" t="s">
        <v>14</v>
      </c>
      <c r="D8" s="5">
        <v>46600</v>
      </c>
      <c r="F8" t="s">
        <v>216</v>
      </c>
      <c r="H8" s="5">
        <f>+D8/0.75</f>
        <v>62133.333333333336</v>
      </c>
      <c r="I8" s="15">
        <v>298.55</v>
      </c>
      <c r="J8" s="5">
        <f t="shared" ref="J8:J9" si="0">+H8/I8</f>
        <v>208.11700999274271</v>
      </c>
    </row>
    <row r="9" spans="2:10" x14ac:dyDescent="0.25">
      <c r="B9" s="7">
        <v>43566</v>
      </c>
      <c r="C9" t="s">
        <v>5</v>
      </c>
      <c r="D9" s="5">
        <v>2700</v>
      </c>
      <c r="F9" t="s">
        <v>217</v>
      </c>
      <c r="H9" s="5">
        <f>+D9/0.75</f>
        <v>3600</v>
      </c>
      <c r="I9" s="15">
        <v>86</v>
      </c>
      <c r="J9" s="5">
        <f t="shared" si="0"/>
        <v>41.860465116279073</v>
      </c>
    </row>
    <row r="11" spans="2:10" x14ac:dyDescent="0.25">
      <c r="B11" s="7">
        <v>43598</v>
      </c>
      <c r="C11" t="s">
        <v>11</v>
      </c>
      <c r="D11" s="5">
        <v>21850</v>
      </c>
      <c r="F11" t="s">
        <v>218</v>
      </c>
      <c r="H11" s="5">
        <f>+D11/0.75</f>
        <v>29133.333333333332</v>
      </c>
      <c r="I11" s="15">
        <v>100</v>
      </c>
      <c r="J11" s="5">
        <f t="shared" ref="J11:J13" si="1">+H11/I11</f>
        <v>291.33333333333331</v>
      </c>
    </row>
    <row r="12" spans="2:10" x14ac:dyDescent="0.25">
      <c r="B12" s="7">
        <v>43598</v>
      </c>
      <c r="C12" t="s">
        <v>5</v>
      </c>
      <c r="D12" s="5">
        <v>2250</v>
      </c>
      <c r="F12" t="s">
        <v>219</v>
      </c>
      <c r="H12" s="5">
        <f>+D12/0.75</f>
        <v>3000</v>
      </c>
      <c r="I12" s="15">
        <v>196</v>
      </c>
      <c r="J12" s="5">
        <f t="shared" si="1"/>
        <v>15.306122448979592</v>
      </c>
    </row>
    <row r="13" spans="2:10" x14ac:dyDescent="0.25">
      <c r="B13" s="7">
        <v>43598</v>
      </c>
      <c r="C13" t="s">
        <v>5</v>
      </c>
      <c r="D13" s="5">
        <v>550</v>
      </c>
      <c r="F13" t="s">
        <v>220</v>
      </c>
      <c r="H13" s="5">
        <f>+D13/0.75</f>
        <v>733.33333333333337</v>
      </c>
      <c r="I13" s="15">
        <v>171</v>
      </c>
      <c r="J13" s="5">
        <f t="shared" si="1"/>
        <v>4.2884990253411308</v>
      </c>
    </row>
    <row r="15" spans="2:10" x14ac:dyDescent="0.25">
      <c r="B15" s="7">
        <v>43608</v>
      </c>
      <c r="C15" t="s">
        <v>4</v>
      </c>
      <c r="D15" s="5">
        <v>11712.5</v>
      </c>
      <c r="F15" t="s">
        <v>198</v>
      </c>
    </row>
    <row r="16" spans="2:10" x14ac:dyDescent="0.25">
      <c r="H16" s="5"/>
    </row>
    <row r="17" spans="2:18" x14ac:dyDescent="0.25">
      <c r="B17" s="7">
        <v>43621</v>
      </c>
      <c r="C17" t="s">
        <v>10</v>
      </c>
      <c r="D17" s="5">
        <v>24400</v>
      </c>
      <c r="F17" t="s">
        <v>221</v>
      </c>
      <c r="H17" s="5">
        <f>+D17/0.75</f>
        <v>32533.333333333332</v>
      </c>
      <c r="I17" s="15">
        <v>176</v>
      </c>
      <c r="J17" s="5">
        <f t="shared" ref="J17:J24" si="2">+H17/I17</f>
        <v>184.84848484848484</v>
      </c>
      <c r="L17" s="5"/>
    </row>
    <row r="18" spans="2:18" x14ac:dyDescent="0.25">
      <c r="B18" s="7">
        <v>43621</v>
      </c>
      <c r="C18" t="s">
        <v>11</v>
      </c>
      <c r="D18" s="5">
        <v>36400</v>
      </c>
      <c r="F18" t="s">
        <v>222</v>
      </c>
      <c r="H18" s="5">
        <f>+D18/0.75</f>
        <v>48533.333333333336</v>
      </c>
      <c r="I18" s="15">
        <v>178</v>
      </c>
      <c r="J18" s="5">
        <f t="shared" si="2"/>
        <v>272.65917602996257</v>
      </c>
      <c r="L18" s="15"/>
    </row>
    <row r="19" spans="2:18" x14ac:dyDescent="0.25">
      <c r="H19" s="5"/>
    </row>
    <row r="20" spans="2:18" x14ac:dyDescent="0.25">
      <c r="B20" s="7">
        <v>43651</v>
      </c>
      <c r="C20" t="s">
        <v>12</v>
      </c>
      <c r="D20" s="5">
        <v>14250</v>
      </c>
      <c r="F20" t="s">
        <v>223</v>
      </c>
      <c r="H20" s="5">
        <f>+D20/0.75</f>
        <v>19000</v>
      </c>
      <c r="I20" s="15">
        <v>403</v>
      </c>
      <c r="J20" s="5">
        <f t="shared" si="2"/>
        <v>47.146401985111666</v>
      </c>
      <c r="R20" s="5"/>
    </row>
    <row r="21" spans="2:18" x14ac:dyDescent="0.25">
      <c r="R21" s="5"/>
    </row>
    <row r="22" spans="2:18" x14ac:dyDescent="0.25">
      <c r="B22" s="7">
        <v>43685</v>
      </c>
      <c r="C22" t="s">
        <v>5</v>
      </c>
      <c r="D22" s="5">
        <v>2750</v>
      </c>
      <c r="F22" t="s">
        <v>224</v>
      </c>
      <c r="H22" s="5">
        <f>+D22/0.75</f>
        <v>3666.6666666666665</v>
      </c>
      <c r="I22" s="15">
        <v>130</v>
      </c>
      <c r="J22" s="5">
        <f t="shared" si="2"/>
        <v>28.205128205128204</v>
      </c>
    </row>
    <row r="23" spans="2:18" x14ac:dyDescent="0.25">
      <c r="R23" s="5"/>
    </row>
    <row r="24" spans="2:18" x14ac:dyDescent="0.25">
      <c r="B24" s="7">
        <v>43706</v>
      </c>
      <c r="C24" t="s">
        <v>10</v>
      </c>
      <c r="D24" s="5">
        <v>11850</v>
      </c>
      <c r="F24" t="s">
        <v>225</v>
      </c>
      <c r="H24" s="5">
        <f>+D24/0.75</f>
        <v>15800</v>
      </c>
      <c r="I24" s="15">
        <v>548</v>
      </c>
      <c r="J24" s="5">
        <f t="shared" si="2"/>
        <v>28.832116788321169</v>
      </c>
    </row>
    <row r="26" spans="2:18" x14ac:dyDescent="0.25">
      <c r="B26" s="7">
        <v>43720</v>
      </c>
      <c r="C26" t="s">
        <v>11</v>
      </c>
      <c r="D26" s="5">
        <v>34671.839999999997</v>
      </c>
      <c r="F26" t="s">
        <v>226</v>
      </c>
    </row>
    <row r="27" spans="2:18" x14ac:dyDescent="0.25">
      <c r="J27" s="5"/>
      <c r="K27" s="5"/>
      <c r="L27" s="5"/>
    </row>
    <row r="28" spans="2:18" x14ac:dyDescent="0.25">
      <c r="B28" s="7">
        <v>43733</v>
      </c>
      <c r="C28" t="s">
        <v>5</v>
      </c>
      <c r="D28">
        <v>4068.55</v>
      </c>
      <c r="F28" t="s">
        <v>86</v>
      </c>
      <c r="J28" s="5"/>
      <c r="K28" s="5"/>
      <c r="L28" s="5"/>
    </row>
    <row r="29" spans="2:18" x14ac:dyDescent="0.25">
      <c r="J29" s="5"/>
      <c r="K29" s="5"/>
      <c r="L29" s="5"/>
    </row>
    <row r="30" spans="2:18" x14ac:dyDescent="0.25">
      <c r="B30" s="7">
        <v>43734</v>
      </c>
      <c r="C30" t="s">
        <v>14</v>
      </c>
      <c r="D30">
        <v>80485.75</v>
      </c>
      <c r="F30" t="s">
        <v>202</v>
      </c>
    </row>
    <row r="31" spans="2:18" x14ac:dyDescent="0.25">
      <c r="C31" t="s">
        <v>5</v>
      </c>
      <c r="D31">
        <f>18928.49-100.73</f>
        <v>18827.760000000002</v>
      </c>
      <c r="F31" t="s">
        <v>227</v>
      </c>
    </row>
    <row r="32" spans="2:18" x14ac:dyDescent="0.25">
      <c r="K32" s="15"/>
    </row>
    <row r="33" spans="2:10" x14ac:dyDescent="0.25">
      <c r="B33" s="7">
        <v>43783</v>
      </c>
      <c r="C33" t="s">
        <v>10</v>
      </c>
      <c r="D33">
        <v>9646.32</v>
      </c>
      <c r="F33" t="s">
        <v>228</v>
      </c>
      <c r="J33" s="5"/>
    </row>
    <row r="34" spans="2:10" x14ac:dyDescent="0.25">
      <c r="C34" t="s">
        <v>10</v>
      </c>
      <c r="D34">
        <v>17642.830000000002</v>
      </c>
      <c r="F34" t="s">
        <v>229</v>
      </c>
    </row>
    <row r="35" spans="2:10" x14ac:dyDescent="0.25">
      <c r="C35" t="s">
        <v>12</v>
      </c>
      <c r="D35">
        <v>10004</v>
      </c>
      <c r="F35" t="s">
        <v>230</v>
      </c>
    </row>
    <row r="36" spans="2:10" x14ac:dyDescent="0.25">
      <c r="C36" t="s">
        <v>5</v>
      </c>
      <c r="D36">
        <v>-103.3</v>
      </c>
      <c r="F36" t="s">
        <v>231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702-BE38-4AA1-9E53-B934C7CFE363}">
  <sheetPr codeName="Sheet14"/>
  <dimension ref="B4:H92"/>
  <sheetViews>
    <sheetView topLeftCell="A10" zoomScale="85" zoomScaleNormal="85" workbookViewId="0"/>
  </sheetViews>
  <sheetFormatPr defaultRowHeight="15" x14ac:dyDescent="0.25"/>
  <cols>
    <col min="2" max="2" width="10.85546875" customWidth="1"/>
    <col min="3" max="3" width="12.7109375" bestFit="1" customWidth="1"/>
    <col min="5" max="5" width="12.7109375" bestFit="1" customWidth="1"/>
    <col min="6" max="6" width="25.28515625" bestFit="1" customWidth="1"/>
    <col min="8" max="8" width="11.28515625" bestFit="1" customWidth="1"/>
  </cols>
  <sheetData>
    <row r="4" spans="2:8" x14ac:dyDescent="0.25">
      <c r="B4" s="17">
        <v>43102</v>
      </c>
      <c r="D4" t="s">
        <v>14</v>
      </c>
      <c r="E4" s="11">
        <v>51750</v>
      </c>
      <c r="F4" t="s">
        <v>232</v>
      </c>
      <c r="H4" s="5"/>
    </row>
    <row r="5" spans="2:8" x14ac:dyDescent="0.25">
      <c r="B5" s="17"/>
      <c r="E5" s="11"/>
    </row>
    <row r="6" spans="2:8" x14ac:dyDescent="0.25">
      <c r="B6" s="17">
        <v>43132</v>
      </c>
      <c r="D6" t="s">
        <v>4</v>
      </c>
      <c r="E6" s="11">
        <v>12300</v>
      </c>
      <c r="F6" t="s">
        <v>233</v>
      </c>
    </row>
    <row r="7" spans="2:8" x14ac:dyDescent="0.25">
      <c r="B7" s="17"/>
      <c r="E7" s="11"/>
    </row>
    <row r="8" spans="2:8" x14ac:dyDescent="0.25">
      <c r="E8" s="10"/>
    </row>
    <row r="9" spans="2:8" x14ac:dyDescent="0.25">
      <c r="B9" s="17">
        <v>43165</v>
      </c>
      <c r="D9" t="s">
        <v>14</v>
      </c>
      <c r="E9" s="11">
        <v>50800</v>
      </c>
      <c r="F9" t="s">
        <v>234</v>
      </c>
    </row>
    <row r="10" spans="2:8" x14ac:dyDescent="0.25">
      <c r="D10" t="s">
        <v>11</v>
      </c>
      <c r="E10" s="11">
        <v>47850</v>
      </c>
      <c r="F10" t="s">
        <v>235</v>
      </c>
    </row>
    <row r="11" spans="2:8" x14ac:dyDescent="0.25">
      <c r="E11" s="5"/>
    </row>
    <row r="12" spans="2:8" x14ac:dyDescent="0.25">
      <c r="B12" s="17">
        <v>43208</v>
      </c>
      <c r="D12" t="s">
        <v>4</v>
      </c>
      <c r="E12" s="11">
        <v>5686.97</v>
      </c>
      <c r="F12" t="s">
        <v>236</v>
      </c>
    </row>
    <row r="14" spans="2:8" x14ac:dyDescent="0.25">
      <c r="D14" t="s">
        <v>5</v>
      </c>
      <c r="E14" s="11">
        <v>47000</v>
      </c>
      <c r="F14" t="s">
        <v>237</v>
      </c>
    </row>
    <row r="15" spans="2:8" x14ac:dyDescent="0.25">
      <c r="D15" t="s">
        <v>5</v>
      </c>
      <c r="E15" s="11">
        <v>43950</v>
      </c>
    </row>
    <row r="16" spans="2:8" x14ac:dyDescent="0.25">
      <c r="E16" s="5"/>
    </row>
    <row r="17" spans="2:8" x14ac:dyDescent="0.25">
      <c r="B17" s="7">
        <v>43224</v>
      </c>
      <c r="D17" t="s">
        <v>14</v>
      </c>
      <c r="E17" s="11">
        <v>6100</v>
      </c>
      <c r="F17" t="s">
        <v>238</v>
      </c>
    </row>
    <row r="19" spans="2:8" x14ac:dyDescent="0.25">
      <c r="B19" s="7">
        <v>43257</v>
      </c>
      <c r="D19" t="s">
        <v>14</v>
      </c>
      <c r="E19" s="11">
        <v>29600</v>
      </c>
      <c r="F19" t="s">
        <v>239</v>
      </c>
    </row>
    <row r="21" spans="2:8" x14ac:dyDescent="0.25">
      <c r="B21" s="7">
        <v>43292</v>
      </c>
      <c r="D21" t="s">
        <v>12</v>
      </c>
      <c r="E21" s="11">
        <v>18450</v>
      </c>
      <c r="F21" t="s">
        <v>240</v>
      </c>
    </row>
    <row r="22" spans="2:8" x14ac:dyDescent="0.25">
      <c r="D22" t="s">
        <v>10</v>
      </c>
      <c r="E22" s="11">
        <f>63850+71550</f>
        <v>135400</v>
      </c>
      <c r="F22" t="s">
        <v>241</v>
      </c>
    </row>
    <row r="23" spans="2:8" x14ac:dyDescent="0.25">
      <c r="E23" s="5"/>
    </row>
    <row r="24" spans="2:8" x14ac:dyDescent="0.25">
      <c r="B24" s="7">
        <v>43295</v>
      </c>
      <c r="D24" t="s">
        <v>11</v>
      </c>
      <c r="E24" s="11">
        <v>19846.310000000001</v>
      </c>
    </row>
    <row r="25" spans="2:8" x14ac:dyDescent="0.25">
      <c r="D25" t="s">
        <v>11</v>
      </c>
      <c r="E25" s="11">
        <v>-121.65</v>
      </c>
    </row>
    <row r="27" spans="2:8" x14ac:dyDescent="0.25">
      <c r="B27" s="7">
        <v>43293</v>
      </c>
      <c r="D27" t="s">
        <v>5</v>
      </c>
      <c r="E27" s="11">
        <v>42712.72</v>
      </c>
      <c r="F27" t="s">
        <v>242</v>
      </c>
      <c r="H27" s="5"/>
    </row>
    <row r="29" spans="2:8" x14ac:dyDescent="0.25">
      <c r="B29" s="7">
        <v>43312</v>
      </c>
      <c r="D29" t="s">
        <v>14</v>
      </c>
      <c r="E29" s="11">
        <v>135170.32</v>
      </c>
      <c r="F29" t="s">
        <v>243</v>
      </c>
    </row>
    <row r="31" spans="2:8" x14ac:dyDescent="0.25">
      <c r="B31" s="7">
        <v>43343</v>
      </c>
      <c r="D31" t="s">
        <v>5</v>
      </c>
      <c r="E31" s="11">
        <v>33569.74</v>
      </c>
      <c r="F31" t="s">
        <v>244</v>
      </c>
    </row>
    <row r="33" spans="2:8" x14ac:dyDescent="0.25">
      <c r="B33" s="7">
        <v>43370</v>
      </c>
      <c r="D33" t="s">
        <v>10</v>
      </c>
      <c r="E33" s="11">
        <v>40117.11</v>
      </c>
      <c r="F33" t="s">
        <v>245</v>
      </c>
    </row>
    <row r="34" spans="2:8" x14ac:dyDescent="0.25">
      <c r="D34" t="s">
        <v>10</v>
      </c>
      <c r="E34" s="11">
        <v>40436.550000000003</v>
      </c>
      <c r="F34" t="s">
        <v>246</v>
      </c>
    </row>
    <row r="35" spans="2:8" x14ac:dyDescent="0.25">
      <c r="D35" t="s">
        <v>12</v>
      </c>
      <c r="E35" s="11">
        <v>10928.02</v>
      </c>
      <c r="F35" t="s">
        <v>247</v>
      </c>
    </row>
    <row r="36" spans="2:8" x14ac:dyDescent="0.25">
      <c r="C36" s="5"/>
    </row>
    <row r="37" spans="2:8" x14ac:dyDescent="0.25">
      <c r="B37" s="7">
        <v>43375</v>
      </c>
      <c r="C37" s="5"/>
      <c r="D37" t="s">
        <v>92</v>
      </c>
      <c r="E37" s="5">
        <v>22314</v>
      </c>
      <c r="F37" t="s">
        <v>248</v>
      </c>
    </row>
    <row r="38" spans="2:8" x14ac:dyDescent="0.25">
      <c r="B38" s="7"/>
      <c r="C38" s="5"/>
      <c r="D38" t="s">
        <v>93</v>
      </c>
      <c r="E38" s="5">
        <v>0</v>
      </c>
    </row>
    <row r="39" spans="2:8" x14ac:dyDescent="0.25">
      <c r="B39" s="7"/>
      <c r="C39" s="5"/>
      <c r="D39" t="s">
        <v>94</v>
      </c>
      <c r="E39" s="5">
        <v>6979</v>
      </c>
    </row>
    <row r="40" spans="2:8" x14ac:dyDescent="0.25">
      <c r="B40" s="7"/>
      <c r="C40" s="5"/>
      <c r="D40" t="s">
        <v>97</v>
      </c>
      <c r="E40" s="5">
        <v>67648</v>
      </c>
    </row>
    <row r="41" spans="2:8" x14ac:dyDescent="0.25">
      <c r="B41" s="7"/>
      <c r="C41" s="5"/>
      <c r="E41" s="5"/>
    </row>
    <row r="42" spans="2:8" x14ac:dyDescent="0.25">
      <c r="B42" s="7">
        <v>43465</v>
      </c>
      <c r="C42" s="5"/>
      <c r="D42" t="s">
        <v>92</v>
      </c>
      <c r="E42" s="5">
        <v>99165.86</v>
      </c>
    </row>
    <row r="43" spans="2:8" x14ac:dyDescent="0.25">
      <c r="B43" s="7"/>
      <c r="C43" s="5"/>
      <c r="D43" t="s">
        <v>93</v>
      </c>
      <c r="E43" s="5">
        <v>42373.919999999998</v>
      </c>
    </row>
    <row r="44" spans="2:8" x14ac:dyDescent="0.25">
      <c r="B44" s="7"/>
      <c r="C44" s="5"/>
      <c r="D44" t="s">
        <v>94</v>
      </c>
      <c r="E44" s="5">
        <v>54546.400000000001</v>
      </c>
      <c r="H44">
        <v>1616</v>
      </c>
    </row>
    <row r="45" spans="2:8" x14ac:dyDescent="0.25">
      <c r="B45" s="7"/>
      <c r="C45" s="5"/>
      <c r="D45" t="s">
        <v>97</v>
      </c>
      <c r="E45" s="5">
        <v>127928.5</v>
      </c>
      <c r="H45">
        <v>1536</v>
      </c>
    </row>
    <row r="46" spans="2:8" x14ac:dyDescent="0.25">
      <c r="F46" s="5"/>
      <c r="H46">
        <f>SUM(H44:H45)</f>
        <v>3152</v>
      </c>
    </row>
    <row r="47" spans="2:8" x14ac:dyDescent="0.25">
      <c r="E47" s="5"/>
      <c r="H47">
        <f>+H46/16</f>
        <v>197</v>
      </c>
    </row>
    <row r="48" spans="2:8" x14ac:dyDescent="0.25">
      <c r="E48" s="5"/>
    </row>
    <row r="49" spans="2:5" x14ac:dyDescent="0.25">
      <c r="E49" s="5"/>
    </row>
    <row r="50" spans="2:5" x14ac:dyDescent="0.25">
      <c r="E50" s="5"/>
    </row>
    <row r="51" spans="2:5" x14ac:dyDescent="0.25">
      <c r="E51" s="5"/>
    </row>
    <row r="52" spans="2:5" x14ac:dyDescent="0.25">
      <c r="B52" s="1" t="s">
        <v>30</v>
      </c>
    </row>
    <row r="53" spans="2:5" x14ac:dyDescent="0.25">
      <c r="B53" s="6"/>
      <c r="C53" s="6" t="s">
        <v>249</v>
      </c>
      <c r="D53" s="6"/>
      <c r="E53" s="6"/>
    </row>
    <row r="54" spans="2:5" x14ac:dyDescent="0.25">
      <c r="B54" s="2" t="s">
        <v>250</v>
      </c>
      <c r="C54" s="2" t="s">
        <v>34</v>
      </c>
      <c r="D54" s="2" t="s">
        <v>74</v>
      </c>
      <c r="E54" s="2" t="s">
        <v>75</v>
      </c>
    </row>
    <row r="55" spans="2:5" x14ac:dyDescent="0.25">
      <c r="B55" s="5">
        <v>51750</v>
      </c>
      <c r="C55" s="5">
        <f>+B55/0.75</f>
        <v>69000</v>
      </c>
      <c r="D55">
        <v>270</v>
      </c>
      <c r="E55" s="5">
        <f>+C55/D55</f>
        <v>255.55555555555554</v>
      </c>
    </row>
    <row r="56" spans="2:5" x14ac:dyDescent="0.25">
      <c r="B56" s="5">
        <v>50800</v>
      </c>
      <c r="C56" s="5">
        <f t="shared" ref="C56:C58" si="0">+B56/0.75</f>
        <v>67733.333333333328</v>
      </c>
      <c r="D56">
        <v>215</v>
      </c>
      <c r="E56" s="5">
        <f t="shared" ref="E56:E58" si="1">+C56/D56</f>
        <v>315.03875968992247</v>
      </c>
    </row>
    <row r="57" spans="2:5" x14ac:dyDescent="0.25">
      <c r="B57" s="5">
        <v>6100</v>
      </c>
      <c r="C57" s="5">
        <f t="shared" si="0"/>
        <v>8133.333333333333</v>
      </c>
      <c r="D57">
        <v>35</v>
      </c>
      <c r="E57" s="5">
        <f t="shared" si="1"/>
        <v>232.38095238095238</v>
      </c>
    </row>
    <row r="58" spans="2:5" x14ac:dyDescent="0.25">
      <c r="B58" s="5">
        <v>29600</v>
      </c>
      <c r="C58" s="5">
        <f t="shared" si="0"/>
        <v>39466.666666666664</v>
      </c>
      <c r="D58">
        <v>300</v>
      </c>
      <c r="E58" s="5">
        <f t="shared" si="1"/>
        <v>131.55555555555554</v>
      </c>
    </row>
    <row r="59" spans="2:5" x14ac:dyDescent="0.25">
      <c r="B59" s="1" t="s">
        <v>251</v>
      </c>
      <c r="C59" s="5"/>
      <c r="D59" s="24"/>
      <c r="E59" s="8">
        <f>SUMPRODUCT(D55:D58,E55:E58)/SUM(D55:D58)</f>
        <v>224.79674796747966</v>
      </c>
    </row>
    <row r="60" spans="2:5" x14ac:dyDescent="0.25">
      <c r="E60" s="14"/>
    </row>
    <row r="61" spans="2:5" x14ac:dyDescent="0.25">
      <c r="B61" s="1" t="s">
        <v>5</v>
      </c>
    </row>
    <row r="62" spans="2:5" x14ac:dyDescent="0.25">
      <c r="B62" s="6"/>
      <c r="C62" s="6" t="s">
        <v>249</v>
      </c>
      <c r="D62" s="6"/>
      <c r="E62" s="6"/>
    </row>
    <row r="63" spans="2:5" x14ac:dyDescent="0.25">
      <c r="B63" s="2" t="s">
        <v>250</v>
      </c>
      <c r="C63" s="2" t="s">
        <v>34</v>
      </c>
      <c r="D63" s="2" t="s">
        <v>74</v>
      </c>
      <c r="E63" s="2" t="s">
        <v>75</v>
      </c>
    </row>
    <row r="64" spans="2:5" x14ac:dyDescent="0.25">
      <c r="B64" s="5"/>
      <c r="C64" s="5">
        <f>+E27+E14</f>
        <v>89712.72</v>
      </c>
      <c r="D64">
        <v>300</v>
      </c>
      <c r="E64" s="5">
        <f>+C64/D64</f>
        <v>299.04239999999999</v>
      </c>
    </row>
    <row r="65" spans="2:5" x14ac:dyDescent="0.25">
      <c r="B65" s="5">
        <f>+E15</f>
        <v>43950</v>
      </c>
      <c r="C65" s="5">
        <f>+E15+E31</f>
        <v>77519.739999999991</v>
      </c>
      <c r="D65">
        <v>261</v>
      </c>
      <c r="E65" s="5">
        <f t="shared" ref="E65" si="2">+C65/D65</f>
        <v>297.01049808429116</v>
      </c>
    </row>
    <row r="66" spans="2:5" x14ac:dyDescent="0.25">
      <c r="B66" s="1" t="s">
        <v>251</v>
      </c>
      <c r="C66" s="5"/>
      <c r="D66" s="24"/>
      <c r="E66" s="8">
        <f>SUMPRODUCT(D64:D65,E64:E65)/SUM(D64:D65)</f>
        <v>298.09707664884132</v>
      </c>
    </row>
    <row r="67" spans="2:5" x14ac:dyDescent="0.25">
      <c r="C67" s="16"/>
      <c r="E67" s="5"/>
    </row>
    <row r="68" spans="2:5" x14ac:dyDescent="0.25">
      <c r="E68" s="14"/>
    </row>
    <row r="70" spans="2:5" x14ac:dyDescent="0.25">
      <c r="B70" s="7"/>
      <c r="E70" s="5"/>
    </row>
    <row r="71" spans="2:5" x14ac:dyDescent="0.25">
      <c r="E71" s="5"/>
    </row>
    <row r="72" spans="2:5" x14ac:dyDescent="0.25">
      <c r="B72" s="7"/>
      <c r="E72" s="5"/>
    </row>
    <row r="73" spans="2:5" x14ac:dyDescent="0.25">
      <c r="E73" s="5"/>
    </row>
    <row r="74" spans="2:5" x14ac:dyDescent="0.25">
      <c r="E74" s="14"/>
    </row>
    <row r="75" spans="2:5" x14ac:dyDescent="0.25">
      <c r="E75" s="5"/>
    </row>
    <row r="76" spans="2:5" x14ac:dyDescent="0.25">
      <c r="B76" t="s">
        <v>2</v>
      </c>
      <c r="C76" s="5">
        <f>SUMIFS($E$4:$E$45,$D$4:$D$45,B76)</f>
        <v>0</v>
      </c>
      <c r="E76" s="5"/>
    </row>
    <row r="77" spans="2:5" x14ac:dyDescent="0.25">
      <c r="B77" t="s">
        <v>4</v>
      </c>
      <c r="C77" s="5">
        <f t="shared" ref="C77:C78" si="3">SUMIFS($E$4:$E$45,$D$4:$D$45,B77)</f>
        <v>17986.97</v>
      </c>
    </row>
    <row r="78" spans="2:5" x14ac:dyDescent="0.25">
      <c r="B78" t="s">
        <v>5</v>
      </c>
      <c r="C78" s="5">
        <f t="shared" si="3"/>
        <v>167232.46</v>
      </c>
    </row>
    <row r="79" spans="2:5" x14ac:dyDescent="0.25">
      <c r="B79" t="s">
        <v>92</v>
      </c>
      <c r="C79" s="5">
        <f t="shared" ref="C79:C86" si="4">SUMIFS($E$4:$E$45,$D$4:$D$45,B79)</f>
        <v>121479.86</v>
      </c>
      <c r="E79" s="5"/>
    </row>
    <row r="80" spans="2:5" x14ac:dyDescent="0.25">
      <c r="B80" t="s">
        <v>93</v>
      </c>
      <c r="C80" s="5">
        <f t="shared" si="4"/>
        <v>42373.919999999998</v>
      </c>
    </row>
    <row r="81" spans="2:3" x14ac:dyDescent="0.25">
      <c r="B81" t="s">
        <v>94</v>
      </c>
      <c r="C81" s="5">
        <f t="shared" si="4"/>
        <v>61525.4</v>
      </c>
    </row>
    <row r="82" spans="2:3" x14ac:dyDescent="0.25">
      <c r="B82" t="s">
        <v>97</v>
      </c>
      <c r="C82" s="5">
        <f t="shared" si="4"/>
        <v>195576.5</v>
      </c>
    </row>
    <row r="83" spans="2:3" x14ac:dyDescent="0.25">
      <c r="B83" t="s">
        <v>10</v>
      </c>
      <c r="C83" s="5">
        <f t="shared" si="4"/>
        <v>215953.65999999997</v>
      </c>
    </row>
    <row r="84" spans="2:3" x14ac:dyDescent="0.25">
      <c r="B84" t="s">
        <v>11</v>
      </c>
      <c r="C84" s="5">
        <f t="shared" si="4"/>
        <v>67574.66</v>
      </c>
    </row>
    <row r="85" spans="2:3" x14ac:dyDescent="0.25">
      <c r="B85" t="s">
        <v>12</v>
      </c>
      <c r="C85" s="5">
        <f t="shared" si="4"/>
        <v>29378.02</v>
      </c>
    </row>
    <row r="86" spans="2:3" x14ac:dyDescent="0.25">
      <c r="B86" t="s">
        <v>14</v>
      </c>
      <c r="C86" s="5">
        <f t="shared" si="4"/>
        <v>273420.32</v>
      </c>
    </row>
    <row r="87" spans="2:3" x14ac:dyDescent="0.25">
      <c r="B87" s="1" t="s">
        <v>34</v>
      </c>
      <c r="C87" s="8">
        <f>SUM(C76:C86)</f>
        <v>1192501.77</v>
      </c>
    </row>
    <row r="89" spans="2:3" x14ac:dyDescent="0.25">
      <c r="C89" s="5"/>
    </row>
    <row r="90" spans="2:3" x14ac:dyDescent="0.25">
      <c r="C90" s="5"/>
    </row>
    <row r="91" spans="2:3" x14ac:dyDescent="0.25">
      <c r="C91" s="5"/>
    </row>
    <row r="92" spans="2:3" x14ac:dyDescent="0.25">
      <c r="C9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B4:G72"/>
  <sheetViews>
    <sheetView topLeftCell="A10" zoomScale="85" zoomScaleNormal="85" workbookViewId="0">
      <selection activeCell="F42" sqref="F42"/>
    </sheetView>
  </sheetViews>
  <sheetFormatPr defaultRowHeight="15" x14ac:dyDescent="0.25"/>
  <cols>
    <col min="2" max="2" width="10.85546875" customWidth="1"/>
    <col min="3" max="3" width="11.5703125" bestFit="1" customWidth="1"/>
    <col min="5" max="5" width="11.5703125" bestFit="1" customWidth="1"/>
    <col min="6" max="6" width="25.28515625" bestFit="1" customWidth="1"/>
    <col min="7" max="7" width="11.28515625" bestFit="1" customWidth="1"/>
  </cols>
  <sheetData>
    <row r="4" spans="2:6" x14ac:dyDescent="0.25">
      <c r="B4" s="17">
        <v>42857</v>
      </c>
      <c r="C4" t="s">
        <v>252</v>
      </c>
      <c r="D4" t="s">
        <v>12</v>
      </c>
      <c r="E4" s="5">
        <v>5900</v>
      </c>
    </row>
    <row r="5" spans="2:6" x14ac:dyDescent="0.25">
      <c r="B5" s="17"/>
      <c r="C5" t="s">
        <v>253</v>
      </c>
      <c r="D5" t="s">
        <v>5</v>
      </c>
      <c r="E5" s="5">
        <v>8200</v>
      </c>
      <c r="F5" t="s">
        <v>254</v>
      </c>
    </row>
    <row r="6" spans="2:6" x14ac:dyDescent="0.25">
      <c r="B6" s="17"/>
      <c r="E6" s="12">
        <f>SUM(E4:E5)</f>
        <v>14100</v>
      </c>
    </row>
    <row r="7" spans="2:6" x14ac:dyDescent="0.25">
      <c r="B7" s="17"/>
      <c r="E7" s="5"/>
    </row>
    <row r="8" spans="2:6" x14ac:dyDescent="0.25">
      <c r="B8" s="17">
        <v>42888</v>
      </c>
      <c r="C8" t="s">
        <v>207</v>
      </c>
      <c r="D8" t="s">
        <v>10</v>
      </c>
      <c r="E8" s="64">
        <v>83050</v>
      </c>
    </row>
    <row r="9" spans="2:6" x14ac:dyDescent="0.25">
      <c r="B9" s="17"/>
      <c r="E9" s="14"/>
    </row>
    <row r="10" spans="2:6" x14ac:dyDescent="0.25">
      <c r="B10" s="17">
        <v>42908</v>
      </c>
      <c r="D10" t="s">
        <v>11</v>
      </c>
      <c r="E10" s="64">
        <v>12708.45</v>
      </c>
    </row>
    <row r="11" spans="2:6" x14ac:dyDescent="0.25">
      <c r="B11" s="17"/>
      <c r="E11" s="5"/>
    </row>
    <row r="12" spans="2:6" x14ac:dyDescent="0.25">
      <c r="B12" s="17">
        <v>42917</v>
      </c>
      <c r="C12" t="s">
        <v>253</v>
      </c>
      <c r="D12" t="s">
        <v>5</v>
      </c>
      <c r="E12" s="11">
        <v>5018.1899999999996</v>
      </c>
    </row>
    <row r="13" spans="2:6" x14ac:dyDescent="0.25">
      <c r="B13" s="17"/>
      <c r="E13" s="5"/>
    </row>
    <row r="14" spans="2:6" x14ac:dyDescent="0.25">
      <c r="B14" s="17">
        <v>42914</v>
      </c>
      <c r="C14" t="s">
        <v>206</v>
      </c>
      <c r="D14" t="s">
        <v>5</v>
      </c>
      <c r="E14" s="64">
        <v>68250</v>
      </c>
      <c r="F14" t="s">
        <v>255</v>
      </c>
    </row>
    <row r="15" spans="2:6" x14ac:dyDescent="0.25">
      <c r="E15" s="5"/>
    </row>
    <row r="16" spans="2:6" x14ac:dyDescent="0.25">
      <c r="B16" s="7">
        <v>42927</v>
      </c>
      <c r="D16" t="s">
        <v>30</v>
      </c>
      <c r="E16" s="64">
        <v>71645.13</v>
      </c>
      <c r="F16" s="5"/>
    </row>
    <row r="17" spans="2:7" x14ac:dyDescent="0.25">
      <c r="F17" s="5"/>
    </row>
    <row r="18" spans="2:7" x14ac:dyDescent="0.25">
      <c r="B18" s="7">
        <v>42968</v>
      </c>
      <c r="C18" t="s">
        <v>252</v>
      </c>
      <c r="D18" t="s">
        <v>12</v>
      </c>
      <c r="E18" s="64">
        <v>4958.51</v>
      </c>
      <c r="F18" s="7"/>
    </row>
    <row r="19" spans="2:7" x14ac:dyDescent="0.25">
      <c r="B19" s="7"/>
      <c r="E19" s="5"/>
      <c r="F19" s="7"/>
    </row>
    <row r="20" spans="2:7" x14ac:dyDescent="0.25">
      <c r="B20" s="7">
        <v>42998</v>
      </c>
      <c r="C20" t="s">
        <v>206</v>
      </c>
      <c r="D20" t="s">
        <v>5</v>
      </c>
      <c r="E20" s="11">
        <v>34310.21</v>
      </c>
      <c r="F20" s="7"/>
    </row>
    <row r="22" spans="2:7" x14ac:dyDescent="0.25">
      <c r="B22" s="7">
        <v>43006</v>
      </c>
      <c r="D22" t="s">
        <v>92</v>
      </c>
      <c r="E22" s="5">
        <v>7853</v>
      </c>
    </row>
    <row r="23" spans="2:7" x14ac:dyDescent="0.25">
      <c r="D23" t="s">
        <v>93</v>
      </c>
      <c r="E23" s="5">
        <v>15468</v>
      </c>
    </row>
    <row r="24" spans="2:7" x14ac:dyDescent="0.25">
      <c r="B24" s="7"/>
      <c r="D24" t="s">
        <v>94</v>
      </c>
      <c r="E24" s="5">
        <v>20593</v>
      </c>
    </row>
    <row r="25" spans="2:7" x14ac:dyDescent="0.25">
      <c r="D25" t="s">
        <v>97</v>
      </c>
      <c r="E25" s="5">
        <v>100496</v>
      </c>
    </row>
    <row r="26" spans="2:7" x14ac:dyDescent="0.25">
      <c r="B26" s="7"/>
      <c r="E26" s="12">
        <f>SUM(E22:E25)</f>
        <v>144410</v>
      </c>
    </row>
    <row r="27" spans="2:7" x14ac:dyDescent="0.25">
      <c r="E27" s="5"/>
    </row>
    <row r="28" spans="2:7" x14ac:dyDescent="0.25">
      <c r="B28" s="7">
        <v>43006</v>
      </c>
      <c r="C28" t="s">
        <v>207</v>
      </c>
      <c r="D28" t="s">
        <v>10</v>
      </c>
      <c r="E28" s="64">
        <v>60713.72</v>
      </c>
    </row>
    <row r="30" spans="2:7" x14ac:dyDescent="0.25">
      <c r="B30" s="7">
        <v>43099</v>
      </c>
      <c r="D30" t="s">
        <v>92</v>
      </c>
      <c r="E30" s="5">
        <v>151707.73000000001</v>
      </c>
    </row>
    <row r="31" spans="2:7" x14ac:dyDescent="0.25">
      <c r="D31" t="s">
        <v>93</v>
      </c>
      <c r="E31" s="5">
        <v>22927.200000000001</v>
      </c>
    </row>
    <row r="32" spans="2:7" x14ac:dyDescent="0.25">
      <c r="B32" s="7"/>
      <c r="D32" t="s">
        <v>94</v>
      </c>
      <c r="E32" s="5">
        <v>34286.870000000003</v>
      </c>
      <c r="G32" s="5"/>
    </row>
    <row r="33" spans="2:6" x14ac:dyDescent="0.25">
      <c r="D33" t="s">
        <v>97</v>
      </c>
      <c r="E33" s="5">
        <v>139686.60999999999</v>
      </c>
    </row>
    <row r="34" spans="2:6" x14ac:dyDescent="0.25">
      <c r="E34" s="8">
        <f>SUM(E30:E33)</f>
        <v>348608.41000000003</v>
      </c>
      <c r="F34" s="5"/>
    </row>
    <row r="35" spans="2:6" x14ac:dyDescent="0.25">
      <c r="E35" s="5"/>
    </row>
    <row r="36" spans="2:6" x14ac:dyDescent="0.25">
      <c r="B36" s="7"/>
      <c r="E36" s="5"/>
    </row>
    <row r="37" spans="2:6" x14ac:dyDescent="0.25">
      <c r="B37" t="s">
        <v>2</v>
      </c>
      <c r="C37" s="5">
        <f t="shared" ref="C37:C47" si="0">SUMIFS($E$4:$E$53,$D$4:$D$53,B37)</f>
        <v>0</v>
      </c>
      <c r="E37" s="5"/>
    </row>
    <row r="38" spans="2:6" x14ac:dyDescent="0.25">
      <c r="B38" t="s">
        <v>256</v>
      </c>
      <c r="C38" s="5">
        <f t="shared" si="0"/>
        <v>0</v>
      </c>
      <c r="E38" s="14"/>
    </row>
    <row r="39" spans="2:6" x14ac:dyDescent="0.25">
      <c r="B39" t="s">
        <v>5</v>
      </c>
      <c r="C39" s="5">
        <f t="shared" si="0"/>
        <v>115778.4</v>
      </c>
    </row>
    <row r="40" spans="2:6" x14ac:dyDescent="0.25">
      <c r="B40" t="s">
        <v>92</v>
      </c>
      <c r="C40" s="5">
        <f t="shared" si="0"/>
        <v>159560.73000000001</v>
      </c>
      <c r="E40" s="5"/>
      <c r="F40" s="5">
        <f>117373.48-C39</f>
        <v>1595.0800000000017</v>
      </c>
    </row>
    <row r="41" spans="2:6" x14ac:dyDescent="0.25">
      <c r="B41" t="s">
        <v>93</v>
      </c>
      <c r="C41" s="5">
        <f t="shared" si="0"/>
        <v>38395.199999999997</v>
      </c>
      <c r="F41">
        <v>117373.48</v>
      </c>
    </row>
    <row r="42" spans="2:6" x14ac:dyDescent="0.25">
      <c r="B42" t="s">
        <v>94</v>
      </c>
      <c r="C42" s="5">
        <f t="shared" si="0"/>
        <v>54879.87</v>
      </c>
      <c r="E42" s="5"/>
      <c r="F42" s="5">
        <f>F41-E20-E14</f>
        <v>14813.26999999999</v>
      </c>
    </row>
    <row r="43" spans="2:6" x14ac:dyDescent="0.25">
      <c r="B43" t="s">
        <v>97</v>
      </c>
      <c r="C43" s="5">
        <f t="shared" si="0"/>
        <v>240182.61</v>
      </c>
    </row>
    <row r="44" spans="2:6" x14ac:dyDescent="0.25">
      <c r="B44" t="s">
        <v>10</v>
      </c>
      <c r="C44" s="5">
        <f t="shared" si="0"/>
        <v>143763.72</v>
      </c>
      <c r="E44" s="5"/>
    </row>
    <row r="45" spans="2:6" x14ac:dyDescent="0.25">
      <c r="B45" t="s">
        <v>11</v>
      </c>
      <c r="C45" s="5">
        <f t="shared" si="0"/>
        <v>12708.45</v>
      </c>
      <c r="E45" s="5"/>
    </row>
    <row r="46" spans="2:6" x14ac:dyDescent="0.25">
      <c r="B46" t="s">
        <v>12</v>
      </c>
      <c r="C46" s="5">
        <f t="shared" si="0"/>
        <v>10858.51</v>
      </c>
      <c r="E46" s="5"/>
    </row>
    <row r="47" spans="2:6" x14ac:dyDescent="0.25">
      <c r="B47" t="s">
        <v>30</v>
      </c>
      <c r="C47" s="5">
        <f t="shared" si="0"/>
        <v>71645.13</v>
      </c>
      <c r="E47" s="5"/>
    </row>
    <row r="48" spans="2:6" x14ac:dyDescent="0.25">
      <c r="B48" s="1" t="s">
        <v>34</v>
      </c>
      <c r="C48" s="8">
        <f>SUM(C37:C47)</f>
        <v>847772.62</v>
      </c>
      <c r="E48" s="14"/>
    </row>
    <row r="50" spans="2:5" x14ac:dyDescent="0.25">
      <c r="B50" s="7"/>
      <c r="C50">
        <v>511494.53</v>
      </c>
      <c r="E50" s="5"/>
    </row>
    <row r="51" spans="2:5" x14ac:dyDescent="0.25">
      <c r="C51">
        <v>-11440</v>
      </c>
      <c r="E51" s="5"/>
    </row>
    <row r="52" spans="2:5" x14ac:dyDescent="0.25">
      <c r="B52" s="7"/>
      <c r="C52">
        <v>-403.89</v>
      </c>
      <c r="E52" s="5"/>
    </row>
    <row r="53" spans="2:5" x14ac:dyDescent="0.25">
      <c r="C53">
        <v>-486.43</v>
      </c>
      <c r="E53" s="5"/>
    </row>
    <row r="54" spans="2:5" x14ac:dyDescent="0.25">
      <c r="C54">
        <f>SUM(C50:C53)</f>
        <v>499164.21</v>
      </c>
      <c r="E54" s="14"/>
    </row>
    <row r="55" spans="2:5" x14ac:dyDescent="0.25">
      <c r="C55" s="5">
        <f>+C54+E34</f>
        <v>847772.62000000011</v>
      </c>
      <c r="E55" s="5"/>
    </row>
    <row r="56" spans="2:5" x14ac:dyDescent="0.25">
      <c r="E56" s="5"/>
    </row>
    <row r="59" spans="2:5" x14ac:dyDescent="0.25">
      <c r="C59">
        <v>876728.58</v>
      </c>
      <c r="E59" s="5"/>
    </row>
    <row r="60" spans="2:5" x14ac:dyDescent="0.25">
      <c r="C60" s="5">
        <f>C59-C55</f>
        <v>28955.959999999846</v>
      </c>
    </row>
    <row r="70" spans="3:3" x14ac:dyDescent="0.25">
      <c r="C70" s="5"/>
    </row>
    <row r="72" spans="3:3" x14ac:dyDescent="0.25">
      <c r="C72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/>
  <dimension ref="B4:G69"/>
  <sheetViews>
    <sheetView topLeftCell="A34" zoomScale="85" zoomScaleNormal="85" workbookViewId="0">
      <selection activeCell="G61" sqref="G61"/>
    </sheetView>
  </sheetViews>
  <sheetFormatPr defaultRowHeight="15" x14ac:dyDescent="0.25"/>
  <cols>
    <col min="2" max="2" width="10.85546875" bestFit="1" customWidth="1"/>
    <col min="3" max="3" width="11.5703125" bestFit="1" customWidth="1"/>
    <col min="5" max="5" width="11.5703125" bestFit="1" customWidth="1"/>
    <col min="6" max="6" width="10.5703125" bestFit="1" customWidth="1"/>
  </cols>
  <sheetData>
    <row r="4" spans="2:5" x14ac:dyDescent="0.25">
      <c r="B4" s="7">
        <v>42471</v>
      </c>
      <c r="C4" t="s">
        <v>253</v>
      </c>
      <c r="D4" t="s">
        <v>5</v>
      </c>
      <c r="E4" s="5">
        <v>7700</v>
      </c>
    </row>
    <row r="5" spans="2:5" x14ac:dyDescent="0.25">
      <c r="E5" s="5"/>
    </row>
    <row r="6" spans="2:5" x14ac:dyDescent="0.25">
      <c r="B6" s="7">
        <v>42501</v>
      </c>
      <c r="C6" t="s">
        <v>257</v>
      </c>
      <c r="D6" t="s">
        <v>2</v>
      </c>
      <c r="E6" s="5">
        <v>7650</v>
      </c>
    </row>
    <row r="7" spans="2:5" x14ac:dyDescent="0.25">
      <c r="C7" t="s">
        <v>253</v>
      </c>
      <c r="D7" t="s">
        <v>5</v>
      </c>
      <c r="E7" s="5">
        <v>3800</v>
      </c>
    </row>
    <row r="8" spans="2:5" x14ac:dyDescent="0.25">
      <c r="C8" t="s">
        <v>252</v>
      </c>
      <c r="D8" t="s">
        <v>2</v>
      </c>
      <c r="E8" s="5">
        <v>23300</v>
      </c>
    </row>
    <row r="9" spans="2:5" x14ac:dyDescent="0.25">
      <c r="E9" s="8">
        <f>SUM(E6:E8)</f>
        <v>34750</v>
      </c>
    </row>
    <row r="10" spans="2:5" x14ac:dyDescent="0.25">
      <c r="E10" s="5"/>
    </row>
    <row r="11" spans="2:5" x14ac:dyDescent="0.25">
      <c r="B11" s="7">
        <v>42527</v>
      </c>
      <c r="C11" t="s">
        <v>257</v>
      </c>
      <c r="D11" t="s">
        <v>5</v>
      </c>
      <c r="E11" s="5">
        <v>3900</v>
      </c>
    </row>
    <row r="13" spans="2:5" x14ac:dyDescent="0.25">
      <c r="B13" s="7">
        <v>42550</v>
      </c>
      <c r="C13" t="s">
        <v>206</v>
      </c>
      <c r="D13" t="s">
        <v>256</v>
      </c>
      <c r="E13" s="5">
        <v>1000</v>
      </c>
    </row>
    <row r="14" spans="2:5" x14ac:dyDescent="0.25">
      <c r="C14" t="s">
        <v>206</v>
      </c>
      <c r="D14" t="s">
        <v>5</v>
      </c>
      <c r="E14" s="5">
        <v>5000</v>
      </c>
    </row>
    <row r="15" spans="2:5" x14ac:dyDescent="0.25">
      <c r="C15" t="s">
        <v>207</v>
      </c>
      <c r="D15" t="s">
        <v>10</v>
      </c>
      <c r="E15" s="5">
        <v>7000</v>
      </c>
    </row>
    <row r="16" spans="2:5" x14ac:dyDescent="0.25">
      <c r="E16" s="8">
        <f>SUM(E13:E15)</f>
        <v>13000</v>
      </c>
    </row>
    <row r="18" spans="2:5" x14ac:dyDescent="0.25">
      <c r="B18" s="7">
        <v>42569</v>
      </c>
      <c r="C18" t="s">
        <v>257</v>
      </c>
      <c r="D18" t="s">
        <v>30</v>
      </c>
      <c r="E18" s="5">
        <v>76700.259999999995</v>
      </c>
    </row>
    <row r="20" spans="2:5" x14ac:dyDescent="0.25">
      <c r="B20" s="7">
        <v>42573</v>
      </c>
      <c r="C20" t="s">
        <v>253</v>
      </c>
      <c r="D20" t="s">
        <v>5</v>
      </c>
      <c r="E20" s="5">
        <v>9566.81</v>
      </c>
    </row>
    <row r="22" spans="2:5" x14ac:dyDescent="0.25">
      <c r="B22" s="7">
        <v>42579</v>
      </c>
      <c r="D22" t="s">
        <v>11</v>
      </c>
      <c r="E22" s="5">
        <v>2567.59</v>
      </c>
    </row>
    <row r="24" spans="2:5" x14ac:dyDescent="0.25">
      <c r="B24" s="7">
        <v>42578</v>
      </c>
      <c r="C24" t="s">
        <v>258</v>
      </c>
      <c r="D24" t="s">
        <v>256</v>
      </c>
      <c r="E24" s="5">
        <v>5950</v>
      </c>
    </row>
    <row r="25" spans="2:5" x14ac:dyDescent="0.25">
      <c r="E25" s="5"/>
    </row>
    <row r="26" spans="2:5" x14ac:dyDescent="0.25">
      <c r="B26" s="7">
        <v>42600</v>
      </c>
      <c r="C26" t="s">
        <v>252</v>
      </c>
      <c r="D26" t="s">
        <v>2</v>
      </c>
      <c r="E26" s="5">
        <v>28290.71</v>
      </c>
    </row>
    <row r="28" spans="2:5" x14ac:dyDescent="0.25">
      <c r="B28" s="7">
        <v>42599</v>
      </c>
      <c r="C28" t="s">
        <v>207</v>
      </c>
      <c r="D28" t="s">
        <v>10</v>
      </c>
      <c r="E28" s="5">
        <v>23700</v>
      </c>
    </row>
    <row r="30" spans="2:5" x14ac:dyDescent="0.25">
      <c r="B30" s="7">
        <v>42619</v>
      </c>
      <c r="C30" t="s">
        <v>257</v>
      </c>
      <c r="D30" t="s">
        <v>2</v>
      </c>
      <c r="E30" s="5">
        <v>9125.2900000000009</v>
      </c>
    </row>
    <row r="31" spans="2:5" x14ac:dyDescent="0.25">
      <c r="C31" t="s">
        <v>257</v>
      </c>
      <c r="D31" t="s">
        <v>5</v>
      </c>
      <c r="E31" s="5">
        <v>5326.15</v>
      </c>
    </row>
    <row r="32" spans="2:5" x14ac:dyDescent="0.25">
      <c r="E32" s="8">
        <f>SUM(E30:E31)</f>
        <v>14451.44</v>
      </c>
    </row>
    <row r="33" spans="2:7" x14ac:dyDescent="0.25">
      <c r="E33" s="5"/>
    </row>
    <row r="34" spans="2:7" x14ac:dyDescent="0.25">
      <c r="B34" s="7">
        <v>42649</v>
      </c>
      <c r="C34" t="s">
        <v>206</v>
      </c>
      <c r="D34" t="s">
        <v>256</v>
      </c>
      <c r="E34" s="5">
        <v>296.41000000000003</v>
      </c>
    </row>
    <row r="35" spans="2:7" x14ac:dyDescent="0.25">
      <c r="C35" t="s">
        <v>206</v>
      </c>
      <c r="D35" t="s">
        <v>5</v>
      </c>
      <c r="E35" s="5">
        <v>4660.55</v>
      </c>
    </row>
    <row r="36" spans="2:7" x14ac:dyDescent="0.25">
      <c r="E36" s="8">
        <f>SUM(E34:E35)</f>
        <v>4956.96</v>
      </c>
    </row>
    <row r="38" spans="2:7" x14ac:dyDescent="0.25">
      <c r="B38" s="7">
        <v>42668</v>
      </c>
      <c r="C38" t="s">
        <v>258</v>
      </c>
      <c r="D38" t="s">
        <v>256</v>
      </c>
      <c r="E38" s="5">
        <v>2074.36</v>
      </c>
    </row>
    <row r="40" spans="2:7" x14ac:dyDescent="0.25">
      <c r="B40" s="7">
        <v>42671</v>
      </c>
      <c r="C40" t="s">
        <v>207</v>
      </c>
      <c r="D40" t="s">
        <v>10</v>
      </c>
      <c r="E40" s="5">
        <v>26475.38</v>
      </c>
    </row>
    <row r="42" spans="2:7" x14ac:dyDescent="0.25">
      <c r="B42" s="7">
        <v>42696</v>
      </c>
      <c r="C42" s="16">
        <f>Revenue!F54</f>
        <v>532</v>
      </c>
      <c r="D42" t="s">
        <v>2</v>
      </c>
      <c r="E42" s="5">
        <f>$E$46*(C42/SUM($C$42:$C$45))</f>
        <v>7365.7760946745566</v>
      </c>
    </row>
    <row r="43" spans="2:7" x14ac:dyDescent="0.25">
      <c r="C43" s="16">
        <f>Revenue!G54</f>
        <v>254</v>
      </c>
      <c r="D43" t="s">
        <v>256</v>
      </c>
      <c r="E43" s="5">
        <f t="shared" ref="E43:E45" si="0">$E$46*(C43/SUM($C$42:$C$45))</f>
        <v>3516.7427218934913</v>
      </c>
    </row>
    <row r="44" spans="2:7" x14ac:dyDescent="0.25">
      <c r="C44" s="16">
        <f>+Revenue!K54</f>
        <v>818</v>
      </c>
      <c r="D44" t="s">
        <v>5</v>
      </c>
      <c r="E44" s="66">
        <f t="shared" si="0"/>
        <v>11325.57301775148</v>
      </c>
      <c r="G44" s="65" t="s">
        <v>259</v>
      </c>
    </row>
    <row r="45" spans="2:7" x14ac:dyDescent="0.25">
      <c r="C45" s="16">
        <f>Revenue!P54</f>
        <v>762</v>
      </c>
      <c r="D45" t="s">
        <v>10</v>
      </c>
      <c r="E45" s="5">
        <f t="shared" si="0"/>
        <v>10550.228165680473</v>
      </c>
    </row>
    <row r="46" spans="2:7" x14ac:dyDescent="0.25">
      <c r="E46" s="8">
        <v>32758.32</v>
      </c>
    </row>
    <row r="48" spans="2:7" x14ac:dyDescent="0.25">
      <c r="B48" s="7">
        <v>42734</v>
      </c>
      <c r="D48" t="s">
        <v>92</v>
      </c>
      <c r="E48" s="5">
        <v>90685.64</v>
      </c>
    </row>
    <row r="49" spans="2:6" x14ac:dyDescent="0.25">
      <c r="D49" t="s">
        <v>93</v>
      </c>
      <c r="E49" s="5">
        <v>25937.71</v>
      </c>
    </row>
    <row r="50" spans="2:6" x14ac:dyDescent="0.25">
      <c r="B50" s="7"/>
      <c r="D50" t="s">
        <v>94</v>
      </c>
      <c r="E50" s="5">
        <v>44203.73</v>
      </c>
    </row>
    <row r="51" spans="2:6" x14ac:dyDescent="0.25">
      <c r="D51" t="s">
        <v>97</v>
      </c>
      <c r="E51" s="5">
        <v>102618</v>
      </c>
    </row>
    <row r="52" spans="2:6" x14ac:dyDescent="0.25">
      <c r="E52" s="8">
        <f>SUM(E48:E51)</f>
        <v>263445.08</v>
      </c>
    </row>
    <row r="53" spans="2:6" x14ac:dyDescent="0.25">
      <c r="E53" s="5"/>
    </row>
    <row r="54" spans="2:6" x14ac:dyDescent="0.25">
      <c r="B54" t="s">
        <v>2</v>
      </c>
      <c r="C54" s="5">
        <f t="shared" ref="C54:C63" si="1">SUMIFS($E$4:$E$51,$D$4:$D$51,B54)</f>
        <v>75731.776094674555</v>
      </c>
      <c r="E54" s="5"/>
    </row>
    <row r="55" spans="2:6" x14ac:dyDescent="0.25">
      <c r="B55" t="s">
        <v>256</v>
      </c>
      <c r="C55" s="5">
        <f t="shared" si="1"/>
        <v>12837.512721893492</v>
      </c>
    </row>
    <row r="56" spans="2:6" x14ac:dyDescent="0.25">
      <c r="B56" t="s">
        <v>5</v>
      </c>
      <c r="C56" s="5">
        <f>SUMIFS($E$4:$E$51,$D$4:$D$51,B56)</f>
        <v>51279.08301775148</v>
      </c>
      <c r="E56">
        <v>39953.51</v>
      </c>
      <c r="F56" s="5">
        <f>C56-E56</f>
        <v>11325.573017751478</v>
      </c>
    </row>
    <row r="57" spans="2:6" x14ac:dyDescent="0.25">
      <c r="B57" t="s">
        <v>92</v>
      </c>
      <c r="C57" s="5">
        <f t="shared" si="1"/>
        <v>90685.64</v>
      </c>
      <c r="E57" s="5"/>
    </row>
    <row r="58" spans="2:6" x14ac:dyDescent="0.25">
      <c r="B58" t="s">
        <v>93</v>
      </c>
      <c r="C58" s="5">
        <f t="shared" si="1"/>
        <v>25937.71</v>
      </c>
    </row>
    <row r="59" spans="2:6" x14ac:dyDescent="0.25">
      <c r="B59" t="s">
        <v>94</v>
      </c>
      <c r="C59" s="5">
        <f t="shared" si="1"/>
        <v>44203.73</v>
      </c>
    </row>
    <row r="60" spans="2:6" x14ac:dyDescent="0.25">
      <c r="B60" t="s">
        <v>97</v>
      </c>
      <c r="C60" s="5">
        <f t="shared" si="1"/>
        <v>102618</v>
      </c>
    </row>
    <row r="61" spans="2:6" x14ac:dyDescent="0.25">
      <c r="B61" t="s">
        <v>10</v>
      </c>
      <c r="C61" s="5">
        <f t="shared" si="1"/>
        <v>67725.608165680474</v>
      </c>
    </row>
    <row r="62" spans="2:6" x14ac:dyDescent="0.25">
      <c r="B62" t="s">
        <v>11</v>
      </c>
      <c r="C62" s="5">
        <f t="shared" si="1"/>
        <v>2567.59</v>
      </c>
    </row>
    <row r="63" spans="2:6" x14ac:dyDescent="0.25">
      <c r="B63" t="s">
        <v>30</v>
      </c>
      <c r="C63" s="5">
        <f t="shared" si="1"/>
        <v>76700.259999999995</v>
      </c>
    </row>
    <row r="64" spans="2:6" x14ac:dyDescent="0.25">
      <c r="B64" s="1" t="s">
        <v>34</v>
      </c>
      <c r="C64" s="8">
        <f>SUM(C54:C63)</f>
        <v>550286.91</v>
      </c>
    </row>
    <row r="67" spans="3:3" x14ac:dyDescent="0.25">
      <c r="C67" s="5"/>
    </row>
    <row r="69" spans="3:3" x14ac:dyDescent="0.25">
      <c r="C69" s="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/>
  <dimension ref="B2:G31"/>
  <sheetViews>
    <sheetView workbookViewId="0">
      <selection activeCell="F24" sqref="F24"/>
    </sheetView>
  </sheetViews>
  <sheetFormatPr defaultRowHeight="15" x14ac:dyDescent="0.25"/>
  <cols>
    <col min="2" max="2" width="10.7109375" bestFit="1" customWidth="1"/>
    <col min="5" max="5" width="11.140625" bestFit="1" customWidth="1"/>
    <col min="7" max="7" width="11.140625" bestFit="1" customWidth="1"/>
  </cols>
  <sheetData>
    <row r="2" spans="2:7" x14ac:dyDescent="0.25">
      <c r="B2" s="7">
        <v>42128</v>
      </c>
      <c r="C2" t="s">
        <v>252</v>
      </c>
      <c r="D2" t="s">
        <v>2</v>
      </c>
      <c r="E2" s="5">
        <v>17750</v>
      </c>
    </row>
    <row r="3" spans="2:7" x14ac:dyDescent="0.25">
      <c r="C3" t="s">
        <v>252</v>
      </c>
      <c r="D3" t="s">
        <v>256</v>
      </c>
      <c r="E3" s="5">
        <v>3300</v>
      </c>
    </row>
    <row r="4" spans="2:7" x14ac:dyDescent="0.25">
      <c r="C4" t="s">
        <v>257</v>
      </c>
      <c r="D4" t="s">
        <v>256</v>
      </c>
      <c r="E4" s="5">
        <v>6650</v>
      </c>
    </row>
    <row r="5" spans="2:7" x14ac:dyDescent="0.25">
      <c r="C5" t="s">
        <v>257</v>
      </c>
      <c r="D5" t="s">
        <v>5</v>
      </c>
      <c r="E5" s="5">
        <v>32350</v>
      </c>
    </row>
    <row r="6" spans="2:7" x14ac:dyDescent="0.25">
      <c r="E6" s="8">
        <f>SUM(E2:E5)</f>
        <v>60050</v>
      </c>
    </row>
    <row r="8" spans="2:7" x14ac:dyDescent="0.25">
      <c r="B8" s="7">
        <v>42157</v>
      </c>
      <c r="C8" t="s">
        <v>207</v>
      </c>
      <c r="D8" t="s">
        <v>10</v>
      </c>
      <c r="E8" s="5">
        <v>76800</v>
      </c>
    </row>
    <row r="9" spans="2:7" x14ac:dyDescent="0.25">
      <c r="G9" s="5"/>
    </row>
    <row r="10" spans="2:7" x14ac:dyDescent="0.25">
      <c r="B10" s="7">
        <v>42174</v>
      </c>
      <c r="D10" t="s">
        <v>14</v>
      </c>
      <c r="E10" s="5">
        <v>5218.05</v>
      </c>
    </row>
    <row r="12" spans="2:7" x14ac:dyDescent="0.25">
      <c r="B12" s="7">
        <v>42247</v>
      </c>
      <c r="C12" t="s">
        <v>252</v>
      </c>
      <c r="D12" t="s">
        <v>2</v>
      </c>
      <c r="E12" s="5">
        <v>24461.71</v>
      </c>
      <c r="G12" s="5"/>
    </row>
    <row r="13" spans="2:7" x14ac:dyDescent="0.25">
      <c r="C13" t="s">
        <v>252</v>
      </c>
      <c r="D13" t="s">
        <v>256</v>
      </c>
      <c r="E13" s="5">
        <v>5063.74</v>
      </c>
    </row>
    <row r="14" spans="2:7" x14ac:dyDescent="0.25">
      <c r="E14" s="8">
        <f>SUM(E12:E13)</f>
        <v>29525.449999999997</v>
      </c>
    </row>
    <row r="16" spans="2:7" x14ac:dyDescent="0.25">
      <c r="B16" s="7">
        <v>42248</v>
      </c>
      <c r="C16" t="s">
        <v>257</v>
      </c>
      <c r="D16" t="s">
        <v>256</v>
      </c>
      <c r="E16" s="5">
        <v>9244.7000000000007</v>
      </c>
      <c r="G16" s="5"/>
    </row>
    <row r="17" spans="2:7" x14ac:dyDescent="0.25">
      <c r="D17" t="s">
        <v>5</v>
      </c>
      <c r="E17" s="5">
        <v>36012.39</v>
      </c>
      <c r="G17" s="5"/>
    </row>
    <row r="18" spans="2:7" x14ac:dyDescent="0.25">
      <c r="E18" s="8">
        <f>SUM(E16:E17)</f>
        <v>45257.09</v>
      </c>
    </row>
    <row r="20" spans="2:7" x14ac:dyDescent="0.25">
      <c r="B20" s="7">
        <v>42268</v>
      </c>
      <c r="D20" t="s">
        <v>93</v>
      </c>
      <c r="E20" s="5">
        <v>4543</v>
      </c>
    </row>
    <row r="21" spans="2:7" x14ac:dyDescent="0.25">
      <c r="D21" t="s">
        <v>94</v>
      </c>
      <c r="E21" s="5">
        <v>9340</v>
      </c>
    </row>
    <row r="22" spans="2:7" x14ac:dyDescent="0.25">
      <c r="D22" t="s">
        <v>97</v>
      </c>
      <c r="E22" s="5">
        <v>38497</v>
      </c>
    </row>
    <row r="23" spans="2:7" x14ac:dyDescent="0.25">
      <c r="E23" s="8">
        <f>SUM(E20:E22)</f>
        <v>52380</v>
      </c>
    </row>
    <row r="25" spans="2:7" x14ac:dyDescent="0.25">
      <c r="B25" s="7">
        <v>42268</v>
      </c>
      <c r="D25" t="s">
        <v>10</v>
      </c>
      <c r="E25" s="5">
        <v>58058.91</v>
      </c>
    </row>
    <row r="27" spans="2:7" x14ac:dyDescent="0.25">
      <c r="B27" s="7">
        <v>42369</v>
      </c>
      <c r="D27" t="s">
        <v>92</v>
      </c>
      <c r="E27" s="5">
        <v>83261.600000000006</v>
      </c>
    </row>
    <row r="28" spans="2:7" x14ac:dyDescent="0.25">
      <c r="D28" t="s">
        <v>93</v>
      </c>
      <c r="E28" s="5">
        <v>8132.93</v>
      </c>
    </row>
    <row r="29" spans="2:7" x14ac:dyDescent="0.25">
      <c r="D29" t="s">
        <v>94</v>
      </c>
      <c r="E29" s="5">
        <v>17705.7</v>
      </c>
    </row>
    <row r="30" spans="2:7" x14ac:dyDescent="0.25">
      <c r="D30" t="s">
        <v>97</v>
      </c>
      <c r="E30" s="5">
        <v>67922.83</v>
      </c>
    </row>
    <row r="31" spans="2:7" x14ac:dyDescent="0.25">
      <c r="E31" s="8">
        <f>SUM(E27:E30)</f>
        <v>177023.06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"/>
  <dimension ref="B3:N45"/>
  <sheetViews>
    <sheetView workbookViewId="0">
      <selection activeCell="B1" sqref="B1:N1048576"/>
    </sheetView>
  </sheetViews>
  <sheetFormatPr defaultRowHeight="15" x14ac:dyDescent="0.25"/>
  <cols>
    <col min="2" max="2" width="10.7109375" bestFit="1" customWidth="1"/>
    <col min="5" max="5" width="11.140625" bestFit="1" customWidth="1"/>
    <col min="6" max="6" width="10.140625" bestFit="1" customWidth="1"/>
    <col min="7" max="7" width="11.140625" bestFit="1" customWidth="1"/>
    <col min="9" max="10" width="10.140625" bestFit="1" customWidth="1"/>
    <col min="12" max="12" width="11.140625" bestFit="1" customWidth="1"/>
  </cols>
  <sheetData>
    <row r="3" spans="2:14" x14ac:dyDescent="0.25">
      <c r="B3" s="7">
        <v>41739</v>
      </c>
      <c r="C3" s="10" t="s">
        <v>5</v>
      </c>
      <c r="D3" s="10" t="s">
        <v>253</v>
      </c>
      <c r="E3" s="11">
        <v>28850</v>
      </c>
      <c r="G3" s="5" t="s">
        <v>260</v>
      </c>
    </row>
    <row r="4" spans="2:14" x14ac:dyDescent="0.25">
      <c r="C4" s="10" t="s">
        <v>5</v>
      </c>
      <c r="D4" s="10" t="s">
        <v>252</v>
      </c>
      <c r="E4" s="11">
        <v>27850</v>
      </c>
      <c r="G4" s="5" t="s">
        <v>260</v>
      </c>
      <c r="K4" t="s">
        <v>2</v>
      </c>
      <c r="L4" s="5">
        <f>SUM(E8,E15,E26,E35)</f>
        <v>77868.45</v>
      </c>
      <c r="M4" t="e">
        <f>#REF!</f>
        <v>#REF!</v>
      </c>
      <c r="N4" t="e">
        <f>+L4/M4</f>
        <v>#REF!</v>
      </c>
    </row>
    <row r="5" spans="2:14" x14ac:dyDescent="0.25">
      <c r="E5" s="8">
        <f>SUM(E3:E4)</f>
        <v>56700</v>
      </c>
      <c r="G5" s="5"/>
      <c r="K5" t="s">
        <v>256</v>
      </c>
      <c r="L5" s="5">
        <f>SUM(E9,E16,E24,E36,)</f>
        <v>44713.020000000004</v>
      </c>
      <c r="M5" t="e">
        <f>#REF!</f>
        <v>#REF!</v>
      </c>
      <c r="N5" t="e">
        <f>+L5/M5</f>
        <v>#REF!</v>
      </c>
    </row>
    <row r="6" spans="2:14" x14ac:dyDescent="0.25">
      <c r="E6" s="5"/>
      <c r="I6" s="5"/>
      <c r="L6" s="5">
        <f>SUM(L4:L5)</f>
        <v>122581.47</v>
      </c>
    </row>
    <row r="7" spans="2:14" x14ac:dyDescent="0.25">
      <c r="B7" s="7">
        <v>41764</v>
      </c>
      <c r="C7" s="10" t="s">
        <v>5</v>
      </c>
      <c r="D7" s="10" t="s">
        <v>252</v>
      </c>
      <c r="E7" s="11">
        <v>19450</v>
      </c>
      <c r="F7" s="5"/>
      <c r="G7" t="s">
        <v>261</v>
      </c>
    </row>
    <row r="8" spans="2:14" x14ac:dyDescent="0.25">
      <c r="C8" s="10" t="s">
        <v>2</v>
      </c>
      <c r="D8" s="10" t="s">
        <v>252</v>
      </c>
      <c r="E8" s="11">
        <v>41450</v>
      </c>
      <c r="G8" t="s">
        <v>261</v>
      </c>
      <c r="L8" s="5"/>
    </row>
    <row r="9" spans="2:14" x14ac:dyDescent="0.25">
      <c r="C9" s="10" t="s">
        <v>256</v>
      </c>
      <c r="D9" s="10" t="s">
        <v>252</v>
      </c>
      <c r="E9" s="11">
        <v>2750</v>
      </c>
      <c r="G9" t="s">
        <v>261</v>
      </c>
    </row>
    <row r="10" spans="2:14" x14ac:dyDescent="0.25">
      <c r="C10" s="10" t="s">
        <v>5</v>
      </c>
      <c r="D10" s="10" t="s">
        <v>252</v>
      </c>
      <c r="E10" s="11">
        <v>7850</v>
      </c>
      <c r="G10" t="s">
        <v>261</v>
      </c>
      <c r="I10" s="5"/>
    </row>
    <row r="11" spans="2:14" x14ac:dyDescent="0.25">
      <c r="C11" s="10"/>
      <c r="D11" s="10"/>
      <c r="E11" s="12">
        <f>SUM(E7:E10)</f>
        <v>71500</v>
      </c>
    </row>
    <row r="12" spans="2:14" x14ac:dyDescent="0.25">
      <c r="I12" s="5"/>
    </row>
    <row r="13" spans="2:14" x14ac:dyDescent="0.25">
      <c r="B13" s="7">
        <v>41792</v>
      </c>
      <c r="C13" t="s">
        <v>10</v>
      </c>
      <c r="D13" t="s">
        <v>207</v>
      </c>
      <c r="E13" s="5">
        <v>86850</v>
      </c>
      <c r="G13" t="s">
        <v>262</v>
      </c>
      <c r="I13">
        <f>+E13/0.75</f>
        <v>115800</v>
      </c>
    </row>
    <row r="14" spans="2:14" x14ac:dyDescent="0.25">
      <c r="I14" s="5">
        <f>+I13-E13</f>
        <v>28950</v>
      </c>
    </row>
    <row r="15" spans="2:14" x14ac:dyDescent="0.25">
      <c r="B15" s="7">
        <v>41820</v>
      </c>
      <c r="C15" t="s">
        <v>2</v>
      </c>
      <c r="D15" t="s">
        <v>206</v>
      </c>
      <c r="E15" s="5">
        <v>7600</v>
      </c>
      <c r="G15" t="s">
        <v>263</v>
      </c>
      <c r="I15">
        <v>37679.93</v>
      </c>
      <c r="J15" s="5"/>
    </row>
    <row r="16" spans="2:14" x14ac:dyDescent="0.25">
      <c r="C16" t="s">
        <v>256</v>
      </c>
      <c r="D16" t="s">
        <v>206</v>
      </c>
      <c r="E16" s="5">
        <v>27800</v>
      </c>
      <c r="G16" t="s">
        <v>263</v>
      </c>
      <c r="I16" s="5">
        <f>+I15-I14</f>
        <v>8729.93</v>
      </c>
      <c r="J16" s="5"/>
    </row>
    <row r="17" spans="2:12" x14ac:dyDescent="0.25">
      <c r="E17" s="8">
        <f>SUM(E15:E16)</f>
        <v>35400</v>
      </c>
      <c r="J17" s="5"/>
      <c r="L17" s="5"/>
    </row>
    <row r="19" spans="2:12" x14ac:dyDescent="0.25">
      <c r="B19" s="7">
        <v>41842</v>
      </c>
      <c r="C19" s="10" t="s">
        <v>5</v>
      </c>
      <c r="D19" s="10" t="s">
        <v>253</v>
      </c>
      <c r="E19" s="11">
        <v>19085.54</v>
      </c>
      <c r="G19" t="s">
        <v>264</v>
      </c>
    </row>
    <row r="20" spans="2:12" x14ac:dyDescent="0.25">
      <c r="C20" s="10" t="s">
        <v>5</v>
      </c>
      <c r="D20" s="10" t="s">
        <v>265</v>
      </c>
      <c r="E20" s="11">
        <v>3788.65</v>
      </c>
    </row>
    <row r="21" spans="2:12" x14ac:dyDescent="0.25">
      <c r="C21" s="10" t="s">
        <v>266</v>
      </c>
      <c r="D21" s="10" t="s">
        <v>267</v>
      </c>
      <c r="E21" s="11">
        <v>-312.85000000000002</v>
      </c>
    </row>
    <row r="22" spans="2:12" x14ac:dyDescent="0.25">
      <c r="C22" s="10"/>
      <c r="D22" s="10"/>
      <c r="E22" s="12">
        <f>SUM(E19:E21)</f>
        <v>22561.340000000004</v>
      </c>
    </row>
    <row r="24" spans="2:12" x14ac:dyDescent="0.25">
      <c r="B24" s="7">
        <v>41873</v>
      </c>
      <c r="C24" s="10" t="s">
        <v>256</v>
      </c>
      <c r="D24" s="10" t="s">
        <v>252</v>
      </c>
      <c r="E24" s="11">
        <v>1163.48</v>
      </c>
    </row>
    <row r="25" spans="2:12" x14ac:dyDescent="0.25">
      <c r="C25" s="10" t="s">
        <v>5</v>
      </c>
      <c r="D25" s="10" t="s">
        <v>252</v>
      </c>
      <c r="E25" s="11">
        <v>5020.01</v>
      </c>
    </row>
    <row r="26" spans="2:12" x14ac:dyDescent="0.25">
      <c r="C26" s="10" t="s">
        <v>2</v>
      </c>
      <c r="D26" s="10" t="s">
        <v>252</v>
      </c>
      <c r="E26" s="11">
        <v>25738.87</v>
      </c>
    </row>
    <row r="27" spans="2:12" x14ac:dyDescent="0.25">
      <c r="C27" s="10" t="s">
        <v>5</v>
      </c>
      <c r="D27" s="10" t="s">
        <v>252</v>
      </c>
      <c r="E27" s="11">
        <v>33769.519999999997</v>
      </c>
    </row>
    <row r="28" spans="2:12" x14ac:dyDescent="0.25">
      <c r="C28" s="10"/>
      <c r="D28" s="10"/>
      <c r="E28" s="12">
        <f>SUM(E24:E27)</f>
        <v>65691.88</v>
      </c>
    </row>
    <row r="30" spans="2:12" x14ac:dyDescent="0.25">
      <c r="B30" s="7">
        <v>41906</v>
      </c>
      <c r="C30" s="10" t="s">
        <v>92</v>
      </c>
      <c r="E30" s="11">
        <v>54816</v>
      </c>
    </row>
    <row r="31" spans="2:12" x14ac:dyDescent="0.25">
      <c r="C31" s="10" t="s">
        <v>93</v>
      </c>
      <c r="E31" s="11">
        <v>13426</v>
      </c>
    </row>
    <row r="32" spans="2:12" x14ac:dyDescent="0.25">
      <c r="C32" s="10" t="s">
        <v>97</v>
      </c>
      <c r="E32" s="11">
        <v>39135</v>
      </c>
    </row>
    <row r="33" spans="2:5" x14ac:dyDescent="0.25">
      <c r="E33" s="12">
        <f>SUM(E30:E32)</f>
        <v>107377</v>
      </c>
    </row>
    <row r="35" spans="2:5" x14ac:dyDescent="0.25">
      <c r="B35" s="7">
        <v>41926</v>
      </c>
      <c r="C35" s="10" t="s">
        <v>2</v>
      </c>
      <c r="D35" t="s">
        <v>206</v>
      </c>
      <c r="E35" s="11">
        <v>3079.58</v>
      </c>
    </row>
    <row r="36" spans="2:5" x14ac:dyDescent="0.25">
      <c r="C36" s="10" t="s">
        <v>256</v>
      </c>
      <c r="D36" t="s">
        <v>206</v>
      </c>
      <c r="E36" s="11">
        <v>12999.54</v>
      </c>
    </row>
    <row r="37" spans="2:5" x14ac:dyDescent="0.25">
      <c r="E37" s="8">
        <f>SUM(E35:E36)</f>
        <v>16079.12</v>
      </c>
    </row>
    <row r="39" spans="2:5" x14ac:dyDescent="0.25">
      <c r="B39" s="7">
        <v>41947</v>
      </c>
      <c r="C39" t="s">
        <v>10</v>
      </c>
      <c r="D39" t="s">
        <v>207</v>
      </c>
      <c r="E39" s="5">
        <v>37679.93</v>
      </c>
    </row>
    <row r="40" spans="2:5" x14ac:dyDescent="0.25">
      <c r="E40" s="5"/>
    </row>
    <row r="41" spans="2:5" x14ac:dyDescent="0.25">
      <c r="B41" s="7">
        <v>41997</v>
      </c>
      <c r="C41" t="s">
        <v>92</v>
      </c>
      <c r="E41" s="5">
        <v>65814.570000000007</v>
      </c>
    </row>
    <row r="42" spans="2:5" x14ac:dyDescent="0.25">
      <c r="C42" t="s">
        <v>93</v>
      </c>
      <c r="E42" s="5">
        <v>23210.41</v>
      </c>
    </row>
    <row r="43" spans="2:5" x14ac:dyDescent="0.25">
      <c r="C43" t="s">
        <v>94</v>
      </c>
      <c r="E43" s="5">
        <v>45440.72</v>
      </c>
    </row>
    <row r="44" spans="2:5" x14ac:dyDescent="0.25">
      <c r="C44" t="s">
        <v>97</v>
      </c>
      <c r="E44" s="5">
        <v>51195.81</v>
      </c>
    </row>
    <row r="45" spans="2:5" x14ac:dyDescent="0.25">
      <c r="E45" s="8">
        <f>SUM(E41:E44)</f>
        <v>185661.51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9"/>
  <dimension ref="B3:E46"/>
  <sheetViews>
    <sheetView topLeftCell="A25" workbookViewId="0">
      <selection activeCell="E41" activeCellId="1" sqref="E35 E41"/>
    </sheetView>
  </sheetViews>
  <sheetFormatPr defaultRowHeight="15" x14ac:dyDescent="0.25"/>
  <cols>
    <col min="2" max="2" width="10.7109375" bestFit="1" customWidth="1"/>
    <col min="5" max="5" width="11.140625" bestFit="1" customWidth="1"/>
  </cols>
  <sheetData>
    <row r="3" spans="2:5" x14ac:dyDescent="0.25">
      <c r="B3" s="7">
        <v>41397</v>
      </c>
      <c r="C3" t="s">
        <v>2</v>
      </c>
      <c r="D3" t="s">
        <v>252</v>
      </c>
      <c r="E3" s="5">
        <v>10050</v>
      </c>
    </row>
    <row r="4" spans="2:5" x14ac:dyDescent="0.25">
      <c r="C4" t="s">
        <v>2</v>
      </c>
      <c r="D4" t="s">
        <v>257</v>
      </c>
      <c r="E4" s="5">
        <v>5950</v>
      </c>
    </row>
    <row r="5" spans="2:5" x14ac:dyDescent="0.25">
      <c r="C5" t="s">
        <v>256</v>
      </c>
      <c r="D5" t="s">
        <v>257</v>
      </c>
      <c r="E5" s="5">
        <v>7700</v>
      </c>
    </row>
    <row r="6" spans="2:5" x14ac:dyDescent="0.25">
      <c r="C6" t="s">
        <v>5</v>
      </c>
      <c r="D6" t="s">
        <v>257</v>
      </c>
      <c r="E6" s="5">
        <v>15300</v>
      </c>
    </row>
    <row r="7" spans="2:5" x14ac:dyDescent="0.25">
      <c r="C7" t="s">
        <v>5</v>
      </c>
      <c r="D7" t="s">
        <v>206</v>
      </c>
      <c r="E7" s="5">
        <v>2800</v>
      </c>
    </row>
    <row r="8" spans="2:5" x14ac:dyDescent="0.25">
      <c r="E8" s="8">
        <f>SUM(E3:E7)</f>
        <v>41800</v>
      </c>
    </row>
    <row r="9" spans="2:5" x14ac:dyDescent="0.25">
      <c r="E9" s="5"/>
    </row>
    <row r="10" spans="2:5" x14ac:dyDescent="0.25">
      <c r="B10" s="7">
        <v>41422</v>
      </c>
      <c r="C10" t="s">
        <v>2</v>
      </c>
      <c r="D10" t="s">
        <v>257</v>
      </c>
      <c r="E10" s="5">
        <v>3250</v>
      </c>
    </row>
    <row r="11" spans="2:5" x14ac:dyDescent="0.25">
      <c r="C11" t="s">
        <v>2</v>
      </c>
      <c r="D11" t="s">
        <v>252</v>
      </c>
      <c r="E11" s="5">
        <v>5050</v>
      </c>
    </row>
    <row r="12" spans="2:5" x14ac:dyDescent="0.25">
      <c r="C12" t="s">
        <v>256</v>
      </c>
      <c r="D12" t="s">
        <v>257</v>
      </c>
      <c r="E12" s="5">
        <v>4200</v>
      </c>
    </row>
    <row r="13" spans="2:5" x14ac:dyDescent="0.25">
      <c r="C13" t="s">
        <v>5</v>
      </c>
      <c r="D13" t="s">
        <v>257</v>
      </c>
      <c r="E13" s="5">
        <v>8350</v>
      </c>
    </row>
    <row r="14" spans="2:5" x14ac:dyDescent="0.25">
      <c r="E14" s="8">
        <f>SUM(E10:E13)</f>
        <v>20850</v>
      </c>
    </row>
    <row r="15" spans="2:5" x14ac:dyDescent="0.25">
      <c r="E15" s="5"/>
    </row>
    <row r="16" spans="2:5" x14ac:dyDescent="0.25">
      <c r="B16" s="7">
        <v>41479</v>
      </c>
      <c r="C16" t="s">
        <v>10</v>
      </c>
      <c r="D16" t="s">
        <v>207</v>
      </c>
      <c r="E16" s="5">
        <v>36100</v>
      </c>
    </row>
    <row r="17" spans="2:5" x14ac:dyDescent="0.25">
      <c r="E17" s="8">
        <f>SUM(E16)</f>
        <v>36100</v>
      </c>
    </row>
    <row r="18" spans="2:5" x14ac:dyDescent="0.25">
      <c r="E18" s="5"/>
    </row>
    <row r="19" spans="2:5" x14ac:dyDescent="0.25">
      <c r="B19" s="7">
        <v>41513</v>
      </c>
      <c r="C19" t="s">
        <v>2</v>
      </c>
      <c r="D19" t="s">
        <v>252</v>
      </c>
      <c r="E19" s="5">
        <v>11533.59</v>
      </c>
    </row>
    <row r="20" spans="2:5" x14ac:dyDescent="0.25">
      <c r="E20" s="8">
        <f>SUM(E19)</f>
        <v>11533.59</v>
      </c>
    </row>
    <row r="21" spans="2:5" x14ac:dyDescent="0.25">
      <c r="E21" s="5"/>
    </row>
    <row r="22" spans="2:5" x14ac:dyDescent="0.25">
      <c r="B22" s="7">
        <v>41530</v>
      </c>
      <c r="C22" t="s">
        <v>2</v>
      </c>
      <c r="D22" t="s">
        <v>252</v>
      </c>
      <c r="E22" s="5">
        <v>5283.82</v>
      </c>
    </row>
    <row r="23" spans="2:5" x14ac:dyDescent="0.25">
      <c r="C23" t="s">
        <v>256</v>
      </c>
      <c r="D23" t="s">
        <v>252</v>
      </c>
      <c r="E23" s="5">
        <v>6502.93</v>
      </c>
    </row>
    <row r="24" spans="2:5" x14ac:dyDescent="0.25">
      <c r="C24" t="s">
        <v>5</v>
      </c>
      <c r="D24" t="s">
        <v>252</v>
      </c>
      <c r="E24" s="5">
        <v>18005.099999999999</v>
      </c>
    </row>
    <row r="25" spans="2:5" x14ac:dyDescent="0.25">
      <c r="E25" s="8">
        <f>SUM(E22:E24)</f>
        <v>29791.85</v>
      </c>
    </row>
    <row r="26" spans="2:5" x14ac:dyDescent="0.25">
      <c r="E26" s="5"/>
    </row>
    <row r="27" spans="2:5" x14ac:dyDescent="0.25">
      <c r="B27" s="7">
        <v>41536</v>
      </c>
      <c r="C27" t="s">
        <v>5</v>
      </c>
      <c r="D27" t="s">
        <v>206</v>
      </c>
      <c r="E27" s="5">
        <v>4331.1499999999996</v>
      </c>
    </row>
    <row r="28" spans="2:5" x14ac:dyDescent="0.25">
      <c r="E28" s="8">
        <f>SUM(E27)</f>
        <v>4331.1499999999996</v>
      </c>
    </row>
    <row r="29" spans="2:5" x14ac:dyDescent="0.25">
      <c r="E29" s="5"/>
    </row>
    <row r="30" spans="2:5" x14ac:dyDescent="0.25">
      <c r="B30" s="7">
        <v>41561</v>
      </c>
      <c r="C30" t="s">
        <v>10</v>
      </c>
      <c r="D30" t="s">
        <v>207</v>
      </c>
      <c r="E30" s="5">
        <v>39615.480000000003</v>
      </c>
    </row>
    <row r="31" spans="2:5" x14ac:dyDescent="0.25">
      <c r="E31" s="8">
        <f>SUM(E30)</f>
        <v>39615.480000000003</v>
      </c>
    </row>
    <row r="32" spans="2:5" x14ac:dyDescent="0.25">
      <c r="E32" s="5"/>
    </row>
    <row r="33" spans="2:5" x14ac:dyDescent="0.25">
      <c r="B33" s="7">
        <v>41639</v>
      </c>
      <c r="C33" t="s">
        <v>92</v>
      </c>
      <c r="E33" s="5">
        <v>31283.85</v>
      </c>
    </row>
    <row r="34" spans="2:5" x14ac:dyDescent="0.25">
      <c r="C34" t="s">
        <v>93</v>
      </c>
      <c r="E34" s="5">
        <v>11433.99</v>
      </c>
    </row>
    <row r="35" spans="2:5" x14ac:dyDescent="0.25">
      <c r="C35" t="s">
        <v>94</v>
      </c>
      <c r="E35" s="5">
        <v>15569.42</v>
      </c>
    </row>
    <row r="36" spans="2:5" x14ac:dyDescent="0.25">
      <c r="C36" t="s">
        <v>97</v>
      </c>
      <c r="E36" s="5">
        <v>58265.93</v>
      </c>
    </row>
    <row r="37" spans="2:5" x14ac:dyDescent="0.25">
      <c r="E37" s="8">
        <f>SUM(E33:E36)</f>
        <v>116553.19</v>
      </c>
    </row>
    <row r="39" spans="2:5" x14ac:dyDescent="0.25">
      <c r="B39" s="7">
        <v>41534</v>
      </c>
      <c r="C39" t="s">
        <v>92</v>
      </c>
      <c r="E39" s="5">
        <v>22477</v>
      </c>
    </row>
    <row r="40" spans="2:5" x14ac:dyDescent="0.25">
      <c r="C40" t="s">
        <v>93</v>
      </c>
      <c r="E40" s="5">
        <v>8221</v>
      </c>
    </row>
    <row r="41" spans="2:5" x14ac:dyDescent="0.25">
      <c r="C41" t="s">
        <v>94</v>
      </c>
      <c r="E41" s="5">
        <v>10836</v>
      </c>
    </row>
    <row r="42" spans="2:5" x14ac:dyDescent="0.25">
      <c r="C42" t="s">
        <v>97</v>
      </c>
      <c r="E42" s="5">
        <v>41065</v>
      </c>
    </row>
    <row r="43" spans="2:5" x14ac:dyDescent="0.25">
      <c r="C43" t="s">
        <v>268</v>
      </c>
      <c r="E43" s="5">
        <v>383.67</v>
      </c>
    </row>
    <row r="44" spans="2:5" x14ac:dyDescent="0.25">
      <c r="E44" s="8">
        <f>SUM(E39:E43)</f>
        <v>82982.67</v>
      </c>
    </row>
    <row r="46" spans="2:5" x14ac:dyDescent="0.25">
      <c r="C46" t="s">
        <v>41</v>
      </c>
      <c r="E46" s="5">
        <v>48069.599999999999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Revenue</vt:lpstr>
      <vt:lpstr>Streamlit</vt:lpstr>
      <vt:lpstr>Sheet1</vt:lpstr>
      <vt:lpstr>Bin by Year</vt:lpstr>
      <vt:lpstr>$ per Bin</vt:lpstr>
      <vt:lpstr>2025 Checks</vt:lpstr>
      <vt:lpstr>Sheet4</vt:lpstr>
      <vt:lpstr>2024 Checks</vt:lpstr>
      <vt:lpstr>2023 Checks</vt:lpstr>
      <vt:lpstr>2022 - Checks</vt:lpstr>
      <vt:lpstr>2021 - Checks</vt:lpstr>
      <vt:lpstr>2020 - Checks</vt:lpstr>
      <vt:lpstr>2019 - Checks</vt:lpstr>
      <vt:lpstr>2018 - Checks</vt:lpstr>
      <vt:lpstr>2017 - Checks</vt:lpstr>
      <vt:lpstr>2016 - Checks</vt:lpstr>
      <vt:lpstr>2015 - Checks</vt:lpstr>
      <vt:lpstr>2014 - Checks</vt:lpstr>
      <vt:lpstr>2013 - Checks</vt:lpstr>
      <vt:lpstr>Revenue!Print_Area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slater</dc:creator>
  <cp:keywords/>
  <dc:description/>
  <cp:lastModifiedBy>Meagan Slater</cp:lastModifiedBy>
  <cp:revision/>
  <dcterms:created xsi:type="dcterms:W3CDTF">2012-09-17T17:36:53Z</dcterms:created>
  <dcterms:modified xsi:type="dcterms:W3CDTF">2025-04-02T20:12:49Z</dcterms:modified>
  <cp:category/>
  <cp:contentStatus/>
</cp:coreProperties>
</file>