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760" windowHeight="6135" activeTab="6"/>
  </bookViews>
  <sheets>
    <sheet name="Sheet1" sheetId="1" r:id="rId1"/>
    <sheet name="Sheet2" sheetId="2" r:id="rId2"/>
    <sheet name="h0_300nm" sheetId="3" r:id="rId3"/>
    <sheet name="Pc_0p05" sheetId="4" r:id="rId4"/>
    <sheet name="avgFilmThicknesses" sheetId="5" r:id="rId5"/>
    <sheet name="avgFilmThickness_02" sheetId="6" r:id="rId6"/>
    <sheet name="Radoevdata" sheetId="7" r:id="rId7"/>
    <sheet name="RadoevData_basedOnhBy2" sheetId="8" r:id="rId8"/>
  </sheets>
  <calcPr calcId="145621"/>
</workbook>
</file>

<file path=xl/calcChain.xml><?xml version="1.0" encoding="utf-8"?>
<calcChain xmlns="http://schemas.openxmlformats.org/spreadsheetml/2006/main">
  <c r="T41" i="7" l="1"/>
  <c r="T31" i="7"/>
  <c r="T20" i="7"/>
  <c r="O38" i="7"/>
  <c r="O37" i="7"/>
  <c r="O36" i="7"/>
  <c r="P36" i="7" s="1"/>
  <c r="O35" i="7"/>
  <c r="P35" i="7" s="1"/>
  <c r="O29" i="7"/>
  <c r="P29" i="7" s="1"/>
  <c r="O28" i="7"/>
  <c r="P28" i="7" s="1"/>
  <c r="O27" i="7"/>
  <c r="P27" i="7" s="1"/>
  <c r="O26" i="7"/>
  <c r="V7" i="7"/>
  <c r="X7" i="7"/>
  <c r="Z7" i="7"/>
  <c r="AB18" i="7"/>
  <c r="X18" i="7"/>
  <c r="Y18" i="7"/>
  <c r="Z18" i="7"/>
  <c r="W18" i="7"/>
  <c r="V18" i="7"/>
  <c r="R18" i="7"/>
  <c r="N18" i="7"/>
  <c r="O18" i="7"/>
  <c r="P18" i="7"/>
  <c r="N15" i="7"/>
  <c r="O15" i="7"/>
  <c r="P15" i="7"/>
  <c r="N16" i="7"/>
  <c r="O16" i="7"/>
  <c r="P16" i="7" s="1"/>
  <c r="AB14" i="7"/>
  <c r="AB15" i="7"/>
  <c r="AB16" i="7"/>
  <c r="Y14" i="7"/>
  <c r="Z14" i="7"/>
  <c r="Y15" i="7"/>
  <c r="Z15" i="7"/>
  <c r="Y16" i="7"/>
  <c r="Z16" i="7"/>
  <c r="X14" i="7"/>
  <c r="W14" i="7"/>
  <c r="W15" i="7"/>
  <c r="W16" i="7"/>
  <c r="V14" i="7"/>
  <c r="V15" i="7"/>
  <c r="V16" i="7"/>
  <c r="N14" i="7"/>
  <c r="O14" i="7"/>
  <c r="P14" i="7"/>
  <c r="N10" i="7"/>
  <c r="V10" i="7"/>
  <c r="W10" i="7" s="1"/>
  <c r="V11" i="7"/>
  <c r="W11" i="7" s="1"/>
  <c r="V12" i="7"/>
  <c r="X10" i="7"/>
  <c r="AB10" i="7"/>
  <c r="AB11" i="7"/>
  <c r="AB12" i="7"/>
  <c r="Z10" i="7"/>
  <c r="Z11" i="7"/>
  <c r="Z12" i="7"/>
  <c r="Y10" i="7"/>
  <c r="Y11" i="7"/>
  <c r="Y12" i="7"/>
  <c r="R14" i="7"/>
  <c r="R15" i="7"/>
  <c r="X15" i="7" s="1"/>
  <c r="R16" i="7"/>
  <c r="X16" i="7" s="1"/>
  <c r="R10" i="7"/>
  <c r="R11" i="7"/>
  <c r="R12" i="7"/>
  <c r="P12" i="7"/>
  <c r="O10" i="7"/>
  <c r="P10" i="7" s="1"/>
  <c r="O11" i="7"/>
  <c r="P11" i="7" s="1"/>
  <c r="O12" i="7"/>
  <c r="N11" i="7"/>
  <c r="N12" i="7"/>
  <c r="J18" i="7"/>
  <c r="J16" i="7"/>
  <c r="J15" i="7"/>
  <c r="J14" i="7"/>
  <c r="J10" i="7"/>
  <c r="J11" i="7"/>
  <c r="J12" i="7"/>
  <c r="AB29" i="7"/>
  <c r="R29" i="7"/>
  <c r="X29" i="7" s="1"/>
  <c r="N29" i="7"/>
  <c r="J29" i="7"/>
  <c r="V29" i="7"/>
  <c r="W29" i="7" s="1"/>
  <c r="Y29" i="7"/>
  <c r="Z29" i="7"/>
  <c r="AB28" i="7"/>
  <c r="R28" i="7"/>
  <c r="X28" i="7" s="1"/>
  <c r="N28" i="7"/>
  <c r="J28" i="7"/>
  <c r="Y28" i="7" s="1"/>
  <c r="V28" i="7"/>
  <c r="W28" i="7" s="1"/>
  <c r="Z28" i="7"/>
  <c r="AB27" i="7"/>
  <c r="R27" i="7"/>
  <c r="X27" i="7" s="1"/>
  <c r="N27" i="7"/>
  <c r="J27" i="7"/>
  <c r="V27" i="7" s="1"/>
  <c r="W27" i="7" s="1"/>
  <c r="Z27" i="7"/>
  <c r="AB26" i="7"/>
  <c r="R26" i="7"/>
  <c r="X26" i="7" s="1"/>
  <c r="N26" i="7"/>
  <c r="P26" i="7"/>
  <c r="J26" i="7"/>
  <c r="Y26" i="7" s="1"/>
  <c r="V26" i="7"/>
  <c r="W26" i="7"/>
  <c r="Z26" i="7"/>
  <c r="AB38" i="7"/>
  <c r="R38" i="7"/>
  <c r="X38" i="7" s="1"/>
  <c r="N38" i="7"/>
  <c r="J38" i="7"/>
  <c r="V38" i="7" s="1"/>
  <c r="W38" i="7" s="1"/>
  <c r="Z38" i="7"/>
  <c r="AB37" i="7"/>
  <c r="R37" i="7"/>
  <c r="X37" i="7" s="1"/>
  <c r="P37" i="7"/>
  <c r="P38" i="7"/>
  <c r="N37" i="7"/>
  <c r="J37" i="7"/>
  <c r="Y37" i="7" s="1"/>
  <c r="V37" i="7"/>
  <c r="W37" i="7"/>
  <c r="Z37" i="7"/>
  <c r="AB35" i="7"/>
  <c r="R35" i="7"/>
  <c r="X35" i="7" s="1"/>
  <c r="N35" i="7"/>
  <c r="J35" i="7"/>
  <c r="V35" i="7" s="1"/>
  <c r="W35" i="7" s="1"/>
  <c r="Z35" i="7"/>
  <c r="AB36" i="7"/>
  <c r="R36" i="7"/>
  <c r="X36" i="7" s="1"/>
  <c r="N36" i="7"/>
  <c r="J36" i="7"/>
  <c r="V36" i="7"/>
  <c r="W36" i="7"/>
  <c r="Y36" i="7"/>
  <c r="Z36" i="7"/>
  <c r="W7" i="7"/>
  <c r="AB8" i="7"/>
  <c r="AB9" i="7"/>
  <c r="AB13" i="7"/>
  <c r="AB17" i="7"/>
  <c r="AB19" i="7"/>
  <c r="AB7" i="7"/>
  <c r="Z8" i="7"/>
  <c r="Z9" i="7"/>
  <c r="Z13" i="7"/>
  <c r="Z17" i="7"/>
  <c r="Z19" i="7"/>
  <c r="Y7" i="7"/>
  <c r="Y8" i="7"/>
  <c r="Y9" i="7"/>
  <c r="Y13" i="7"/>
  <c r="Y17" i="7"/>
  <c r="Y19" i="7"/>
  <c r="W8" i="7"/>
  <c r="W9" i="7"/>
  <c r="W13" i="7"/>
  <c r="W17" i="7"/>
  <c r="W19" i="7"/>
  <c r="V8" i="7"/>
  <c r="V9" i="7"/>
  <c r="V13" i="7"/>
  <c r="V17" i="7"/>
  <c r="V19" i="7"/>
  <c r="R7" i="7"/>
  <c r="R8" i="7"/>
  <c r="X8" i="7" s="1"/>
  <c r="R9" i="7"/>
  <c r="X9" i="7" s="1"/>
  <c r="R13" i="7"/>
  <c r="X13" i="7" s="1"/>
  <c r="R17" i="7"/>
  <c r="X17" i="7" s="1"/>
  <c r="R19" i="7"/>
  <c r="X19" i="7" s="1"/>
  <c r="P7" i="7"/>
  <c r="P8" i="7"/>
  <c r="P13" i="7"/>
  <c r="O7" i="7"/>
  <c r="O8" i="7"/>
  <c r="O9" i="7"/>
  <c r="P9" i="7" s="1"/>
  <c r="O13" i="7"/>
  <c r="O17" i="7"/>
  <c r="P17" i="7" s="1"/>
  <c r="O19" i="7"/>
  <c r="P19" i="7" s="1"/>
  <c r="N7" i="7"/>
  <c r="N8" i="7"/>
  <c r="N9" i="7"/>
  <c r="N13" i="7"/>
  <c r="N17" i="7"/>
  <c r="N19" i="7"/>
  <c r="X12" i="7" l="1"/>
  <c r="X11" i="7"/>
  <c r="W12" i="7"/>
  <c r="Y27" i="7"/>
  <c r="Y38" i="7"/>
  <c r="Y35" i="7"/>
  <c r="J8" i="7"/>
  <c r="J9" i="7"/>
  <c r="J13" i="7"/>
  <c r="J17" i="7"/>
  <c r="J19" i="7"/>
  <c r="J7" i="7"/>
  <c r="AB21" i="7"/>
  <c r="AB22" i="7"/>
  <c r="AB23" i="7"/>
  <c r="AB24" i="7"/>
  <c r="AB25" i="7"/>
  <c r="AB30" i="7"/>
  <c r="AB31" i="7"/>
  <c r="AB32" i="7"/>
  <c r="AB33" i="7"/>
  <c r="AB34" i="7"/>
  <c r="AB39" i="7"/>
  <c r="AB40" i="7"/>
  <c r="AB41" i="7"/>
  <c r="AB42" i="7"/>
  <c r="AB43" i="7"/>
  <c r="AB44" i="7"/>
  <c r="AB45" i="7"/>
  <c r="AB46" i="7"/>
  <c r="Z21" i="7"/>
  <c r="Z22" i="7"/>
  <c r="Z23" i="7"/>
  <c r="Z24" i="7"/>
  <c r="Z25" i="7"/>
  <c r="Z30" i="7"/>
  <c r="Z31" i="7"/>
  <c r="Z32" i="7"/>
  <c r="Z33" i="7"/>
  <c r="Z34" i="7"/>
  <c r="Z39" i="7"/>
  <c r="Z40" i="7"/>
  <c r="Z41" i="7"/>
  <c r="Z42" i="7"/>
  <c r="Z43" i="7"/>
  <c r="Z44" i="7"/>
  <c r="Z45" i="7"/>
  <c r="Z46" i="7"/>
  <c r="Y21" i="7"/>
  <c r="Y22" i="7"/>
  <c r="Y23" i="7"/>
  <c r="Y24" i="7"/>
  <c r="Y25" i="7"/>
  <c r="Y30" i="7"/>
  <c r="Y31" i="7"/>
  <c r="Y32" i="7"/>
  <c r="Y34" i="7"/>
  <c r="Y39" i="7"/>
  <c r="Y40" i="7"/>
  <c r="Y41" i="7"/>
  <c r="Y42" i="7"/>
  <c r="Y43" i="7"/>
  <c r="Y44" i="7"/>
  <c r="Y45" i="7"/>
  <c r="Y46" i="7"/>
  <c r="X45" i="7"/>
  <c r="W21" i="7"/>
  <c r="W22" i="7"/>
  <c r="W23" i="7"/>
  <c r="W24" i="7"/>
  <c r="W25" i="7"/>
  <c r="W30" i="7"/>
  <c r="W31" i="7"/>
  <c r="W32" i="7"/>
  <c r="W34" i="7"/>
  <c r="W39" i="7"/>
  <c r="W40" i="7"/>
  <c r="W41" i="7"/>
  <c r="W42" i="7"/>
  <c r="W43" i="7"/>
  <c r="W44" i="7"/>
  <c r="W45" i="7"/>
  <c r="W46" i="7"/>
  <c r="V21" i="7"/>
  <c r="V22" i="7"/>
  <c r="V23" i="7"/>
  <c r="V24" i="7"/>
  <c r="V25" i="7"/>
  <c r="V30" i="7"/>
  <c r="V31" i="7"/>
  <c r="V32" i="7"/>
  <c r="V34" i="7"/>
  <c r="V39" i="7"/>
  <c r="V40" i="7"/>
  <c r="V41" i="7"/>
  <c r="V42" i="7"/>
  <c r="V43" i="7"/>
  <c r="V44" i="7"/>
  <c r="V45" i="7"/>
  <c r="V46" i="7"/>
  <c r="R21" i="7"/>
  <c r="X21" i="7" s="1"/>
  <c r="R22" i="7"/>
  <c r="X22" i="7" s="1"/>
  <c r="R23" i="7"/>
  <c r="X23" i="7" s="1"/>
  <c r="R24" i="7"/>
  <c r="X24" i="7" s="1"/>
  <c r="R25" i="7"/>
  <c r="X25" i="7" s="1"/>
  <c r="R30" i="7"/>
  <c r="X30" i="7" s="1"/>
  <c r="R31" i="7"/>
  <c r="X31" i="7" s="1"/>
  <c r="R32" i="7"/>
  <c r="X32" i="7" s="1"/>
  <c r="R33" i="7"/>
  <c r="R34" i="7"/>
  <c r="X34" i="7" s="1"/>
  <c r="R39" i="7"/>
  <c r="X39" i="7" s="1"/>
  <c r="R40" i="7"/>
  <c r="X40" i="7" s="1"/>
  <c r="R41" i="7"/>
  <c r="X41" i="7" s="1"/>
  <c r="R42" i="7"/>
  <c r="X42" i="7" s="1"/>
  <c r="R43" i="7"/>
  <c r="X43" i="7" s="1"/>
  <c r="R44" i="7"/>
  <c r="X44" i="7" s="1"/>
  <c r="R45" i="7"/>
  <c r="R46" i="7"/>
  <c r="X46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30" i="7"/>
  <c r="P30" i="7" s="1"/>
  <c r="O31" i="7"/>
  <c r="P31" i="7" s="1"/>
  <c r="O32" i="7"/>
  <c r="P32" i="7" s="1"/>
  <c r="O33" i="7"/>
  <c r="P33" i="7" s="1"/>
  <c r="O34" i="7"/>
  <c r="P34" i="7" s="1"/>
  <c r="O39" i="7"/>
  <c r="P39" i="7" s="1"/>
  <c r="O40" i="7"/>
  <c r="P40" i="7" s="1"/>
  <c r="O41" i="7"/>
  <c r="P41" i="7" s="1"/>
  <c r="O42" i="7"/>
  <c r="P42" i="7" s="1"/>
  <c r="O43" i="7"/>
  <c r="P43" i="7" s="1"/>
  <c r="O44" i="7"/>
  <c r="P44" i="7" s="1"/>
  <c r="O45" i="7"/>
  <c r="P45" i="7" s="1"/>
  <c r="O46" i="7"/>
  <c r="P46" i="7" s="1"/>
  <c r="N32" i="7"/>
  <c r="N33" i="7"/>
  <c r="N34" i="7"/>
  <c r="N39" i="7"/>
  <c r="N40" i="7"/>
  <c r="N41" i="7"/>
  <c r="N42" i="7"/>
  <c r="N43" i="7"/>
  <c r="N44" i="7"/>
  <c r="N45" i="7"/>
  <c r="N46" i="7"/>
  <c r="N21" i="7"/>
  <c r="N22" i="7"/>
  <c r="N23" i="7"/>
  <c r="N24" i="7"/>
  <c r="N25" i="7"/>
  <c r="N30" i="7"/>
  <c r="N31" i="7"/>
  <c r="AB20" i="7"/>
  <c r="Z20" i="7"/>
  <c r="Y20" i="7"/>
  <c r="W20" i="7"/>
  <c r="V20" i="7"/>
  <c r="F52" i="7"/>
  <c r="R20" i="7"/>
  <c r="X20" i="7" s="1"/>
  <c r="N20" i="7"/>
  <c r="F21" i="7"/>
  <c r="AC52" i="7"/>
  <c r="AC51" i="7"/>
  <c r="AB52" i="7"/>
  <c r="AB53" i="7"/>
  <c r="AB54" i="7"/>
  <c r="AB55" i="7"/>
  <c r="AB51" i="7"/>
  <c r="O52" i="7"/>
  <c r="O53" i="7"/>
  <c r="O54" i="7"/>
  <c r="O55" i="7"/>
  <c r="O51" i="7"/>
  <c r="M65" i="7"/>
  <c r="M67" i="7" s="1"/>
  <c r="O60" i="7"/>
  <c r="K4" i="5"/>
  <c r="C55" i="7"/>
  <c r="C54" i="7"/>
  <c r="C51" i="7"/>
  <c r="C52" i="7"/>
  <c r="Z52" i="7" s="1"/>
  <c r="F22" i="7"/>
  <c r="J21" i="7" s="1"/>
  <c r="F20" i="7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4" i="6"/>
  <c r="M5" i="6"/>
  <c r="M6" i="6"/>
  <c r="M7" i="6"/>
  <c r="M8" i="6"/>
  <c r="M4" i="6"/>
  <c r="I5" i="6"/>
  <c r="I6" i="6"/>
  <c r="I7" i="6"/>
  <c r="I8" i="6"/>
  <c r="I4" i="6"/>
  <c r="S9" i="6"/>
  <c r="C28" i="6"/>
  <c r="C26" i="6"/>
  <c r="Q23" i="6"/>
  <c r="Q22" i="6"/>
  <c r="Q21" i="6"/>
  <c r="Q20" i="6"/>
  <c r="I20" i="6"/>
  <c r="Q19" i="6"/>
  <c r="I19" i="6"/>
  <c r="Q18" i="6"/>
  <c r="F18" i="6"/>
  <c r="Q17" i="6"/>
  <c r="Q16" i="6"/>
  <c r="Q15" i="6"/>
  <c r="Q14" i="6"/>
  <c r="I14" i="6"/>
  <c r="F14" i="6"/>
  <c r="Q13" i="6"/>
  <c r="I13" i="6"/>
  <c r="Q12" i="6"/>
  <c r="I12" i="6"/>
  <c r="Q11" i="6"/>
  <c r="I11" i="6"/>
  <c r="Q10" i="6"/>
  <c r="I10" i="6"/>
  <c r="Q9" i="6"/>
  <c r="M9" i="6"/>
  <c r="F9" i="6"/>
  <c r="Q19" i="5"/>
  <c r="M66" i="7" l="1"/>
  <c r="N51" i="7"/>
  <c r="Z53" i="7"/>
  <c r="Z54" i="7"/>
  <c r="F53" i="7"/>
  <c r="J54" i="7" s="1"/>
  <c r="Z55" i="7"/>
  <c r="F51" i="7"/>
  <c r="Z51" i="7"/>
  <c r="J24" i="7"/>
  <c r="J44" i="7"/>
  <c r="J40" i="7"/>
  <c r="J32" i="7"/>
  <c r="J20" i="7"/>
  <c r="J43" i="7"/>
  <c r="J39" i="7"/>
  <c r="J31" i="7"/>
  <c r="J23" i="7"/>
  <c r="J46" i="7"/>
  <c r="J42" i="7"/>
  <c r="J34" i="7"/>
  <c r="J30" i="7"/>
  <c r="J22" i="7"/>
  <c r="J45" i="7"/>
  <c r="J41" i="7"/>
  <c r="J33" i="7"/>
  <c r="J25" i="7"/>
  <c r="M18" i="6"/>
  <c r="S19" i="6"/>
  <c r="O9" i="6"/>
  <c r="M10" i="6"/>
  <c r="M11" i="6"/>
  <c r="M12" i="6"/>
  <c r="M13" i="6"/>
  <c r="S14" i="6"/>
  <c r="S15" i="6"/>
  <c r="S16" i="6"/>
  <c r="S17" i="6"/>
  <c r="O18" i="6"/>
  <c r="M19" i="6"/>
  <c r="S20" i="6"/>
  <c r="S21" i="6"/>
  <c r="S22" i="6"/>
  <c r="S23" i="6"/>
  <c r="M14" i="6"/>
  <c r="I15" i="6"/>
  <c r="I16" i="6"/>
  <c r="I17" i="6"/>
  <c r="I9" i="6"/>
  <c r="S10" i="6"/>
  <c r="S11" i="6"/>
  <c r="S12" i="6"/>
  <c r="S13" i="6"/>
  <c r="O14" i="6"/>
  <c r="M15" i="6"/>
  <c r="M16" i="6"/>
  <c r="M17" i="6"/>
  <c r="I18" i="6"/>
  <c r="S18" i="6"/>
  <c r="O20" i="6"/>
  <c r="M21" i="6"/>
  <c r="M22" i="6"/>
  <c r="M23" i="6"/>
  <c r="O19" i="6"/>
  <c r="M20" i="6"/>
  <c r="I21" i="6"/>
  <c r="I22" i="6"/>
  <c r="I23" i="6"/>
  <c r="S24" i="6"/>
  <c r="Q12" i="5"/>
  <c r="O12" i="5"/>
  <c r="K12" i="5"/>
  <c r="I12" i="5"/>
  <c r="F4" i="5"/>
  <c r="Q10" i="5"/>
  <c r="O10" i="5"/>
  <c r="K10" i="5"/>
  <c r="I10" i="5"/>
  <c r="Q11" i="5"/>
  <c r="O11" i="5"/>
  <c r="K9" i="5"/>
  <c r="K11" i="5"/>
  <c r="I11" i="5"/>
  <c r="Q5" i="5"/>
  <c r="Q6" i="5"/>
  <c r="Q7" i="5"/>
  <c r="Q8" i="5"/>
  <c r="O5" i="5"/>
  <c r="O6" i="5"/>
  <c r="O7" i="5"/>
  <c r="O8" i="5"/>
  <c r="K5" i="5"/>
  <c r="K6" i="5"/>
  <c r="K7" i="5"/>
  <c r="K8" i="5"/>
  <c r="I5" i="5"/>
  <c r="I6" i="5"/>
  <c r="I7" i="5"/>
  <c r="I8" i="5"/>
  <c r="Q18" i="5"/>
  <c r="O18" i="5"/>
  <c r="K18" i="5"/>
  <c r="I18" i="5"/>
  <c r="Q17" i="5"/>
  <c r="O17" i="5"/>
  <c r="K17" i="5"/>
  <c r="I17" i="5"/>
  <c r="Q16" i="5"/>
  <c r="O16" i="5"/>
  <c r="K16" i="5"/>
  <c r="I16" i="5"/>
  <c r="O57" i="5"/>
  <c r="O56" i="5"/>
  <c r="O58" i="5"/>
  <c r="O59" i="5"/>
  <c r="O55" i="5"/>
  <c r="Q13" i="5"/>
  <c r="O9" i="5"/>
  <c r="O13" i="5"/>
  <c r="O14" i="5"/>
  <c r="O15" i="5"/>
  <c r="O4" i="5"/>
  <c r="Q9" i="5"/>
  <c r="Q14" i="5"/>
  <c r="Q15" i="5"/>
  <c r="Q4" i="5"/>
  <c r="Q56" i="5"/>
  <c r="Q57" i="5"/>
  <c r="Q58" i="5"/>
  <c r="Q59" i="5"/>
  <c r="Q55" i="5"/>
  <c r="F56" i="5"/>
  <c r="F55" i="5"/>
  <c r="F54" i="5"/>
  <c r="C23" i="5"/>
  <c r="C21" i="5"/>
  <c r="F13" i="5"/>
  <c r="F9" i="5"/>
  <c r="K38" i="4"/>
  <c r="V33" i="7" l="1"/>
  <c r="Y33" i="7"/>
  <c r="N53" i="7"/>
  <c r="R54" i="7"/>
  <c r="R53" i="7"/>
  <c r="N54" i="7"/>
  <c r="P52" i="7"/>
  <c r="N55" i="7"/>
  <c r="N60" i="7"/>
  <c r="R60" i="7"/>
  <c r="P55" i="7"/>
  <c r="P51" i="7"/>
  <c r="R55" i="7"/>
  <c r="R52" i="7"/>
  <c r="P53" i="7"/>
  <c r="P60" i="7"/>
  <c r="N52" i="7"/>
  <c r="R51" i="7"/>
  <c r="P54" i="7"/>
  <c r="V51" i="7"/>
  <c r="J52" i="7"/>
  <c r="Y52" i="7" s="1"/>
  <c r="J60" i="7"/>
  <c r="Y54" i="7"/>
  <c r="J53" i="7"/>
  <c r="Y53" i="7" s="1"/>
  <c r="J51" i="7"/>
  <c r="Y51" i="7" s="1"/>
  <c r="V54" i="7"/>
  <c r="J55" i="7"/>
  <c r="V55" i="7" s="1"/>
  <c r="I56" i="5"/>
  <c r="I55" i="5"/>
  <c r="I15" i="5"/>
  <c r="I57" i="5"/>
  <c r="I58" i="5"/>
  <c r="I13" i="5"/>
  <c r="I9" i="5"/>
  <c r="I4" i="5"/>
  <c r="I59" i="5"/>
  <c r="I54" i="5"/>
  <c r="I14" i="5"/>
  <c r="M58" i="5"/>
  <c r="K57" i="5"/>
  <c r="M13" i="5"/>
  <c r="M9" i="5"/>
  <c r="M4" i="5"/>
  <c r="M59" i="5"/>
  <c r="K58" i="5"/>
  <c r="M14" i="5"/>
  <c r="K13" i="5"/>
  <c r="K59" i="5"/>
  <c r="M56" i="5"/>
  <c r="M55" i="5"/>
  <c r="K54" i="5"/>
  <c r="M15" i="5"/>
  <c r="K14" i="5"/>
  <c r="M57" i="5"/>
  <c r="K56" i="5"/>
  <c r="K55" i="5"/>
  <c r="K15" i="5"/>
  <c r="I5" i="4"/>
  <c r="C13" i="4"/>
  <c r="C11" i="4"/>
  <c r="F39" i="4"/>
  <c r="F38" i="4"/>
  <c r="F37" i="4"/>
  <c r="F6" i="4"/>
  <c r="I7" i="4" s="1"/>
  <c r="F5" i="4"/>
  <c r="K8" i="4" s="1"/>
  <c r="F4" i="4"/>
  <c r="X33" i="7" l="1"/>
  <c r="W33" i="7"/>
  <c r="X51" i="7"/>
  <c r="V52" i="7"/>
  <c r="W52" i="7" s="1"/>
  <c r="W55" i="7"/>
  <c r="X55" i="7"/>
  <c r="W54" i="7"/>
  <c r="X54" i="7"/>
  <c r="V53" i="7"/>
  <c r="Y55" i="7"/>
  <c r="N6" i="4"/>
  <c r="I40" i="4"/>
  <c r="K41" i="4"/>
  <c r="M42" i="4"/>
  <c r="I4" i="4"/>
  <c r="I6" i="4"/>
  <c r="K7" i="4"/>
  <c r="M8" i="4"/>
  <c r="M41" i="4"/>
  <c r="N4" i="4"/>
  <c r="I42" i="4"/>
  <c r="I38" i="4"/>
  <c r="I39" i="4"/>
  <c r="K40" i="4"/>
  <c r="K4" i="4"/>
  <c r="K5" i="4"/>
  <c r="K6" i="4"/>
  <c r="M7" i="4"/>
  <c r="N8" i="4"/>
  <c r="I37" i="4"/>
  <c r="K39" i="4"/>
  <c r="M40" i="4"/>
  <c r="M4" i="4"/>
  <c r="M5" i="4"/>
  <c r="N5" i="4" s="1"/>
  <c r="M6" i="4"/>
  <c r="N7" i="4"/>
  <c r="I8" i="4"/>
  <c r="K37" i="4"/>
  <c r="M38" i="4"/>
  <c r="M39" i="4"/>
  <c r="I41" i="4"/>
  <c r="K42" i="4"/>
  <c r="K37" i="3"/>
  <c r="I37" i="3"/>
  <c r="M42" i="3"/>
  <c r="K42" i="3"/>
  <c r="I42" i="3"/>
  <c r="M41" i="3"/>
  <c r="K41" i="3"/>
  <c r="I41" i="3"/>
  <c r="M40" i="3"/>
  <c r="K40" i="3"/>
  <c r="I40" i="3"/>
  <c r="F39" i="3"/>
  <c r="M39" i="3"/>
  <c r="K39" i="3"/>
  <c r="I39" i="3"/>
  <c r="F38" i="3"/>
  <c r="M38" i="3"/>
  <c r="K38" i="3"/>
  <c r="I38" i="3"/>
  <c r="F37" i="3"/>
  <c r="I7" i="3"/>
  <c r="F6" i="3"/>
  <c r="I8" i="3"/>
  <c r="F5" i="3"/>
  <c r="M6" i="3" s="1"/>
  <c r="F4" i="3"/>
  <c r="N4" i="2"/>
  <c r="F5" i="2"/>
  <c r="F6" i="2"/>
  <c r="I7" i="2"/>
  <c r="K8" i="2"/>
  <c r="F4" i="2"/>
  <c r="X52" i="7" l="1"/>
  <c r="W53" i="7"/>
  <c r="X53" i="7"/>
  <c r="W51" i="7"/>
  <c r="Q5" i="4"/>
  <c r="Q16" i="4" s="1"/>
  <c r="N16" i="4"/>
  <c r="P5" i="4"/>
  <c r="P16" i="4" s="1"/>
  <c r="N24" i="4"/>
  <c r="O5" i="4"/>
  <c r="O16" i="4" s="1"/>
  <c r="Q4" i="4"/>
  <c r="Q15" i="4" s="1"/>
  <c r="N23" i="4"/>
  <c r="O23" i="4" s="1"/>
  <c r="Q23" i="4" s="1"/>
  <c r="N15" i="4"/>
  <c r="P4" i="4"/>
  <c r="P15" i="4" s="1"/>
  <c r="O4" i="4"/>
  <c r="O15" i="4" s="1"/>
  <c r="O7" i="4"/>
  <c r="O18" i="4" s="1"/>
  <c r="N26" i="4"/>
  <c r="N18" i="4"/>
  <c r="Q7" i="4"/>
  <c r="Q18" i="4" s="1"/>
  <c r="P7" i="4"/>
  <c r="P18" i="4" s="1"/>
  <c r="P8" i="4"/>
  <c r="P19" i="4" s="1"/>
  <c r="O8" i="4"/>
  <c r="O19" i="4" s="1"/>
  <c r="N27" i="4"/>
  <c r="O27" i="4" s="1"/>
  <c r="Q27" i="4" s="1"/>
  <c r="N19" i="4"/>
  <c r="Q8" i="4"/>
  <c r="Q19" i="4" s="1"/>
  <c r="N25" i="4"/>
  <c r="Q6" i="4"/>
  <c r="Q17" i="4" s="1"/>
  <c r="N17" i="4"/>
  <c r="P6" i="4"/>
  <c r="P17" i="4" s="1"/>
  <c r="O6" i="4"/>
  <c r="O17" i="4" s="1"/>
  <c r="I6" i="3"/>
  <c r="K7" i="3"/>
  <c r="N6" i="3"/>
  <c r="K8" i="3"/>
  <c r="I4" i="3"/>
  <c r="K4" i="3"/>
  <c r="M7" i="3"/>
  <c r="N7" i="3" s="1"/>
  <c r="I5" i="3"/>
  <c r="M8" i="3"/>
  <c r="N8" i="3" s="1"/>
  <c r="K5" i="3"/>
  <c r="K6" i="3"/>
  <c r="M4" i="3"/>
  <c r="N4" i="3" s="1"/>
  <c r="M5" i="3"/>
  <c r="N5" i="3" s="1"/>
  <c r="I4" i="2"/>
  <c r="I5" i="2"/>
  <c r="I6" i="2"/>
  <c r="K7" i="2"/>
  <c r="M8" i="2"/>
  <c r="K4" i="2"/>
  <c r="K5" i="2"/>
  <c r="M7" i="2"/>
  <c r="N7" i="2" s="1"/>
  <c r="N8" i="2"/>
  <c r="K6" i="2"/>
  <c r="M4" i="2"/>
  <c r="M5" i="2"/>
  <c r="N5" i="2" s="1"/>
  <c r="M6" i="2"/>
  <c r="N6" i="2" s="1"/>
  <c r="I8" i="2"/>
  <c r="F6" i="1"/>
  <c r="O26" i="4" l="1"/>
  <c r="Q26" i="4" s="1"/>
  <c r="O24" i="4"/>
  <c r="Q24" i="4" s="1"/>
  <c r="O25" i="4"/>
  <c r="Q25" i="4" s="1"/>
  <c r="Q4" i="3"/>
  <c r="Q15" i="3" s="1"/>
  <c r="P4" i="3"/>
  <c r="P15" i="3" s="1"/>
  <c r="O4" i="3"/>
  <c r="O15" i="3" s="1"/>
  <c r="N23" i="3"/>
  <c r="N15" i="3"/>
  <c r="N26" i="3"/>
  <c r="O7" i="3"/>
  <c r="O18" i="3" s="1"/>
  <c r="N18" i="3"/>
  <c r="Q7" i="3"/>
  <c r="Q18" i="3" s="1"/>
  <c r="P7" i="3"/>
  <c r="P18" i="3" s="1"/>
  <c r="Q6" i="3"/>
  <c r="Q17" i="3" s="1"/>
  <c r="O6" i="3"/>
  <c r="O17" i="3" s="1"/>
  <c r="N17" i="3"/>
  <c r="P6" i="3"/>
  <c r="P17" i="3" s="1"/>
  <c r="N25" i="3"/>
  <c r="O8" i="3"/>
  <c r="O19" i="3" s="1"/>
  <c r="N27" i="3"/>
  <c r="N19" i="3"/>
  <c r="Q8" i="3"/>
  <c r="Q19" i="3" s="1"/>
  <c r="P8" i="3"/>
  <c r="P19" i="3" s="1"/>
  <c r="Q5" i="3"/>
  <c r="Q16" i="3" s="1"/>
  <c r="N16" i="3"/>
  <c r="P5" i="3"/>
  <c r="P16" i="3" s="1"/>
  <c r="O5" i="3"/>
  <c r="O16" i="3" s="1"/>
  <c r="N24" i="3"/>
  <c r="O7" i="2"/>
  <c r="O18" i="2" s="1"/>
  <c r="N26" i="2"/>
  <c r="O26" i="2" s="1"/>
  <c r="Q26" i="2" s="1"/>
  <c r="N18" i="2"/>
  <c r="Q7" i="2"/>
  <c r="Q18" i="2" s="1"/>
  <c r="P7" i="2"/>
  <c r="P18" i="2" s="1"/>
  <c r="N25" i="2"/>
  <c r="Q6" i="2"/>
  <c r="Q17" i="2" s="1"/>
  <c r="N17" i="2"/>
  <c r="P6" i="2"/>
  <c r="P17" i="2" s="1"/>
  <c r="O6" i="2"/>
  <c r="O17" i="2" s="1"/>
  <c r="Q5" i="2"/>
  <c r="Q16" i="2" s="1"/>
  <c r="P5" i="2"/>
  <c r="P16" i="2" s="1"/>
  <c r="N16" i="2"/>
  <c r="N24" i="2"/>
  <c r="O5" i="2"/>
  <c r="O16" i="2" s="1"/>
  <c r="P8" i="2"/>
  <c r="P19" i="2" s="1"/>
  <c r="O8" i="2"/>
  <c r="O19" i="2" s="1"/>
  <c r="N27" i="2"/>
  <c r="O27" i="2" s="1"/>
  <c r="Q27" i="2" s="1"/>
  <c r="N19" i="2"/>
  <c r="Q8" i="2"/>
  <c r="Q19" i="2" s="1"/>
  <c r="Q4" i="2"/>
  <c r="Q15" i="2" s="1"/>
  <c r="P4" i="2"/>
  <c r="P15" i="2" s="1"/>
  <c r="N23" i="2"/>
  <c r="N15" i="2"/>
  <c r="O4" i="2"/>
  <c r="O15" i="2" s="1"/>
  <c r="N23" i="1"/>
  <c r="Q24" i="1"/>
  <c r="Q25" i="1"/>
  <c r="Q26" i="1"/>
  <c r="Q27" i="1"/>
  <c r="Q23" i="1"/>
  <c r="O24" i="1"/>
  <c r="O25" i="1"/>
  <c r="O26" i="1"/>
  <c r="O27" i="1"/>
  <c r="O23" i="1"/>
  <c r="N24" i="1"/>
  <c r="N25" i="1"/>
  <c r="N26" i="1"/>
  <c r="N27" i="1"/>
  <c r="O25" i="3" l="1"/>
  <c r="Q25" i="3" s="1"/>
  <c r="O23" i="3"/>
  <c r="Q23" i="3" s="1"/>
  <c r="O26" i="3"/>
  <c r="Q26" i="3" s="1"/>
  <c r="O24" i="3"/>
  <c r="Q24" i="3" s="1"/>
  <c r="O27" i="3"/>
  <c r="Q27" i="3" s="1"/>
  <c r="O23" i="2"/>
  <c r="Q23" i="2" s="1"/>
  <c r="O24" i="2"/>
  <c r="Q24" i="2" s="1"/>
  <c r="O25" i="2"/>
  <c r="Q25" i="2" s="1"/>
  <c r="Q16" i="1"/>
  <c r="Q17" i="1"/>
  <c r="Q18" i="1"/>
  <c r="Q19" i="1"/>
  <c r="Q15" i="1"/>
  <c r="P16" i="1"/>
  <c r="P17" i="1"/>
  <c r="P18" i="1"/>
  <c r="P19" i="1"/>
  <c r="P15" i="1"/>
  <c r="P4" i="1"/>
  <c r="O16" i="1"/>
  <c r="O17" i="1"/>
  <c r="O18" i="1"/>
  <c r="O19" i="1"/>
  <c r="O15" i="1"/>
  <c r="N16" i="1"/>
  <c r="N15" i="1"/>
  <c r="N17" i="1"/>
  <c r="N18" i="1"/>
  <c r="N19" i="1"/>
  <c r="I8" i="1" l="1"/>
  <c r="M7" i="1"/>
  <c r="M6" i="1"/>
  <c r="K6" i="1"/>
  <c r="I6" i="1"/>
  <c r="M5" i="1"/>
  <c r="K5" i="1"/>
  <c r="F5" i="1"/>
  <c r="M8" i="1" s="1"/>
  <c r="M4" i="1"/>
  <c r="K4" i="1"/>
  <c r="F4" i="1"/>
  <c r="N6" i="1" s="1"/>
  <c r="O6" i="1" l="1"/>
  <c r="Q6" i="1"/>
  <c r="P6" i="1"/>
  <c r="N8" i="1"/>
  <c r="N4" i="1"/>
  <c r="N7" i="1"/>
  <c r="N5" i="1"/>
  <c r="I7" i="1"/>
  <c r="K8" i="1"/>
  <c r="I4" i="1"/>
  <c r="I5" i="1"/>
  <c r="K7" i="1"/>
  <c r="O5" i="1" l="1"/>
  <c r="Q5" i="1"/>
  <c r="P5" i="1"/>
  <c r="P7" i="1"/>
  <c r="O7" i="1"/>
  <c r="Q7" i="1"/>
  <c r="Q8" i="1"/>
  <c r="P8" i="1"/>
  <c r="O8" i="1"/>
  <c r="O4" i="1"/>
  <c r="Q4" i="1"/>
</calcChain>
</file>

<file path=xl/comments1.xml><?xml version="1.0" encoding="utf-8"?>
<comments xmlns="http://schemas.openxmlformats.org/spreadsheetml/2006/main">
  <authors>
    <author>Maulik Shah - TNW</author>
  </authors>
  <commentList>
    <comment ref="AA16" authorId="0">
      <text>
        <r>
          <rPr>
            <b/>
            <sz val="9"/>
            <color indexed="81"/>
            <rFont val="Tahoma"/>
            <charset val="1"/>
          </rPr>
          <t>Maulik Shah - TNW:</t>
        </r>
        <r>
          <rPr>
            <sz val="9"/>
            <color indexed="81"/>
            <rFont val="Tahoma"/>
            <charset val="1"/>
          </rPr>
          <t xml:space="preserve">
0.1778 was written here for some reason which got corrected to 0.2025. On double checking it indeed was 0.2025
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Maulik Shah - TNW:</t>
        </r>
        <r>
          <rPr>
            <sz val="9"/>
            <color indexed="81"/>
            <rFont val="Tahoma"/>
            <family val="2"/>
          </rPr>
          <t xml:space="preserve">
half thickness - overthought
</t>
        </r>
      </text>
    </comment>
  </commentList>
</comments>
</file>

<file path=xl/sharedStrings.xml><?xml version="1.0" encoding="utf-8"?>
<sst xmlns="http://schemas.openxmlformats.org/spreadsheetml/2006/main" count="433" uniqueCount="108">
  <si>
    <t>keep rest constant, but change one of the parameters</t>
  </si>
  <si>
    <t>shows almost no dependence on film size</t>
  </si>
  <si>
    <t>Original conditions from Manev 1984(a) and Malhotra 1987</t>
  </si>
  <si>
    <t>R_f - exp (m)</t>
  </si>
  <si>
    <t>L_film</t>
  </si>
  <si>
    <t>t_rupt</t>
  </si>
  <si>
    <t>t_rupt (dimensional)</t>
  </si>
  <si>
    <r>
      <t xml:space="preserve">Expected </t>
    </r>
    <r>
      <rPr>
        <sz val="11"/>
        <color theme="1"/>
        <rFont val="Symbol"/>
        <family val="1"/>
        <charset val="2"/>
      </rPr>
      <t>k</t>
    </r>
  </si>
  <si>
    <t>Expected h0</t>
  </si>
  <si>
    <t>Expected A</t>
  </si>
  <si>
    <t>Expected gamma</t>
  </si>
  <si>
    <t>R_c</t>
  </si>
  <si>
    <t>m</t>
  </si>
  <si>
    <t>k</t>
  </si>
  <si>
    <t>A</t>
  </si>
  <si>
    <t>J</t>
  </si>
  <si>
    <t>t-scale</t>
  </si>
  <si>
    <t>s</t>
  </si>
  <si>
    <t>gamma</t>
  </si>
  <si>
    <t>l-scale</t>
  </si>
  <si>
    <t xml:space="preserve">h0 </t>
  </si>
  <si>
    <t>visc</t>
  </si>
  <si>
    <t>Pa-s</t>
  </si>
  <si>
    <t>from simulations</t>
  </si>
  <si>
    <t>reverse engineered values for h0, A and gamma -  are reasonably close to the values reported in these papers</t>
  </si>
  <si>
    <r>
      <t xml:space="preserve">% diff </t>
    </r>
    <r>
      <rPr>
        <sz val="11"/>
        <color theme="1"/>
        <rFont val="Symbol"/>
        <family val="1"/>
        <charset val="2"/>
      </rPr>
      <t>k</t>
    </r>
  </si>
  <si>
    <t>% diff h0</t>
  </si>
  <si>
    <t>% diff A</t>
  </si>
  <si>
    <t>% diff gamma</t>
  </si>
  <si>
    <t>h_cr dimensional</t>
  </si>
  <si>
    <t>h_cr experimental (m)</t>
  </si>
  <si>
    <t>% diff</t>
  </si>
  <si>
    <r>
      <t>h_cr = 0,627*</t>
    </r>
    <r>
      <rPr>
        <sz val="11"/>
        <color theme="1"/>
        <rFont val="Symbol"/>
        <family val="1"/>
        <charset val="2"/>
      </rPr>
      <t>k</t>
    </r>
    <r>
      <rPr>
        <sz val="11"/>
        <color theme="1"/>
        <rFont val="Calibri"/>
        <family val="2"/>
        <scheme val="minor"/>
      </rPr>
      <t>^(-2/7)</t>
    </r>
  </si>
  <si>
    <t>h_cr calculated based on the theoretical predictions from PRF paper</t>
  </si>
  <si>
    <t>t_rupt experiments from Manev (s)</t>
  </si>
  <si>
    <t>t_rupt_exp from Manev (dimensionless)</t>
  </si>
  <si>
    <t>t drainage - h_min 200 nm to 50 nm (0.67 to 0.17)</t>
  </si>
  <si>
    <t>Pc</t>
  </si>
  <si>
    <t>Pa</t>
  </si>
  <si>
    <t>P_c</t>
  </si>
  <si>
    <t>DOES not rupture</t>
  </si>
  <si>
    <t>stabilises at hmin 0.8</t>
  </si>
  <si>
    <t>h_cr (dimensionless)</t>
  </si>
  <si>
    <t>V thinning (dimensionless)</t>
  </si>
  <si>
    <t>V thinning (dimensional) A/s</t>
  </si>
  <si>
    <t>t drainage - h_avg 200 nm to 50 nm (0.67 to 0.17)</t>
  </si>
  <si>
    <t>h_cr (dimensional) A</t>
  </si>
  <si>
    <t>-</t>
  </si>
  <si>
    <t>t_drainage (dimensional)</t>
  </si>
  <si>
    <t>t_rupt (dimensional) (s)</t>
  </si>
  <si>
    <t>N/m</t>
  </si>
  <si>
    <t xml:space="preserve">Rc </t>
  </si>
  <si>
    <t>R_f</t>
  </si>
  <si>
    <t>R_f [-]</t>
  </si>
  <si>
    <t>Check higher thickness for smaller films keeping kappa same</t>
  </si>
  <si>
    <t xml:space="preserve">visc </t>
  </si>
  <si>
    <t>h0</t>
  </si>
  <si>
    <t>t_rupt [-]</t>
  </si>
  <si>
    <t>t_drain [-] from 50 nm to 15 nm, or 0,67 to 0,17</t>
  </si>
  <si>
    <t>t_drain (s)</t>
  </si>
  <si>
    <t>v_thinning avg</t>
  </si>
  <si>
    <t>v_thinning min</t>
  </si>
  <si>
    <t>v_thinning avg (A/s)</t>
  </si>
  <si>
    <t>v_thinning min (A/s)</t>
  </si>
  <si>
    <t>v _thinning Radoev(A/s)</t>
  </si>
  <si>
    <t>v _thinning Reynolds -cartesian (A/s)</t>
  </si>
  <si>
    <t>v _thinning Reynolds -cylindrical (A/s)</t>
  </si>
  <si>
    <t>v/vre</t>
  </si>
  <si>
    <t>C_r</t>
  </si>
  <si>
    <t>C_r Joye</t>
  </si>
  <si>
    <t>h_cr [-]</t>
  </si>
  <si>
    <t>t_drain [-] from 50 nm to 15 nm, or 0,377 to 0,113</t>
  </si>
  <si>
    <t>h_cr (A)</t>
  </si>
  <si>
    <t>h_cr Radoev (A)</t>
  </si>
  <si>
    <t>t_drain [-] from 100 nm to 25 nm, or 0,67 to 0,17</t>
  </si>
  <si>
    <t>8,5.9,7.4,9.0,8.1,9.1,8.8,9.0,7.9,8.1</t>
  </si>
  <si>
    <t>300,262,255,260,303,220,282,260,282,260</t>
  </si>
  <si>
    <t>averaging based on the right side of the dimple</t>
  </si>
  <si>
    <t>5.4,5.2,6.4,6.6,4.7,5.9,5.5</t>
  </si>
  <si>
    <t>11.2</t>
  </si>
  <si>
    <t>290,288,342,302,292,310,290</t>
  </si>
  <si>
    <t>2.8,3.9,3.7,4.3,4.4,4.4,3.5,5.5,3.8,2,1.9,3.5,3.1,2.4,4.6</t>
  </si>
  <si>
    <t>331,302,305,336,317,322,315,310,334,360,360,395,345,345,315</t>
  </si>
  <si>
    <t>3, 3.6, 3.6, 3.6, 3.3, 3.5, 1.9, 2.8</t>
  </si>
  <si>
    <t>348, 325, 385, 358, 335, 350, 358, 350</t>
  </si>
  <si>
    <t>10.1, 8.1</t>
  </si>
  <si>
    <t>255, 260</t>
  </si>
  <si>
    <t>9.7</t>
  </si>
  <si>
    <t>243, 281</t>
  </si>
  <si>
    <t>8.1, 9.8</t>
  </si>
  <si>
    <t>7.4, 7.5, 8.7</t>
  </si>
  <si>
    <t>252, 252, 242</t>
  </si>
  <si>
    <t>6.6, 7.8, 6.8</t>
  </si>
  <si>
    <t>7.3, 6.9, 8</t>
  </si>
  <si>
    <t>270, 248, 247</t>
  </si>
  <si>
    <t>251, 260, 262</t>
  </si>
  <si>
    <t>8.6</t>
  </si>
  <si>
    <t>6.4</t>
  </si>
  <si>
    <t>3.3, 3.2, 2.6, 2.5</t>
  </si>
  <si>
    <t>341, 305, 328, 345</t>
  </si>
  <si>
    <t>h0 = 1.33</t>
  </si>
  <si>
    <t>h0=1.25</t>
  </si>
  <si>
    <t>h0 = 1.5</t>
  </si>
  <si>
    <t>h0 = 2</t>
  </si>
  <si>
    <t>h0 = 1.25</t>
  </si>
  <si>
    <t xml:space="preserve">v_thinning min temporal resolution </t>
  </si>
  <si>
    <t>v_thinning min temporal resolution (A/s)</t>
  </si>
  <si>
    <t>L_film Radoev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</si>
</sst>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7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1" fontId="0" fillId="0" borderId="0" xfId="0" applyNumberFormat="1"/>
    <xf numFmtId="0" fontId="2" fillId="0" borderId="0" xfId="0" applyFont="1"/>
    <xf numFmtId="11" fontId="3" fillId="0" borderId="0" xfId="0" applyNumberFormat="1" applyFont="1"/>
    <xf numFmtId="11" fontId="3" fillId="2" borderId="0" xfId="0" applyNumberFormat="1" applyFont="1" applyFill="1"/>
    <xf numFmtId="0" fontId="3" fillId="2" borderId="0" xfId="0" applyFont="1" applyFill="1"/>
    <xf numFmtId="0" fontId="3" fillId="0" borderId="0" xfId="0" applyFont="1"/>
    <xf numFmtId="11" fontId="0" fillId="0" borderId="0" xfId="0" applyNumberFormat="1" applyFont="1"/>
    <xf numFmtId="11" fontId="0" fillId="2" borderId="0" xfId="0" applyNumberFormat="1" applyFill="1"/>
    <xf numFmtId="0" fontId="0" fillId="2" borderId="0" xfId="0" applyFill="1"/>
    <xf numFmtId="11" fontId="0" fillId="0" borderId="0" xfId="0" applyNumberFormat="1" applyFill="1"/>
    <xf numFmtId="11" fontId="1" fillId="0" borderId="0" xfId="0" applyNumberFormat="1" applyFont="1"/>
    <xf numFmtId="0" fontId="0" fillId="0" borderId="0" xfId="0" applyAlignment="1"/>
    <xf numFmtId="11" fontId="3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11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  <xf numFmtId="0" fontId="0" fillId="3" borderId="0" xfId="0" applyFill="1"/>
    <xf numFmtId="11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5852843394575677"/>
                  <c:y val="-1.4363517060367453E-2"/>
                </c:manualLayout>
              </c:layout>
              <c:numFmt formatCode="General" sourceLinked="0"/>
            </c:trendlineLbl>
          </c:trendline>
          <c:xVal>
            <c:numRef>
              <c:f>Sheet1!$H$4:$H$8</c:f>
              <c:numCache>
                <c:formatCode>0.00E+00</c:formatCode>
                <c:ptCount val="5"/>
                <c:pt idx="0">
                  <c:v>5.0000000000000002E-5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5.0000000000000001E-4</c:v>
                </c:pt>
              </c:numCache>
            </c:numRef>
          </c:xVal>
          <c:yVal>
            <c:numRef>
              <c:f>Sheet1!$N$4:$N$8</c:f>
              <c:numCache>
                <c:formatCode>0.00E+00</c:formatCode>
                <c:ptCount val="5"/>
                <c:pt idx="0">
                  <c:v>37.184231059923107</c:v>
                </c:pt>
                <c:pt idx="1">
                  <c:v>49.9930787449291</c:v>
                </c:pt>
                <c:pt idx="2">
                  <c:v>65.865683554354348</c:v>
                </c:pt>
                <c:pt idx="3">
                  <c:v>73.199866233490184</c:v>
                </c:pt>
                <c:pt idx="4">
                  <c:v>89.842876084796131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20864"/>
        <c:axId val="117222400"/>
      </c:scatterChart>
      <c:valAx>
        <c:axId val="11722086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7222400"/>
        <c:crosses val="autoZero"/>
        <c:crossBetween val="midCat"/>
      </c:valAx>
      <c:valAx>
        <c:axId val="1172224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722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Sheet1!$H$4:$H$8</c:f>
              <c:numCache>
                <c:formatCode>0.00E+00</c:formatCode>
                <c:ptCount val="5"/>
                <c:pt idx="0">
                  <c:v>5.0000000000000002E-5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5.0000000000000001E-4</c:v>
                </c:pt>
              </c:numCache>
            </c:numRef>
          </c:xVal>
          <c:yVal>
            <c:numRef>
              <c:f>Sheet1!$N$15:$N$19</c:f>
              <c:numCache>
                <c:formatCode>0.00E+00</c:formatCode>
                <c:ptCount val="5"/>
                <c:pt idx="0">
                  <c:v>-10.231762464626566</c:v>
                </c:pt>
                <c:pt idx="1">
                  <c:v>20.690691725405401</c:v>
                </c:pt>
                <c:pt idx="2">
                  <c:v>59.009509090255939</c:v>
                </c:pt>
                <c:pt idx="3">
                  <c:v>76.715311633476489</c:v>
                </c:pt>
                <c:pt idx="4">
                  <c:v>116.89400079953617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0304"/>
        <c:axId val="117256192"/>
      </c:scatterChart>
      <c:valAx>
        <c:axId val="1172503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7256192"/>
        <c:crosses val="autoZero"/>
        <c:crossBetween val="midCat"/>
      </c:valAx>
      <c:valAx>
        <c:axId val="117256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725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5852843394575677"/>
                  <c:y val="-1.4363517060367453E-2"/>
                </c:manualLayout>
              </c:layout>
              <c:numFmt formatCode="General" sourceLinked="0"/>
            </c:trendlineLbl>
          </c:trendline>
          <c:xVal>
            <c:numRef>
              <c:f>Sheet2!$H$4:$H$8</c:f>
              <c:numCache>
                <c:formatCode>0.00E+00</c:formatCode>
                <c:ptCount val="5"/>
                <c:pt idx="0">
                  <c:v>5.0000000000000002E-5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5.0000000000000001E-4</c:v>
                </c:pt>
              </c:numCache>
            </c:numRef>
          </c:xVal>
          <c:yVal>
            <c:numRef>
              <c:f>Sheet2!$N$4:$N$8</c:f>
              <c:numCache>
                <c:formatCode>0.00E+00</c:formatCode>
                <c:ptCount val="5"/>
                <c:pt idx="0">
                  <c:v>60.821434600926295</c:v>
                </c:pt>
                <c:pt idx="1">
                  <c:v>81.772587000215154</c:v>
                </c:pt>
                <c:pt idx="2">
                  <c:v>107.73506001215006</c:v>
                </c:pt>
                <c:pt idx="3">
                  <c:v>119.73142243393707</c:v>
                </c:pt>
                <c:pt idx="4">
                  <c:v>146.9540301463976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08224"/>
        <c:axId val="117909760"/>
      </c:scatterChart>
      <c:valAx>
        <c:axId val="11790822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7909760"/>
        <c:crosses val="autoZero"/>
        <c:crossBetween val="midCat"/>
      </c:valAx>
      <c:valAx>
        <c:axId val="1179097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790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Sheet1!$H$4:$H$8</c:f>
              <c:numCache>
                <c:formatCode>0.00E+00</c:formatCode>
                <c:ptCount val="5"/>
                <c:pt idx="0">
                  <c:v>5.0000000000000002E-5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5.0000000000000001E-4</c:v>
                </c:pt>
              </c:numCache>
            </c:numRef>
          </c:xVal>
          <c:yVal>
            <c:numRef>
              <c:f>Sheet1!$N$15:$N$19</c:f>
              <c:numCache>
                <c:formatCode>0.00E+00</c:formatCode>
                <c:ptCount val="5"/>
                <c:pt idx="0">
                  <c:v>-10.231762464626566</c:v>
                </c:pt>
                <c:pt idx="1">
                  <c:v>20.690691725405401</c:v>
                </c:pt>
                <c:pt idx="2">
                  <c:v>59.009509090255939</c:v>
                </c:pt>
                <c:pt idx="3">
                  <c:v>76.715311633476489</c:v>
                </c:pt>
                <c:pt idx="4">
                  <c:v>116.89400079953617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37664"/>
        <c:axId val="117939200"/>
      </c:scatterChart>
      <c:valAx>
        <c:axId val="11793766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7939200"/>
        <c:crosses val="autoZero"/>
        <c:crossBetween val="midCat"/>
      </c:valAx>
      <c:valAx>
        <c:axId val="1179392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7937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14</xdr:row>
      <xdr:rowOff>100012</xdr:rowOff>
    </xdr:from>
    <xdr:to>
      <xdr:col>12</xdr:col>
      <xdr:colOff>57150</xdr:colOff>
      <xdr:row>28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704850</xdr:colOff>
      <xdr:row>10</xdr:row>
      <xdr:rowOff>4762</xdr:rowOff>
    </xdr:from>
    <xdr:to>
      <xdr:col>24</xdr:col>
      <xdr:colOff>323850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14</xdr:row>
      <xdr:rowOff>100012</xdr:rowOff>
    </xdr:from>
    <xdr:to>
      <xdr:col>12</xdr:col>
      <xdr:colOff>57150</xdr:colOff>
      <xdr:row>28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704850</xdr:colOff>
      <xdr:row>10</xdr:row>
      <xdr:rowOff>4762</xdr:rowOff>
    </xdr:from>
    <xdr:to>
      <xdr:col>24</xdr:col>
      <xdr:colOff>323850</xdr:colOff>
      <xdr:row>29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Z13" sqref="A1:XFD1048576"/>
    </sheetView>
  </sheetViews>
  <sheetFormatPr defaultRowHeight="15" x14ac:dyDescent="0.25"/>
  <cols>
    <col min="1" max="1" width="3.5703125" customWidth="1"/>
    <col min="4" max="4" width="5.85546875" customWidth="1"/>
    <col min="6" max="6" width="14.85546875" customWidth="1"/>
    <col min="7" max="7" width="2.85546875" customWidth="1"/>
    <col min="8" max="8" width="12" customWidth="1"/>
    <col min="10" max="10" width="11.28515625" customWidth="1"/>
    <col min="12" max="12" width="9.42578125" customWidth="1"/>
    <col min="13" max="13" width="17" customWidth="1"/>
    <col min="14" max="14" width="14" customWidth="1"/>
    <col min="15" max="15" width="13" customWidth="1"/>
    <col min="16" max="16" width="14.7109375" customWidth="1"/>
    <col min="17" max="17" width="16" customWidth="1"/>
  </cols>
  <sheetData>
    <row r="1" spans="1:17" x14ac:dyDescent="0.25">
      <c r="O1" s="44" t="s">
        <v>0</v>
      </c>
      <c r="P1" s="44"/>
      <c r="Q1" s="44"/>
    </row>
    <row r="2" spans="1:17" x14ac:dyDescent="0.25">
      <c r="H2" s="45" t="s">
        <v>1</v>
      </c>
      <c r="I2" s="45"/>
      <c r="J2" s="45"/>
      <c r="K2" s="45"/>
      <c r="L2" s="45"/>
      <c r="O2" s="44"/>
      <c r="P2" s="44"/>
      <c r="Q2" s="44"/>
    </row>
    <row r="3" spans="1:17" ht="90" x14ac:dyDescent="0.25">
      <c r="A3" s="45" t="s">
        <v>2</v>
      </c>
      <c r="B3" s="45"/>
      <c r="C3" s="45"/>
      <c r="D3" s="45"/>
      <c r="E3" s="45"/>
      <c r="F3" s="45"/>
      <c r="H3" t="s">
        <v>3</v>
      </c>
      <c r="I3" t="s">
        <v>4</v>
      </c>
      <c r="J3" t="s">
        <v>5</v>
      </c>
      <c r="K3" s="1" t="s">
        <v>6</v>
      </c>
      <c r="L3" s="2" t="s">
        <v>34</v>
      </c>
      <c r="M3" s="2" t="s">
        <v>35</v>
      </c>
      <c r="N3" t="s">
        <v>7</v>
      </c>
      <c r="O3" t="s">
        <v>8</v>
      </c>
      <c r="P3" t="s">
        <v>9</v>
      </c>
      <c r="Q3" t="s">
        <v>10</v>
      </c>
    </row>
    <row r="4" spans="1:17" x14ac:dyDescent="0.25">
      <c r="B4" t="s">
        <v>11</v>
      </c>
      <c r="C4" s="3">
        <v>1.8E-3</v>
      </c>
      <c r="D4" t="s">
        <v>12</v>
      </c>
      <c r="E4" s="4" t="s">
        <v>13</v>
      </c>
      <c r="F4" s="3">
        <f>PI()*C7^3*C6/C5/C4</f>
        <v>41.422480913998733</v>
      </c>
      <c r="H4" s="5">
        <v>5.0000000000000002E-5</v>
      </c>
      <c r="I4" s="6">
        <f>H4/$F$6</f>
        <v>0.28952475505796998</v>
      </c>
      <c r="J4" s="7">
        <v>3.2860200000000002E-3</v>
      </c>
      <c r="K4" s="5">
        <f>J4*$F$5</f>
        <v>22.167727514204309</v>
      </c>
      <c r="L4" s="8">
        <v>19</v>
      </c>
      <c r="M4" s="3">
        <f>L4/$F$5</f>
        <v>2.8164537821927949E-3</v>
      </c>
      <c r="N4" s="3">
        <f>$F$4/(M4/$J$4)^(-7/10)</f>
        <v>37.184231059923107</v>
      </c>
      <c r="O4" s="3">
        <f>(N4*$C$5*$C$4/(PI()*$C$6))^(1/3)</f>
        <v>1.9293198318097138E-7</v>
      </c>
      <c r="P4" s="3">
        <f>(PI()*$C$7^3*$C$6/($C$4*N4))</f>
        <v>1.6709696449247106E-20</v>
      </c>
      <c r="Q4" s="3">
        <f>(N4*$C$5*$C$4)/(PI()*$C$7^3)</f>
        <v>3.9946865703241172E-2</v>
      </c>
    </row>
    <row r="5" spans="1:17" x14ac:dyDescent="0.25">
      <c r="B5" t="s">
        <v>14</v>
      </c>
      <c r="C5" s="9">
        <v>1.5000000000000001E-20</v>
      </c>
      <c r="D5" t="s">
        <v>15</v>
      </c>
      <c r="E5" t="s">
        <v>16</v>
      </c>
      <c r="F5" s="3">
        <f>12*PI()^2*C8*C6*C7^5/C5^2</f>
        <v>6746.0720002325934</v>
      </c>
      <c r="G5" t="s">
        <v>17</v>
      </c>
      <c r="H5" s="3">
        <v>1E-4</v>
      </c>
      <c r="I5" s="10">
        <f>H5/$F$6</f>
        <v>0.57904951011593997</v>
      </c>
      <c r="J5" s="11">
        <v>3.6490099999999998E-3</v>
      </c>
      <c r="K5" s="3">
        <f t="shared" ref="K5:K8" si="0">J5*$F$5</f>
        <v>24.616484189568734</v>
      </c>
      <c r="L5">
        <v>29</v>
      </c>
      <c r="M5" s="3">
        <f t="shared" ref="M5:M8" si="1">L5/$F$5</f>
        <v>4.2987978780837394E-3</v>
      </c>
      <c r="N5" s="3">
        <f t="shared" ref="N5:N8" si="2">$F$4/(M5/$J$4)^(-7/10)</f>
        <v>49.9930787449291</v>
      </c>
      <c r="O5" s="3">
        <f t="shared" ref="O5:O7" si="3">(N5*$C$5*$C$4/(PI()*$C$6))^(1/3)</f>
        <v>2.1293869482608228E-7</v>
      </c>
      <c r="P5" s="3">
        <f t="shared" ref="P5:P8" si="4">(PI()*$C$7^3*$C$6/($C$4*N5))</f>
        <v>1.2428464685684206E-20</v>
      </c>
      <c r="Q5" s="3">
        <f t="shared" ref="Q5:Q8" si="5">(N5*$C$5*$C$4)/(PI()*$C$7^3)</f>
        <v>5.3707357817805397E-2</v>
      </c>
    </row>
    <row r="6" spans="1:17" x14ac:dyDescent="0.25">
      <c r="B6" t="s">
        <v>18</v>
      </c>
      <c r="C6">
        <v>4.4499999999999998E-2</v>
      </c>
      <c r="E6" t="s">
        <v>19</v>
      </c>
      <c r="F6" s="3">
        <f>SQRT(2*PI()*C6/C5)*C7^2</f>
        <v>1.7269680442347243E-4</v>
      </c>
      <c r="G6" t="s">
        <v>12</v>
      </c>
      <c r="H6" s="3">
        <v>2.0000000000000001E-4</v>
      </c>
      <c r="I6" s="10">
        <f t="shared" ref="I6:I8" si="6">H6/$F$6</f>
        <v>1.1580990202318799</v>
      </c>
      <c r="J6" s="11">
        <v>3.287E-3</v>
      </c>
      <c r="K6" s="3">
        <f t="shared" si="0"/>
        <v>22.174338664764534</v>
      </c>
      <c r="L6">
        <v>43</v>
      </c>
      <c r="M6" s="3">
        <f t="shared" si="1"/>
        <v>6.3740796123310621E-3</v>
      </c>
      <c r="N6" s="3">
        <f t="shared" si="2"/>
        <v>65.865683554354348</v>
      </c>
      <c r="O6" s="3">
        <f t="shared" si="3"/>
        <v>2.3343771738532231E-7</v>
      </c>
      <c r="P6" s="3">
        <f t="shared" si="4"/>
        <v>9.4333980941264332E-21</v>
      </c>
      <c r="Q6" s="3">
        <f t="shared" si="5"/>
        <v>7.0759231545163892E-2</v>
      </c>
    </row>
    <row r="7" spans="1:17" x14ac:dyDescent="0.25">
      <c r="B7" t="s">
        <v>20</v>
      </c>
      <c r="C7" s="12">
        <v>1.9999999999999999E-7</v>
      </c>
      <c r="D7" t="s">
        <v>12</v>
      </c>
      <c r="H7" s="13">
        <v>2.9999999999999997E-4</v>
      </c>
      <c r="I7" s="10">
        <f t="shared" si="6"/>
        <v>1.7371485303478196</v>
      </c>
      <c r="J7" s="11">
        <v>3.2759999999999998E-3</v>
      </c>
      <c r="K7" s="3">
        <f t="shared" si="0"/>
        <v>22.100131872761974</v>
      </c>
      <c r="L7">
        <v>50</v>
      </c>
      <c r="M7" s="3">
        <f t="shared" si="1"/>
        <v>7.4117204794547234E-3</v>
      </c>
      <c r="N7" s="3">
        <f t="shared" si="2"/>
        <v>73.199866233490184</v>
      </c>
      <c r="O7" s="3">
        <f t="shared" si="3"/>
        <v>2.4179912371509852E-7</v>
      </c>
      <c r="P7" s="3">
        <f t="shared" si="4"/>
        <v>8.4882288135344806E-21</v>
      </c>
      <c r="Q7" s="3">
        <f t="shared" si="5"/>
        <v>7.863831367689704E-2</v>
      </c>
    </row>
    <row r="8" spans="1:17" x14ac:dyDescent="0.25">
      <c r="B8" t="s">
        <v>21</v>
      </c>
      <c r="C8" s="3">
        <v>8.9999999999999998E-4</v>
      </c>
      <c r="D8" t="s">
        <v>22</v>
      </c>
      <c r="H8" s="3">
        <v>5.0000000000000001E-4</v>
      </c>
      <c r="I8" s="10">
        <f t="shared" si="6"/>
        <v>2.8952475505797</v>
      </c>
      <c r="J8" s="11">
        <v>3.2750000000000001E-3</v>
      </c>
      <c r="K8" s="3">
        <f t="shared" si="0"/>
        <v>22.093385800761745</v>
      </c>
      <c r="L8">
        <v>67</v>
      </c>
      <c r="M8" s="3">
        <f t="shared" si="1"/>
        <v>9.9317054424693293E-3</v>
      </c>
      <c r="N8" s="3">
        <f t="shared" si="2"/>
        <v>89.842876084796131</v>
      </c>
      <c r="O8" s="3">
        <f>(N8*$C$5*$C$4/(PI()*$C$6))^(1/3)</f>
        <v>2.5888835079792463E-7</v>
      </c>
      <c r="P8" s="3">
        <f t="shared" si="4"/>
        <v>6.9158206057823245E-21</v>
      </c>
      <c r="Q8" s="3">
        <f t="shared" si="5"/>
        <v>9.6517830355793588E-2</v>
      </c>
    </row>
    <row r="10" spans="1:17" ht="15" customHeight="1" x14ac:dyDescent="0.25">
      <c r="J10" s="44" t="s">
        <v>23</v>
      </c>
      <c r="O10" s="46" t="s">
        <v>24</v>
      </c>
      <c r="P10" s="46"/>
      <c r="Q10" s="46"/>
    </row>
    <row r="11" spans="1:17" x14ac:dyDescent="0.25">
      <c r="H11" s="14"/>
      <c r="I11" s="14"/>
      <c r="J11" s="44"/>
      <c r="K11" s="14"/>
      <c r="L11" s="14"/>
      <c r="O11" s="46"/>
      <c r="P11" s="46"/>
      <c r="Q11" s="46"/>
    </row>
    <row r="12" spans="1:17" x14ac:dyDescent="0.25">
      <c r="A12" s="14"/>
      <c r="B12" s="14"/>
      <c r="C12" s="14"/>
      <c r="D12" s="14"/>
      <c r="E12" s="14"/>
      <c r="F12" s="14"/>
      <c r="O12" s="46"/>
      <c r="P12" s="46"/>
      <c r="Q12" s="46"/>
    </row>
    <row r="13" spans="1:17" x14ac:dyDescent="0.25">
      <c r="C13" s="3"/>
      <c r="E13" s="4"/>
      <c r="F13" s="3"/>
      <c r="H13" s="5"/>
      <c r="I13" s="15"/>
      <c r="J13" s="16"/>
      <c r="K13" s="5"/>
      <c r="L13" s="8"/>
      <c r="M13" s="3"/>
      <c r="N13" s="3"/>
      <c r="O13" s="3"/>
      <c r="P13" s="3"/>
    </row>
    <row r="14" spans="1:17" x14ac:dyDescent="0.25">
      <c r="C14" s="9"/>
      <c r="F14" s="3"/>
      <c r="H14" s="3"/>
      <c r="I14" s="12"/>
      <c r="J14" s="17"/>
      <c r="K14" s="3"/>
      <c r="M14" s="3"/>
      <c r="N14" s="3" t="s">
        <v>25</v>
      </c>
      <c r="O14" s="3" t="s">
        <v>26</v>
      </c>
      <c r="P14" s="3" t="s">
        <v>27</v>
      </c>
      <c r="Q14" s="3" t="s">
        <v>28</v>
      </c>
    </row>
    <row r="15" spans="1:17" x14ac:dyDescent="0.25">
      <c r="F15" s="3"/>
      <c r="H15" s="3"/>
      <c r="I15" s="12"/>
      <c r="J15" s="17"/>
      <c r="K15" s="3"/>
      <c r="M15" s="3"/>
      <c r="N15" s="3">
        <f>(N4-$F$4)/$F$4*100</f>
        <v>-10.231762464626566</v>
      </c>
      <c r="O15" s="3">
        <f>(O4-$C$7)/$C$7*100</f>
        <v>-3.5340084095143038</v>
      </c>
      <c r="P15" s="3">
        <f>(P4-$C$5)/$C$5*100</f>
        <v>11.39797632831403</v>
      </c>
      <c r="Q15" s="3">
        <f>(Q4-$C$6)/$C$6*100</f>
        <v>-10.231762464626575</v>
      </c>
    </row>
    <row r="16" spans="1:17" x14ac:dyDescent="0.25">
      <c r="C16" s="12"/>
      <c r="H16" s="13"/>
      <c r="I16" s="12"/>
      <c r="J16" s="17"/>
      <c r="K16" s="3"/>
      <c r="M16" s="3"/>
      <c r="N16" s="3">
        <f>(N5-$F$4)/$F$4*100</f>
        <v>20.690691725405401</v>
      </c>
      <c r="O16" s="3">
        <f t="shared" ref="O16:O19" si="7">(O5-$C$7)/$C$7*100</f>
        <v>6.4693474130411435</v>
      </c>
      <c r="P16" s="3">
        <f t="shared" ref="P16:P19" si="8">(P5-$C$5)/$C$5*100</f>
        <v>-17.1435687621053</v>
      </c>
      <c r="Q16" s="3">
        <f t="shared" ref="Q16:Q19" si="9">(Q5-$C$6)/$C$6*100</f>
        <v>20.69069172540539</v>
      </c>
    </row>
    <row r="17" spans="3:17" x14ac:dyDescent="0.25">
      <c r="C17" s="3"/>
      <c r="H17" s="3"/>
      <c r="I17" s="12"/>
      <c r="J17" s="17"/>
      <c r="K17" s="3"/>
      <c r="M17" s="3"/>
      <c r="N17" s="3">
        <f t="shared" ref="N17:N19" si="10">(N6-$F$4)/$F$4*100</f>
        <v>59.009509090255939</v>
      </c>
      <c r="O17" s="3">
        <f t="shared" si="7"/>
        <v>16.718858692661158</v>
      </c>
      <c r="P17" s="3">
        <f t="shared" si="8"/>
        <v>-37.110679372490452</v>
      </c>
      <c r="Q17" s="3">
        <f t="shared" si="9"/>
        <v>59.009509090255939</v>
      </c>
    </row>
    <row r="18" spans="3:17" x14ac:dyDescent="0.25">
      <c r="N18" s="3">
        <f t="shared" si="10"/>
        <v>76.715311633476489</v>
      </c>
      <c r="O18" s="3">
        <f t="shared" si="7"/>
        <v>20.899561857549266</v>
      </c>
      <c r="P18" s="3">
        <f t="shared" si="8"/>
        <v>-43.411807909770133</v>
      </c>
      <c r="Q18" s="3">
        <f t="shared" si="9"/>
        <v>76.715311633476503</v>
      </c>
    </row>
    <row r="19" spans="3:17" x14ac:dyDescent="0.25">
      <c r="N19" s="3">
        <f t="shared" si="10"/>
        <v>116.89400079953617</v>
      </c>
      <c r="O19" s="3">
        <f t="shared" si="7"/>
        <v>29.444175398962319</v>
      </c>
      <c r="P19" s="3">
        <f t="shared" si="8"/>
        <v>-53.894529294784512</v>
      </c>
      <c r="Q19" s="3">
        <f t="shared" si="9"/>
        <v>116.89400079953616</v>
      </c>
    </row>
    <row r="21" spans="3:17" x14ac:dyDescent="0.25">
      <c r="N21" s="44" t="s">
        <v>32</v>
      </c>
      <c r="O21" s="43" t="s">
        <v>29</v>
      </c>
      <c r="P21" s="44" t="s">
        <v>30</v>
      </c>
      <c r="Q21" s="44" t="s">
        <v>31</v>
      </c>
    </row>
    <row r="22" spans="3:17" x14ac:dyDescent="0.25">
      <c r="N22" s="44"/>
      <c r="O22" s="43"/>
      <c r="P22" s="44"/>
      <c r="Q22" s="44"/>
    </row>
    <row r="23" spans="3:17" x14ac:dyDescent="0.25">
      <c r="N23" s="3">
        <f>0.627*N4^(-2/7)</f>
        <v>0.22314830714465944</v>
      </c>
      <c r="O23" s="3">
        <f>N23*O4</f>
        <v>4.3052445440895671E-8</v>
      </c>
      <c r="P23" s="3">
        <v>2.4999999999999999E-8</v>
      </c>
      <c r="Q23" s="3">
        <f>(O23-P23)/P23*100</f>
        <v>72.209781763582697</v>
      </c>
    </row>
    <row r="24" spans="3:17" x14ac:dyDescent="0.25">
      <c r="N24" s="3">
        <f t="shared" ref="N24:N27" si="11">0.627*N5^(-2/7)</f>
        <v>0.20505233407030279</v>
      </c>
      <c r="O24" s="3">
        <f>N24*O5</f>
        <v>4.3663576387972083E-8</v>
      </c>
      <c r="P24" s="3">
        <v>2.9999999999999997E-8</v>
      </c>
      <c r="Q24" s="3">
        <f t="shared" ref="Q24:Q27" si="12">(O24-P24)/P24*100</f>
        <v>45.545254626573623</v>
      </c>
    </row>
    <row r="25" spans="3:17" x14ac:dyDescent="0.25">
      <c r="N25" s="3">
        <f t="shared" si="11"/>
        <v>0.18951807026294479</v>
      </c>
      <c r="O25" s="3">
        <f t="shared" ref="O25:O27" si="13">N25*O6</f>
        <v>4.4240665725452963E-8</v>
      </c>
      <c r="P25" s="3">
        <v>3.5000000000000002E-8</v>
      </c>
      <c r="Q25" s="3">
        <f t="shared" si="12"/>
        <v>26.401902072722745</v>
      </c>
    </row>
    <row r="26" spans="3:17" x14ac:dyDescent="0.25">
      <c r="N26" s="3">
        <f t="shared" si="11"/>
        <v>0.1838866986275767</v>
      </c>
      <c r="O26" s="3">
        <f t="shared" si="13"/>
        <v>4.4463642591010455E-8</v>
      </c>
      <c r="P26" s="3">
        <v>4.0000000000000001E-8</v>
      </c>
      <c r="Q26" s="3">
        <f t="shared" si="12"/>
        <v>11.159106477526134</v>
      </c>
    </row>
    <row r="27" spans="3:17" x14ac:dyDescent="0.25">
      <c r="N27" s="3">
        <f t="shared" si="11"/>
        <v>0.17343204944523424</v>
      </c>
      <c r="O27" s="3">
        <f t="shared" si="13"/>
        <v>4.4899537256380812E-8</v>
      </c>
      <c r="P27" s="3">
        <v>4.6999999999999997E-8</v>
      </c>
      <c r="Q27" s="3">
        <f t="shared" si="12"/>
        <v>-4.4690696672748622</v>
      </c>
    </row>
    <row r="29" spans="3:17" ht="15" customHeight="1" x14ac:dyDescent="0.25">
      <c r="N29" s="44" t="s">
        <v>33</v>
      </c>
      <c r="O29" s="44"/>
    </row>
    <row r="30" spans="3:17" x14ac:dyDescent="0.25">
      <c r="N30" s="44"/>
      <c r="O30" s="44"/>
    </row>
    <row r="31" spans="3:17" x14ac:dyDescent="0.25">
      <c r="N31" s="44"/>
      <c r="O31" s="44"/>
    </row>
    <row r="32" spans="3:17" x14ac:dyDescent="0.25">
      <c r="N32" s="44"/>
      <c r="O32" s="44"/>
    </row>
  </sheetData>
  <mergeCells count="10">
    <mergeCell ref="O1:Q2"/>
    <mergeCell ref="H2:L2"/>
    <mergeCell ref="A3:F3"/>
    <mergeCell ref="J10:J11"/>
    <mergeCell ref="O10:Q12"/>
    <mergeCell ref="O21:O22"/>
    <mergeCell ref="N21:N22"/>
    <mergeCell ref="P21:P22"/>
    <mergeCell ref="Q21:Q22"/>
    <mergeCell ref="N29:O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N4" sqref="N4"/>
    </sheetView>
  </sheetViews>
  <sheetFormatPr defaultRowHeight="15" x14ac:dyDescent="0.25"/>
  <cols>
    <col min="1" max="1" width="3.5703125" customWidth="1"/>
    <col min="4" max="4" width="5.85546875" customWidth="1"/>
    <col min="6" max="6" width="14.85546875" customWidth="1"/>
    <col min="7" max="7" width="2.85546875" customWidth="1"/>
    <col min="8" max="8" width="12" customWidth="1"/>
    <col min="10" max="10" width="11.28515625" customWidth="1"/>
    <col min="12" max="12" width="9.42578125" customWidth="1"/>
    <col min="13" max="13" width="17" customWidth="1"/>
    <col min="14" max="14" width="14" customWidth="1"/>
    <col min="15" max="15" width="13" customWidth="1"/>
    <col min="16" max="16" width="14.7109375" customWidth="1"/>
    <col min="17" max="17" width="16" customWidth="1"/>
  </cols>
  <sheetData>
    <row r="1" spans="1:17" x14ac:dyDescent="0.25">
      <c r="O1" s="44" t="s">
        <v>0</v>
      </c>
      <c r="P1" s="44"/>
      <c r="Q1" s="44"/>
    </row>
    <row r="2" spans="1:17" x14ac:dyDescent="0.25">
      <c r="H2" s="45" t="s">
        <v>1</v>
      </c>
      <c r="I2" s="45"/>
      <c r="J2" s="45"/>
      <c r="K2" s="45"/>
      <c r="L2" s="45"/>
      <c r="O2" s="44"/>
      <c r="P2" s="44"/>
      <c r="Q2" s="44"/>
    </row>
    <row r="3" spans="1:17" ht="90" x14ac:dyDescent="0.25">
      <c r="A3" s="45" t="s">
        <v>2</v>
      </c>
      <c r="B3" s="45"/>
      <c r="C3" s="45"/>
      <c r="D3" s="45"/>
      <c r="E3" s="45"/>
      <c r="F3" s="45"/>
      <c r="H3" t="s">
        <v>3</v>
      </c>
      <c r="I3" t="s">
        <v>4</v>
      </c>
      <c r="J3" t="s">
        <v>5</v>
      </c>
      <c r="K3" s="19" t="s">
        <v>6</v>
      </c>
      <c r="L3" s="2" t="s">
        <v>34</v>
      </c>
      <c r="M3" s="2" t="s">
        <v>35</v>
      </c>
      <c r="N3" t="s">
        <v>7</v>
      </c>
      <c r="O3" t="s">
        <v>8</v>
      </c>
      <c r="P3" t="s">
        <v>9</v>
      </c>
      <c r="Q3" t="s">
        <v>10</v>
      </c>
    </row>
    <row r="4" spans="1:17" x14ac:dyDescent="0.25">
      <c r="B4" t="s">
        <v>11</v>
      </c>
      <c r="C4" s="3">
        <v>1.8E-3</v>
      </c>
      <c r="D4" t="s">
        <v>12</v>
      </c>
      <c r="E4" s="4" t="s">
        <v>13</v>
      </c>
      <c r="F4" s="3">
        <f>PI()*C7^3*C6/C5/C4</f>
        <v>41.422480913998733</v>
      </c>
      <c r="H4" s="5">
        <v>5.0000000000000002E-5</v>
      </c>
      <c r="I4" s="6">
        <f>H4/$F$6</f>
        <v>2.777777777777778E-2</v>
      </c>
      <c r="J4" s="7">
        <v>1.627E-3</v>
      </c>
      <c r="K4" s="5">
        <f>J4*$F$5</f>
        <v>10.975859144378429</v>
      </c>
      <c r="L4" s="8">
        <v>19</v>
      </c>
      <c r="M4" s="3">
        <f>L4/$F$5</f>
        <v>2.8164537821927949E-3</v>
      </c>
      <c r="N4" s="3">
        <f>$F$4/(M4/$J$4)^(-7/10)</f>
        <v>60.821434600926295</v>
      </c>
      <c r="O4" s="3">
        <f>(N4*$C$5*$C$4/(PI()*$C$6))^(1/3)</f>
        <v>2.2731958091945981E-7</v>
      </c>
      <c r="P4" s="3">
        <f>(PI()*$C$7^3*$C$6/($C$4*N4))</f>
        <v>1.0215760574981871E-20</v>
      </c>
      <c r="Q4" s="3">
        <f>(N4*$C$5*$C$4)/(PI()*$C$7^3)</f>
        <v>6.5340215748075581E-2</v>
      </c>
    </row>
    <row r="5" spans="1:17" x14ac:dyDescent="0.25">
      <c r="B5" t="s">
        <v>14</v>
      </c>
      <c r="C5" s="9">
        <v>1.5000000000000001E-20</v>
      </c>
      <c r="D5" t="s">
        <v>15</v>
      </c>
      <c r="E5" t="s">
        <v>16</v>
      </c>
      <c r="F5" s="3">
        <f>12*PI()^2*C8*C6*C7^5/C5^2</f>
        <v>6746.0720002325934</v>
      </c>
      <c r="G5" t="s">
        <v>17</v>
      </c>
      <c r="H5" s="3">
        <v>1E-4</v>
      </c>
      <c r="I5" s="10">
        <f>H5/$F$6</f>
        <v>5.5555555555555559E-2</v>
      </c>
      <c r="J5" s="11">
        <v>1.15054E-3</v>
      </c>
      <c r="K5" s="3">
        <f t="shared" ref="K5:K8" si="0">J5*$F$5</f>
        <v>7.7616256791476079</v>
      </c>
      <c r="L5">
        <v>29</v>
      </c>
      <c r="M5" s="3">
        <f t="shared" ref="M5:M8" si="1">L5/$F$5</f>
        <v>4.2987978780837394E-3</v>
      </c>
      <c r="N5" s="3">
        <f t="shared" ref="N5:N8" si="2">$F$4/(M5/$J$4)^(-7/10)</f>
        <v>81.772587000215154</v>
      </c>
      <c r="O5" s="3">
        <f t="shared" ref="O5:O7" si="3">(N5*$C$5*$C$4/(PI()*$C$6))^(1/3)</f>
        <v>2.5089222673877527E-7</v>
      </c>
      <c r="P5" s="3">
        <f t="shared" ref="P5:P8" si="4">(PI()*$C$7^3*$C$6/($C$4*N5))</f>
        <v>7.5983558366368697E-21</v>
      </c>
      <c r="Q5" s="3">
        <f t="shared" ref="Q5:Q8" si="5">(N5*$C$5*$C$4)/(PI()*$C$7^3)</f>
        <v>8.784795215585009E-2</v>
      </c>
    </row>
    <row r="6" spans="1:17" x14ac:dyDescent="0.25">
      <c r="B6" t="s">
        <v>18</v>
      </c>
      <c r="C6">
        <v>4.4499999999999998E-2</v>
      </c>
      <c r="E6" t="s">
        <v>19</v>
      </c>
      <c r="F6" s="3">
        <f>C4</f>
        <v>1.8E-3</v>
      </c>
      <c r="G6" t="s">
        <v>12</v>
      </c>
      <c r="H6" s="3">
        <v>2.0000000000000001E-4</v>
      </c>
      <c r="I6" s="10">
        <f t="shared" ref="I6:I8" si="6">H6/$F$6</f>
        <v>0.11111111111111112</v>
      </c>
      <c r="J6" s="11">
        <v>1.6246500000000001E-3</v>
      </c>
      <c r="K6" s="3">
        <f t="shared" si="0"/>
        <v>10.960005875177883</v>
      </c>
      <c r="L6">
        <v>43</v>
      </c>
      <c r="M6" s="3">
        <f t="shared" si="1"/>
        <v>6.3740796123310621E-3</v>
      </c>
      <c r="N6" s="3">
        <f t="shared" si="2"/>
        <v>107.73506001215006</v>
      </c>
      <c r="O6" s="3">
        <f t="shared" si="3"/>
        <v>2.7504493144120898E-7</v>
      </c>
      <c r="P6" s="3">
        <f t="shared" si="4"/>
        <v>5.7672703170157276E-21</v>
      </c>
      <c r="Q6" s="3">
        <f t="shared" si="5"/>
        <v>0.11573932958034083</v>
      </c>
    </row>
    <row r="7" spans="1:17" x14ac:dyDescent="0.25">
      <c r="B7" t="s">
        <v>20</v>
      </c>
      <c r="C7" s="12">
        <v>1.9999999999999999E-7</v>
      </c>
      <c r="D7" t="s">
        <v>12</v>
      </c>
      <c r="H7" s="13">
        <v>2.9999999999999997E-4</v>
      </c>
      <c r="I7" s="10">
        <f t="shared" si="6"/>
        <v>0.16666666666666666</v>
      </c>
      <c r="J7" s="11"/>
      <c r="K7" s="3">
        <f t="shared" si="0"/>
        <v>0</v>
      </c>
      <c r="L7">
        <v>50</v>
      </c>
      <c r="M7" s="3">
        <f t="shared" si="1"/>
        <v>7.4117204794547234E-3</v>
      </c>
      <c r="N7" s="3">
        <f t="shared" si="2"/>
        <v>119.73142243393707</v>
      </c>
      <c r="O7" s="3">
        <f t="shared" si="3"/>
        <v>2.8489664887781082E-7</v>
      </c>
      <c r="P7" s="3">
        <f t="shared" si="4"/>
        <v>5.1894248066150699E-21</v>
      </c>
      <c r="Q7" s="3">
        <f t="shared" si="5"/>
        <v>0.12862697213554836</v>
      </c>
    </row>
    <row r="8" spans="1:17" x14ac:dyDescent="0.25">
      <c r="B8" t="s">
        <v>21</v>
      </c>
      <c r="C8" s="3">
        <v>8.9999999999999998E-4</v>
      </c>
      <c r="D8" t="s">
        <v>22</v>
      </c>
      <c r="H8" s="3">
        <v>5.0000000000000001E-4</v>
      </c>
      <c r="I8" s="10">
        <f t="shared" si="6"/>
        <v>0.27777777777777779</v>
      </c>
      <c r="J8" s="11"/>
      <c r="K8" s="3">
        <f t="shared" si="0"/>
        <v>0</v>
      </c>
      <c r="L8">
        <v>67</v>
      </c>
      <c r="M8" s="3">
        <f t="shared" si="1"/>
        <v>9.9317054424693293E-3</v>
      </c>
      <c r="N8" s="3">
        <f t="shared" si="2"/>
        <v>146.9540301463976</v>
      </c>
      <c r="O8" s="3">
        <f>(N8*$C$5*$C$4/(PI()*$C$6))^(1/3)</f>
        <v>3.0503180674358329E-7</v>
      </c>
      <c r="P8" s="3">
        <f t="shared" si="4"/>
        <v>4.2281059804280051E-21</v>
      </c>
      <c r="Q8" s="3">
        <f t="shared" si="5"/>
        <v>0.15787210705925347</v>
      </c>
    </row>
    <row r="10" spans="1:17" ht="15" customHeight="1" x14ac:dyDescent="0.25">
      <c r="J10" s="44" t="s">
        <v>23</v>
      </c>
      <c r="O10" s="46" t="s">
        <v>24</v>
      </c>
      <c r="P10" s="46"/>
      <c r="Q10" s="46"/>
    </row>
    <row r="11" spans="1:17" x14ac:dyDescent="0.25">
      <c r="H11" s="14"/>
      <c r="I11" s="14"/>
      <c r="J11" s="44"/>
      <c r="K11" s="14"/>
      <c r="L11" s="14"/>
      <c r="O11" s="46"/>
      <c r="P11" s="46"/>
      <c r="Q11" s="46"/>
    </row>
    <row r="12" spans="1:17" x14ac:dyDescent="0.25">
      <c r="A12" s="14"/>
      <c r="B12" s="14"/>
      <c r="C12" s="14"/>
      <c r="D12" s="14"/>
      <c r="E12" s="14"/>
      <c r="F12" s="14"/>
      <c r="O12" s="46"/>
      <c r="P12" s="46"/>
      <c r="Q12" s="46"/>
    </row>
    <row r="13" spans="1:17" x14ac:dyDescent="0.25">
      <c r="C13" s="3"/>
      <c r="E13" s="4"/>
      <c r="F13" s="3"/>
      <c r="H13" s="5"/>
      <c r="I13" s="15"/>
      <c r="J13" s="16"/>
      <c r="K13" s="5"/>
      <c r="L13" s="8"/>
      <c r="M13" s="3"/>
      <c r="N13" s="3"/>
      <c r="O13" s="3"/>
      <c r="P13" s="3"/>
    </row>
    <row r="14" spans="1:17" x14ac:dyDescent="0.25">
      <c r="C14" s="9"/>
      <c r="F14" s="3"/>
      <c r="H14" s="3"/>
      <c r="I14" s="12"/>
      <c r="J14" s="17"/>
      <c r="K14" s="3"/>
      <c r="M14" s="3"/>
      <c r="N14" s="3" t="s">
        <v>25</v>
      </c>
      <c r="O14" s="3" t="s">
        <v>26</v>
      </c>
      <c r="P14" s="3" t="s">
        <v>27</v>
      </c>
      <c r="Q14" s="3" t="s">
        <v>28</v>
      </c>
    </row>
    <row r="15" spans="1:17" x14ac:dyDescent="0.25">
      <c r="F15" s="3"/>
      <c r="H15" s="3"/>
      <c r="I15" s="12"/>
      <c r="J15" s="17"/>
      <c r="K15" s="3"/>
      <c r="M15" s="3"/>
      <c r="N15" s="3">
        <f>(N4-$F$4)/$F$4*100</f>
        <v>46.83194550129344</v>
      </c>
      <c r="O15" s="3">
        <f>(O4-$C$7)/$C$7*100</f>
        <v>13.659790459729908</v>
      </c>
      <c r="P15" s="3">
        <f>(P4-$C$5)/$C$5*100</f>
        <v>-31.894929500120867</v>
      </c>
      <c r="Q15" s="3">
        <f>(Q4-$C$6)/$C$6*100</f>
        <v>46.831945501293447</v>
      </c>
    </row>
    <row r="16" spans="1:17" x14ac:dyDescent="0.25">
      <c r="C16" s="12"/>
      <c r="H16" s="13"/>
      <c r="I16" s="12"/>
      <c r="J16" s="17"/>
      <c r="K16" s="3"/>
      <c r="M16" s="3"/>
      <c r="N16" s="3">
        <f>(N5-$F$4)/$F$4*100</f>
        <v>97.411128440112577</v>
      </c>
      <c r="O16" s="3">
        <f t="shared" ref="O16:O19" si="7">(O5-$C$7)/$C$7*100</f>
        <v>25.446113369387639</v>
      </c>
      <c r="P16" s="3">
        <f t="shared" ref="P16:P19" si="8">(P5-$C$5)/$C$5*100</f>
        <v>-49.344294422420873</v>
      </c>
      <c r="Q16" s="3">
        <f t="shared" ref="Q16:Q19" si="9">(Q5-$C$6)/$C$6*100</f>
        <v>97.411128440112577</v>
      </c>
    </row>
    <row r="17" spans="3:17" x14ac:dyDescent="0.25">
      <c r="C17" s="3"/>
      <c r="H17" s="3"/>
      <c r="I17" s="12"/>
      <c r="J17" s="17"/>
      <c r="K17" s="3"/>
      <c r="M17" s="3"/>
      <c r="N17" s="3">
        <f t="shared" ref="N17:N19" si="10">(N6-$F$4)/$F$4*100</f>
        <v>160.08838107941764</v>
      </c>
      <c r="O17" s="3">
        <f t="shared" si="7"/>
        <v>37.522465720604501</v>
      </c>
      <c r="P17" s="3">
        <f t="shared" si="8"/>
        <v>-61.551531219895153</v>
      </c>
      <c r="Q17" s="3">
        <f t="shared" si="9"/>
        <v>160.08838107941762</v>
      </c>
    </row>
    <row r="18" spans="3:17" x14ac:dyDescent="0.25">
      <c r="N18" s="3">
        <f t="shared" si="10"/>
        <v>189.04937558550199</v>
      </c>
      <c r="O18" s="3">
        <f t="shared" si="7"/>
        <v>42.448324438905416</v>
      </c>
      <c r="P18" s="3">
        <f t="shared" si="8"/>
        <v>-65.403834622566208</v>
      </c>
      <c r="Q18" s="3">
        <f t="shared" si="9"/>
        <v>189.04937558550193</v>
      </c>
    </row>
    <row r="19" spans="3:17" x14ac:dyDescent="0.25">
      <c r="N19" s="3">
        <f t="shared" si="10"/>
        <v>254.76877990843488</v>
      </c>
      <c r="O19" s="3">
        <f t="shared" si="7"/>
        <v>52.515903371791651</v>
      </c>
      <c r="P19" s="3">
        <f t="shared" si="8"/>
        <v>-71.812626797146635</v>
      </c>
      <c r="Q19" s="3">
        <f t="shared" si="9"/>
        <v>254.76877990843479</v>
      </c>
    </row>
    <row r="21" spans="3:17" x14ac:dyDescent="0.25">
      <c r="N21" s="44" t="s">
        <v>32</v>
      </c>
      <c r="O21" s="43" t="s">
        <v>29</v>
      </c>
      <c r="P21" s="44" t="s">
        <v>30</v>
      </c>
      <c r="Q21" s="44" t="s">
        <v>31</v>
      </c>
    </row>
    <row r="22" spans="3:17" x14ac:dyDescent="0.25">
      <c r="N22" s="44"/>
      <c r="O22" s="43"/>
      <c r="P22" s="44"/>
      <c r="Q22" s="44"/>
    </row>
    <row r="23" spans="3:17" x14ac:dyDescent="0.25">
      <c r="N23" s="3">
        <f>0.627*N4^(-2/7)</f>
        <v>0.19388181052488213</v>
      </c>
      <c r="O23" s="3">
        <f>N23*O4</f>
        <v>4.4073131916422315E-8</v>
      </c>
      <c r="P23" s="3">
        <v>2.4999999999999999E-8</v>
      </c>
      <c r="Q23" s="3">
        <f>(O23-P23)/P23*100</f>
        <v>76.292527665689263</v>
      </c>
    </row>
    <row r="24" spans="3:17" x14ac:dyDescent="0.25">
      <c r="N24" s="3">
        <f t="shared" ref="N24:N27" si="11">0.627*N5^(-2/7)</f>
        <v>0.17815917266238046</v>
      </c>
      <c r="O24" s="3">
        <f>N24*O5</f>
        <v>4.4698751543202572E-8</v>
      </c>
      <c r="P24" s="3">
        <v>2.9999999999999997E-8</v>
      </c>
      <c r="Q24" s="3">
        <f t="shared" ref="Q24:Q27" si="12">(O24-P24)/P24*100</f>
        <v>48.99583847734192</v>
      </c>
    </row>
    <row r="25" spans="3:17" x14ac:dyDescent="0.25">
      <c r="N25" s="3">
        <f t="shared" si="11"/>
        <v>0.16466226905293807</v>
      </c>
      <c r="O25" s="3">
        <f t="shared" ref="O25:O27" si="13">N25*O6</f>
        <v>4.5289522502619256E-8</v>
      </c>
      <c r="P25" s="3">
        <v>3.5000000000000002E-8</v>
      </c>
      <c r="Q25" s="3">
        <f t="shared" si="12"/>
        <v>29.398635721769296</v>
      </c>
    </row>
    <row r="26" spans="3:17" x14ac:dyDescent="0.25">
      <c r="N26" s="3">
        <f t="shared" si="11"/>
        <v>0.15976946685168342</v>
      </c>
      <c r="O26" s="3">
        <f t="shared" si="13"/>
        <v>4.5517785699039085E-8</v>
      </c>
      <c r="P26" s="3">
        <v>4.0000000000000001E-8</v>
      </c>
      <c r="Q26" s="3">
        <f t="shared" si="12"/>
        <v>13.794464247597709</v>
      </c>
    </row>
    <row r="27" spans="3:17" x14ac:dyDescent="0.25">
      <c r="N27" s="3">
        <f t="shared" si="11"/>
        <v>0.15068597283906232</v>
      </c>
      <c r="O27" s="3">
        <f t="shared" si="13"/>
        <v>4.5964014546013702E-8</v>
      </c>
      <c r="P27" s="3">
        <v>4.6999999999999997E-8</v>
      </c>
      <c r="Q27" s="3">
        <f t="shared" si="12"/>
        <v>-2.2042243701836073</v>
      </c>
    </row>
    <row r="29" spans="3:17" ht="15" customHeight="1" x14ac:dyDescent="0.25">
      <c r="N29" s="44" t="s">
        <v>33</v>
      </c>
      <c r="O29" s="44"/>
    </row>
    <row r="30" spans="3:17" x14ac:dyDescent="0.25">
      <c r="N30" s="44"/>
      <c r="O30" s="44"/>
    </row>
    <row r="31" spans="3:17" x14ac:dyDescent="0.25">
      <c r="N31" s="44"/>
      <c r="O31" s="44"/>
    </row>
    <row r="32" spans="3:17" x14ac:dyDescent="0.25">
      <c r="N32" s="44"/>
      <c r="O32" s="44"/>
    </row>
  </sheetData>
  <mergeCells count="10">
    <mergeCell ref="N29:O32"/>
    <mergeCell ref="O1:Q2"/>
    <mergeCell ref="H2:L2"/>
    <mergeCell ref="A3:F3"/>
    <mergeCell ref="J10:J11"/>
    <mergeCell ref="O10:Q12"/>
    <mergeCell ref="N21:N22"/>
    <mergeCell ref="O21:O22"/>
    <mergeCell ref="P21:P22"/>
    <mergeCell ref="Q21:Q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E1" sqref="A1:XFD1048576"/>
    </sheetView>
  </sheetViews>
  <sheetFormatPr defaultRowHeight="15" x14ac:dyDescent="0.25"/>
  <cols>
    <col min="1" max="1" width="3.5703125" customWidth="1"/>
    <col min="4" max="4" width="5.85546875" customWidth="1"/>
    <col min="6" max="6" width="14.85546875" customWidth="1"/>
    <col min="7" max="7" width="2.85546875" customWidth="1"/>
    <col min="8" max="8" width="12" customWidth="1"/>
    <col min="10" max="10" width="11.28515625" customWidth="1"/>
    <col min="12" max="12" width="9.42578125" customWidth="1"/>
    <col min="13" max="13" width="17" customWidth="1"/>
    <col min="14" max="14" width="14" customWidth="1"/>
    <col min="15" max="15" width="13" customWidth="1"/>
    <col min="16" max="16" width="14.7109375" customWidth="1"/>
    <col min="17" max="17" width="16" customWidth="1"/>
  </cols>
  <sheetData>
    <row r="1" spans="1:17" x14ac:dyDescent="0.25">
      <c r="O1" s="44" t="s">
        <v>0</v>
      </c>
      <c r="P1" s="44"/>
      <c r="Q1" s="44"/>
    </row>
    <row r="2" spans="1:17" x14ac:dyDescent="0.25">
      <c r="H2" s="45" t="s">
        <v>1</v>
      </c>
      <c r="I2" s="45"/>
      <c r="J2" s="45"/>
      <c r="K2" s="45"/>
      <c r="L2" s="45"/>
      <c r="O2" s="44"/>
      <c r="P2" s="44"/>
      <c r="Q2" s="44"/>
    </row>
    <row r="3" spans="1:17" ht="90" x14ac:dyDescent="0.25">
      <c r="A3" s="45" t="s">
        <v>2</v>
      </c>
      <c r="B3" s="45"/>
      <c r="C3" s="45"/>
      <c r="D3" s="45"/>
      <c r="E3" s="45"/>
      <c r="F3" s="45"/>
      <c r="H3" t="s">
        <v>3</v>
      </c>
      <c r="I3" t="s">
        <v>4</v>
      </c>
      <c r="J3" s="18" t="s">
        <v>36</v>
      </c>
      <c r="K3" s="18" t="s">
        <v>6</v>
      </c>
      <c r="L3" s="21" t="s">
        <v>34</v>
      </c>
      <c r="M3" s="21" t="s">
        <v>35</v>
      </c>
      <c r="N3" t="s">
        <v>7</v>
      </c>
      <c r="O3" t="s">
        <v>8</v>
      </c>
      <c r="P3" t="s">
        <v>9</v>
      </c>
      <c r="Q3" t="s">
        <v>10</v>
      </c>
    </row>
    <row r="4" spans="1:17" x14ac:dyDescent="0.25">
      <c r="B4" t="s">
        <v>11</v>
      </c>
      <c r="C4" s="3">
        <v>1.8E-3</v>
      </c>
      <c r="D4" t="s">
        <v>12</v>
      </c>
      <c r="E4" s="4" t="s">
        <v>13</v>
      </c>
      <c r="F4" s="3">
        <f>PI()*C7^3*C6/C5/C4</f>
        <v>139.80087308474575</v>
      </c>
      <c r="H4" s="5">
        <v>5.0000000000000002E-5</v>
      </c>
      <c r="I4" s="6">
        <f>H4/$F$6</f>
        <v>0.12867766891465332</v>
      </c>
      <c r="J4" s="6">
        <v>2.8226999999999999E-4</v>
      </c>
      <c r="K4" s="5">
        <f>J4*$F$5</f>
        <v>14.460123114746064</v>
      </c>
      <c r="L4" s="8">
        <v>19</v>
      </c>
      <c r="M4" s="3">
        <f>L4/$F$5</f>
        <v>3.7089103304596466E-4</v>
      </c>
      <c r="N4" s="3">
        <f>$F$4/(M4/$J$4)^(-7/10)</f>
        <v>169.24545350644408</v>
      </c>
      <c r="O4" s="3">
        <f>(N4*$C$5*$C$4/(PI()*$C$6))^(1/3)</f>
        <v>3.1973508682521205E-7</v>
      </c>
      <c r="P4" s="3">
        <f>(PI()*$C$7^3*$C$6/($C$4*N4))</f>
        <v>1.2390365902451508E-20</v>
      </c>
      <c r="Q4" s="3">
        <f>(N4*$C$5*$C$4)/(PI()*$C$7^3)</f>
        <v>5.3872501042760257E-2</v>
      </c>
    </row>
    <row r="5" spans="1:17" x14ac:dyDescent="0.25">
      <c r="B5" t="s">
        <v>14</v>
      </c>
      <c r="C5" s="9">
        <v>1.5000000000000001E-20</v>
      </c>
      <c r="D5" t="s">
        <v>15</v>
      </c>
      <c r="E5" t="s">
        <v>16</v>
      </c>
      <c r="F5" s="3">
        <f>12*PI()^2*C8*C6*C7^5/C5^2</f>
        <v>51227.984251766269</v>
      </c>
      <c r="G5" t="s">
        <v>17</v>
      </c>
      <c r="H5" s="3">
        <v>1E-4</v>
      </c>
      <c r="I5" s="10">
        <f>H5/$F$6</f>
        <v>0.25735533782930664</v>
      </c>
      <c r="J5" s="10">
        <v>6.3372999999999999E-4</v>
      </c>
      <c r="K5" s="3">
        <f t="shared" ref="K5:K8" si="0">J5*$F$5</f>
        <v>32.464710459871839</v>
      </c>
      <c r="L5">
        <v>29</v>
      </c>
      <c r="M5" s="3">
        <f t="shared" ref="M5:M8" si="1">L5/$F$5</f>
        <v>5.6609683991226179E-4</v>
      </c>
      <c r="N5" s="3">
        <f>$F$4/(M5/$J$4)^(-7/10)</f>
        <v>227.54541490272231</v>
      </c>
      <c r="O5" s="3">
        <f t="shared" ref="O5:O7" si="2">(N5*$C$5*$C$4/(PI()*$C$6))^(1/3)</f>
        <v>3.5289106013491711E-7</v>
      </c>
      <c r="P5" s="3">
        <f t="shared" ref="P5:P8" si="3">(PI()*$C$7^3*$C$6/($C$4*N5))</f>
        <v>9.2158002707621156E-21</v>
      </c>
      <c r="Q5" s="3">
        <f t="shared" ref="Q5:Q8" si="4">(N5*$C$5*$C$4)/(PI()*$C$7^3)</f>
        <v>7.2429955119328995E-2</v>
      </c>
    </row>
    <row r="6" spans="1:17" x14ac:dyDescent="0.25">
      <c r="B6" t="s">
        <v>18</v>
      </c>
      <c r="C6">
        <v>4.4499999999999998E-2</v>
      </c>
      <c r="E6" t="s">
        <v>19</v>
      </c>
      <c r="F6" s="3">
        <f>SQRT(2*PI()*C6/C5)*C7^2</f>
        <v>3.8856780995281297E-4</v>
      </c>
      <c r="G6" t="s">
        <v>12</v>
      </c>
      <c r="H6" s="3">
        <v>2.0000000000000001E-4</v>
      </c>
      <c r="I6" s="10">
        <f t="shared" ref="I6:I8" si="5">H6/$F$6</f>
        <v>0.51471067565861328</v>
      </c>
      <c r="J6" s="10">
        <v>4.0879000000000002E-4</v>
      </c>
      <c r="K6" s="3">
        <f t="shared" si="0"/>
        <v>20.941487682279533</v>
      </c>
      <c r="L6">
        <v>43</v>
      </c>
      <c r="M6" s="3">
        <f t="shared" si="1"/>
        <v>8.3938496952507794E-4</v>
      </c>
      <c r="N6" s="3">
        <f>$F$4/(M6/$J$4)^(-7/10)</f>
        <v>299.79018433120962</v>
      </c>
      <c r="O6" s="3">
        <f t="shared" si="2"/>
        <v>3.8686291202669259E-7</v>
      </c>
      <c r="P6" s="3">
        <f t="shared" si="3"/>
        <v>6.9949358113553062E-21</v>
      </c>
      <c r="Q6" s="3">
        <f t="shared" si="4"/>
        <v>9.5426179453484986E-2</v>
      </c>
    </row>
    <row r="7" spans="1:17" x14ac:dyDescent="0.25">
      <c r="B7" t="s">
        <v>20</v>
      </c>
      <c r="C7" s="12">
        <v>2.9999999999999999E-7</v>
      </c>
      <c r="D7" t="s">
        <v>12</v>
      </c>
      <c r="H7" s="9">
        <v>2.9999999999999997E-4</v>
      </c>
      <c r="I7" s="10">
        <f>H7/$F$6</f>
        <v>0.77206601348791981</v>
      </c>
      <c r="J7" s="10">
        <v>4.1697000000000001E-4</v>
      </c>
      <c r="K7" s="3">
        <f t="shared" si="0"/>
        <v>21.360532593458981</v>
      </c>
      <c r="L7">
        <v>50</v>
      </c>
      <c r="M7" s="3">
        <f t="shared" si="1"/>
        <v>9.760290343314859E-4</v>
      </c>
      <c r="N7" s="3">
        <f>$F$4/(M7/$J$4)^(-7/10)</f>
        <v>333.17199802608241</v>
      </c>
      <c r="O7" s="3">
        <f t="shared" si="2"/>
        <v>4.0071979015935722E-7</v>
      </c>
      <c r="P7" s="3">
        <f t="shared" si="3"/>
        <v>6.2940856635467351E-21</v>
      </c>
      <c r="Q7" s="3">
        <f t="shared" si="4"/>
        <v>0.10605194077130847</v>
      </c>
    </row>
    <row r="8" spans="1:17" x14ac:dyDescent="0.25">
      <c r="B8" t="s">
        <v>21</v>
      </c>
      <c r="C8" s="3">
        <v>8.9999999999999998E-4</v>
      </c>
      <c r="D8" t="s">
        <v>22</v>
      </c>
      <c r="H8" s="3">
        <v>5.0000000000000001E-4</v>
      </c>
      <c r="I8" s="10">
        <f t="shared" si="5"/>
        <v>1.2867766891465333</v>
      </c>
      <c r="J8" s="10">
        <v>4.1706000000000002E-4</v>
      </c>
      <c r="K8" s="3">
        <f t="shared" si="0"/>
        <v>21.36514311204164</v>
      </c>
      <c r="L8">
        <v>67</v>
      </c>
      <c r="M8" s="3">
        <f t="shared" si="1"/>
        <v>1.3078789060041911E-3</v>
      </c>
      <c r="N8" s="3">
        <f>$F$4/(M8/$J$4)^(-7/10)</f>
        <v>408.92329554403386</v>
      </c>
      <c r="O8" s="3">
        <f>(N8*$C$5*$C$4/(PI()*$C$6))^(1/3)</f>
        <v>4.2904078398845057E-7</v>
      </c>
      <c r="P8" s="3">
        <f t="shared" si="3"/>
        <v>5.1281331220842004E-21</v>
      </c>
      <c r="Q8" s="3">
        <f t="shared" si="4"/>
        <v>0.13016432766252203</v>
      </c>
    </row>
    <row r="10" spans="1:17" ht="15" customHeight="1" x14ac:dyDescent="0.25">
      <c r="J10" s="44" t="s">
        <v>23</v>
      </c>
      <c r="O10" s="46" t="s">
        <v>24</v>
      </c>
      <c r="P10" s="46"/>
      <c r="Q10" s="46"/>
    </row>
    <row r="11" spans="1:17" x14ac:dyDescent="0.25">
      <c r="H11" s="14"/>
      <c r="I11" s="14"/>
      <c r="J11" s="44"/>
      <c r="K11" s="14"/>
      <c r="L11" s="14"/>
      <c r="O11" s="46"/>
      <c r="P11" s="46"/>
      <c r="Q11" s="46"/>
    </row>
    <row r="12" spans="1:17" x14ac:dyDescent="0.25">
      <c r="A12" s="14"/>
      <c r="B12" s="14"/>
      <c r="C12" s="14"/>
      <c r="D12" s="14"/>
      <c r="E12" s="14"/>
      <c r="F12" s="14"/>
      <c r="O12" s="46"/>
      <c r="P12" s="46"/>
      <c r="Q12" s="46"/>
    </row>
    <row r="13" spans="1:17" x14ac:dyDescent="0.25">
      <c r="C13" s="3"/>
      <c r="E13" s="4"/>
      <c r="F13" s="3"/>
      <c r="H13" s="5"/>
      <c r="I13" s="15"/>
      <c r="J13" s="16" t="s">
        <v>5</v>
      </c>
      <c r="K13" s="5"/>
      <c r="L13" s="8"/>
      <c r="M13" s="3"/>
      <c r="N13" s="3"/>
      <c r="O13" s="3"/>
      <c r="P13" s="3"/>
    </row>
    <row r="14" spans="1:17" x14ac:dyDescent="0.25">
      <c r="C14" s="9"/>
      <c r="F14" s="3"/>
      <c r="H14" s="3"/>
      <c r="I14" s="12"/>
      <c r="J14" s="17">
        <v>4.3800000000000002E-4</v>
      </c>
      <c r="K14" s="3"/>
      <c r="M14" s="3"/>
      <c r="N14" s="3" t="s">
        <v>25</v>
      </c>
      <c r="O14" s="3" t="s">
        <v>26</v>
      </c>
      <c r="P14" s="3" t="s">
        <v>27</v>
      </c>
      <c r="Q14" s="3" t="s">
        <v>28</v>
      </c>
    </row>
    <row r="15" spans="1:17" x14ac:dyDescent="0.25">
      <c r="F15" s="3"/>
      <c r="H15" s="3"/>
      <c r="I15" s="12"/>
      <c r="J15" s="17">
        <v>8.5072999999999995E-4</v>
      </c>
      <c r="K15" s="3"/>
      <c r="M15" s="3"/>
      <c r="N15" s="3">
        <f>(N4-$F$4)/$F$4*100</f>
        <v>21.061800096090497</v>
      </c>
      <c r="O15" s="3">
        <f>(O4-$C$7)/$C$7*100</f>
        <v>6.5783622750706874</v>
      </c>
      <c r="P15" s="3">
        <f>(P4-$C$5)/$C$5*100</f>
        <v>-17.397560650323289</v>
      </c>
      <c r="Q15" s="3">
        <f>(Q4-$C$6)/$C$6*100</f>
        <v>21.061800096090472</v>
      </c>
    </row>
    <row r="16" spans="1:17" x14ac:dyDescent="0.25">
      <c r="C16" s="12"/>
      <c r="H16" s="13"/>
      <c r="I16" s="12"/>
      <c r="J16" s="17">
        <v>5.6977000000000004E-4</v>
      </c>
      <c r="K16" s="3"/>
      <c r="M16" s="3"/>
      <c r="N16" s="3">
        <f>(N5-$F$4)/$F$4*100</f>
        <v>62.763944088379766</v>
      </c>
      <c r="O16" s="3">
        <f t="shared" ref="O16:O19" si="6">(O5-$C$7)/$C$7*100</f>
        <v>17.63035337830571</v>
      </c>
      <c r="P16" s="3">
        <f t="shared" ref="P16:P19" si="7">(P5-$C$5)/$C$5*100</f>
        <v>-38.561331528252566</v>
      </c>
      <c r="Q16" s="3">
        <f t="shared" ref="Q16:Q19" si="8">(Q5-$C$6)/$C$6*100</f>
        <v>62.763944088379773</v>
      </c>
    </row>
    <row r="17" spans="3:17" x14ac:dyDescent="0.25">
      <c r="C17" s="3"/>
      <c r="H17" s="3"/>
      <c r="I17" s="12"/>
      <c r="J17" s="17">
        <v>5.9040000000000004E-4</v>
      </c>
      <c r="K17" s="3"/>
      <c r="M17" s="3"/>
      <c r="N17" s="3">
        <f t="shared" ref="N17:N19" si="9">(N6-$F$4)/$F$4*100</f>
        <v>114.44085270446067</v>
      </c>
      <c r="O17" s="3">
        <f t="shared" si="6"/>
        <v>28.954304008897537</v>
      </c>
      <c r="P17" s="3">
        <f t="shared" si="7"/>
        <v>-53.367094590964626</v>
      </c>
      <c r="Q17" s="3">
        <f t="shared" si="8"/>
        <v>114.44085270446065</v>
      </c>
    </row>
    <row r="18" spans="3:17" x14ac:dyDescent="0.25">
      <c r="J18" s="17">
        <v>5.9049999999999999E-4</v>
      </c>
      <c r="N18" s="3">
        <f t="shared" si="9"/>
        <v>138.31896802541229</v>
      </c>
      <c r="O18" s="3">
        <f t="shared" si="6"/>
        <v>33.57326338645241</v>
      </c>
      <c r="P18" s="3">
        <f t="shared" si="7"/>
        <v>-58.039428909688425</v>
      </c>
      <c r="Q18" s="3">
        <f t="shared" si="8"/>
        <v>138.31896802541229</v>
      </c>
    </row>
    <row r="19" spans="3:17" x14ac:dyDescent="0.25">
      <c r="N19" s="3">
        <f t="shared" si="9"/>
        <v>192.50410710679117</v>
      </c>
      <c r="O19" s="3">
        <f t="shared" si="6"/>
        <v>43.013594662816864</v>
      </c>
      <c r="P19" s="3">
        <f t="shared" si="7"/>
        <v>-65.812445852772001</v>
      </c>
      <c r="Q19" s="3">
        <f t="shared" si="8"/>
        <v>192.50410710679111</v>
      </c>
    </row>
    <row r="21" spans="3:17" x14ac:dyDescent="0.25">
      <c r="N21" s="44" t="s">
        <v>32</v>
      </c>
      <c r="O21" s="43" t="s">
        <v>29</v>
      </c>
      <c r="P21" s="44" t="s">
        <v>30</v>
      </c>
      <c r="Q21" s="44" t="s">
        <v>31</v>
      </c>
    </row>
    <row r="22" spans="3:17" x14ac:dyDescent="0.25">
      <c r="N22" s="44"/>
      <c r="O22" s="43"/>
      <c r="P22" s="44"/>
      <c r="Q22" s="44"/>
    </row>
    <row r="23" spans="3:17" x14ac:dyDescent="0.25">
      <c r="N23" s="3">
        <f>0.627*N4^(-2/7)</f>
        <v>0.14472661176982904</v>
      </c>
      <c r="O23" s="3">
        <f>N23*O4</f>
        <v>4.6274175780145046E-8</v>
      </c>
      <c r="P23" s="3">
        <v>2.4999999999999999E-8</v>
      </c>
      <c r="Q23" s="3">
        <f>(O23-P23)/P23*100</f>
        <v>85.096703120580202</v>
      </c>
    </row>
    <row r="24" spans="3:17" x14ac:dyDescent="0.25">
      <c r="N24" s="3">
        <f t="shared" ref="N24:N27" si="10">0.627*N5^(-2/7)</f>
        <v>0.13299016212680351</v>
      </c>
      <c r="O24" s="3">
        <f>N24*O5</f>
        <v>4.693103930044219E-8</v>
      </c>
      <c r="P24" s="3">
        <v>2.9999999999999997E-8</v>
      </c>
      <c r="Q24" s="3">
        <f t="shared" ref="Q24:Q27" si="11">(O24-P24)/P24*100</f>
        <v>56.436797668140649</v>
      </c>
    </row>
    <row r="25" spans="3:17" x14ac:dyDescent="0.25">
      <c r="N25" s="3">
        <f t="shared" si="10"/>
        <v>0.12291515239025123</v>
      </c>
      <c r="O25" s="3">
        <f t="shared" ref="O25:O27" si="12">N25*O6</f>
        <v>4.7551313785897276E-8</v>
      </c>
      <c r="P25" s="3">
        <v>3.5000000000000002E-8</v>
      </c>
      <c r="Q25" s="3">
        <f t="shared" si="11"/>
        <v>35.860896531135069</v>
      </c>
    </row>
    <row r="26" spans="3:17" x14ac:dyDescent="0.25">
      <c r="N26" s="3">
        <f t="shared" si="10"/>
        <v>0.11926283099542566</v>
      </c>
      <c r="O26" s="3">
        <f t="shared" si="12"/>
        <v>4.7790976610297853E-8</v>
      </c>
      <c r="P26" s="3">
        <v>4.0000000000000001E-8</v>
      </c>
      <c r="Q26" s="3">
        <f t="shared" si="11"/>
        <v>19.477441525744631</v>
      </c>
    </row>
    <row r="27" spans="3:17" x14ac:dyDescent="0.25">
      <c r="N27" s="3">
        <f t="shared" si="10"/>
        <v>0.11248229130519274</v>
      </c>
      <c r="O27" s="3">
        <f t="shared" si="12"/>
        <v>4.8259490446397169E-8</v>
      </c>
      <c r="P27" s="3">
        <v>4.6999999999999997E-8</v>
      </c>
      <c r="Q27" s="3">
        <f t="shared" si="11"/>
        <v>2.679766907228025</v>
      </c>
    </row>
    <row r="29" spans="3:17" ht="15" customHeight="1" x14ac:dyDescent="0.25">
      <c r="N29" s="44" t="s">
        <v>33</v>
      </c>
      <c r="O29" s="44"/>
    </row>
    <row r="30" spans="3:17" x14ac:dyDescent="0.25">
      <c r="N30" s="44"/>
      <c r="O30" s="44"/>
    </row>
    <row r="31" spans="3:17" x14ac:dyDescent="0.25">
      <c r="N31" s="44"/>
      <c r="O31" s="44"/>
    </row>
    <row r="32" spans="3:17" x14ac:dyDescent="0.25">
      <c r="N32" s="44"/>
      <c r="O32" s="44"/>
    </row>
    <row r="35" spans="1:13" x14ac:dyDescent="0.25">
      <c r="H35" s="45" t="s">
        <v>1</v>
      </c>
      <c r="I35" s="45"/>
      <c r="J35" s="45"/>
      <c r="K35" s="45"/>
      <c r="L35" s="45"/>
    </row>
    <row r="36" spans="1:13" ht="90" x14ac:dyDescent="0.25">
      <c r="A36" s="45" t="s">
        <v>2</v>
      </c>
      <c r="B36" s="45"/>
      <c r="C36" s="45"/>
      <c r="D36" s="45"/>
      <c r="E36" s="45"/>
      <c r="F36" s="45"/>
      <c r="H36" t="s">
        <v>3</v>
      </c>
      <c r="I36" t="s">
        <v>4</v>
      </c>
      <c r="J36" s="18" t="s">
        <v>36</v>
      </c>
      <c r="K36" s="18" t="s">
        <v>6</v>
      </c>
      <c r="L36" s="21" t="s">
        <v>34</v>
      </c>
      <c r="M36" s="21" t="s">
        <v>35</v>
      </c>
    </row>
    <row r="37" spans="1:13" x14ac:dyDescent="0.25">
      <c r="B37" t="s">
        <v>11</v>
      </c>
      <c r="C37" s="3">
        <v>1.8E-3</v>
      </c>
      <c r="D37" t="s">
        <v>12</v>
      </c>
      <c r="E37" s="4" t="s">
        <v>13</v>
      </c>
      <c r="F37" s="3">
        <f>PI()*C40^3*C39/C38/C37</f>
        <v>139.80087308474575</v>
      </c>
      <c r="H37" s="3">
        <v>9.9999999999999995E-7</v>
      </c>
      <c r="I37" s="6">
        <f>H37/$F$6</f>
        <v>2.5735533782930663E-3</v>
      </c>
      <c r="J37" s="6"/>
      <c r="K37" s="5">
        <f>J37*$F$5</f>
        <v>0</v>
      </c>
    </row>
    <row r="38" spans="1:13" x14ac:dyDescent="0.25">
      <c r="B38" t="s">
        <v>14</v>
      </c>
      <c r="C38" s="9">
        <v>1.5000000000000001E-20</v>
      </c>
      <c r="D38" t="s">
        <v>15</v>
      </c>
      <c r="E38" t="s">
        <v>16</v>
      </c>
      <c r="F38" s="3">
        <f>12*PI()^2*C41*C39*C40^5/C38^2</f>
        <v>51227.984251766269</v>
      </c>
      <c r="G38" t="s">
        <v>17</v>
      </c>
      <c r="H38" s="5">
        <v>5.0000000000000004E-6</v>
      </c>
      <c r="I38" s="6">
        <f>H38/$F$6</f>
        <v>1.2867766891465333E-2</v>
      </c>
      <c r="J38" s="6"/>
      <c r="K38" s="5">
        <f>J38*$F$5</f>
        <v>0</v>
      </c>
      <c r="L38" s="8">
        <v>19</v>
      </c>
      <c r="M38" s="3">
        <f>L38/$F$5</f>
        <v>3.7089103304596466E-4</v>
      </c>
    </row>
    <row r="39" spans="1:13" x14ac:dyDescent="0.25">
      <c r="B39" t="s">
        <v>18</v>
      </c>
      <c r="C39">
        <v>4.4499999999999998E-2</v>
      </c>
      <c r="E39" t="s">
        <v>19</v>
      </c>
      <c r="F39" s="3">
        <f>SQRT(2*PI()*C39/C38)*C40^2</f>
        <v>3.8856780995281297E-4</v>
      </c>
      <c r="G39" t="s">
        <v>12</v>
      </c>
      <c r="H39" s="3">
        <v>1.0000000000000001E-5</v>
      </c>
      <c r="I39" s="10">
        <f>H39/$F$6</f>
        <v>2.5735533782930666E-2</v>
      </c>
      <c r="J39" s="10">
        <v>9.1939000000000002E-5</v>
      </c>
      <c r="K39" s="3">
        <f t="shared" ref="K39:K42" si="13">J39*$F$5</f>
        <v>4.709849644123139</v>
      </c>
      <c r="L39">
        <v>29</v>
      </c>
      <c r="M39" s="3">
        <f t="shared" ref="M39:M42" si="14">L39/$F$5</f>
        <v>5.6609683991226179E-4</v>
      </c>
    </row>
    <row r="40" spans="1:13" x14ac:dyDescent="0.25">
      <c r="B40" t="s">
        <v>20</v>
      </c>
      <c r="C40" s="12">
        <v>2.9999999999999999E-7</v>
      </c>
      <c r="D40" t="s">
        <v>12</v>
      </c>
      <c r="H40" s="3">
        <v>2.0000000000000002E-5</v>
      </c>
      <c r="I40" s="10">
        <f t="shared" ref="I40" si="15">H40/$F$6</f>
        <v>5.1471067565861332E-2</v>
      </c>
      <c r="J40" s="10">
        <v>1.0425E-4</v>
      </c>
      <c r="K40" s="3">
        <f t="shared" si="13"/>
        <v>5.3405173582466334</v>
      </c>
      <c r="L40">
        <v>43</v>
      </c>
      <c r="M40" s="3">
        <f t="shared" si="14"/>
        <v>8.3938496952507794E-4</v>
      </c>
    </row>
    <row r="41" spans="1:13" x14ac:dyDescent="0.25">
      <c r="B41" t="s">
        <v>21</v>
      </c>
      <c r="C41" s="3">
        <v>8.9999999999999998E-4</v>
      </c>
      <c r="D41" t="s">
        <v>22</v>
      </c>
      <c r="H41" s="9">
        <v>3.0000000000000001E-5</v>
      </c>
      <c r="I41" s="10">
        <f>H41/$F$6</f>
        <v>7.7206601348791995E-2</v>
      </c>
      <c r="J41" s="10">
        <v>1.6595999999999999E-4</v>
      </c>
      <c r="K41" s="3">
        <f t="shared" si="13"/>
        <v>8.5017962664231295</v>
      </c>
      <c r="L41">
        <v>50</v>
      </c>
      <c r="M41" s="3">
        <f t="shared" si="14"/>
        <v>9.760290343314859E-4</v>
      </c>
    </row>
    <row r="42" spans="1:13" x14ac:dyDescent="0.25">
      <c r="H42" s="3">
        <v>4.0000000000000003E-5</v>
      </c>
      <c r="I42" s="10">
        <f t="shared" ref="I42" si="16">H42/$F$6</f>
        <v>0.10294213513172266</v>
      </c>
      <c r="J42" s="10">
        <v>2.1766999999999999E-4</v>
      </c>
      <c r="K42" s="3">
        <f t="shared" si="13"/>
        <v>11.150795332081964</v>
      </c>
      <c r="L42">
        <v>67</v>
      </c>
      <c r="M42" s="3">
        <f t="shared" si="14"/>
        <v>1.3078789060041911E-3</v>
      </c>
    </row>
    <row r="46" spans="1:13" x14ac:dyDescent="0.25">
      <c r="J46" s="20" t="s">
        <v>5</v>
      </c>
    </row>
    <row r="48" spans="1:13" x14ac:dyDescent="0.25">
      <c r="J48">
        <v>1.8435000000000001E-4</v>
      </c>
    </row>
    <row r="49" spans="10:10" x14ac:dyDescent="0.25">
      <c r="J49">
        <v>1.7108E-4</v>
      </c>
    </row>
    <row r="50" spans="10:10" x14ac:dyDescent="0.25">
      <c r="J50">
        <v>2.2624E-4</v>
      </c>
    </row>
    <row r="51" spans="10:10" x14ac:dyDescent="0.25">
      <c r="J51">
        <v>2.9307999999999998E-4</v>
      </c>
    </row>
    <row r="52" spans="10:10" x14ac:dyDescent="0.25">
      <c r="J52">
        <v>3.5749000000000002E-4</v>
      </c>
    </row>
  </sheetData>
  <mergeCells count="12">
    <mergeCell ref="N29:O32"/>
    <mergeCell ref="H35:L35"/>
    <mergeCell ref="A36:F36"/>
    <mergeCell ref="O1:Q2"/>
    <mergeCell ref="H2:L2"/>
    <mergeCell ref="A3:F3"/>
    <mergeCell ref="J10:J11"/>
    <mergeCell ref="O10:Q12"/>
    <mergeCell ref="N21:N22"/>
    <mergeCell ref="O21:O22"/>
    <mergeCell ref="P21:P22"/>
    <mergeCell ref="Q21:Q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F22" sqref="F22"/>
    </sheetView>
  </sheetViews>
  <sheetFormatPr defaultRowHeight="15" x14ac:dyDescent="0.25"/>
  <cols>
    <col min="1" max="1" width="3.5703125" customWidth="1"/>
    <col min="4" max="4" width="5.85546875" customWidth="1"/>
    <col min="6" max="6" width="14.85546875" customWidth="1"/>
    <col min="7" max="7" width="2.85546875" customWidth="1"/>
    <col min="8" max="8" width="12" customWidth="1"/>
    <col min="10" max="10" width="19" customWidth="1"/>
    <col min="12" max="12" width="9.42578125" customWidth="1"/>
    <col min="13" max="13" width="17" customWidth="1"/>
    <col min="14" max="14" width="14" customWidth="1"/>
    <col min="15" max="15" width="13" customWidth="1"/>
    <col min="16" max="16" width="14.7109375" customWidth="1"/>
    <col min="17" max="17" width="16" customWidth="1"/>
  </cols>
  <sheetData>
    <row r="1" spans="1:17" x14ac:dyDescent="0.25">
      <c r="O1" s="44" t="s">
        <v>0</v>
      </c>
      <c r="P1" s="44"/>
      <c r="Q1" s="44"/>
    </row>
    <row r="2" spans="1:17" x14ac:dyDescent="0.25">
      <c r="H2" s="45" t="s">
        <v>1</v>
      </c>
      <c r="I2" s="45"/>
      <c r="J2" s="45"/>
      <c r="K2" s="45"/>
      <c r="L2" s="45"/>
      <c r="O2" s="44"/>
      <c r="P2" s="44"/>
      <c r="Q2" s="44"/>
    </row>
    <row r="3" spans="1:17" ht="90" x14ac:dyDescent="0.25">
      <c r="A3" s="45" t="s">
        <v>2</v>
      </c>
      <c r="B3" s="45"/>
      <c r="C3" s="45"/>
      <c r="D3" s="45"/>
      <c r="E3" s="45"/>
      <c r="F3" s="45"/>
      <c r="H3" t="s">
        <v>3</v>
      </c>
      <c r="I3" t="s">
        <v>4</v>
      </c>
      <c r="J3" s="22" t="s">
        <v>36</v>
      </c>
      <c r="K3" s="22" t="s">
        <v>6</v>
      </c>
      <c r="L3" s="21" t="s">
        <v>34</v>
      </c>
      <c r="M3" s="21" t="s">
        <v>35</v>
      </c>
      <c r="N3" t="s">
        <v>7</v>
      </c>
      <c r="O3" t="s">
        <v>8</v>
      </c>
      <c r="P3" t="s">
        <v>9</v>
      </c>
      <c r="Q3" t="s">
        <v>10</v>
      </c>
    </row>
    <row r="4" spans="1:17" x14ac:dyDescent="0.25">
      <c r="B4" t="s">
        <v>11</v>
      </c>
      <c r="C4" s="3">
        <v>1.8E-3</v>
      </c>
      <c r="D4" t="s">
        <v>12</v>
      </c>
      <c r="E4" s="4" t="s">
        <v>13</v>
      </c>
      <c r="F4" s="3">
        <f>PI()*C7^3*C6/C5/C4</f>
        <v>139.80087308474575</v>
      </c>
      <c r="H4" s="5">
        <v>5.0000000000000002E-5</v>
      </c>
      <c r="I4" s="6">
        <f>H4/$F$6</f>
        <v>0.12867766891465332</v>
      </c>
      <c r="J4" s="6">
        <v>2.92E-4</v>
      </c>
      <c r="K4" s="5">
        <f>J4*$F$5</f>
        <v>14.95857140151575</v>
      </c>
      <c r="L4" s="8">
        <v>19</v>
      </c>
      <c r="M4" s="3">
        <f>L4/$F$5</f>
        <v>3.7089103304596466E-4</v>
      </c>
      <c r="N4" s="3">
        <f>$F$4/(M4/$J$4)^(-7/10)</f>
        <v>165.27772306254414</v>
      </c>
      <c r="O4" s="3">
        <f>(N4*$C$5*$C$4/(PI()*$C$6))^(1/3)</f>
        <v>3.1721671780023356E-7</v>
      </c>
      <c r="P4" s="3">
        <f>(PI()*$C$7^3*$C$6/($C$4*N4))</f>
        <v>1.2687814530683231E-20</v>
      </c>
      <c r="Q4" s="3">
        <f>(N4*$C$5*$C$4)/(PI()*$C$7^3)</f>
        <v>5.2609533216754517E-2</v>
      </c>
    </row>
    <row r="5" spans="1:17" x14ac:dyDescent="0.25">
      <c r="B5" t="s">
        <v>14</v>
      </c>
      <c r="C5" s="9">
        <v>1.5000000000000001E-20</v>
      </c>
      <c r="D5" t="s">
        <v>15</v>
      </c>
      <c r="E5" t="s">
        <v>16</v>
      </c>
      <c r="F5" s="3">
        <f>12*PI()^2*C8*C6*C7^5/C5^2</f>
        <v>51227.984251766269</v>
      </c>
      <c r="G5" t="s">
        <v>17</v>
      </c>
      <c r="H5" s="5">
        <v>1E-4</v>
      </c>
      <c r="I5" s="6">
        <f>H5/$F$6</f>
        <v>0.25735533782930664</v>
      </c>
      <c r="J5" s="6">
        <v>6.3372999999999999E-4</v>
      </c>
      <c r="K5" s="3">
        <f t="shared" ref="K5:K8" si="0">J5*$F$5</f>
        <v>32.464710459871839</v>
      </c>
      <c r="L5">
        <v>29</v>
      </c>
      <c r="M5" s="3">
        <f t="shared" ref="M5:M8" si="1">L5/$F$5</f>
        <v>5.6609683991226179E-4</v>
      </c>
      <c r="N5" s="3">
        <f>$F$4/(M5/$J$4)^(-7/10)</f>
        <v>222.21092082105415</v>
      </c>
      <c r="O5" s="3">
        <f t="shared" ref="O5:O7" si="2">(N5*$C$5*$C$4/(PI()*$C$6))^(1/3)</f>
        <v>3.5011154061499148E-7</v>
      </c>
      <c r="P5" s="3">
        <f t="shared" ref="P5:P8" si="3">(PI()*$C$7^3*$C$6/($C$4*N5))</f>
        <v>9.4370388661496333E-21</v>
      </c>
      <c r="Q5" s="3">
        <f t="shared" ref="Q5:Q8" si="4">(N5*$C$5*$C$4)/(PI()*$C$7^3)</f>
        <v>7.0731932915345089E-2</v>
      </c>
    </row>
    <row r="6" spans="1:17" x14ac:dyDescent="0.25">
      <c r="B6" t="s">
        <v>18</v>
      </c>
      <c r="C6">
        <v>4.4499999999999998E-2</v>
      </c>
      <c r="E6" t="s">
        <v>19</v>
      </c>
      <c r="F6" s="3">
        <f>SQRT(2*PI()*C6/C5)*C7^2</f>
        <v>3.8856780995281297E-4</v>
      </c>
      <c r="G6" t="s">
        <v>12</v>
      </c>
      <c r="H6" s="3">
        <v>2.0000000000000001E-4</v>
      </c>
      <c r="I6" s="10">
        <f t="shared" ref="I6:I8" si="5">H6/$F$6</f>
        <v>0.51471067565861328</v>
      </c>
      <c r="J6" s="10">
        <v>4.0697999999999998E-4</v>
      </c>
      <c r="K6" s="3">
        <f t="shared" si="0"/>
        <v>20.848765030783834</v>
      </c>
      <c r="L6">
        <v>43</v>
      </c>
      <c r="M6" s="3">
        <f t="shared" si="1"/>
        <v>8.3938496952507794E-4</v>
      </c>
      <c r="N6" s="3">
        <f>$F$4/(M6/$J$4)^(-7/10)</f>
        <v>292.76200947327743</v>
      </c>
      <c r="O6" s="3">
        <f t="shared" si="2"/>
        <v>3.8381581580639629E-7</v>
      </c>
      <c r="P6" s="3">
        <f t="shared" si="3"/>
        <v>7.1628593479188993E-21</v>
      </c>
      <c r="Q6" s="3">
        <f t="shared" si="4"/>
        <v>9.3189041914376811E-2</v>
      </c>
    </row>
    <row r="7" spans="1:17" x14ac:dyDescent="0.25">
      <c r="B7" t="s">
        <v>20</v>
      </c>
      <c r="C7" s="12">
        <v>2.9999999999999999E-7</v>
      </c>
      <c r="D7" t="s">
        <v>12</v>
      </c>
      <c r="H7" s="9">
        <v>2.9999999999999997E-4</v>
      </c>
      <c r="I7" s="10">
        <f>H7/$F$6</f>
        <v>0.77206601348791981</v>
      </c>
      <c r="J7" s="10">
        <v>4.1697000000000001E-4</v>
      </c>
      <c r="K7" s="3">
        <f t="shared" si="0"/>
        <v>21.360532593458981</v>
      </c>
      <c r="L7">
        <v>50</v>
      </c>
      <c r="M7" s="3">
        <f t="shared" si="1"/>
        <v>9.760290343314859E-4</v>
      </c>
      <c r="N7" s="3">
        <f>$F$4/(M7/$J$4)^(-7/10)</f>
        <v>325.36123175594025</v>
      </c>
      <c r="O7" s="3">
        <f t="shared" si="2"/>
        <v>3.9756355129532194E-7</v>
      </c>
      <c r="P7" s="3">
        <f t="shared" si="3"/>
        <v>6.4451842801117641E-21</v>
      </c>
      <c r="Q7" s="3">
        <f t="shared" si="4"/>
        <v>0.1035656966488513</v>
      </c>
    </row>
    <row r="8" spans="1:17" x14ac:dyDescent="0.25">
      <c r="B8" t="s">
        <v>21</v>
      </c>
      <c r="C8" s="3">
        <v>8.9999999999999998E-4</v>
      </c>
      <c r="D8" t="s">
        <v>22</v>
      </c>
      <c r="H8" s="3">
        <v>5.0000000000000001E-4</v>
      </c>
      <c r="I8" s="10">
        <f t="shared" si="5"/>
        <v>1.2867766891465333</v>
      </c>
      <c r="J8" s="10">
        <v>4.1706000000000002E-4</v>
      </c>
      <c r="K8" s="3">
        <f t="shared" si="0"/>
        <v>21.36514311204164</v>
      </c>
      <c r="L8">
        <v>67</v>
      </c>
      <c r="M8" s="3">
        <f t="shared" si="1"/>
        <v>1.3078789060041911E-3</v>
      </c>
      <c r="N8" s="3">
        <f>$F$4/(M8/$J$4)^(-7/10)</f>
        <v>399.33664269555328</v>
      </c>
      <c r="O8" s="3">
        <f>(N8*$C$5*$C$4/(PI()*$C$6))^(1/3)</f>
        <v>4.2566147697658078E-7</v>
      </c>
      <c r="P8" s="3">
        <f t="shared" si="3"/>
        <v>5.251241363968469E-21</v>
      </c>
      <c r="Q8" s="3">
        <f t="shared" si="4"/>
        <v>0.1271128012854387</v>
      </c>
    </row>
    <row r="10" spans="1:17" ht="15" customHeight="1" x14ac:dyDescent="0.25">
      <c r="B10" t="s">
        <v>37</v>
      </c>
      <c r="C10" s="3">
        <v>4.9700000000000001E-2</v>
      </c>
      <c r="D10" t="s">
        <v>38</v>
      </c>
      <c r="J10" s="44" t="s">
        <v>23</v>
      </c>
      <c r="O10" s="46" t="s">
        <v>24</v>
      </c>
      <c r="P10" s="46"/>
      <c r="Q10" s="46"/>
    </row>
    <row r="11" spans="1:17" x14ac:dyDescent="0.25">
      <c r="B11" t="s">
        <v>18</v>
      </c>
      <c r="C11" s="3">
        <f>C10*C4/2</f>
        <v>4.473E-5</v>
      </c>
      <c r="H11" s="14"/>
      <c r="I11" s="14"/>
      <c r="J11" s="44"/>
      <c r="K11" s="14"/>
      <c r="L11" s="14"/>
      <c r="O11" s="46"/>
      <c r="P11" s="46"/>
      <c r="Q11" s="46"/>
    </row>
    <row r="12" spans="1:17" x14ac:dyDescent="0.25">
      <c r="A12" s="14"/>
      <c r="B12" s="14"/>
      <c r="C12" s="14"/>
      <c r="D12" s="14"/>
      <c r="E12" s="14"/>
      <c r="F12" s="14"/>
      <c r="O12" s="46"/>
      <c r="P12" s="46"/>
      <c r="Q12" s="46"/>
    </row>
    <row r="13" spans="1:17" x14ac:dyDescent="0.25">
      <c r="B13" s="14" t="s">
        <v>39</v>
      </c>
      <c r="C13" s="3">
        <f>2*C6/C4</f>
        <v>49.444444444444443</v>
      </c>
      <c r="E13" s="4"/>
      <c r="F13" s="3"/>
      <c r="H13" s="5"/>
      <c r="I13" s="15"/>
      <c r="J13" s="16" t="s">
        <v>5</v>
      </c>
      <c r="K13" s="5"/>
      <c r="L13" s="8"/>
      <c r="M13" s="3"/>
      <c r="N13" s="3"/>
      <c r="O13" s="3"/>
      <c r="P13" s="3"/>
    </row>
    <row r="14" spans="1:17" x14ac:dyDescent="0.25">
      <c r="C14" s="9"/>
      <c r="F14" s="3"/>
      <c r="H14" s="3"/>
      <c r="I14" s="12"/>
      <c r="J14" s="17">
        <v>4.5163000000000001E-4</v>
      </c>
      <c r="K14" s="3"/>
      <c r="M14" s="3"/>
      <c r="N14" s="3" t="s">
        <v>25</v>
      </c>
      <c r="O14" s="3" t="s">
        <v>26</v>
      </c>
      <c r="P14" s="3" t="s">
        <v>27</v>
      </c>
      <c r="Q14" s="3" t="s">
        <v>28</v>
      </c>
    </row>
    <row r="15" spans="1:17" x14ac:dyDescent="0.25">
      <c r="F15" s="3"/>
      <c r="H15" s="3"/>
      <c r="I15" s="12"/>
      <c r="J15" s="17">
        <v>8.6032999999999997E-4</v>
      </c>
      <c r="K15" s="3"/>
      <c r="M15" s="3"/>
      <c r="N15" s="3">
        <f>(N4-$F$4)/$F$4*100</f>
        <v>18.223670150010157</v>
      </c>
      <c r="O15" s="3">
        <f>(O4-$C$7)/$C$7*100</f>
        <v>5.7389059334111927</v>
      </c>
      <c r="P15" s="3">
        <f>(P4-$C$5)/$C$5*100</f>
        <v>-15.414569795445136</v>
      </c>
      <c r="Q15" s="3">
        <f>(Q4-$C$6)/$C$6*100</f>
        <v>18.223670150010157</v>
      </c>
    </row>
    <row r="16" spans="1:17" x14ac:dyDescent="0.25">
      <c r="C16" s="12"/>
      <c r="H16" s="13"/>
      <c r="I16" s="12"/>
      <c r="J16" s="17">
        <v>5.6977000000000004E-4</v>
      </c>
      <c r="K16" s="3"/>
      <c r="M16" s="3"/>
      <c r="N16" s="3">
        <f>(N5-$F$4)/$F$4*100</f>
        <v>58.948163854708071</v>
      </c>
      <c r="O16" s="3">
        <f t="shared" ref="O16:O19" si="6">(O5-$C$7)/$C$7*100</f>
        <v>16.703846871663831</v>
      </c>
      <c r="P16" s="3">
        <f t="shared" ref="P16:P19" si="7">(P5-$C$5)/$C$5*100</f>
        <v>-37.086407559002446</v>
      </c>
      <c r="Q16" s="3">
        <f t="shared" ref="Q16:Q19" si="8">(Q5-$C$6)/$C$6*100</f>
        <v>58.948163854708071</v>
      </c>
    </row>
    <row r="17" spans="3:17" x14ac:dyDescent="0.25">
      <c r="C17" s="3"/>
      <c r="H17" s="3"/>
      <c r="I17" s="12"/>
      <c r="J17" s="17">
        <v>5.9040000000000004E-4</v>
      </c>
      <c r="K17" s="3"/>
      <c r="M17" s="3"/>
      <c r="N17" s="3">
        <f t="shared" ref="N17:N19" si="9">(N6-$F$4)/$F$4*100</f>
        <v>109.41357733567824</v>
      </c>
      <c r="O17" s="3">
        <f t="shared" si="6"/>
        <v>27.938605268798771</v>
      </c>
      <c r="P17" s="3">
        <f t="shared" si="7"/>
        <v>-52.247604347207343</v>
      </c>
      <c r="Q17" s="3">
        <f t="shared" si="8"/>
        <v>109.41357733567824</v>
      </c>
    </row>
    <row r="18" spans="3:17" x14ac:dyDescent="0.25">
      <c r="J18" s="17">
        <v>5.9049999999999999E-4</v>
      </c>
      <c r="N18" s="3">
        <f t="shared" si="9"/>
        <v>132.73190258168836</v>
      </c>
      <c r="O18" s="3">
        <f t="shared" si="6"/>
        <v>32.521183765107317</v>
      </c>
      <c r="P18" s="3">
        <f t="shared" si="7"/>
        <v>-57.03210479925491</v>
      </c>
      <c r="Q18" s="3">
        <f t="shared" si="8"/>
        <v>132.73190258168833</v>
      </c>
    </row>
    <row r="19" spans="3:17" x14ac:dyDescent="0.25">
      <c r="N19" s="3">
        <f t="shared" si="9"/>
        <v>185.64674446165995</v>
      </c>
      <c r="O19" s="3">
        <f t="shared" si="6"/>
        <v>41.887158992193605</v>
      </c>
      <c r="P19" s="3">
        <f t="shared" si="7"/>
        <v>-64.991724240210218</v>
      </c>
      <c r="Q19" s="3">
        <f t="shared" si="8"/>
        <v>185.64674446166001</v>
      </c>
    </row>
    <row r="21" spans="3:17" x14ac:dyDescent="0.25">
      <c r="N21" s="44" t="s">
        <v>32</v>
      </c>
      <c r="O21" s="43" t="s">
        <v>29</v>
      </c>
      <c r="P21" s="44" t="s">
        <v>30</v>
      </c>
      <c r="Q21" s="44" t="s">
        <v>31</v>
      </c>
    </row>
    <row r="22" spans="3:17" x14ac:dyDescent="0.25">
      <c r="N22" s="44"/>
      <c r="O22" s="43"/>
      <c r="P22" s="44"/>
      <c r="Q22" s="44"/>
    </row>
    <row r="23" spans="3:17" x14ac:dyDescent="0.25">
      <c r="N23" s="3">
        <f>0.627*N4^(-2/7)</f>
        <v>0.1457108932296709</v>
      </c>
      <c r="O23" s="3">
        <f>N23*O4</f>
        <v>4.6221931298056478E-8</v>
      </c>
      <c r="P23" s="3">
        <v>2.4999999999999999E-8</v>
      </c>
      <c r="Q23" s="3">
        <f>(O23-P23)/P23*100</f>
        <v>84.887725192225915</v>
      </c>
    </row>
    <row r="24" spans="3:17" x14ac:dyDescent="0.25">
      <c r="N24" s="3">
        <f t="shared" ref="N24:N27" si="10">0.627*N5^(-2/7)</f>
        <v>0.13389462433539134</v>
      </c>
      <c r="O24" s="3">
        <f>N24*O5</f>
        <v>4.687805320612939E-8</v>
      </c>
      <c r="P24" s="3">
        <v>2.9999999999999997E-8</v>
      </c>
      <c r="Q24" s="3">
        <f t="shared" ref="Q24:Q27" si="11">(O24-P24)/P24*100</f>
        <v>56.260177353764654</v>
      </c>
    </row>
    <row r="25" spans="3:17" x14ac:dyDescent="0.25">
      <c r="N25" s="3">
        <f t="shared" si="10"/>
        <v>0.12375109475186591</v>
      </c>
      <c r="O25" s="3">
        <f t="shared" ref="O25:O27" si="12">N25*O6</f>
        <v>4.7497627389122062E-8</v>
      </c>
      <c r="P25" s="3">
        <v>3.5000000000000002E-8</v>
      </c>
      <c r="Q25" s="3">
        <f t="shared" si="11"/>
        <v>35.707506826063025</v>
      </c>
    </row>
    <row r="26" spans="3:17" x14ac:dyDescent="0.25">
      <c r="N26" s="3">
        <f t="shared" si="10"/>
        <v>0.12007393402590173</v>
      </c>
      <c r="O26" s="3">
        <f t="shared" si="12"/>
        <v>4.7737019629337686E-8</v>
      </c>
      <c r="P26" s="3">
        <v>4.0000000000000001E-8</v>
      </c>
      <c r="Q26" s="3">
        <f t="shared" si="11"/>
        <v>19.342549073344216</v>
      </c>
    </row>
    <row r="27" spans="3:17" x14ac:dyDescent="0.25">
      <c r="N27" s="3">
        <f t="shared" si="10"/>
        <v>0.11324728008326425</v>
      </c>
      <c r="O27" s="3">
        <f t="shared" si="12"/>
        <v>4.8205004503822782E-8</v>
      </c>
      <c r="P27" s="3">
        <v>4.6999999999999997E-8</v>
      </c>
      <c r="Q27" s="3">
        <f t="shared" si="11"/>
        <v>2.5638393698357129</v>
      </c>
    </row>
    <row r="29" spans="3:17" ht="15" customHeight="1" x14ac:dyDescent="0.25">
      <c r="N29" s="44" t="s">
        <v>33</v>
      </c>
      <c r="O29" s="44"/>
    </row>
    <row r="30" spans="3:17" x14ac:dyDescent="0.25">
      <c r="N30" s="44"/>
      <c r="O30" s="44"/>
    </row>
    <row r="31" spans="3:17" x14ac:dyDescent="0.25">
      <c r="N31" s="44"/>
      <c r="O31" s="44"/>
    </row>
    <row r="32" spans="3:17" x14ac:dyDescent="0.25">
      <c r="N32" s="44"/>
      <c r="O32" s="44"/>
    </row>
    <row r="35" spans="1:13" x14ac:dyDescent="0.25">
      <c r="H35" s="45" t="s">
        <v>1</v>
      </c>
      <c r="I35" s="45"/>
      <c r="J35" s="45"/>
      <c r="K35" s="45"/>
      <c r="L35" s="45"/>
    </row>
    <row r="36" spans="1:13" ht="90" x14ac:dyDescent="0.25">
      <c r="A36" s="45" t="s">
        <v>2</v>
      </c>
      <c r="B36" s="45"/>
      <c r="C36" s="45"/>
      <c r="D36" s="45"/>
      <c r="E36" s="45"/>
      <c r="F36" s="45"/>
      <c r="H36" t="s">
        <v>3</v>
      </c>
      <c r="I36" t="s">
        <v>4</v>
      </c>
      <c r="J36" s="22" t="s">
        <v>36</v>
      </c>
      <c r="K36" s="22" t="s">
        <v>6</v>
      </c>
      <c r="L36" s="21" t="s">
        <v>34</v>
      </c>
      <c r="M36" s="21" t="s">
        <v>35</v>
      </c>
    </row>
    <row r="37" spans="1:13" x14ac:dyDescent="0.25">
      <c r="B37" t="s">
        <v>11</v>
      </c>
      <c r="C37" s="3">
        <v>1.8E-3</v>
      </c>
      <c r="D37" t="s">
        <v>12</v>
      </c>
      <c r="E37" s="4" t="s">
        <v>13</v>
      </c>
      <c r="F37" s="3">
        <f>PI()*C40^3*C39/C38/C37</f>
        <v>139.80087308474575</v>
      </c>
      <c r="H37" s="3">
        <v>9.9999999999999995E-7</v>
      </c>
      <c r="I37" s="6">
        <f>H37/$F$6</f>
        <v>2.5735533782930663E-3</v>
      </c>
      <c r="J37" s="6" t="s">
        <v>41</v>
      </c>
      <c r="K37" s="5" t="e">
        <f>J37*$F$5</f>
        <v>#VALUE!</v>
      </c>
    </row>
    <row r="38" spans="1:13" x14ac:dyDescent="0.25">
      <c r="B38" t="s">
        <v>14</v>
      </c>
      <c r="C38" s="9">
        <v>1.5000000000000001E-20</v>
      </c>
      <c r="D38" t="s">
        <v>15</v>
      </c>
      <c r="E38" t="s">
        <v>16</v>
      </c>
      <c r="F38" s="3">
        <f>12*PI()^2*C41*C39*C40^5/C38^2</f>
        <v>51227.984251766269</v>
      </c>
      <c r="G38" t="s">
        <v>17</v>
      </c>
      <c r="H38" s="5">
        <v>5.0000000000000004E-6</v>
      </c>
      <c r="I38" s="6">
        <f>H38/$F$6</f>
        <v>1.2867766891465333E-2</v>
      </c>
      <c r="J38" s="6">
        <v>1.0953E-4</v>
      </c>
      <c r="K38" s="5">
        <f>J38*$F$5</f>
        <v>5.6110011150959593</v>
      </c>
      <c r="L38" s="8">
        <v>19</v>
      </c>
      <c r="M38" s="3">
        <f>L38/$F$5</f>
        <v>3.7089103304596466E-4</v>
      </c>
    </row>
    <row r="39" spans="1:13" x14ac:dyDescent="0.25">
      <c r="B39" t="s">
        <v>18</v>
      </c>
      <c r="C39">
        <v>4.4499999999999998E-2</v>
      </c>
      <c r="E39" t="s">
        <v>19</v>
      </c>
      <c r="F39" s="3">
        <f>SQRT(2*PI()*C39/C38)*C40^2</f>
        <v>3.8856780995281297E-4</v>
      </c>
      <c r="G39" t="s">
        <v>12</v>
      </c>
      <c r="H39" s="3">
        <v>1.0000000000000001E-5</v>
      </c>
      <c r="I39" s="10">
        <f>H39/$F$6</f>
        <v>2.5735533782930666E-2</v>
      </c>
      <c r="J39" s="10">
        <v>8.5292999999999998E-5</v>
      </c>
      <c r="K39" s="3">
        <f t="shared" ref="K39:K42" si="13">J39*$F$5</f>
        <v>4.3693884607858999</v>
      </c>
      <c r="L39">
        <v>29</v>
      </c>
      <c r="M39" s="3">
        <f t="shared" ref="M39:M42" si="14">L39/$F$5</f>
        <v>5.6609683991226179E-4</v>
      </c>
    </row>
    <row r="40" spans="1:13" x14ac:dyDescent="0.25">
      <c r="B40" t="s">
        <v>20</v>
      </c>
      <c r="C40" s="12">
        <v>2.9999999999999999E-7</v>
      </c>
      <c r="D40" t="s">
        <v>12</v>
      </c>
      <c r="H40" s="3">
        <v>2.0000000000000002E-5</v>
      </c>
      <c r="I40" s="10">
        <f t="shared" ref="I40" si="15">H40/$F$6</f>
        <v>5.1471067565861332E-2</v>
      </c>
      <c r="J40" s="10">
        <v>1.2133000000000001E-4</v>
      </c>
      <c r="K40" s="3">
        <f t="shared" si="13"/>
        <v>6.2154913292668015</v>
      </c>
      <c r="L40">
        <v>43</v>
      </c>
      <c r="M40" s="3">
        <f t="shared" si="14"/>
        <v>8.3938496952507794E-4</v>
      </c>
    </row>
    <row r="41" spans="1:13" x14ac:dyDescent="0.25">
      <c r="B41" t="s">
        <v>21</v>
      </c>
      <c r="C41" s="3">
        <v>8.9999999999999998E-4</v>
      </c>
      <c r="D41" t="s">
        <v>22</v>
      </c>
      <c r="H41" s="9">
        <v>3.0000000000000001E-5</v>
      </c>
      <c r="I41" s="10">
        <f>H41/$F$6</f>
        <v>7.7206601348791995E-2</v>
      </c>
      <c r="J41" s="10">
        <v>1.7881E-4</v>
      </c>
      <c r="K41" s="3">
        <f t="shared" si="13"/>
        <v>9.1600758640583262</v>
      </c>
      <c r="L41">
        <v>50</v>
      </c>
      <c r="M41" s="3">
        <f t="shared" si="14"/>
        <v>9.760290343314859E-4</v>
      </c>
    </row>
    <row r="42" spans="1:13" x14ac:dyDescent="0.25">
      <c r="H42" s="3">
        <v>4.0000000000000003E-5</v>
      </c>
      <c r="I42" s="10">
        <f t="shared" ref="I42" si="16">H42/$F$6</f>
        <v>0.10294213513172266</v>
      </c>
      <c r="J42" s="10">
        <v>2.3038E-4</v>
      </c>
      <c r="K42" s="3">
        <f t="shared" si="13"/>
        <v>11.801903011921913</v>
      </c>
      <c r="L42">
        <v>67</v>
      </c>
      <c r="M42" s="3">
        <f t="shared" si="14"/>
        <v>1.3078789060041911E-3</v>
      </c>
    </row>
    <row r="46" spans="1:13" x14ac:dyDescent="0.25">
      <c r="J46" s="23" t="s">
        <v>5</v>
      </c>
    </row>
    <row r="47" spans="1:13" x14ac:dyDescent="0.25">
      <c r="I47" s="3">
        <v>9.9999999999999995E-7</v>
      </c>
      <c r="J47" t="s">
        <v>40</v>
      </c>
    </row>
    <row r="48" spans="1:13" x14ac:dyDescent="0.25">
      <c r="I48" s="5">
        <v>5.0000000000000004E-6</v>
      </c>
      <c r="J48">
        <v>1.8442E-4</v>
      </c>
    </row>
    <row r="49" spans="9:10" x14ac:dyDescent="0.25">
      <c r="I49" s="3">
        <v>1.0000000000000001E-5</v>
      </c>
      <c r="J49">
        <v>1.8097999999999999E-4</v>
      </c>
    </row>
    <row r="50" spans="9:10" x14ac:dyDescent="0.25">
      <c r="I50" s="3">
        <v>2.0000000000000002E-5</v>
      </c>
      <c r="J50">
        <v>2.4052000000000001E-4</v>
      </c>
    </row>
    <row r="51" spans="9:10" x14ac:dyDescent="0.25">
      <c r="I51" s="9">
        <v>3.0000000000000001E-5</v>
      </c>
      <c r="J51">
        <v>3.0729999999999999E-4</v>
      </c>
    </row>
    <row r="52" spans="9:10" x14ac:dyDescent="0.25">
      <c r="I52" s="3">
        <v>4.0000000000000003E-5</v>
      </c>
      <c r="J52">
        <v>3.7178999999999999E-4</v>
      </c>
    </row>
  </sheetData>
  <mergeCells count="12">
    <mergeCell ref="N29:O32"/>
    <mergeCell ref="H35:L35"/>
    <mergeCell ref="A36:F36"/>
    <mergeCell ref="O1:Q2"/>
    <mergeCell ref="H2:L2"/>
    <mergeCell ref="A3:F3"/>
    <mergeCell ref="J10:J11"/>
    <mergeCell ref="O10:Q12"/>
    <mergeCell ref="N21:N22"/>
    <mergeCell ref="O21:O22"/>
    <mergeCell ref="P21:P22"/>
    <mergeCell ref="Q21:Q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selection activeCell="K4" sqref="K4"/>
    </sheetView>
  </sheetViews>
  <sheetFormatPr defaultRowHeight="15" x14ac:dyDescent="0.25"/>
  <cols>
    <col min="1" max="1" width="3.5703125" customWidth="1"/>
    <col min="4" max="4" width="5.85546875" customWidth="1"/>
    <col min="6" max="6" width="14.85546875" customWidth="1"/>
    <col min="7" max="7" width="2.85546875" customWidth="1"/>
    <col min="8" max="8" width="12" customWidth="1"/>
    <col min="10" max="10" width="19" customWidth="1"/>
    <col min="12" max="12" width="9.42578125" customWidth="1"/>
    <col min="13" max="13" width="17" customWidth="1"/>
    <col min="14" max="15" width="14" customWidth="1"/>
    <col min="16" max="16" width="13" customWidth="1"/>
    <col min="17" max="17" width="14.7109375" customWidth="1"/>
    <col min="18" max="18" width="16" customWidth="1"/>
  </cols>
  <sheetData>
    <row r="1" spans="1:18" x14ac:dyDescent="0.25">
      <c r="P1" s="44"/>
      <c r="Q1" s="44"/>
      <c r="R1" s="44"/>
    </row>
    <row r="2" spans="1:18" x14ac:dyDescent="0.25">
      <c r="H2" s="45"/>
      <c r="I2" s="45"/>
      <c r="J2" s="45"/>
      <c r="K2" s="45"/>
      <c r="L2" s="45"/>
      <c r="P2" s="44"/>
      <c r="Q2" s="44"/>
      <c r="R2" s="44"/>
    </row>
    <row r="3" spans="1:18" ht="90" x14ac:dyDescent="0.25">
      <c r="A3" s="45" t="s">
        <v>2</v>
      </c>
      <c r="B3" s="45"/>
      <c r="C3" s="45"/>
      <c r="D3" s="45"/>
      <c r="E3" s="45"/>
      <c r="F3" s="45"/>
      <c r="H3" t="s">
        <v>3</v>
      </c>
      <c r="I3" t="s">
        <v>4</v>
      </c>
      <c r="J3" s="24" t="s">
        <v>45</v>
      </c>
      <c r="K3" s="24" t="s">
        <v>6</v>
      </c>
      <c r="L3" s="21" t="s">
        <v>34</v>
      </c>
      <c r="M3" s="21" t="s">
        <v>35</v>
      </c>
      <c r="N3" s="24" t="s">
        <v>42</v>
      </c>
      <c r="O3" s="24" t="s">
        <v>46</v>
      </c>
      <c r="P3" s="24" t="s">
        <v>43</v>
      </c>
      <c r="Q3" s="24" t="s">
        <v>44</v>
      </c>
    </row>
    <row r="4" spans="1:18" x14ac:dyDescent="0.25">
      <c r="B4" t="s">
        <v>11</v>
      </c>
      <c r="C4" s="3">
        <v>1.8E-3</v>
      </c>
      <c r="D4" t="s">
        <v>12</v>
      </c>
      <c r="E4" s="4" t="s">
        <v>13</v>
      </c>
      <c r="F4" s="3">
        <f>PI()*C14^3*C13/C9/C4</f>
        <v>139.80087308474575</v>
      </c>
      <c r="H4" s="5">
        <v>5.0000000000000002E-5</v>
      </c>
      <c r="I4" s="6">
        <f>H4/$F$13</f>
        <v>0.12867766891465332</v>
      </c>
      <c r="J4" s="6">
        <v>4.2243000000000001E-4</v>
      </c>
      <c r="K4" s="5">
        <f>J4*$F$9</f>
        <v>21.640237387473626</v>
      </c>
      <c r="L4" s="8">
        <v>19</v>
      </c>
      <c r="M4" s="3">
        <f>L4/$F$9</f>
        <v>3.7089103304596466E-4</v>
      </c>
      <c r="N4">
        <v>0.17749999999999999</v>
      </c>
      <c r="O4" s="30">
        <f>N4*$C$14*10000000000</f>
        <v>532.5</v>
      </c>
      <c r="P4" s="3">
        <v>8467.2000000000007</v>
      </c>
      <c r="Q4" s="30">
        <f>P4*$C$14/$F$9*10000000000</f>
        <v>495.85398236949345</v>
      </c>
      <c r="R4" s="3"/>
    </row>
    <row r="5" spans="1:18" x14ac:dyDescent="0.25">
      <c r="C5" s="3"/>
      <c r="E5" s="4"/>
      <c r="F5" s="3"/>
      <c r="H5" s="5">
        <v>6.0000000000000002E-5</v>
      </c>
      <c r="I5" s="6">
        <f t="shared" ref="I5:I8" si="0">H5/$F$13</f>
        <v>0.15441320269758399</v>
      </c>
      <c r="J5" s="6">
        <v>4.3215000000000001E-4</v>
      </c>
      <c r="K5" s="5">
        <f t="shared" ref="K5:K8" si="1">J5*$F$9</f>
        <v>22.138173394400795</v>
      </c>
      <c r="L5" s="32" t="s">
        <v>47</v>
      </c>
      <c r="M5" s="33" t="s">
        <v>47</v>
      </c>
      <c r="N5">
        <v>0.18690000000000001</v>
      </c>
      <c r="O5" s="30">
        <f t="shared" ref="O5:O8" si="2">N5*$C$14*10000000000</f>
        <v>560.69999999999993</v>
      </c>
      <c r="P5" s="3">
        <v>7596</v>
      </c>
      <c r="Q5" s="30">
        <f t="shared" ref="Q5:Q8" si="3">P5*$C$14/$F$9*10000000000</f>
        <v>444.83499268691804</v>
      </c>
      <c r="R5" s="3"/>
    </row>
    <row r="6" spans="1:18" x14ac:dyDescent="0.25">
      <c r="C6" s="3"/>
      <c r="E6" s="4"/>
      <c r="F6" s="3"/>
      <c r="H6" s="5">
        <v>6.9999999999999994E-5</v>
      </c>
      <c r="I6" s="6">
        <f t="shared" si="0"/>
        <v>0.18014873648051463</v>
      </c>
      <c r="J6" s="6">
        <v>5.5999999999999995E-4</v>
      </c>
      <c r="K6" s="5">
        <f t="shared" si="1"/>
        <v>28.68767118098911</v>
      </c>
      <c r="L6" s="32" t="s">
        <v>47</v>
      </c>
      <c r="M6" s="33" t="s">
        <v>47</v>
      </c>
      <c r="N6">
        <v>0.20810000000000001</v>
      </c>
      <c r="O6" s="30">
        <f t="shared" si="2"/>
        <v>624.29999999999995</v>
      </c>
      <c r="P6" s="3">
        <v>6490.3</v>
      </c>
      <c r="Q6" s="30">
        <f t="shared" si="3"/>
        <v>380.0832744912986</v>
      </c>
      <c r="R6" s="3"/>
    </row>
    <row r="7" spans="1:18" x14ac:dyDescent="0.25">
      <c r="C7" s="3"/>
      <c r="E7" s="4"/>
      <c r="F7" s="3"/>
      <c r="H7" s="5">
        <v>8.0000000000000007E-5</v>
      </c>
      <c r="I7" s="6">
        <f t="shared" si="0"/>
        <v>0.20588427026344533</v>
      </c>
      <c r="J7" s="6">
        <v>6.2452000000000004E-4</v>
      </c>
      <c r="K7" s="5">
        <f t="shared" si="1"/>
        <v>31.992900724913074</v>
      </c>
      <c r="L7" s="32" t="s">
        <v>47</v>
      </c>
      <c r="M7" s="33" t="s">
        <v>47</v>
      </c>
      <c r="N7">
        <v>0.20760000000000001</v>
      </c>
      <c r="O7" s="30">
        <f t="shared" si="2"/>
        <v>622.79999999999995</v>
      </c>
      <c r="P7" s="3">
        <v>5944.3</v>
      </c>
      <c r="Q7" s="30">
        <f t="shared" si="3"/>
        <v>348.1085633265991</v>
      </c>
      <c r="R7" s="3"/>
    </row>
    <row r="8" spans="1:18" x14ac:dyDescent="0.25">
      <c r="C8" s="3"/>
      <c r="E8" s="4"/>
      <c r="F8" s="3"/>
      <c r="H8" s="5">
        <v>9.0000000000000006E-5</v>
      </c>
      <c r="I8" s="6">
        <f t="shared" si="0"/>
        <v>0.231619804046376</v>
      </c>
      <c r="J8" s="6">
        <v>7.1936999999999999E-4</v>
      </c>
      <c r="K8" s="5">
        <f t="shared" si="1"/>
        <v>36.851875031193103</v>
      </c>
      <c r="L8" s="32" t="s">
        <v>47</v>
      </c>
      <c r="M8" s="33" t="s">
        <v>47</v>
      </c>
      <c r="N8">
        <v>0.2092</v>
      </c>
      <c r="O8" s="30">
        <f t="shared" si="2"/>
        <v>627.6</v>
      </c>
      <c r="P8" s="3">
        <v>5095.6000000000004</v>
      </c>
      <c r="Q8" s="30">
        <f t="shared" si="3"/>
        <v>298.40721284037124</v>
      </c>
      <c r="R8" s="3"/>
    </row>
    <row r="9" spans="1:18" x14ac:dyDescent="0.25">
      <c r="B9" t="s">
        <v>14</v>
      </c>
      <c r="C9" s="9">
        <v>1.5000000000000001E-20</v>
      </c>
      <c r="D9" t="s">
        <v>15</v>
      </c>
      <c r="E9" t="s">
        <v>16</v>
      </c>
      <c r="F9" s="3">
        <f>12*PI()^2*C15*C13*C14^5/C9^2</f>
        <v>51227.984251766269</v>
      </c>
      <c r="G9" t="s">
        <v>17</v>
      </c>
      <c r="H9" s="5">
        <v>1E-4</v>
      </c>
      <c r="I9" s="6">
        <f>H9/$F$13</f>
        <v>0.25735533782930664</v>
      </c>
      <c r="J9" s="6">
        <v>7.1246000000000005E-4</v>
      </c>
      <c r="K9" s="3">
        <f>J9*$F$9</f>
        <v>36.497889660013399</v>
      </c>
      <c r="L9">
        <v>29</v>
      </c>
      <c r="M9" s="3">
        <f t="shared" ref="M9:M15" si="4">L9/$F$9</f>
        <v>5.6609683991226179E-4</v>
      </c>
      <c r="N9">
        <v>0.2266</v>
      </c>
      <c r="O9" s="30">
        <f t="shared" ref="O9:O18" si="5">N9*$C$14*10000000000</f>
        <v>679.8</v>
      </c>
      <c r="P9" s="3">
        <v>4775.3</v>
      </c>
      <c r="Q9" s="30">
        <f t="shared" ref="Q9:Q19" si="6">P9*$C$14/$F$9*10000000000</f>
        <v>279.64988685858867</v>
      </c>
      <c r="R9" s="3"/>
    </row>
    <row r="10" spans="1:18" x14ac:dyDescent="0.25">
      <c r="C10" s="9"/>
      <c r="F10" s="3"/>
      <c r="H10" s="5">
        <v>1.25E-4</v>
      </c>
      <c r="I10" s="6">
        <f>H10/$F$13</f>
        <v>0.32169417228663333</v>
      </c>
      <c r="J10" s="6">
        <v>8.0756999999999997E-4</v>
      </c>
      <c r="K10" s="3">
        <f>J10*$F$9</f>
        <v>41.370183242198884</v>
      </c>
      <c r="M10" s="3"/>
      <c r="N10">
        <v>0.23180000000000001</v>
      </c>
      <c r="O10" s="30">
        <f t="shared" si="5"/>
        <v>695.4</v>
      </c>
      <c r="P10" s="3">
        <v>4477.5</v>
      </c>
      <c r="Q10" s="30">
        <f t="shared" si="6"/>
        <v>262.21020007315371</v>
      </c>
      <c r="R10" s="3"/>
    </row>
    <row r="11" spans="1:18" x14ac:dyDescent="0.25">
      <c r="C11" s="9"/>
      <c r="F11" s="3"/>
      <c r="H11" s="5">
        <v>1.4999999999999999E-4</v>
      </c>
      <c r="I11" s="6">
        <f>H11/$F$13</f>
        <v>0.38603300674395991</v>
      </c>
      <c r="J11" s="6">
        <v>5.8792000000000002E-4</v>
      </c>
      <c r="K11" s="3">
        <f t="shared" ref="K11:K18" si="7">J11*$F$9</f>
        <v>30.117956501298426</v>
      </c>
      <c r="M11" s="3"/>
      <c r="N11">
        <v>0.2427</v>
      </c>
      <c r="O11" s="30">
        <f t="shared" si="5"/>
        <v>728.1</v>
      </c>
      <c r="P11" s="3">
        <v>7393.3</v>
      </c>
      <c r="Q11" s="30">
        <f t="shared" si="6"/>
        <v>432.96452757137848</v>
      </c>
      <c r="R11" s="3"/>
    </row>
    <row r="12" spans="1:18" x14ac:dyDescent="0.25">
      <c r="C12" s="9"/>
      <c r="F12" s="3"/>
      <c r="H12" s="5">
        <v>1.75E-4</v>
      </c>
      <c r="I12" s="6">
        <f>H12/$F$13</f>
        <v>0.45037184120128659</v>
      </c>
      <c r="J12" s="6">
        <v>5.2408999999999995E-4</v>
      </c>
      <c r="K12" s="3">
        <f t="shared" si="7"/>
        <v>26.848074266508181</v>
      </c>
      <c r="M12" s="3"/>
      <c r="N12">
        <v>0.23319999999999999</v>
      </c>
      <c r="O12" s="30">
        <f t="shared" si="5"/>
        <v>699.6</v>
      </c>
      <c r="P12" s="3">
        <v>8233.7999999999993</v>
      </c>
      <c r="Q12" s="30">
        <f t="shared" si="6"/>
        <v>482.18567177271524</v>
      </c>
      <c r="R12" s="3"/>
    </row>
    <row r="13" spans="1:18" x14ac:dyDescent="0.25">
      <c r="B13" t="s">
        <v>18</v>
      </c>
      <c r="C13">
        <v>4.4499999999999998E-2</v>
      </c>
      <c r="E13" t="s">
        <v>19</v>
      </c>
      <c r="F13" s="3">
        <f>SQRT(2*PI()*C13/C9)*C14^2</f>
        <v>3.8856780995281297E-4</v>
      </c>
      <c r="G13" t="s">
        <v>12</v>
      </c>
      <c r="H13" s="3">
        <v>2.0000000000000001E-4</v>
      </c>
      <c r="I13" s="10">
        <f t="shared" ref="I13:I18" si="8">H13/$F$13</f>
        <v>0.51471067565861328</v>
      </c>
      <c r="J13" s="10">
        <v>5.0646000000000003E-4</v>
      </c>
      <c r="K13" s="3">
        <f t="shared" si="7"/>
        <v>25.944924904149545</v>
      </c>
      <c r="L13">
        <v>43</v>
      </c>
      <c r="M13" s="3">
        <f t="shared" si="4"/>
        <v>8.3938496952507794E-4</v>
      </c>
      <c r="N13">
        <v>0.22059999999999999</v>
      </c>
      <c r="O13" s="30">
        <f t="shared" si="5"/>
        <v>661.79999999999984</v>
      </c>
      <c r="P13" s="3">
        <v>8102.4</v>
      </c>
      <c r="Q13" s="30">
        <f t="shared" si="6"/>
        <v>474.49065886604586</v>
      </c>
      <c r="R13" s="3"/>
    </row>
    <row r="14" spans="1:18" x14ac:dyDescent="0.25">
      <c r="B14" t="s">
        <v>20</v>
      </c>
      <c r="C14" s="12">
        <v>2.9999999999999999E-7</v>
      </c>
      <c r="D14" t="s">
        <v>12</v>
      </c>
      <c r="H14" s="9">
        <v>2.9999999999999997E-4</v>
      </c>
      <c r="I14" s="10">
        <f>H14/$F$13</f>
        <v>0.77206601348791981</v>
      </c>
      <c r="J14" s="10">
        <v>5.3505000000000002E-4</v>
      </c>
      <c r="K14" s="3">
        <f t="shared" si="7"/>
        <v>27.409532973907542</v>
      </c>
      <c r="L14">
        <v>50</v>
      </c>
      <c r="M14" s="3">
        <f t="shared" si="4"/>
        <v>9.760290343314859E-4</v>
      </c>
      <c r="N14">
        <v>0.2339</v>
      </c>
      <c r="O14" s="30">
        <f t="shared" si="5"/>
        <v>701.7</v>
      </c>
      <c r="P14" s="3">
        <v>7914.4</v>
      </c>
      <c r="Q14" s="30">
        <f t="shared" si="6"/>
        <v>463.48105135878666</v>
      </c>
      <c r="R14" s="3"/>
    </row>
    <row r="15" spans="1:18" x14ac:dyDescent="0.25">
      <c r="B15" t="s">
        <v>21</v>
      </c>
      <c r="C15" s="3">
        <v>8.9999999999999998E-4</v>
      </c>
      <c r="D15" t="s">
        <v>22</v>
      </c>
      <c r="H15" s="3">
        <v>5.0000000000000001E-4</v>
      </c>
      <c r="I15" s="10">
        <f t="shared" si="8"/>
        <v>1.2867766891465333</v>
      </c>
      <c r="J15" s="10">
        <v>5.2961999999999996E-4</v>
      </c>
      <c r="K15" s="3">
        <f t="shared" si="7"/>
        <v>27.13136501942045</v>
      </c>
      <c r="L15">
        <v>67</v>
      </c>
      <c r="M15" s="3">
        <f t="shared" si="4"/>
        <v>1.3078789060041911E-3</v>
      </c>
      <c r="N15">
        <v>0.2268</v>
      </c>
      <c r="O15" s="30">
        <f t="shared" si="5"/>
        <v>680.4</v>
      </c>
      <c r="P15" s="3">
        <v>7955.6</v>
      </c>
      <c r="Q15" s="30">
        <f t="shared" si="6"/>
        <v>465.89379513165414</v>
      </c>
      <c r="R15" s="3"/>
    </row>
    <row r="16" spans="1:18" x14ac:dyDescent="0.25">
      <c r="H16" s="3">
        <v>5.9999999999999995E-4</v>
      </c>
      <c r="I16" s="10">
        <f t="shared" si="8"/>
        <v>1.5441320269758396</v>
      </c>
      <c r="J16" s="10">
        <v>5.3386999999999998E-4</v>
      </c>
      <c r="K16" s="3">
        <f t="shared" si="7"/>
        <v>27.349083952490457</v>
      </c>
      <c r="L16" s="25" t="s">
        <v>47</v>
      </c>
      <c r="M16" s="25" t="s">
        <v>47</v>
      </c>
      <c r="N16">
        <v>0.22020000000000001</v>
      </c>
      <c r="O16" s="30">
        <f t="shared" si="5"/>
        <v>660.6</v>
      </c>
      <c r="P16" s="3">
        <v>7416.6</v>
      </c>
      <c r="Q16" s="30">
        <f t="shared" si="6"/>
        <v>434.32901616137389</v>
      </c>
    </row>
    <row r="17" spans="1:18" x14ac:dyDescent="0.25">
      <c r="H17" s="3">
        <v>8.0000000000000004E-4</v>
      </c>
      <c r="I17" s="10">
        <f t="shared" si="8"/>
        <v>2.0588427026344531</v>
      </c>
      <c r="J17" s="10">
        <v>5.3698000000000005E-4</v>
      </c>
      <c r="K17" s="3">
        <f t="shared" si="7"/>
        <v>27.508402983513452</v>
      </c>
      <c r="L17" s="25" t="s">
        <v>47</v>
      </c>
      <c r="M17" s="25" t="s">
        <v>47</v>
      </c>
      <c r="N17">
        <v>0.2281</v>
      </c>
      <c r="O17" s="30">
        <f t="shared" si="5"/>
        <v>684.3</v>
      </c>
      <c r="P17" s="3">
        <v>7698.3</v>
      </c>
      <c r="Q17" s="30">
        <f t="shared" si="6"/>
        <v>450.82585889964463</v>
      </c>
    </row>
    <row r="18" spans="1:18" x14ac:dyDescent="0.25">
      <c r="H18" s="3">
        <v>1E-3</v>
      </c>
      <c r="I18" s="10">
        <f t="shared" si="8"/>
        <v>2.5735533782930666</v>
      </c>
      <c r="J18" s="10">
        <v>5.2760999999999997E-4</v>
      </c>
      <c r="K18" s="3">
        <f t="shared" si="7"/>
        <v>27.028396771074402</v>
      </c>
      <c r="L18" s="25" t="s">
        <v>47</v>
      </c>
      <c r="M18" s="25" t="s">
        <v>47</v>
      </c>
      <c r="N18">
        <v>0.21079999999999999</v>
      </c>
      <c r="O18" s="30">
        <f t="shared" si="5"/>
        <v>632.39999999999986</v>
      </c>
      <c r="P18" s="3">
        <v>7042</v>
      </c>
      <c r="Q18" s="30">
        <f t="shared" si="6"/>
        <v>412.39178758573939</v>
      </c>
    </row>
    <row r="19" spans="1:18" x14ac:dyDescent="0.25">
      <c r="H19" s="3"/>
      <c r="I19" s="12"/>
      <c r="O19" s="30"/>
      <c r="P19" s="3">
        <v>400</v>
      </c>
      <c r="Q19" s="30">
        <f t="shared" si="6"/>
        <v>23.424696823955657</v>
      </c>
    </row>
    <row r="20" spans="1:18" ht="15" customHeight="1" x14ac:dyDescent="0.25">
      <c r="B20" t="s">
        <v>37</v>
      </c>
      <c r="C20" s="3">
        <v>4.9700000000000001E-2</v>
      </c>
      <c r="D20" t="s">
        <v>38</v>
      </c>
      <c r="J20" s="44" t="s">
        <v>23</v>
      </c>
      <c r="P20" s="31"/>
      <c r="Q20" s="31"/>
      <c r="R20" s="31"/>
    </row>
    <row r="21" spans="1:18" x14ac:dyDescent="0.25">
      <c r="B21" t="s">
        <v>18</v>
      </c>
      <c r="C21" s="3">
        <f>C20*C4/2</f>
        <v>4.473E-5</v>
      </c>
      <c r="H21" s="14"/>
      <c r="I21" s="14"/>
      <c r="J21" s="44"/>
      <c r="K21" s="14"/>
      <c r="L21" s="14"/>
      <c r="P21" s="31"/>
      <c r="Q21" s="31"/>
      <c r="R21" s="31"/>
    </row>
    <row r="22" spans="1:18" x14ac:dyDescent="0.25">
      <c r="A22" s="14"/>
      <c r="B22" s="14"/>
      <c r="C22" s="14"/>
      <c r="D22" s="14"/>
      <c r="E22" s="14"/>
      <c r="F22" s="14"/>
      <c r="P22" s="31"/>
      <c r="Q22" s="31"/>
      <c r="R22" s="31"/>
    </row>
    <row r="23" spans="1:18" x14ac:dyDescent="0.25">
      <c r="B23" s="14" t="s">
        <v>39</v>
      </c>
      <c r="C23" s="3">
        <f>2*C13/C4</f>
        <v>49.444444444444443</v>
      </c>
      <c r="E23" s="4"/>
      <c r="F23" s="3"/>
      <c r="H23" s="5"/>
      <c r="I23" s="15"/>
      <c r="J23" s="16" t="s">
        <v>5</v>
      </c>
      <c r="K23" s="5"/>
      <c r="L23" s="8"/>
      <c r="M23" s="3"/>
      <c r="N23" s="3"/>
      <c r="O23" s="3"/>
      <c r="P23" s="3"/>
      <c r="Q23" s="3"/>
    </row>
    <row r="24" spans="1:18" x14ac:dyDescent="0.25">
      <c r="C24" s="9"/>
      <c r="F24" s="3"/>
      <c r="H24" s="3"/>
      <c r="I24" s="12"/>
      <c r="J24" s="17">
        <v>4.5163000000000001E-4</v>
      </c>
      <c r="K24" s="3"/>
      <c r="M24" s="3"/>
      <c r="N24" s="3"/>
      <c r="O24" s="3"/>
      <c r="P24" s="3"/>
      <c r="Q24" s="3"/>
      <c r="R24" s="3"/>
    </row>
    <row r="25" spans="1:18" x14ac:dyDescent="0.25">
      <c r="C25" s="9"/>
      <c r="F25" s="3"/>
      <c r="H25" s="3"/>
      <c r="I25" s="12"/>
      <c r="J25" s="17">
        <v>5.2486999999999998E-4</v>
      </c>
      <c r="K25" s="3"/>
      <c r="M25" s="3"/>
      <c r="N25" s="3"/>
      <c r="O25" s="3"/>
      <c r="P25" s="3"/>
      <c r="Q25" s="3"/>
      <c r="R25" s="3"/>
    </row>
    <row r="26" spans="1:18" x14ac:dyDescent="0.25">
      <c r="C26" s="9"/>
      <c r="F26" s="3"/>
      <c r="H26" s="3"/>
      <c r="I26" s="12"/>
      <c r="J26" s="17">
        <v>6.38E-4</v>
      </c>
      <c r="K26" s="3"/>
      <c r="M26" s="3"/>
      <c r="N26" s="3"/>
      <c r="O26" s="3"/>
      <c r="P26" s="3"/>
      <c r="Q26" s="3"/>
      <c r="R26" s="3"/>
    </row>
    <row r="27" spans="1:18" x14ac:dyDescent="0.25">
      <c r="C27" s="9"/>
      <c r="F27" s="3"/>
      <c r="H27" s="3"/>
      <c r="I27" s="12"/>
      <c r="J27" s="17">
        <v>6.9930999999999997E-4</v>
      </c>
      <c r="K27" s="3"/>
      <c r="M27" s="3"/>
      <c r="N27" s="3"/>
      <c r="O27" s="3"/>
      <c r="P27" s="3"/>
      <c r="Q27" s="3"/>
      <c r="R27" s="3"/>
    </row>
    <row r="28" spans="1:18" x14ac:dyDescent="0.25">
      <c r="C28" s="9"/>
      <c r="F28" s="3"/>
      <c r="H28" s="3"/>
      <c r="I28" s="12"/>
      <c r="J28" s="17">
        <v>7.8509000000000001E-4</v>
      </c>
      <c r="K28" s="3"/>
      <c r="M28" s="3"/>
      <c r="N28" s="3"/>
      <c r="O28" s="3"/>
      <c r="P28" s="3"/>
      <c r="Q28" s="3"/>
      <c r="R28" s="3"/>
    </row>
    <row r="29" spans="1:18" x14ac:dyDescent="0.25">
      <c r="F29" s="3"/>
      <c r="H29" s="3"/>
      <c r="I29" s="12"/>
      <c r="J29" s="17">
        <v>8.6032999999999997E-4</v>
      </c>
      <c r="K29" s="3"/>
      <c r="M29" s="3"/>
      <c r="N29" s="3"/>
      <c r="O29" s="3"/>
      <c r="P29" s="3"/>
      <c r="Q29" s="3"/>
      <c r="R29" s="3"/>
    </row>
    <row r="30" spans="1:18" x14ac:dyDescent="0.25">
      <c r="F30" s="3"/>
      <c r="H30" s="3"/>
      <c r="I30" s="12"/>
      <c r="J30" s="17">
        <v>8.5895999999999998E-4</v>
      </c>
      <c r="K30" s="3"/>
      <c r="M30" s="3"/>
      <c r="N30" s="3"/>
      <c r="O30" s="3"/>
      <c r="P30" s="3"/>
      <c r="Q30" s="3"/>
      <c r="R30" s="3"/>
    </row>
    <row r="31" spans="1:18" x14ac:dyDescent="0.25">
      <c r="F31" s="3"/>
      <c r="H31" s="3"/>
      <c r="I31" s="12"/>
      <c r="J31" s="17">
        <v>6.3736000000000001E-4</v>
      </c>
      <c r="K31" s="3"/>
      <c r="M31" s="3"/>
      <c r="N31" s="3"/>
      <c r="O31" s="3"/>
      <c r="P31" s="3"/>
      <c r="Q31" s="3"/>
      <c r="R31" s="3"/>
    </row>
    <row r="32" spans="1:18" x14ac:dyDescent="0.25">
      <c r="F32" s="3"/>
      <c r="H32" s="3"/>
      <c r="I32" s="12"/>
      <c r="J32" s="17">
        <v>5.7408999999999997E-4</v>
      </c>
      <c r="K32" s="3"/>
      <c r="M32" s="3"/>
      <c r="N32" s="3"/>
      <c r="O32" s="3"/>
      <c r="P32" s="3"/>
      <c r="Q32" s="3"/>
      <c r="R32" s="3"/>
    </row>
    <row r="33" spans="3:18" x14ac:dyDescent="0.25">
      <c r="C33" s="12"/>
      <c r="H33" s="13"/>
      <c r="I33" s="12"/>
      <c r="J33" s="17">
        <v>5.6977000000000004E-4</v>
      </c>
      <c r="K33" s="3"/>
      <c r="M33" s="3"/>
      <c r="N33" s="3"/>
      <c r="O33" s="3"/>
      <c r="P33" s="3"/>
      <c r="Q33" s="3"/>
      <c r="R33" s="3"/>
    </row>
    <row r="34" spans="3:18" x14ac:dyDescent="0.25">
      <c r="C34" s="3"/>
      <c r="H34" s="3"/>
      <c r="I34" s="12"/>
      <c r="J34" s="17">
        <v>5.9040000000000004E-4</v>
      </c>
      <c r="K34" s="3"/>
      <c r="M34" s="3"/>
      <c r="N34" s="3"/>
      <c r="O34" s="3"/>
      <c r="P34" s="3"/>
      <c r="Q34" s="3"/>
      <c r="R34" s="3"/>
    </row>
    <row r="35" spans="3:18" x14ac:dyDescent="0.25">
      <c r="J35" s="17">
        <v>5.9049999999999999E-4</v>
      </c>
      <c r="N35" s="3"/>
      <c r="O35" s="3"/>
      <c r="P35" s="3"/>
      <c r="Q35" s="3"/>
      <c r="R35" s="3"/>
    </row>
    <row r="36" spans="3:18" x14ac:dyDescent="0.25">
      <c r="J36" s="17">
        <v>5.8505999999999999E-4</v>
      </c>
      <c r="N36" s="3"/>
      <c r="O36" s="3"/>
      <c r="P36" s="3"/>
      <c r="Q36" s="3"/>
      <c r="R36" s="3"/>
    </row>
    <row r="37" spans="3:18" x14ac:dyDescent="0.25">
      <c r="J37" s="12">
        <v>5.8662999999999999E-4</v>
      </c>
    </row>
    <row r="38" spans="3:18" x14ac:dyDescent="0.25">
      <c r="J38" s="17">
        <v>5.8849E-4</v>
      </c>
      <c r="N38" s="44"/>
      <c r="O38" s="24"/>
      <c r="P38" s="43"/>
      <c r="Q38" s="44"/>
      <c r="R38" s="44"/>
    </row>
    <row r="39" spans="3:18" x14ac:dyDescent="0.25">
      <c r="N39" s="44"/>
      <c r="O39" s="24"/>
      <c r="P39" s="43"/>
      <c r="Q39" s="44"/>
      <c r="R39" s="44"/>
    </row>
    <row r="40" spans="3:18" x14ac:dyDescent="0.25">
      <c r="N40" s="3"/>
      <c r="O40" s="3"/>
      <c r="P40" s="3"/>
      <c r="Q40" s="3"/>
      <c r="R40" s="3"/>
    </row>
    <row r="41" spans="3:18" x14ac:dyDescent="0.25">
      <c r="N41" s="3"/>
      <c r="O41" s="3"/>
      <c r="P41" s="3"/>
      <c r="Q41" s="3"/>
      <c r="R41" s="3"/>
    </row>
    <row r="42" spans="3:18" x14ac:dyDescent="0.25">
      <c r="N42" s="3"/>
      <c r="O42" s="3"/>
      <c r="P42" s="3"/>
      <c r="Q42" s="3"/>
      <c r="R42" s="3"/>
    </row>
    <row r="43" spans="3:18" x14ac:dyDescent="0.25">
      <c r="N43" s="3"/>
      <c r="O43" s="3"/>
      <c r="P43" s="3"/>
      <c r="Q43" s="3"/>
      <c r="R43" s="3"/>
    </row>
    <row r="44" spans="3:18" x14ac:dyDescent="0.25">
      <c r="N44" s="3"/>
      <c r="O44" s="3"/>
      <c r="P44" s="3"/>
      <c r="Q44" s="3"/>
      <c r="R44" s="3"/>
    </row>
    <row r="46" spans="3:18" ht="15" customHeight="1" x14ac:dyDescent="0.25">
      <c r="N46" s="44"/>
      <c r="O46" s="44"/>
      <c r="P46" s="44"/>
    </row>
    <row r="47" spans="3:18" x14ac:dyDescent="0.25">
      <c r="N47" s="44"/>
      <c r="O47" s="44"/>
      <c r="P47" s="44"/>
    </row>
    <row r="48" spans="3:18" x14ac:dyDescent="0.25">
      <c r="N48" s="44"/>
      <c r="O48" s="44"/>
      <c r="P48" s="44"/>
    </row>
    <row r="49" spans="1:17" x14ac:dyDescent="0.25">
      <c r="N49" s="44"/>
      <c r="O49" s="44"/>
      <c r="P49" s="44"/>
    </row>
    <row r="52" spans="1:17" x14ac:dyDescent="0.25">
      <c r="H52" s="45"/>
      <c r="I52" s="45"/>
      <c r="J52" s="45"/>
      <c r="K52" s="45"/>
      <c r="L52" s="45"/>
    </row>
    <row r="53" spans="1:17" ht="90" x14ac:dyDescent="0.25">
      <c r="A53" s="45" t="s">
        <v>2</v>
      </c>
      <c r="B53" s="45"/>
      <c r="C53" s="45"/>
      <c r="D53" s="45"/>
      <c r="E53" s="45"/>
      <c r="F53" s="45"/>
      <c r="H53" t="s">
        <v>3</v>
      </c>
      <c r="I53" t="s">
        <v>4</v>
      </c>
      <c r="J53" s="24" t="s">
        <v>45</v>
      </c>
      <c r="K53" s="24" t="s">
        <v>6</v>
      </c>
      <c r="L53" s="21" t="s">
        <v>34</v>
      </c>
      <c r="M53" s="21" t="s">
        <v>35</v>
      </c>
      <c r="N53" s="24" t="s">
        <v>42</v>
      </c>
      <c r="O53" s="24" t="s">
        <v>46</v>
      </c>
      <c r="P53" s="24" t="s">
        <v>43</v>
      </c>
      <c r="Q53" s="24" t="s">
        <v>44</v>
      </c>
    </row>
    <row r="54" spans="1:17" x14ac:dyDescent="0.25">
      <c r="B54" t="s">
        <v>11</v>
      </c>
      <c r="C54" s="3">
        <v>1.8E-3</v>
      </c>
      <c r="D54" t="s">
        <v>12</v>
      </c>
      <c r="E54" s="4" t="s">
        <v>13</v>
      </c>
      <c r="F54" s="3">
        <f>PI()*C57^3*C56/C55/C54</f>
        <v>139.80087308474575</v>
      </c>
      <c r="H54" s="3">
        <v>9.9999999999999995E-7</v>
      </c>
      <c r="I54" s="6">
        <f>H54/$F$13</f>
        <v>2.5735533782930663E-3</v>
      </c>
      <c r="J54" s="6" t="s">
        <v>41</v>
      </c>
      <c r="K54" s="5" t="e">
        <f>J54*$F$9</f>
        <v>#VALUE!</v>
      </c>
    </row>
    <row r="55" spans="1:17" x14ac:dyDescent="0.25">
      <c r="B55" t="s">
        <v>14</v>
      </c>
      <c r="C55" s="9">
        <v>1.5000000000000001E-20</v>
      </c>
      <c r="D55" t="s">
        <v>15</v>
      </c>
      <c r="E55" t="s">
        <v>16</v>
      </c>
      <c r="F55" s="3">
        <f>12*PI()^2*C58*C56*C57^5/C55^2</f>
        <v>51227.984251766269</v>
      </c>
      <c r="G55" t="s">
        <v>17</v>
      </c>
      <c r="H55" s="5">
        <v>5.0000000000000004E-6</v>
      </c>
      <c r="I55" s="6">
        <f>H55/$F$13</f>
        <v>1.2867766891465333E-2</v>
      </c>
      <c r="J55" s="6">
        <v>1.1191E-4</v>
      </c>
      <c r="K55" s="5">
        <f>J55*$F$9</f>
        <v>5.7329237176151633</v>
      </c>
      <c r="L55" s="8"/>
      <c r="M55" s="3">
        <f>L55/$F$9</f>
        <v>0</v>
      </c>
      <c r="N55">
        <v>0.15809999999999999</v>
      </c>
      <c r="O55" s="30">
        <f>N55*$C$14*10000000000</f>
        <v>474.29999999999995</v>
      </c>
      <c r="P55" s="3">
        <v>35967</v>
      </c>
      <c r="Q55" s="30">
        <f>P55*$C$14/$F$9*10000000000</f>
        <v>2106.2901766680329</v>
      </c>
    </row>
    <row r="56" spans="1:17" x14ac:dyDescent="0.25">
      <c r="B56" t="s">
        <v>18</v>
      </c>
      <c r="C56">
        <v>4.4499999999999998E-2</v>
      </c>
      <c r="E56" t="s">
        <v>19</v>
      </c>
      <c r="F56" s="3">
        <f>SQRT(2*PI()*C56/C55)*C57^2</f>
        <v>3.8856780995281297E-4</v>
      </c>
      <c r="G56" t="s">
        <v>12</v>
      </c>
      <c r="H56" s="3">
        <v>1.0000000000000001E-5</v>
      </c>
      <c r="I56" s="10">
        <f>H56/$F$13</f>
        <v>2.5735533782930666E-2</v>
      </c>
      <c r="J56" s="10">
        <v>9.1349999999999998E-5</v>
      </c>
      <c r="K56" s="3">
        <f t="shared" ref="K56:K59" si="9">J56*$F$9</f>
        <v>4.6796763613988483</v>
      </c>
      <c r="M56" s="3">
        <f t="shared" ref="M56:M59" si="10">L56/$F$9</f>
        <v>0</v>
      </c>
      <c r="N56">
        <v>0.16420000000000001</v>
      </c>
      <c r="O56" s="30">
        <f t="shared" ref="O56:O59" si="11">N56*$C$14*10000000000</f>
        <v>492.59999999999997</v>
      </c>
      <c r="P56" s="3">
        <v>30183</v>
      </c>
      <c r="Q56" s="30">
        <f t="shared" ref="Q56:Q59" si="12">P56*$C$14/$F$9*10000000000</f>
        <v>1767.5690605936343</v>
      </c>
    </row>
    <row r="57" spans="1:17" x14ac:dyDescent="0.25">
      <c r="B57" t="s">
        <v>20</v>
      </c>
      <c r="C57" s="12">
        <v>2.9999999999999999E-7</v>
      </c>
      <c r="D57" t="s">
        <v>12</v>
      </c>
      <c r="H57" s="3">
        <v>2.0000000000000002E-5</v>
      </c>
      <c r="I57" s="10">
        <f t="shared" ref="I57" si="13">H57/$F$13</f>
        <v>5.1471067565861332E-2</v>
      </c>
      <c r="J57" s="10">
        <v>1.2616999999999999E-4</v>
      </c>
      <c r="K57" s="3">
        <f t="shared" si="9"/>
        <v>6.4634347730453499</v>
      </c>
      <c r="M57" s="3">
        <f t="shared" si="10"/>
        <v>0</v>
      </c>
      <c r="N57">
        <v>0.15809999999999999</v>
      </c>
      <c r="O57" s="30">
        <f t="shared" si="11"/>
        <v>474.29999999999995</v>
      </c>
      <c r="P57" s="3">
        <v>18093</v>
      </c>
      <c r="Q57" s="30">
        <f t="shared" si="12"/>
        <v>1059.5575990895743</v>
      </c>
    </row>
    <row r="58" spans="1:17" x14ac:dyDescent="0.25">
      <c r="B58" t="s">
        <v>21</v>
      </c>
      <c r="C58" s="3">
        <v>8.9999999999999998E-4</v>
      </c>
      <c r="D58" t="s">
        <v>22</v>
      </c>
      <c r="H58" s="9">
        <v>3.0000000000000001E-5</v>
      </c>
      <c r="I58" s="10">
        <f>H58/$F$13</f>
        <v>7.7206601348791995E-2</v>
      </c>
      <c r="J58" s="10">
        <v>2.2796000000000001E-4</v>
      </c>
      <c r="K58" s="3">
        <f t="shared" si="9"/>
        <v>11.677931290032639</v>
      </c>
      <c r="M58" s="3">
        <f t="shared" si="10"/>
        <v>0</v>
      </c>
      <c r="N58">
        <v>0.17929999999999999</v>
      </c>
      <c r="O58" s="30">
        <f t="shared" si="11"/>
        <v>537.9</v>
      </c>
      <c r="P58" s="3">
        <v>14736</v>
      </c>
      <c r="Q58" s="30">
        <f t="shared" si="12"/>
        <v>862.96583099452653</v>
      </c>
    </row>
    <row r="59" spans="1:17" x14ac:dyDescent="0.25">
      <c r="H59" s="3">
        <v>4.0000000000000003E-5</v>
      </c>
      <c r="I59" s="10">
        <f t="shared" ref="I59" si="14">H59/$F$13</f>
        <v>0.10294213513172266</v>
      </c>
      <c r="J59" s="10">
        <v>3.5114E-4</v>
      </c>
      <c r="K59" s="3">
        <f t="shared" si="9"/>
        <v>17.988194390165209</v>
      </c>
      <c r="M59" s="3">
        <f t="shared" si="10"/>
        <v>0</v>
      </c>
      <c r="N59">
        <v>0.17019999999999999</v>
      </c>
      <c r="O59" s="30">
        <f t="shared" si="11"/>
        <v>510.59999999999997</v>
      </c>
      <c r="P59" s="3">
        <v>10293</v>
      </c>
      <c r="Q59" s="30">
        <f t="shared" si="12"/>
        <v>602.77601102243909</v>
      </c>
    </row>
    <row r="63" spans="1:17" x14ac:dyDescent="0.25">
      <c r="J63" s="25" t="s">
        <v>5</v>
      </c>
    </row>
    <row r="64" spans="1:17" x14ac:dyDescent="0.25">
      <c r="I64" s="3">
        <v>9.9999999999999995E-7</v>
      </c>
      <c r="J64" t="s">
        <v>40</v>
      </c>
    </row>
    <row r="65" spans="9:10" x14ac:dyDescent="0.25">
      <c r="I65" s="5">
        <v>5.0000000000000004E-6</v>
      </c>
      <c r="J65">
        <v>1.8442E-4</v>
      </c>
    </row>
    <row r="66" spans="9:10" x14ac:dyDescent="0.25">
      <c r="I66" s="3">
        <v>1.0000000000000001E-5</v>
      </c>
      <c r="J66">
        <v>1.8097999999999999E-4</v>
      </c>
    </row>
    <row r="67" spans="9:10" x14ac:dyDescent="0.25">
      <c r="I67" s="3">
        <v>2.0000000000000002E-5</v>
      </c>
      <c r="J67">
        <v>2.4052000000000001E-4</v>
      </c>
    </row>
    <row r="68" spans="9:10" x14ac:dyDescent="0.25">
      <c r="I68" s="9">
        <v>3.0000000000000001E-5</v>
      </c>
      <c r="J68">
        <v>3.0729999999999999E-4</v>
      </c>
    </row>
    <row r="69" spans="9:10" x14ac:dyDescent="0.25">
      <c r="I69" s="3">
        <v>4.0000000000000003E-5</v>
      </c>
      <c r="J69">
        <v>3.7178999999999999E-4</v>
      </c>
    </row>
  </sheetData>
  <mergeCells count="11">
    <mergeCell ref="N46:P49"/>
    <mergeCell ref="H52:L52"/>
    <mergeCell ref="A53:F53"/>
    <mergeCell ref="P1:R2"/>
    <mergeCell ref="H2:L2"/>
    <mergeCell ref="A3:F3"/>
    <mergeCell ref="J20:J21"/>
    <mergeCell ref="N38:N39"/>
    <mergeCell ref="P38:P39"/>
    <mergeCell ref="Q38:Q39"/>
    <mergeCell ref="R38:R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workbookViewId="0">
      <selection activeCell="M9" sqref="M9"/>
    </sheetView>
  </sheetViews>
  <sheetFormatPr defaultRowHeight="15" x14ac:dyDescent="0.25"/>
  <cols>
    <col min="1" max="1" width="3.5703125" customWidth="1"/>
    <col min="4" max="4" width="5.85546875" customWidth="1"/>
    <col min="6" max="6" width="14.85546875" customWidth="1"/>
    <col min="7" max="7" width="2.85546875" customWidth="1"/>
    <col min="8" max="8" width="12" customWidth="1"/>
    <col min="12" max="12" width="19" customWidth="1"/>
    <col min="14" max="14" width="9.42578125" customWidth="1"/>
    <col min="15" max="15" width="17" customWidth="1"/>
    <col min="16" max="17" width="14" customWidth="1"/>
    <col min="18" max="18" width="13" customWidth="1"/>
    <col min="19" max="19" width="14.7109375" customWidth="1"/>
    <col min="20" max="20" width="16" customWidth="1"/>
  </cols>
  <sheetData>
    <row r="1" spans="1:20" x14ac:dyDescent="0.25">
      <c r="R1" s="44"/>
      <c r="S1" s="44"/>
      <c r="T1" s="44"/>
    </row>
    <row r="2" spans="1:20" x14ac:dyDescent="0.25">
      <c r="H2" s="45"/>
      <c r="I2" s="45"/>
      <c r="J2" s="45"/>
      <c r="K2" s="45"/>
      <c r="L2" s="45"/>
      <c r="M2" s="45"/>
      <c r="N2" s="45"/>
      <c r="R2" s="44"/>
      <c r="S2" s="44"/>
      <c r="T2" s="44"/>
    </row>
    <row r="3" spans="1:20" ht="90" x14ac:dyDescent="0.25">
      <c r="A3" s="45" t="s">
        <v>2</v>
      </c>
      <c r="B3" s="45"/>
      <c r="C3" s="45"/>
      <c r="D3" s="45"/>
      <c r="E3" s="45"/>
      <c r="F3" s="45"/>
      <c r="H3" t="s">
        <v>3</v>
      </c>
      <c r="I3" t="s">
        <v>4</v>
      </c>
      <c r="J3" s="21" t="s">
        <v>5</v>
      </c>
      <c r="K3" s="21" t="s">
        <v>49</v>
      </c>
      <c r="L3" s="26" t="s">
        <v>45</v>
      </c>
      <c r="M3" s="26" t="s">
        <v>48</v>
      </c>
      <c r="N3" s="21" t="s">
        <v>34</v>
      </c>
      <c r="O3" s="21" t="s">
        <v>35</v>
      </c>
      <c r="P3" s="26" t="s">
        <v>42</v>
      </c>
      <c r="Q3" s="26" t="s">
        <v>46</v>
      </c>
      <c r="R3" s="26" t="s">
        <v>43</v>
      </c>
      <c r="S3" s="26" t="s">
        <v>44</v>
      </c>
    </row>
    <row r="4" spans="1:20" x14ac:dyDescent="0.25">
      <c r="A4" s="27"/>
      <c r="B4" s="27"/>
      <c r="C4" s="27"/>
      <c r="D4" s="27"/>
      <c r="E4" s="27"/>
      <c r="F4" s="27"/>
      <c r="H4" s="3">
        <v>5.0000000000000004E-6</v>
      </c>
      <c r="I4" s="6">
        <f>H4/$F$18</f>
        <v>1.2867766891465333E-2</v>
      </c>
      <c r="J4" s="6">
        <v>1.8442E-4</v>
      </c>
      <c r="K4" s="5">
        <f>J4*$F$14</f>
        <v>9.4474648557107361</v>
      </c>
      <c r="L4" s="6">
        <v>1.1191E-4</v>
      </c>
      <c r="M4" s="5">
        <f t="shared" ref="M4:M8" si="0">L4*$F$14</f>
        <v>5.7329237176151633</v>
      </c>
      <c r="N4" s="21"/>
      <c r="O4" s="21"/>
      <c r="P4" s="26"/>
      <c r="Q4" s="26"/>
      <c r="R4" s="26"/>
      <c r="S4" s="26"/>
    </row>
    <row r="5" spans="1:20" x14ac:dyDescent="0.25">
      <c r="A5" s="27"/>
      <c r="B5" s="27"/>
      <c r="C5" s="27"/>
      <c r="D5" s="27"/>
      <c r="E5" s="27"/>
      <c r="F5" s="27"/>
      <c r="H5" s="3">
        <v>1.0000000000000001E-5</v>
      </c>
      <c r="I5" s="6">
        <f t="shared" ref="I5:I8" si="1">H5/$F$18</f>
        <v>2.5735533782930666E-2</v>
      </c>
      <c r="J5" s="6">
        <v>1.8097999999999999E-4</v>
      </c>
      <c r="K5" s="5">
        <f t="shared" ref="K5:K23" si="2">J5*$F$14</f>
        <v>9.271240589884659</v>
      </c>
      <c r="L5" s="10">
        <v>9.1349999999999998E-5</v>
      </c>
      <c r="M5" s="5">
        <f t="shared" si="0"/>
        <v>4.6796763613988483</v>
      </c>
      <c r="N5" s="21"/>
      <c r="O5" s="21"/>
      <c r="P5" s="26"/>
      <c r="Q5" s="26"/>
      <c r="R5" s="26"/>
      <c r="S5" s="26"/>
    </row>
    <row r="6" spans="1:20" x14ac:dyDescent="0.25">
      <c r="A6" s="27"/>
      <c r="B6" s="27"/>
      <c r="C6" s="27"/>
      <c r="D6" s="27"/>
      <c r="E6" s="27"/>
      <c r="F6" s="27"/>
      <c r="H6" s="3">
        <v>2.0000000000000002E-5</v>
      </c>
      <c r="I6" s="6">
        <f t="shared" si="1"/>
        <v>5.1471067565861332E-2</v>
      </c>
      <c r="J6" s="6">
        <v>2.4052000000000001E-4</v>
      </c>
      <c r="K6" s="5">
        <f t="shared" si="2"/>
        <v>12.321354772234823</v>
      </c>
      <c r="L6" s="10">
        <v>1.2616999999999999E-4</v>
      </c>
      <c r="M6" s="5">
        <f t="shared" si="0"/>
        <v>6.4634347730453499</v>
      </c>
      <c r="N6" s="21"/>
      <c r="O6" s="21"/>
      <c r="P6" s="26"/>
      <c r="Q6" s="26"/>
      <c r="R6" s="26"/>
      <c r="S6" s="26"/>
    </row>
    <row r="7" spans="1:20" x14ac:dyDescent="0.25">
      <c r="A7" s="27"/>
      <c r="B7" s="27"/>
      <c r="C7" s="27"/>
      <c r="D7" s="27"/>
      <c r="E7" s="27"/>
      <c r="F7" s="27"/>
      <c r="H7" s="3">
        <v>3.0000000000000001E-5</v>
      </c>
      <c r="I7" s="6">
        <f t="shared" si="1"/>
        <v>7.7206601348791995E-2</v>
      </c>
      <c r="J7" s="6">
        <v>3.0729999999999999E-4</v>
      </c>
      <c r="K7" s="5">
        <f t="shared" si="2"/>
        <v>15.742359560567774</v>
      </c>
      <c r="L7" s="10">
        <v>2.2796000000000001E-4</v>
      </c>
      <c r="M7" s="5">
        <f t="shared" si="0"/>
        <v>11.677931290032639</v>
      </c>
      <c r="N7" s="21"/>
      <c r="O7" s="21"/>
      <c r="P7" s="26"/>
      <c r="Q7" s="26"/>
      <c r="R7" s="26"/>
      <c r="S7" s="26"/>
    </row>
    <row r="8" spans="1:20" x14ac:dyDescent="0.25">
      <c r="A8" s="27"/>
      <c r="B8" s="27"/>
      <c r="C8" s="27"/>
      <c r="D8" s="27"/>
      <c r="E8" s="27"/>
      <c r="F8" s="27"/>
      <c r="H8" s="3">
        <v>4.0000000000000003E-5</v>
      </c>
      <c r="I8" s="6">
        <f t="shared" si="1"/>
        <v>0.10294213513172266</v>
      </c>
      <c r="J8" s="6">
        <v>3.7178999999999999E-4</v>
      </c>
      <c r="K8" s="5">
        <f t="shared" si="2"/>
        <v>19.046052264964182</v>
      </c>
      <c r="L8" s="10">
        <v>3.5114E-4</v>
      </c>
      <c r="M8" s="5">
        <f t="shared" si="0"/>
        <v>17.988194390165209</v>
      </c>
      <c r="N8" s="21"/>
      <c r="O8" s="21"/>
      <c r="P8" s="26"/>
      <c r="Q8" s="26"/>
      <c r="R8" s="26"/>
      <c r="S8" s="26"/>
    </row>
    <row r="9" spans="1:20" x14ac:dyDescent="0.25">
      <c r="B9" t="s">
        <v>11</v>
      </c>
      <c r="C9" s="3">
        <v>1.8E-3</v>
      </c>
      <c r="D9" t="s">
        <v>12</v>
      </c>
      <c r="E9" s="4" t="s">
        <v>13</v>
      </c>
      <c r="F9" s="3">
        <f>PI()*C19^3*C18/C14/C9</f>
        <v>139.80087308474575</v>
      </c>
      <c r="H9" s="3">
        <v>5.0000000000000002E-5</v>
      </c>
      <c r="I9" s="6">
        <f>H9/$F$18</f>
        <v>0.12867766891465332</v>
      </c>
      <c r="J9" s="6">
        <v>4.5163000000000001E-4</v>
      </c>
      <c r="K9" s="5">
        <f t="shared" si="2"/>
        <v>23.1360945276252</v>
      </c>
      <c r="L9" s="6">
        <v>4.2243000000000001E-4</v>
      </c>
      <c r="M9" s="5">
        <f>L9*$F$14</f>
        <v>21.640237387473626</v>
      </c>
      <c r="N9" s="8">
        <v>19</v>
      </c>
      <c r="O9" s="3">
        <f>N9/$F$14</f>
        <v>3.7089103304596466E-4</v>
      </c>
      <c r="P9">
        <v>0.17749999999999999</v>
      </c>
      <c r="Q9" s="30">
        <f>P9*$C$19*10000000000</f>
        <v>532.5</v>
      </c>
      <c r="R9" s="3">
        <v>8467.2000000000007</v>
      </c>
      <c r="S9" s="30">
        <f>R9*$C$19/$F$14*10000000000</f>
        <v>495.85398236949345</v>
      </c>
      <c r="T9" s="3"/>
    </row>
    <row r="10" spans="1:20" x14ac:dyDescent="0.25">
      <c r="C10" s="3"/>
      <c r="E10" s="4"/>
      <c r="F10" s="3"/>
      <c r="H10" s="3">
        <v>6.0000000000000002E-5</v>
      </c>
      <c r="I10" s="6">
        <f t="shared" ref="I10:I13" si="3">H10/$F$18</f>
        <v>0.15441320269758399</v>
      </c>
      <c r="J10" s="6">
        <v>5.2486999999999998E-4</v>
      </c>
      <c r="K10" s="5">
        <f t="shared" si="2"/>
        <v>26.88803209422456</v>
      </c>
      <c r="L10" s="6">
        <v>4.3215000000000001E-4</v>
      </c>
      <c r="M10" s="5">
        <f t="shared" ref="M10:M13" si="4">L10*$F$14</f>
        <v>22.138173394400795</v>
      </c>
      <c r="N10" s="32" t="s">
        <v>47</v>
      </c>
      <c r="O10" s="33" t="s">
        <v>47</v>
      </c>
      <c r="P10">
        <v>0.18690000000000001</v>
      </c>
      <c r="Q10" s="30">
        <f t="shared" ref="Q10:Q23" si="5">P10*$C$19*10000000000</f>
        <v>560.69999999999993</v>
      </c>
      <c r="R10" s="3">
        <v>7596</v>
      </c>
      <c r="S10" s="30">
        <f t="shared" ref="S10:S24" si="6">R10*$C$19/$F$14*10000000000</f>
        <v>444.83499268691804</v>
      </c>
      <c r="T10" s="3"/>
    </row>
    <row r="11" spans="1:20" x14ac:dyDescent="0.25">
      <c r="C11" s="3"/>
      <c r="E11" s="4"/>
      <c r="F11" s="3"/>
      <c r="H11" s="3">
        <v>6.9999999999999994E-5</v>
      </c>
      <c r="I11" s="6">
        <f t="shared" si="3"/>
        <v>0.18014873648051463</v>
      </c>
      <c r="J11" s="6">
        <v>6.38E-4</v>
      </c>
      <c r="K11" s="5">
        <f t="shared" si="2"/>
        <v>32.683453952626877</v>
      </c>
      <c r="L11" s="6">
        <v>5.5999999999999995E-4</v>
      </c>
      <c r="M11" s="5">
        <f t="shared" si="4"/>
        <v>28.68767118098911</v>
      </c>
      <c r="N11" s="32" t="s">
        <v>47</v>
      </c>
      <c r="O11" s="33" t="s">
        <v>47</v>
      </c>
      <c r="P11">
        <v>0.20810000000000001</v>
      </c>
      <c r="Q11" s="30">
        <f t="shared" si="5"/>
        <v>624.29999999999995</v>
      </c>
      <c r="R11" s="3">
        <v>6490.3</v>
      </c>
      <c r="S11" s="30">
        <f t="shared" si="6"/>
        <v>380.0832744912986</v>
      </c>
      <c r="T11" s="3"/>
    </row>
    <row r="12" spans="1:20" x14ac:dyDescent="0.25">
      <c r="C12" s="3"/>
      <c r="E12" s="4"/>
      <c r="F12" s="3"/>
      <c r="H12" s="3">
        <v>8.0000000000000007E-5</v>
      </c>
      <c r="I12" s="6">
        <f t="shared" si="3"/>
        <v>0.20588427026344533</v>
      </c>
      <c r="J12" s="6">
        <v>6.9930999999999997E-4</v>
      </c>
      <c r="K12" s="5">
        <f t="shared" si="2"/>
        <v>35.824241667102669</v>
      </c>
      <c r="L12" s="6">
        <v>6.2452000000000004E-4</v>
      </c>
      <c r="M12" s="5">
        <f t="shared" si="4"/>
        <v>31.992900724913074</v>
      </c>
      <c r="N12" s="32" t="s">
        <v>47</v>
      </c>
      <c r="O12" s="33" t="s">
        <v>47</v>
      </c>
      <c r="P12">
        <v>0.20760000000000001</v>
      </c>
      <c r="Q12" s="30">
        <f t="shared" si="5"/>
        <v>622.79999999999995</v>
      </c>
      <c r="R12" s="3">
        <v>5944.3</v>
      </c>
      <c r="S12" s="30">
        <f t="shared" si="6"/>
        <v>348.1085633265991</v>
      </c>
      <c r="T12" s="3"/>
    </row>
    <row r="13" spans="1:20" x14ac:dyDescent="0.25">
      <c r="C13" s="3"/>
      <c r="E13" s="4"/>
      <c r="F13" s="3"/>
      <c r="H13" s="3">
        <v>9.0000000000000006E-5</v>
      </c>
      <c r="I13" s="6">
        <f t="shared" si="3"/>
        <v>0.231619804046376</v>
      </c>
      <c r="J13" s="6">
        <v>7.8509000000000001E-4</v>
      </c>
      <c r="K13" s="5">
        <f t="shared" si="2"/>
        <v>40.218578156219181</v>
      </c>
      <c r="L13" s="6">
        <v>7.1936999999999999E-4</v>
      </c>
      <c r="M13" s="5">
        <f t="shared" si="4"/>
        <v>36.851875031193103</v>
      </c>
      <c r="N13" s="32" t="s">
        <v>47</v>
      </c>
      <c r="O13" s="33" t="s">
        <v>47</v>
      </c>
      <c r="P13">
        <v>0.2092</v>
      </c>
      <c r="Q13" s="30">
        <f t="shared" si="5"/>
        <v>627.6</v>
      </c>
      <c r="R13" s="3">
        <v>5095.6000000000004</v>
      </c>
      <c r="S13" s="30">
        <f t="shared" si="6"/>
        <v>298.40721284037124</v>
      </c>
      <c r="T13" s="3"/>
    </row>
    <row r="14" spans="1:20" x14ac:dyDescent="0.25">
      <c r="B14" t="s">
        <v>14</v>
      </c>
      <c r="C14" s="9">
        <v>1.5000000000000001E-20</v>
      </c>
      <c r="D14" t="s">
        <v>15</v>
      </c>
      <c r="E14" t="s">
        <v>16</v>
      </c>
      <c r="F14" s="3">
        <f>12*PI()^2*C20*C18*C19^5/C14^2</f>
        <v>51227.984251766269</v>
      </c>
      <c r="G14" t="s">
        <v>17</v>
      </c>
      <c r="H14" s="3">
        <v>1E-4</v>
      </c>
      <c r="I14" s="6">
        <f>H14/$F$18</f>
        <v>0.25735533782930664</v>
      </c>
      <c r="J14" s="6">
        <v>8.6032999999999997E-4</v>
      </c>
      <c r="K14" s="5">
        <f t="shared" si="2"/>
        <v>44.072971691322074</v>
      </c>
      <c r="L14" s="6">
        <v>7.1246000000000005E-4</v>
      </c>
      <c r="M14" s="3">
        <f>L14*$F$14</f>
        <v>36.497889660013399</v>
      </c>
      <c r="N14">
        <v>29</v>
      </c>
      <c r="O14" s="3">
        <f t="shared" ref="O14:O20" si="7">N14/$F$14</f>
        <v>5.6609683991226179E-4</v>
      </c>
      <c r="P14">
        <v>0.2266</v>
      </c>
      <c r="Q14" s="30">
        <f t="shared" si="5"/>
        <v>679.8</v>
      </c>
      <c r="R14" s="3">
        <v>4775.3</v>
      </c>
      <c r="S14" s="30">
        <f t="shared" si="6"/>
        <v>279.64988685858867</v>
      </c>
      <c r="T14" s="3"/>
    </row>
    <row r="15" spans="1:20" x14ac:dyDescent="0.25">
      <c r="C15" s="9"/>
      <c r="F15" s="3"/>
      <c r="H15" s="3">
        <v>1.25E-4</v>
      </c>
      <c r="I15" s="6">
        <f>H15/$F$18</f>
        <v>0.32169417228663333</v>
      </c>
      <c r="J15" s="6">
        <v>8.5895999999999998E-4</v>
      </c>
      <c r="K15" s="5">
        <f t="shared" si="2"/>
        <v>44.002789352897153</v>
      </c>
      <c r="L15" s="6">
        <v>8.0756999999999997E-4</v>
      </c>
      <c r="M15" s="3">
        <f>L15*$F$14</f>
        <v>41.370183242198884</v>
      </c>
      <c r="O15" s="3"/>
      <c r="P15">
        <v>0.23180000000000001</v>
      </c>
      <c r="Q15" s="30">
        <f t="shared" si="5"/>
        <v>695.4</v>
      </c>
      <c r="R15" s="3">
        <v>4477.5</v>
      </c>
      <c r="S15" s="30">
        <f t="shared" si="6"/>
        <v>262.21020007315371</v>
      </c>
      <c r="T15" s="3"/>
    </row>
    <row r="16" spans="1:20" x14ac:dyDescent="0.25">
      <c r="C16" s="9"/>
      <c r="F16" s="3"/>
      <c r="H16" s="3">
        <v>1.4999999999999999E-4</v>
      </c>
      <c r="I16" s="6">
        <f>H16/$F$18</f>
        <v>0.38603300674395991</v>
      </c>
      <c r="J16" s="6">
        <v>6.3736000000000001E-4</v>
      </c>
      <c r="K16" s="5">
        <f t="shared" si="2"/>
        <v>32.650668042705753</v>
      </c>
      <c r="L16" s="6">
        <v>5.8792000000000002E-4</v>
      </c>
      <c r="M16" s="3">
        <f t="shared" ref="M16:M23" si="8">L16*$F$14</f>
        <v>30.117956501298426</v>
      </c>
      <c r="O16" s="3"/>
      <c r="P16">
        <v>0.2427</v>
      </c>
      <c r="Q16" s="30">
        <f t="shared" si="5"/>
        <v>728.1</v>
      </c>
      <c r="R16" s="3">
        <v>7393.3</v>
      </c>
      <c r="S16" s="30">
        <f t="shared" si="6"/>
        <v>432.96452757137848</v>
      </c>
      <c r="T16" s="3"/>
    </row>
    <row r="17" spans="1:20" x14ac:dyDescent="0.25">
      <c r="C17" s="9"/>
      <c r="F17" s="3"/>
      <c r="H17" s="3">
        <v>1.75E-4</v>
      </c>
      <c r="I17" s="6">
        <f>H17/$F$18</f>
        <v>0.45037184120128659</v>
      </c>
      <c r="J17" s="6">
        <v>5.7408999999999997E-4</v>
      </c>
      <c r="K17" s="5">
        <f t="shared" si="2"/>
        <v>29.409473479096498</v>
      </c>
      <c r="L17" s="6">
        <v>5.2408999999999995E-4</v>
      </c>
      <c r="M17" s="3">
        <f t="shared" si="8"/>
        <v>26.848074266508181</v>
      </c>
      <c r="O17" s="3"/>
      <c r="P17">
        <v>0.23319999999999999</v>
      </c>
      <c r="Q17" s="30">
        <f t="shared" si="5"/>
        <v>699.6</v>
      </c>
      <c r="R17" s="3">
        <v>8233.7999999999993</v>
      </c>
      <c r="S17" s="30">
        <f t="shared" si="6"/>
        <v>482.18567177271524</v>
      </c>
      <c r="T17" s="3"/>
    </row>
    <row r="18" spans="1:20" x14ac:dyDescent="0.25">
      <c r="B18" t="s">
        <v>18</v>
      </c>
      <c r="C18">
        <v>4.4499999999999998E-2</v>
      </c>
      <c r="E18" t="s">
        <v>19</v>
      </c>
      <c r="F18" s="3">
        <f>SQRT(2*PI()*C18/C14)*C19^2</f>
        <v>3.8856780995281297E-4</v>
      </c>
      <c r="G18" t="s">
        <v>12</v>
      </c>
      <c r="H18" s="3">
        <v>2.0000000000000001E-4</v>
      </c>
      <c r="I18" s="10">
        <f t="shared" ref="I18:I23" si="9">H18/$F$18</f>
        <v>0.51471067565861328</v>
      </c>
      <c r="J18" s="6">
        <v>5.6977000000000004E-4</v>
      </c>
      <c r="K18" s="5">
        <f t="shared" si="2"/>
        <v>29.188168587128871</v>
      </c>
      <c r="L18" s="10">
        <v>5.0646000000000003E-4</v>
      </c>
      <c r="M18" s="3">
        <f t="shared" si="8"/>
        <v>25.944924904149545</v>
      </c>
      <c r="N18">
        <v>43</v>
      </c>
      <c r="O18" s="3">
        <f t="shared" si="7"/>
        <v>8.3938496952507794E-4</v>
      </c>
      <c r="P18">
        <v>0.22059999999999999</v>
      </c>
      <c r="Q18" s="30">
        <f t="shared" si="5"/>
        <v>661.79999999999984</v>
      </c>
      <c r="R18" s="3">
        <v>8102.4</v>
      </c>
      <c r="S18" s="30">
        <f t="shared" si="6"/>
        <v>474.49065886604586</v>
      </c>
      <c r="T18" s="3"/>
    </row>
    <row r="19" spans="1:20" x14ac:dyDescent="0.25">
      <c r="B19" t="s">
        <v>20</v>
      </c>
      <c r="C19" s="12">
        <v>2.9999999999999999E-7</v>
      </c>
      <c r="D19" t="s">
        <v>12</v>
      </c>
      <c r="H19" s="9">
        <v>2.9999999999999997E-4</v>
      </c>
      <c r="I19" s="10">
        <f>H19/$F$18</f>
        <v>0.77206601348791981</v>
      </c>
      <c r="J19" s="6">
        <v>5.9040000000000004E-4</v>
      </c>
      <c r="K19" s="5">
        <f t="shared" si="2"/>
        <v>30.245001902242809</v>
      </c>
      <c r="L19" s="10">
        <v>5.3505000000000002E-4</v>
      </c>
      <c r="M19" s="3">
        <f t="shared" si="8"/>
        <v>27.409532973907542</v>
      </c>
      <c r="N19">
        <v>50</v>
      </c>
      <c r="O19" s="3">
        <f t="shared" si="7"/>
        <v>9.760290343314859E-4</v>
      </c>
      <c r="P19">
        <v>0.2339</v>
      </c>
      <c r="Q19" s="30">
        <f t="shared" si="5"/>
        <v>701.7</v>
      </c>
      <c r="R19" s="3">
        <v>7914.4</v>
      </c>
      <c r="S19" s="30">
        <f t="shared" si="6"/>
        <v>463.48105135878666</v>
      </c>
      <c r="T19" s="3"/>
    </row>
    <row r="20" spans="1:20" x14ac:dyDescent="0.25">
      <c r="B20" t="s">
        <v>21</v>
      </c>
      <c r="C20" s="3">
        <v>8.9999999999999998E-4</v>
      </c>
      <c r="D20" t="s">
        <v>22</v>
      </c>
      <c r="H20" s="3">
        <v>5.0000000000000001E-4</v>
      </c>
      <c r="I20" s="10">
        <f t="shared" si="9"/>
        <v>1.2867766891465333</v>
      </c>
      <c r="J20" s="6">
        <v>5.9049999999999999E-4</v>
      </c>
      <c r="K20" s="5">
        <f t="shared" si="2"/>
        <v>30.250124700667982</v>
      </c>
      <c r="L20" s="10">
        <v>5.2961999999999996E-4</v>
      </c>
      <c r="M20" s="3">
        <f t="shared" si="8"/>
        <v>27.13136501942045</v>
      </c>
      <c r="N20">
        <v>67</v>
      </c>
      <c r="O20" s="3">
        <f t="shared" si="7"/>
        <v>1.3078789060041911E-3</v>
      </c>
      <c r="P20">
        <v>0.2268</v>
      </c>
      <c r="Q20" s="30">
        <f t="shared" si="5"/>
        <v>680.4</v>
      </c>
      <c r="R20" s="3">
        <v>7955.6</v>
      </c>
      <c r="S20" s="30">
        <f t="shared" si="6"/>
        <v>465.89379513165414</v>
      </c>
      <c r="T20" s="3"/>
    </row>
    <row r="21" spans="1:20" x14ac:dyDescent="0.25">
      <c r="H21" s="3">
        <v>5.9999999999999995E-4</v>
      </c>
      <c r="I21" s="10">
        <f t="shared" si="9"/>
        <v>1.5441320269758396</v>
      </c>
      <c r="J21" s="6">
        <v>5.8505999999999999E-4</v>
      </c>
      <c r="K21" s="5">
        <f t="shared" si="2"/>
        <v>29.971444466338372</v>
      </c>
      <c r="L21" s="10">
        <v>5.3386999999999998E-4</v>
      </c>
      <c r="M21" s="3">
        <f t="shared" si="8"/>
        <v>27.349083952490457</v>
      </c>
      <c r="N21" s="27" t="s">
        <v>47</v>
      </c>
      <c r="O21" s="27" t="s">
        <v>47</v>
      </c>
      <c r="P21">
        <v>0.22020000000000001</v>
      </c>
      <c r="Q21" s="30">
        <f t="shared" si="5"/>
        <v>660.6</v>
      </c>
      <c r="R21" s="3">
        <v>7416.6</v>
      </c>
      <c r="S21" s="30">
        <f t="shared" si="6"/>
        <v>434.32901616137389</v>
      </c>
    </row>
    <row r="22" spans="1:20" x14ac:dyDescent="0.25">
      <c r="H22" s="3">
        <v>8.0000000000000004E-4</v>
      </c>
      <c r="I22" s="10">
        <f t="shared" si="9"/>
        <v>2.0588427026344531</v>
      </c>
      <c r="J22" s="6">
        <v>5.8662999999999999E-4</v>
      </c>
      <c r="K22" s="5">
        <f t="shared" si="2"/>
        <v>30.051872401613647</v>
      </c>
      <c r="L22" s="10">
        <v>5.3698000000000005E-4</v>
      </c>
      <c r="M22" s="3">
        <f t="shared" si="8"/>
        <v>27.508402983513452</v>
      </c>
      <c r="N22" s="27" t="s">
        <v>47</v>
      </c>
      <c r="O22" s="27" t="s">
        <v>47</v>
      </c>
      <c r="P22">
        <v>0.2281</v>
      </c>
      <c r="Q22" s="30">
        <f t="shared" si="5"/>
        <v>684.3</v>
      </c>
      <c r="R22" s="3">
        <v>7698.3</v>
      </c>
      <c r="S22" s="30">
        <f t="shared" si="6"/>
        <v>450.82585889964463</v>
      </c>
    </row>
    <row r="23" spans="1:20" x14ac:dyDescent="0.25">
      <c r="H23" s="3">
        <v>1E-3</v>
      </c>
      <c r="I23" s="10">
        <f t="shared" si="9"/>
        <v>2.5735533782930666</v>
      </c>
      <c r="J23" s="6">
        <v>5.8849E-4</v>
      </c>
      <c r="K23" s="5">
        <f t="shared" si="2"/>
        <v>30.14715645232193</v>
      </c>
      <c r="L23" s="10">
        <v>5.2760999999999997E-4</v>
      </c>
      <c r="M23" s="3">
        <f t="shared" si="8"/>
        <v>27.028396771074402</v>
      </c>
      <c r="N23" s="27" t="s">
        <v>47</v>
      </c>
      <c r="O23" s="27" t="s">
        <v>47</v>
      </c>
      <c r="P23">
        <v>0.21079999999999999</v>
      </c>
      <c r="Q23" s="30">
        <f t="shared" si="5"/>
        <v>632.39999999999986</v>
      </c>
      <c r="R23" s="3">
        <v>7042</v>
      </c>
      <c r="S23" s="30">
        <f t="shared" si="6"/>
        <v>412.39178758573939</v>
      </c>
    </row>
    <row r="24" spans="1:20" x14ac:dyDescent="0.25">
      <c r="H24" s="3"/>
      <c r="I24" s="12"/>
      <c r="J24" s="12"/>
      <c r="K24" s="5"/>
      <c r="Q24" s="30"/>
      <c r="R24" s="3">
        <v>400</v>
      </c>
      <c r="S24" s="30">
        <f t="shared" si="6"/>
        <v>23.424696823955657</v>
      </c>
    </row>
    <row r="25" spans="1:20" ht="15" customHeight="1" x14ac:dyDescent="0.25">
      <c r="B25" t="s">
        <v>37</v>
      </c>
      <c r="C25" s="3">
        <v>4.9700000000000001E-2</v>
      </c>
      <c r="D25" t="s">
        <v>38</v>
      </c>
      <c r="K25" s="5"/>
      <c r="L25" s="44" t="s">
        <v>23</v>
      </c>
      <c r="R25" s="31"/>
      <c r="S25" s="31"/>
      <c r="T25" s="31"/>
    </row>
    <row r="26" spans="1:20" x14ac:dyDescent="0.25">
      <c r="B26" t="s">
        <v>18</v>
      </c>
      <c r="C26" s="3">
        <f>C25*C9/2</f>
        <v>4.473E-5</v>
      </c>
      <c r="H26" s="14"/>
      <c r="I26" s="14"/>
      <c r="J26" s="14"/>
      <c r="K26" s="5"/>
      <c r="L26" s="44"/>
      <c r="M26" s="14"/>
      <c r="N26" s="14"/>
      <c r="R26" s="31"/>
      <c r="S26" s="31"/>
      <c r="T26" s="31"/>
    </row>
    <row r="27" spans="1:20" x14ac:dyDescent="0.25">
      <c r="A27" s="14"/>
      <c r="B27" s="14"/>
      <c r="C27" s="14"/>
      <c r="D27" s="14"/>
      <c r="E27" s="14"/>
      <c r="F27" s="14"/>
      <c r="R27" s="31"/>
      <c r="S27" s="31"/>
      <c r="T27" s="31"/>
    </row>
    <row r="28" spans="1:20" x14ac:dyDescent="0.25">
      <c r="B28" s="14" t="s">
        <v>39</v>
      </c>
      <c r="C28" s="3">
        <f>2*C18/C9</f>
        <v>49.444444444444443</v>
      </c>
      <c r="E28" s="4"/>
      <c r="F28" s="3"/>
      <c r="H28" s="5"/>
      <c r="I28" s="15"/>
      <c r="J28" s="15"/>
      <c r="K28" s="15"/>
      <c r="L28" s="16"/>
      <c r="M28" s="5"/>
      <c r="N28" s="8"/>
      <c r="O28" s="3"/>
      <c r="P28" s="3"/>
      <c r="Q28" s="3"/>
      <c r="R28" s="3"/>
      <c r="S28" s="3"/>
    </row>
    <row r="29" spans="1:20" x14ac:dyDescent="0.25">
      <c r="C29" s="9"/>
      <c r="F29" s="3"/>
      <c r="H29" s="3"/>
      <c r="I29" s="12"/>
      <c r="J29" s="12"/>
      <c r="K29" s="12"/>
      <c r="M29" s="3"/>
      <c r="O29" s="3"/>
      <c r="P29" s="3"/>
      <c r="Q29" s="3"/>
      <c r="R29" s="3"/>
      <c r="S29" s="3"/>
      <c r="T29" s="3"/>
    </row>
    <row r="30" spans="1:20" x14ac:dyDescent="0.25">
      <c r="C30" s="9"/>
      <c r="F30" s="3"/>
      <c r="H30" s="3"/>
      <c r="I30" s="12"/>
      <c r="J30" s="12"/>
      <c r="K30" s="12"/>
      <c r="M30" s="3"/>
      <c r="O30" s="3"/>
      <c r="P30" s="3"/>
      <c r="Q30" s="3"/>
      <c r="R30" s="3"/>
      <c r="S30" s="3"/>
      <c r="T30" s="3"/>
    </row>
    <row r="31" spans="1:20" x14ac:dyDescent="0.25">
      <c r="C31" s="9"/>
      <c r="F31" s="3"/>
      <c r="H31" s="3"/>
      <c r="I31" s="12"/>
      <c r="J31" s="12"/>
      <c r="K31" s="12"/>
      <c r="M31" s="3"/>
      <c r="O31" s="3"/>
      <c r="P31" s="3"/>
      <c r="Q31" s="3"/>
      <c r="R31" s="3"/>
      <c r="S31" s="3"/>
      <c r="T31" s="3"/>
    </row>
    <row r="32" spans="1:20" x14ac:dyDescent="0.25">
      <c r="C32" s="9"/>
      <c r="F32" s="3"/>
      <c r="H32" s="3"/>
      <c r="I32" s="12"/>
      <c r="J32" s="12"/>
      <c r="K32" s="12"/>
      <c r="M32" s="3"/>
      <c r="O32" s="3"/>
      <c r="P32" s="3"/>
      <c r="Q32" s="3"/>
      <c r="R32" s="3"/>
      <c r="S32" s="3"/>
      <c r="T32" s="3"/>
    </row>
    <row r="33" spans="3:20" x14ac:dyDescent="0.25">
      <c r="C33" s="9"/>
      <c r="F33" s="3"/>
      <c r="H33" s="3"/>
      <c r="I33" s="12"/>
      <c r="J33" s="12"/>
      <c r="K33" s="12"/>
      <c r="M33" s="3"/>
      <c r="O33" s="3"/>
      <c r="P33" s="3"/>
      <c r="Q33" s="3"/>
      <c r="R33" s="3"/>
      <c r="S33" s="3"/>
      <c r="T33" s="3"/>
    </row>
    <row r="34" spans="3:20" x14ac:dyDescent="0.25">
      <c r="F34" s="3"/>
      <c r="H34" s="3"/>
      <c r="I34" s="12"/>
      <c r="J34" s="12"/>
      <c r="K34" s="12"/>
      <c r="M34" s="3"/>
      <c r="O34" s="3"/>
      <c r="P34" s="3"/>
      <c r="Q34" s="3"/>
      <c r="R34" s="3"/>
      <c r="S34" s="3"/>
      <c r="T34" s="3"/>
    </row>
    <row r="35" spans="3:20" x14ac:dyDescent="0.25">
      <c r="F35" s="3"/>
      <c r="H35" s="3"/>
      <c r="I35" s="12"/>
      <c r="J35" s="12"/>
      <c r="K35" s="12"/>
      <c r="M35" s="3"/>
      <c r="O35" s="3"/>
      <c r="P35" s="3"/>
      <c r="Q35" s="3"/>
      <c r="R35" s="3"/>
      <c r="S35" s="3"/>
      <c r="T35" s="3"/>
    </row>
    <row r="36" spans="3:20" x14ac:dyDescent="0.25">
      <c r="F36" s="3"/>
      <c r="H36" s="3"/>
      <c r="I36" s="12"/>
      <c r="J36" s="12"/>
      <c r="K36" s="12"/>
      <c r="M36" s="3"/>
      <c r="O36" s="3"/>
      <c r="P36" s="3"/>
      <c r="Q36" s="3"/>
      <c r="R36" s="3"/>
      <c r="S36" s="3"/>
      <c r="T36" s="3"/>
    </row>
    <row r="37" spans="3:20" x14ac:dyDescent="0.25">
      <c r="F37" s="3"/>
      <c r="H37" s="3"/>
      <c r="I37" s="12"/>
      <c r="J37" s="12"/>
      <c r="K37" s="12"/>
      <c r="M37" s="3"/>
      <c r="O37" s="3"/>
      <c r="P37" s="3"/>
      <c r="Q37" s="3"/>
      <c r="R37" s="3"/>
      <c r="S37" s="3"/>
      <c r="T37" s="3"/>
    </row>
    <row r="38" spans="3:20" x14ac:dyDescent="0.25">
      <c r="C38" s="12"/>
      <c r="H38" s="13"/>
      <c r="I38" s="12"/>
      <c r="J38" s="12"/>
      <c r="K38" s="12"/>
      <c r="M38" s="3"/>
      <c r="O38" s="3"/>
      <c r="P38" s="3"/>
      <c r="Q38" s="3"/>
      <c r="R38" s="3"/>
      <c r="S38" s="3"/>
      <c r="T38" s="3"/>
    </row>
    <row r="39" spans="3:20" x14ac:dyDescent="0.25">
      <c r="C39" s="3"/>
      <c r="H39" s="3"/>
      <c r="I39" s="12"/>
      <c r="J39" s="12"/>
      <c r="K39" s="12"/>
      <c r="M39" s="3"/>
      <c r="O39" s="3"/>
      <c r="P39" s="3"/>
      <c r="Q39" s="3"/>
      <c r="R39" s="3"/>
      <c r="S39" s="3"/>
      <c r="T39" s="3"/>
    </row>
    <row r="40" spans="3:20" x14ac:dyDescent="0.25">
      <c r="P40" s="3"/>
      <c r="Q40" s="3"/>
      <c r="R40" s="3"/>
      <c r="S40" s="3"/>
      <c r="T40" s="3"/>
    </row>
    <row r="41" spans="3:20" x14ac:dyDescent="0.25">
      <c r="P41" s="3"/>
      <c r="Q41" s="3"/>
      <c r="R41" s="3"/>
      <c r="S41" s="3"/>
      <c r="T41" s="3"/>
    </row>
    <row r="43" spans="3:20" x14ac:dyDescent="0.25">
      <c r="P43" s="44"/>
      <c r="Q43" s="26"/>
      <c r="R43" s="43"/>
      <c r="S43" s="44"/>
      <c r="T43" s="44"/>
    </row>
    <row r="44" spans="3:20" x14ac:dyDescent="0.25">
      <c r="P44" s="44"/>
      <c r="Q44" s="26"/>
      <c r="R44" s="43"/>
      <c r="S44" s="44"/>
      <c r="T44" s="44"/>
    </row>
    <row r="45" spans="3:20" x14ac:dyDescent="0.25">
      <c r="P45" s="3"/>
      <c r="Q45" s="3"/>
      <c r="R45" s="3"/>
      <c r="S45" s="3"/>
      <c r="T45" s="3"/>
    </row>
    <row r="46" spans="3:20" x14ac:dyDescent="0.25">
      <c r="P46" s="3"/>
      <c r="Q46" s="3"/>
      <c r="R46" s="3"/>
      <c r="S46" s="3"/>
      <c r="T46" s="3"/>
    </row>
    <row r="47" spans="3:20" x14ac:dyDescent="0.25">
      <c r="P47" s="3"/>
      <c r="Q47" s="3"/>
      <c r="R47" s="3"/>
      <c r="S47" s="3"/>
      <c r="T47" s="3"/>
    </row>
    <row r="48" spans="3:20" x14ac:dyDescent="0.25">
      <c r="P48" s="3"/>
      <c r="Q48" s="3"/>
      <c r="R48" s="3"/>
      <c r="S48" s="3"/>
      <c r="T48" s="3"/>
    </row>
    <row r="49" spans="1:20" x14ac:dyDescent="0.25">
      <c r="P49" s="3"/>
      <c r="Q49" s="3"/>
      <c r="R49" s="3"/>
      <c r="S49" s="3"/>
      <c r="T49" s="3"/>
    </row>
    <row r="51" spans="1:20" ht="15" customHeight="1" x14ac:dyDescent="0.25">
      <c r="P51" s="44"/>
      <c r="Q51" s="44"/>
      <c r="R51" s="44"/>
    </row>
    <row r="52" spans="1:20" x14ac:dyDescent="0.25">
      <c r="P52" s="44"/>
      <c r="Q52" s="44"/>
      <c r="R52" s="44"/>
    </row>
    <row r="53" spans="1:20" x14ac:dyDescent="0.25">
      <c r="P53" s="44"/>
      <c r="Q53" s="44"/>
      <c r="R53" s="44"/>
    </row>
    <row r="54" spans="1:20" x14ac:dyDescent="0.25">
      <c r="P54" s="44"/>
      <c r="Q54" s="44"/>
      <c r="R54" s="44"/>
    </row>
    <row r="57" spans="1:20" x14ac:dyDescent="0.25">
      <c r="H57" s="45"/>
      <c r="I57" s="45"/>
      <c r="J57" s="45"/>
      <c r="K57" s="45"/>
      <c r="L57" s="45"/>
      <c r="M57" s="45"/>
      <c r="N57" s="45"/>
    </row>
    <row r="58" spans="1:20" x14ac:dyDescent="0.25">
      <c r="A58" s="45"/>
      <c r="B58" s="45"/>
      <c r="C58" s="45"/>
      <c r="D58" s="45"/>
      <c r="E58" s="45"/>
      <c r="F58" s="45"/>
      <c r="L58" s="26"/>
      <c r="M58" s="26"/>
      <c r="N58" s="21"/>
      <c r="O58" s="21"/>
      <c r="P58" s="26"/>
      <c r="Q58" s="26"/>
      <c r="R58" s="26"/>
      <c r="S58" s="26"/>
    </row>
    <row r="59" spans="1:20" x14ac:dyDescent="0.25">
      <c r="C59" s="3"/>
      <c r="E59" s="4"/>
      <c r="F59" s="3"/>
      <c r="H59" s="3"/>
      <c r="I59" s="15"/>
      <c r="J59" s="15"/>
      <c r="K59" s="15"/>
      <c r="L59" s="15"/>
      <c r="M59" s="5"/>
    </row>
    <row r="60" spans="1:20" x14ac:dyDescent="0.25">
      <c r="C60" s="9"/>
      <c r="F60" s="3"/>
      <c r="H60" s="5"/>
      <c r="I60" s="15"/>
      <c r="J60" s="15"/>
      <c r="K60" s="15"/>
      <c r="L60" s="15"/>
      <c r="M60" s="5"/>
      <c r="N60" s="8"/>
      <c r="O60" s="3"/>
      <c r="Q60" s="30"/>
      <c r="R60" s="3"/>
      <c r="S60" s="30"/>
    </row>
    <row r="61" spans="1:20" x14ac:dyDescent="0.25">
      <c r="F61" s="3"/>
      <c r="H61" s="3"/>
      <c r="I61" s="12"/>
      <c r="J61" s="12"/>
      <c r="K61" s="12"/>
      <c r="L61" s="12"/>
      <c r="M61" s="3"/>
      <c r="O61" s="3"/>
      <c r="Q61" s="30"/>
      <c r="R61" s="3"/>
      <c r="S61" s="30"/>
    </row>
    <row r="62" spans="1:20" x14ac:dyDescent="0.25">
      <c r="C62" s="12"/>
      <c r="H62" s="3"/>
      <c r="I62" s="12"/>
      <c r="J62" s="12"/>
      <c r="K62" s="12"/>
      <c r="L62" s="12"/>
      <c r="M62" s="3"/>
      <c r="O62" s="3"/>
      <c r="Q62" s="30"/>
      <c r="R62" s="3"/>
      <c r="S62" s="30"/>
    </row>
    <row r="63" spans="1:20" x14ac:dyDescent="0.25">
      <c r="C63" s="3"/>
      <c r="H63" s="9"/>
      <c r="I63" s="12"/>
      <c r="J63" s="12"/>
      <c r="K63" s="12"/>
      <c r="L63" s="12"/>
      <c r="M63" s="3"/>
      <c r="O63" s="3"/>
      <c r="Q63" s="30"/>
      <c r="R63" s="3"/>
      <c r="S63" s="30"/>
    </row>
    <row r="64" spans="1:20" x14ac:dyDescent="0.25">
      <c r="H64" s="3"/>
      <c r="I64" s="12"/>
      <c r="J64" s="12"/>
      <c r="K64" s="12"/>
      <c r="L64" s="12"/>
      <c r="M64" s="3"/>
      <c r="O64" s="3"/>
      <c r="Q64" s="30"/>
      <c r="R64" s="3"/>
      <c r="S64" s="30"/>
    </row>
    <row r="68" spans="9:12" x14ac:dyDescent="0.25">
      <c r="L68" s="27"/>
    </row>
    <row r="69" spans="9:12" x14ac:dyDescent="0.25">
      <c r="I69" s="3"/>
      <c r="J69" s="3"/>
      <c r="K69" s="3"/>
    </row>
    <row r="70" spans="9:12" x14ac:dyDescent="0.25">
      <c r="I70" s="5"/>
      <c r="J70" s="5"/>
      <c r="K70" s="5"/>
    </row>
    <row r="71" spans="9:12" x14ac:dyDescent="0.25">
      <c r="I71" s="3"/>
      <c r="J71" s="3"/>
      <c r="K71" s="3"/>
    </row>
    <row r="72" spans="9:12" x14ac:dyDescent="0.25">
      <c r="I72" s="3"/>
      <c r="J72" s="3"/>
      <c r="K72" s="3"/>
    </row>
    <row r="73" spans="9:12" x14ac:dyDescent="0.25">
      <c r="I73" s="9"/>
      <c r="J73" s="9"/>
      <c r="K73" s="9"/>
    </row>
    <row r="74" spans="9:12" x14ac:dyDescent="0.25">
      <c r="I74" s="3"/>
      <c r="J74" s="3"/>
      <c r="K74" s="3"/>
    </row>
  </sheetData>
  <mergeCells count="11">
    <mergeCell ref="P51:R54"/>
    <mergeCell ref="H57:N57"/>
    <mergeCell ref="A58:F58"/>
    <mergeCell ref="R1:T2"/>
    <mergeCell ref="H2:N2"/>
    <mergeCell ref="A3:F3"/>
    <mergeCell ref="L25:L26"/>
    <mergeCell ref="P43:P44"/>
    <mergeCell ref="R43:R44"/>
    <mergeCell ref="S43:S44"/>
    <mergeCell ref="T43:T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67"/>
  <sheetViews>
    <sheetView tabSelected="1" topLeftCell="E1" workbookViewId="0">
      <selection activeCell="J21" sqref="J21"/>
    </sheetView>
  </sheetViews>
  <sheetFormatPr defaultRowHeight="15" x14ac:dyDescent="0.25"/>
  <cols>
    <col min="6" max="6" width="14.28515625" customWidth="1"/>
    <col min="12" max="12" width="10.5703125" bestFit="1" customWidth="1"/>
    <col min="13" max="13" width="18.140625" style="17" customWidth="1"/>
    <col min="15" max="15" width="10.42578125" customWidth="1"/>
    <col min="16" max="16" width="12" customWidth="1"/>
    <col min="17" max="17" width="11.42578125" customWidth="1"/>
    <col min="18" max="20" width="12.28515625" customWidth="1"/>
    <col min="21" max="21" width="11.85546875" customWidth="1"/>
    <col min="22" max="22" width="14.5703125" customWidth="1"/>
    <col min="23" max="23" width="16.7109375" customWidth="1"/>
    <col min="24" max="24" width="13.85546875" customWidth="1"/>
    <col min="29" max="29" width="16.140625" customWidth="1"/>
  </cols>
  <sheetData>
    <row r="1" spans="2:32" ht="15" customHeight="1" x14ac:dyDescent="0.25">
      <c r="M1" s="47" t="s">
        <v>74</v>
      </c>
      <c r="N1" s="44" t="s">
        <v>59</v>
      </c>
      <c r="O1" s="44" t="s">
        <v>60</v>
      </c>
      <c r="P1" s="44" t="s">
        <v>62</v>
      </c>
      <c r="Q1" s="44" t="s">
        <v>61</v>
      </c>
      <c r="R1" s="44" t="s">
        <v>63</v>
      </c>
      <c r="S1" s="44" t="s">
        <v>105</v>
      </c>
      <c r="T1" s="44" t="s">
        <v>106</v>
      </c>
      <c r="U1" s="44" t="s">
        <v>64</v>
      </c>
      <c r="V1" s="44" t="s">
        <v>65</v>
      </c>
      <c r="W1" s="44" t="s">
        <v>66</v>
      </c>
      <c r="X1" s="44" t="s">
        <v>67</v>
      </c>
      <c r="Y1" s="44" t="s">
        <v>68</v>
      </c>
      <c r="Z1" s="44" t="s">
        <v>69</v>
      </c>
      <c r="AA1" s="44" t="s">
        <v>70</v>
      </c>
      <c r="AB1" s="44" t="s">
        <v>72</v>
      </c>
      <c r="AC1" s="44" t="s">
        <v>73</v>
      </c>
      <c r="AD1" s="44" t="s">
        <v>107</v>
      </c>
      <c r="AE1" s="44" t="s">
        <v>73</v>
      </c>
      <c r="AF1" s="44" t="s">
        <v>64</v>
      </c>
    </row>
    <row r="2" spans="2:32" x14ac:dyDescent="0.25">
      <c r="M2" s="47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2:32" ht="15" customHeight="1" x14ac:dyDescent="0.25">
      <c r="I3" t="s">
        <v>52</v>
      </c>
      <c r="J3" t="s">
        <v>53</v>
      </c>
      <c r="L3" t="s">
        <v>57</v>
      </c>
      <c r="M3" s="47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 spans="2:32" ht="15" customHeight="1" x14ac:dyDescent="0.25">
      <c r="M4" s="38"/>
      <c r="N4" s="26"/>
      <c r="O4" s="26"/>
      <c r="P4" s="26"/>
      <c r="Q4" s="26"/>
      <c r="R4" s="26"/>
      <c r="S4" s="44"/>
      <c r="T4" s="44"/>
      <c r="U4" s="26"/>
      <c r="V4" s="26"/>
      <c r="W4" s="26"/>
      <c r="X4" s="26"/>
      <c r="Y4" s="26"/>
      <c r="Z4" s="26"/>
      <c r="AA4" s="26"/>
      <c r="AB4" s="26"/>
      <c r="AC4" s="26"/>
    </row>
    <row r="5" spans="2:32" ht="15" customHeight="1" x14ac:dyDescent="0.25">
      <c r="B5" s="44" t="s">
        <v>77</v>
      </c>
      <c r="C5" s="44"/>
      <c r="D5" s="44"/>
      <c r="E5" s="44"/>
      <c r="F5" s="44"/>
      <c r="M5" s="38"/>
      <c r="N5" s="26"/>
      <c r="O5" s="26"/>
      <c r="P5" s="26"/>
      <c r="Q5" s="26"/>
      <c r="R5" s="26"/>
      <c r="S5" s="35"/>
      <c r="T5" s="35"/>
      <c r="U5" s="26"/>
      <c r="V5" s="26"/>
      <c r="W5" s="26"/>
      <c r="X5" s="26"/>
      <c r="Y5" s="26"/>
      <c r="Z5" s="26"/>
      <c r="AA5" s="26"/>
      <c r="AB5" s="26"/>
      <c r="AC5" s="26"/>
    </row>
    <row r="6" spans="2:32" ht="15" customHeight="1" x14ac:dyDescent="0.25">
      <c r="B6" s="44"/>
      <c r="C6" s="44"/>
      <c r="D6" s="44"/>
      <c r="E6" s="44"/>
      <c r="F6" s="44"/>
      <c r="M6" s="38"/>
      <c r="N6" s="26"/>
      <c r="O6" s="26"/>
      <c r="P6" s="26"/>
      <c r="Q6" s="26"/>
      <c r="R6" s="26"/>
      <c r="S6" s="35"/>
      <c r="T6" s="35"/>
      <c r="U6" s="26"/>
      <c r="V6" s="26"/>
      <c r="W6" s="26"/>
      <c r="X6" s="26"/>
      <c r="Y6" s="26"/>
      <c r="Z6" s="26"/>
      <c r="AA6" s="26"/>
      <c r="AB6" s="26"/>
      <c r="AC6" s="26"/>
    </row>
    <row r="7" spans="2:32" ht="15" customHeight="1" x14ac:dyDescent="0.25">
      <c r="B7" s="44"/>
      <c r="C7" s="44"/>
      <c r="D7" s="44"/>
      <c r="E7" s="44"/>
      <c r="F7" s="44"/>
      <c r="I7" s="3">
        <v>5.0000000000000004E-6</v>
      </c>
      <c r="J7" s="28">
        <f>I7/$F$22</f>
        <v>1.6998597868823854E-2</v>
      </c>
      <c r="L7">
        <v>1.3470999999999999E-4</v>
      </c>
      <c r="M7" s="39">
        <v>7.3912000000000007E-5</v>
      </c>
      <c r="N7" s="36">
        <f>M7*$F$21</f>
        <v>12.873633424856271</v>
      </c>
      <c r="O7" s="36">
        <f>0.5/M7</f>
        <v>6764.8013854313231</v>
      </c>
      <c r="P7" s="36">
        <f>O7*$C$22/$F$21*10^10</f>
        <v>58.258610855883795</v>
      </c>
      <c r="Q7" s="36">
        <v>2010.5</v>
      </c>
      <c r="R7" s="36">
        <f>Q7*$C$22/$F$21*10^10</f>
        <v>17.314468001677518</v>
      </c>
      <c r="S7" s="36"/>
      <c r="T7" s="36"/>
      <c r="U7" s="26"/>
      <c r="V7" s="36">
        <f>((1+6*1^3*$F$20)/J7^2)*$C$22/$F$21*10^10</f>
        <v>28681.489689717579</v>
      </c>
      <c r="W7" s="36">
        <f>1/3*V7</f>
        <v>9560.4965632391923</v>
      </c>
      <c r="X7" s="36">
        <f>R7/V7</f>
        <v>6.0368091716954365E-4</v>
      </c>
      <c r="Y7" s="36">
        <f>1/$F$20/J7^2</f>
        <v>21.599999999999998</v>
      </c>
      <c r="Z7" s="36">
        <f>2*$C$22*$C$21/I7^2</f>
        <v>21.599999999999998</v>
      </c>
      <c r="AA7" s="26">
        <v>0.157</v>
      </c>
      <c r="AB7" s="36">
        <f>AA7*$C$22*10^10</f>
        <v>235.5</v>
      </c>
      <c r="AC7" s="26"/>
      <c r="AD7">
        <v>50</v>
      </c>
      <c r="AE7">
        <v>242</v>
      </c>
      <c r="AF7">
        <v>11.2</v>
      </c>
    </row>
    <row r="8" spans="2:32" ht="15" customHeight="1" x14ac:dyDescent="0.25">
      <c r="B8" s="44"/>
      <c r="C8" s="44"/>
      <c r="D8" s="44"/>
      <c r="E8" s="44"/>
      <c r="F8" s="44"/>
      <c r="I8" s="3">
        <v>7.9999999999999996E-6</v>
      </c>
      <c r="J8" s="28">
        <f t="shared" ref="J8:J19" si="0">I8/$F$22</f>
        <v>2.7197756590118159E-2</v>
      </c>
      <c r="L8">
        <v>1.4393979999999999E-4</v>
      </c>
      <c r="M8" s="39">
        <v>6.8955999999999995E-5</v>
      </c>
      <c r="N8" s="36">
        <f t="shared" ref="N8:N19" si="1">M8*$F$21</f>
        <v>12.010421399020306</v>
      </c>
      <c r="O8" s="37">
        <f t="shared" ref="O8:O19" si="2">0.5/M8</f>
        <v>7251.0006380880568</v>
      </c>
      <c r="P8" s="37">
        <f t="shared" ref="P8:P19" si="3">O8*$C$22/$F$21*10^10</f>
        <v>62.445768977030042</v>
      </c>
      <c r="Q8" s="36">
        <v>1081.9000000000001</v>
      </c>
      <c r="R8" s="36">
        <f t="shared" ref="R8:R19" si="4">Q8*$C$22/$F$21*10^10</f>
        <v>9.3173454021461843</v>
      </c>
      <c r="S8" s="36"/>
      <c r="T8" s="36"/>
      <c r="U8" s="26"/>
      <c r="V8" s="36">
        <f t="shared" ref="V8:V19" si="5">((1+6*1^3*$F$20)/J8^2)*$C$22/$F$21*10^10</f>
        <v>11203.706910045934</v>
      </c>
      <c r="W8" s="36">
        <f t="shared" ref="W8:W19" si="6">1/3*V8</f>
        <v>3734.5689700153112</v>
      </c>
      <c r="X8" s="36">
        <f t="shared" ref="X8:X19" si="7">R8/V8</f>
        <v>8.3163059128150507E-4</v>
      </c>
      <c r="Y8" s="36">
        <f t="shared" ref="Y8:Y19" si="8">1/$F$20/J8^2</f>
        <v>8.4375000000000036</v>
      </c>
      <c r="Z8" s="36">
        <f t="shared" ref="Z8:Z19" si="9">2*$C$22*$C$21/I8^2</f>
        <v>8.4375</v>
      </c>
      <c r="AA8" s="26">
        <v>0.16120000000000001</v>
      </c>
      <c r="AB8" s="36">
        <f t="shared" ref="AB8:AB19" si="10">AA8*$C$22*10^10</f>
        <v>241.79999999999998</v>
      </c>
      <c r="AC8" s="26"/>
      <c r="AD8">
        <v>60</v>
      </c>
      <c r="AE8">
        <v>245</v>
      </c>
      <c r="AF8">
        <v>9.6999999999999993</v>
      </c>
    </row>
    <row r="9" spans="2:32" ht="15" customHeight="1" x14ac:dyDescent="0.25">
      <c r="B9" s="44"/>
      <c r="C9" s="44"/>
      <c r="D9" s="44"/>
      <c r="E9" s="44"/>
      <c r="F9" s="44"/>
      <c r="I9" s="3">
        <v>1.0000000000000001E-5</v>
      </c>
      <c r="J9" s="28">
        <f t="shared" si="0"/>
        <v>3.3997195737647708E-2</v>
      </c>
      <c r="L9">
        <v>1.555727E-4</v>
      </c>
      <c r="M9" s="39">
        <v>7.2126999999999996E-5</v>
      </c>
      <c r="N9" s="36">
        <f t="shared" si="1"/>
        <v>12.562730788432299</v>
      </c>
      <c r="O9" s="37">
        <f t="shared" si="2"/>
        <v>6932.2167842832787</v>
      </c>
      <c r="P9" s="37">
        <f t="shared" si="3"/>
        <v>59.700395768298748</v>
      </c>
      <c r="Q9" s="26">
        <v>852.42</v>
      </c>
      <c r="R9" s="36">
        <f t="shared" si="4"/>
        <v>7.3410588480427483</v>
      </c>
      <c r="S9" s="36"/>
      <c r="T9" s="36"/>
      <c r="U9" s="26"/>
      <c r="V9" s="36">
        <f t="shared" si="5"/>
        <v>7170.3724224293946</v>
      </c>
      <c r="W9" s="36">
        <f t="shared" si="6"/>
        <v>2390.1241408097981</v>
      </c>
      <c r="X9" s="36">
        <f t="shared" si="7"/>
        <v>1.0238044017183035E-3</v>
      </c>
      <c r="Y9" s="36">
        <f t="shared" si="8"/>
        <v>5.3999999999999995</v>
      </c>
      <c r="Z9" s="36">
        <f t="shared" si="9"/>
        <v>5.3999999999999995</v>
      </c>
      <c r="AA9" s="26">
        <v>0.1618</v>
      </c>
      <c r="AB9" s="36">
        <f t="shared" si="10"/>
        <v>242.7</v>
      </c>
      <c r="AC9" s="26"/>
      <c r="AD9">
        <v>65</v>
      </c>
      <c r="AE9">
        <v>255</v>
      </c>
      <c r="AF9">
        <v>10.1</v>
      </c>
    </row>
    <row r="10" spans="2:32" ht="15" customHeight="1" x14ac:dyDescent="0.25">
      <c r="B10" s="44"/>
      <c r="C10" s="44"/>
      <c r="D10" s="44"/>
      <c r="E10" s="44"/>
      <c r="F10" s="44"/>
      <c r="I10" s="3">
        <v>1.2500000000000001E-5</v>
      </c>
      <c r="J10" s="36">
        <f t="shared" si="0"/>
        <v>4.2496494672059633E-2</v>
      </c>
      <c r="L10">
        <v>1.7475499999999999E-4</v>
      </c>
      <c r="M10" s="39">
        <v>8.0951000000000005E-5</v>
      </c>
      <c r="N10" s="36">
        <f>M10*$F$21</f>
        <v>14.099652280760091</v>
      </c>
      <c r="O10" s="37">
        <f t="shared" si="2"/>
        <v>6176.5759533544979</v>
      </c>
      <c r="P10" s="37">
        <f t="shared" si="3"/>
        <v>53.192801146126456</v>
      </c>
      <c r="Q10" s="35">
        <v>875.63</v>
      </c>
      <c r="R10" s="36">
        <f t="shared" si="4"/>
        <v>7.5409438529265769</v>
      </c>
      <c r="S10" s="36"/>
      <c r="T10" s="36"/>
      <c r="U10" s="35"/>
      <c r="V10" s="36">
        <f t="shared" si="5"/>
        <v>4589.0383503548128</v>
      </c>
      <c r="W10" s="36">
        <f t="shared" si="6"/>
        <v>1529.6794501182708</v>
      </c>
      <c r="X10" s="36">
        <f t="shared" si="7"/>
        <v>1.6432514346591874E-3</v>
      </c>
      <c r="Y10" s="36">
        <f t="shared" si="8"/>
        <v>3.456</v>
      </c>
      <c r="Z10" s="36">
        <f t="shared" si="9"/>
        <v>3.456</v>
      </c>
      <c r="AA10" s="35">
        <v>0.15690000000000001</v>
      </c>
      <c r="AB10" s="36">
        <f t="shared" si="10"/>
        <v>235.35000000000002</v>
      </c>
      <c r="AC10" s="35"/>
      <c r="AD10">
        <v>65</v>
      </c>
      <c r="AE10">
        <v>260</v>
      </c>
      <c r="AF10">
        <v>8.1</v>
      </c>
    </row>
    <row r="11" spans="2:32" ht="15" customHeight="1" x14ac:dyDescent="0.25">
      <c r="B11" s="44"/>
      <c r="C11" s="44"/>
      <c r="D11" s="44"/>
      <c r="E11" s="44"/>
      <c r="F11" s="44"/>
      <c r="I11" s="3">
        <v>1.5E-5</v>
      </c>
      <c r="J11" s="36">
        <f t="shared" si="0"/>
        <v>5.0995793606471558E-2</v>
      </c>
      <c r="L11">
        <v>1.9508930000000001E-4</v>
      </c>
      <c r="M11" s="39">
        <v>9.5530000000000002E-5</v>
      </c>
      <c r="N11" s="36">
        <f t="shared" si="1"/>
        <v>16.638951740942193</v>
      </c>
      <c r="O11" s="37">
        <f t="shared" si="2"/>
        <v>5233.9579189783317</v>
      </c>
      <c r="P11" s="37">
        <f t="shared" si="3"/>
        <v>45.074954941694578</v>
      </c>
      <c r="Q11" s="35">
        <v>868.58</v>
      </c>
      <c r="R11" s="36">
        <f t="shared" si="4"/>
        <v>7.4802291056438985</v>
      </c>
      <c r="S11" s="36"/>
      <c r="T11" s="36"/>
      <c r="U11" s="35"/>
      <c r="V11" s="36">
        <f t="shared" si="5"/>
        <v>3186.8321877463977</v>
      </c>
      <c r="W11" s="36">
        <f t="shared" si="6"/>
        <v>1062.2773959154658</v>
      </c>
      <c r="X11" s="36">
        <f t="shared" si="7"/>
        <v>2.3472303105277789E-3</v>
      </c>
      <c r="Y11" s="36">
        <f t="shared" si="8"/>
        <v>2.4</v>
      </c>
      <c r="Z11" s="36">
        <f t="shared" si="9"/>
        <v>2.4</v>
      </c>
      <c r="AA11" s="35">
        <v>0.1537</v>
      </c>
      <c r="AB11" s="36">
        <f t="shared" si="10"/>
        <v>230.55</v>
      </c>
      <c r="AC11" s="35"/>
      <c r="AD11">
        <v>70</v>
      </c>
      <c r="AE11">
        <v>243</v>
      </c>
      <c r="AF11">
        <v>8.1</v>
      </c>
    </row>
    <row r="12" spans="2:32" ht="15" customHeight="1" x14ac:dyDescent="0.25">
      <c r="B12" s="44"/>
      <c r="C12" s="44"/>
      <c r="D12" s="44"/>
      <c r="E12" s="44"/>
      <c r="F12" s="44"/>
      <c r="I12" s="3">
        <v>1.7499999999999998E-5</v>
      </c>
      <c r="J12" s="36">
        <f t="shared" si="0"/>
        <v>5.9495092540883476E-2</v>
      </c>
      <c r="L12">
        <v>2.1619E-4</v>
      </c>
      <c r="M12" s="39">
        <v>1.1567E-4</v>
      </c>
      <c r="N12" s="36">
        <f t="shared" si="1"/>
        <v>20.146839190566141</v>
      </c>
      <c r="O12" s="37">
        <f t="shared" si="2"/>
        <v>4322.6419987896606</v>
      </c>
      <c r="P12" s="37">
        <f t="shared" si="3"/>
        <v>37.226683198582897</v>
      </c>
      <c r="Q12" s="35">
        <v>840.96</v>
      </c>
      <c r="R12" s="36">
        <f t="shared" si="4"/>
        <v>7.242365088630053</v>
      </c>
      <c r="S12" s="36"/>
      <c r="T12" s="36"/>
      <c r="U12" s="35"/>
      <c r="V12" s="36">
        <f t="shared" si="5"/>
        <v>2341.3460971198028</v>
      </c>
      <c r="W12" s="36">
        <f t="shared" si="6"/>
        <v>780.44869903993424</v>
      </c>
      <c r="X12" s="36">
        <f t="shared" si="7"/>
        <v>3.0932484084857078E-3</v>
      </c>
      <c r="Y12" s="36">
        <f t="shared" si="8"/>
        <v>1.7632653061224495</v>
      </c>
      <c r="Z12" s="36">
        <f t="shared" si="9"/>
        <v>1.7632653061224492</v>
      </c>
      <c r="AA12" s="35">
        <v>0.158</v>
      </c>
      <c r="AB12" s="36">
        <f t="shared" si="10"/>
        <v>237</v>
      </c>
      <c r="AC12" s="35"/>
      <c r="AD12">
        <v>70</v>
      </c>
      <c r="AE12">
        <v>281</v>
      </c>
      <c r="AF12">
        <v>9.8000000000000007</v>
      </c>
    </row>
    <row r="13" spans="2:32" ht="15" customHeight="1" x14ac:dyDescent="0.25">
      <c r="B13" s="44"/>
      <c r="C13" s="44"/>
      <c r="D13" s="44"/>
      <c r="E13" s="44"/>
      <c r="F13" s="44"/>
      <c r="I13" s="3">
        <v>2.0000000000000002E-5</v>
      </c>
      <c r="J13" s="28">
        <f t="shared" si="0"/>
        <v>6.7994391475295415E-2</v>
      </c>
      <c r="L13">
        <v>2.347994E-4</v>
      </c>
      <c r="M13" s="39">
        <v>1.3956E-4</v>
      </c>
      <c r="N13" s="36">
        <f t="shared" si="1"/>
        <v>24.307883439400108</v>
      </c>
      <c r="O13" s="37">
        <f t="shared" si="2"/>
        <v>3582.6884494124392</v>
      </c>
      <c r="P13" s="37">
        <f t="shared" si="3"/>
        <v>30.85418777285815</v>
      </c>
      <c r="Q13" s="26">
        <v>798.00599999999997</v>
      </c>
      <c r="R13" s="36">
        <f t="shared" si="4"/>
        <v>6.8724443432711597</v>
      </c>
      <c r="S13" s="36"/>
      <c r="T13" s="36"/>
      <c r="U13" s="26"/>
      <c r="V13" s="36">
        <f t="shared" si="5"/>
        <v>1792.5931056073487</v>
      </c>
      <c r="W13" s="36">
        <f t="shared" si="6"/>
        <v>597.53103520244952</v>
      </c>
      <c r="X13" s="36">
        <f t="shared" si="7"/>
        <v>3.8338004992732057E-3</v>
      </c>
      <c r="Y13" s="36">
        <f t="shared" si="8"/>
        <v>1.3499999999999999</v>
      </c>
      <c r="Z13" s="36">
        <f t="shared" si="9"/>
        <v>1.3499999999999999</v>
      </c>
      <c r="AA13" s="26">
        <v>0.16539999999999999</v>
      </c>
      <c r="AB13" s="36">
        <f t="shared" si="10"/>
        <v>248.1</v>
      </c>
      <c r="AC13" s="26"/>
      <c r="AD13">
        <v>75</v>
      </c>
      <c r="AE13">
        <v>252</v>
      </c>
      <c r="AF13">
        <v>7.4</v>
      </c>
    </row>
    <row r="14" spans="2:32" ht="15" customHeight="1" x14ac:dyDescent="0.25">
      <c r="B14" s="35"/>
      <c r="C14" s="35"/>
      <c r="D14" s="35"/>
      <c r="E14" s="35"/>
      <c r="F14" s="35"/>
      <c r="I14" s="3">
        <v>2.2500000000000001E-5</v>
      </c>
      <c r="J14" s="36">
        <f t="shared" si="0"/>
        <v>7.6493690409707341E-2</v>
      </c>
      <c r="L14">
        <v>2.5837499999999998E-4</v>
      </c>
      <c r="M14" s="39">
        <v>1.7961999999999999E-4</v>
      </c>
      <c r="N14" s="36">
        <f t="shared" si="1"/>
        <v>31.285339806427682</v>
      </c>
      <c r="O14" s="37">
        <f t="shared" si="2"/>
        <v>2783.6543814719967</v>
      </c>
      <c r="P14" s="37">
        <f t="shared" si="3"/>
        <v>23.972889687006369</v>
      </c>
      <c r="Q14" s="35">
        <v>761.23</v>
      </c>
      <c r="R14" s="36">
        <f t="shared" si="4"/>
        <v>6.5557286629778533</v>
      </c>
      <c r="S14" s="36"/>
      <c r="T14" s="36"/>
      <c r="U14" s="35"/>
      <c r="V14" s="36">
        <f t="shared" si="5"/>
        <v>1416.3698612206213</v>
      </c>
      <c r="W14" s="36">
        <f t="shared" si="6"/>
        <v>472.12328707354038</v>
      </c>
      <c r="X14" s="36">
        <f t="shared" si="7"/>
        <v>4.6285428986240608E-3</v>
      </c>
      <c r="Y14" s="36">
        <f t="shared" ref="Y14:Y16" si="11">1/$F$20/J14^2</f>
        <v>1.0666666666666667</v>
      </c>
      <c r="Z14" s="36">
        <f t="shared" ref="Z14:Z16" si="12">2*$C$22*$C$21/I14^2</f>
        <v>1.0666666666666664</v>
      </c>
      <c r="AA14" s="35">
        <v>0.17610000000000001</v>
      </c>
      <c r="AB14" s="36">
        <f t="shared" si="10"/>
        <v>264.14999999999998</v>
      </c>
      <c r="AC14" s="35"/>
      <c r="AD14">
        <v>75</v>
      </c>
      <c r="AE14">
        <v>252</v>
      </c>
      <c r="AF14">
        <v>7.5</v>
      </c>
    </row>
    <row r="15" spans="2:32" ht="15" customHeight="1" x14ac:dyDescent="0.25">
      <c r="B15" s="35"/>
      <c r="C15" s="35"/>
      <c r="D15" s="35"/>
      <c r="E15" s="35"/>
      <c r="F15" s="35"/>
      <c r="I15" s="3">
        <v>2.5000000000000001E-5</v>
      </c>
      <c r="J15" s="36">
        <f t="shared" si="0"/>
        <v>8.4992989344119266E-2</v>
      </c>
      <c r="L15" s="3">
        <v>2.7925580000000001E-4</v>
      </c>
      <c r="M15" s="39">
        <v>2.6750999999999999E-4</v>
      </c>
      <c r="N15" s="36">
        <f t="shared" si="1"/>
        <v>46.593593428445999</v>
      </c>
      <c r="O15" s="37">
        <f t="shared" ref="O15:O16" si="13">0.5/M15</f>
        <v>1869.0890060184668</v>
      </c>
      <c r="P15" s="37">
        <f t="shared" si="3"/>
        <v>16.096633567268825</v>
      </c>
      <c r="Q15" s="35">
        <v>731.59</v>
      </c>
      <c r="R15" s="36">
        <f t="shared" si="4"/>
        <v>6.3004683637638674</v>
      </c>
      <c r="S15" s="36"/>
      <c r="T15" s="36"/>
      <c r="U15" s="35"/>
      <c r="V15" s="36">
        <f t="shared" si="5"/>
        <v>1147.2595875887032</v>
      </c>
      <c r="W15" s="36">
        <f t="shared" si="6"/>
        <v>382.41986252956769</v>
      </c>
      <c r="X15" s="36">
        <f t="shared" si="7"/>
        <v>5.4917548146240537E-3</v>
      </c>
      <c r="Y15" s="36">
        <f t="shared" si="11"/>
        <v>0.86399999999999999</v>
      </c>
      <c r="Z15" s="36">
        <f t="shared" si="12"/>
        <v>0.86399999999999999</v>
      </c>
      <c r="AA15" s="35">
        <v>0.18679999999999999</v>
      </c>
      <c r="AB15" s="36">
        <f t="shared" si="10"/>
        <v>280.2</v>
      </c>
      <c r="AC15" s="35"/>
      <c r="AD15">
        <v>75</v>
      </c>
      <c r="AE15">
        <v>242</v>
      </c>
      <c r="AF15">
        <v>8.6999999999999993</v>
      </c>
    </row>
    <row r="16" spans="2:32" ht="15" customHeight="1" x14ac:dyDescent="0.25">
      <c r="B16" s="35"/>
      <c r="C16" s="35"/>
      <c r="D16" s="35"/>
      <c r="E16" s="35"/>
      <c r="F16" s="35"/>
      <c r="I16" s="3">
        <v>2.7500000000000001E-5</v>
      </c>
      <c r="J16" s="36">
        <f t="shared" si="0"/>
        <v>9.3492288278531191E-2</v>
      </c>
      <c r="L16" s="3">
        <v>3.065996E-4</v>
      </c>
      <c r="M16" s="39">
        <v>2.8292999999999998E-4</v>
      </c>
      <c r="N16" s="36">
        <f t="shared" si="1"/>
        <v>49.279374186797597</v>
      </c>
      <c r="O16" s="37">
        <f t="shared" si="13"/>
        <v>1767.2215742409785</v>
      </c>
      <c r="P16" s="37">
        <f t="shared" si="3"/>
        <v>15.219349116672264</v>
      </c>
      <c r="Q16" s="35">
        <v>714.06</v>
      </c>
      <c r="R16" s="36">
        <f t="shared" si="4"/>
        <v>6.1494996375418278</v>
      </c>
      <c r="S16" s="36"/>
      <c r="T16" s="36"/>
      <c r="U16" s="35"/>
      <c r="V16" s="36">
        <f t="shared" si="5"/>
        <v>948.14841949479603</v>
      </c>
      <c r="W16" s="36">
        <f t="shared" si="6"/>
        <v>316.04947316493201</v>
      </c>
      <c r="X16" s="36">
        <f t="shared" si="7"/>
        <v>6.485798542825689E-3</v>
      </c>
      <c r="Y16" s="36">
        <f t="shared" si="11"/>
        <v>0.71404958677685948</v>
      </c>
      <c r="Z16" s="36">
        <f t="shared" si="12"/>
        <v>0.71404958677685948</v>
      </c>
      <c r="AA16" s="38">
        <v>0.20250000000000001</v>
      </c>
      <c r="AB16" s="36">
        <f t="shared" si="10"/>
        <v>303.75</v>
      </c>
      <c r="AC16" s="35"/>
      <c r="AD16">
        <v>80</v>
      </c>
      <c r="AE16">
        <v>270</v>
      </c>
      <c r="AF16">
        <v>7.3</v>
      </c>
    </row>
    <row r="17" spans="2:32" ht="15" customHeight="1" x14ac:dyDescent="0.25">
      <c r="I17" s="3">
        <v>3.0000000000000001E-5</v>
      </c>
      <c r="J17" s="28">
        <f t="shared" si="0"/>
        <v>0.10199158721294312</v>
      </c>
      <c r="L17">
        <v>3.2551800000000001E-4</v>
      </c>
      <c r="M17" s="39">
        <v>3.0426999999999999E-4</v>
      </c>
      <c r="N17" s="36">
        <f t="shared" si="1"/>
        <v>52.99627181216875</v>
      </c>
      <c r="O17" s="37">
        <f t="shared" si="2"/>
        <v>1643.27735235153</v>
      </c>
      <c r="P17" s="37">
        <f t="shared" si="3"/>
        <v>14.151938888421743</v>
      </c>
      <c r="Q17" s="26">
        <v>658.86</v>
      </c>
      <c r="R17" s="36">
        <f t="shared" si="4"/>
        <v>5.6741160843497873</v>
      </c>
      <c r="S17" s="36"/>
      <c r="T17" s="36"/>
      <c r="U17" s="26"/>
      <c r="V17" s="36">
        <f t="shared" si="5"/>
        <v>796.70804693659943</v>
      </c>
      <c r="W17" s="36">
        <f t="shared" si="6"/>
        <v>265.56934897886646</v>
      </c>
      <c r="X17" s="36">
        <f t="shared" si="7"/>
        <v>7.1219515180839174E-3</v>
      </c>
      <c r="Y17" s="36">
        <f t="shared" si="8"/>
        <v>0.6</v>
      </c>
      <c r="Z17" s="36">
        <f t="shared" si="9"/>
        <v>0.6</v>
      </c>
      <c r="AA17" s="26">
        <v>0.21279999999999999</v>
      </c>
      <c r="AB17" s="36">
        <f t="shared" si="10"/>
        <v>319.2</v>
      </c>
      <c r="AC17" s="26"/>
      <c r="AD17">
        <v>80</v>
      </c>
      <c r="AE17">
        <v>248</v>
      </c>
      <c r="AF17">
        <v>6.9</v>
      </c>
    </row>
    <row r="18" spans="2:32" ht="15" customHeight="1" x14ac:dyDescent="0.25">
      <c r="I18" s="3">
        <v>3.4999999999999997E-5</v>
      </c>
      <c r="J18" s="36">
        <f t="shared" si="0"/>
        <v>0.11899018508176695</v>
      </c>
      <c r="L18">
        <v>3.7417E-4</v>
      </c>
      <c r="M18" s="39">
        <v>3.5468000000000001E-4</v>
      </c>
      <c r="N18" s="36">
        <f t="shared" si="1"/>
        <v>61.776440945015985</v>
      </c>
      <c r="O18" s="37">
        <f t="shared" si="2"/>
        <v>1409.721439043645</v>
      </c>
      <c r="P18" s="37">
        <f t="shared" si="3"/>
        <v>12.140550483760244</v>
      </c>
      <c r="Q18" s="35">
        <v>583.65</v>
      </c>
      <c r="R18" s="36">
        <f t="shared" si="4"/>
        <v>5.0264059931256311</v>
      </c>
      <c r="S18" s="36"/>
      <c r="T18" s="36"/>
      <c r="U18" s="35"/>
      <c r="V18" s="36">
        <f t="shared" si="5"/>
        <v>585.33652427995071</v>
      </c>
      <c r="W18" s="36">
        <f t="shared" si="6"/>
        <v>195.11217475998356</v>
      </c>
      <c r="X18" s="36">
        <f t="shared" ref="X18" si="14">R18/V18</f>
        <v>8.5872071613997489E-3</v>
      </c>
      <c r="Y18" s="36">
        <f t="shared" ref="Y18" si="15">1/$F$20/J18^2</f>
        <v>0.44081632653061237</v>
      </c>
      <c r="Z18" s="36">
        <f t="shared" ref="Z18" si="16">2*$C$22*$C$21/I18^2</f>
        <v>0.44081632653061231</v>
      </c>
      <c r="AA18" s="35">
        <v>0.22120000000000001</v>
      </c>
      <c r="AB18" s="36">
        <f t="shared" si="10"/>
        <v>331.79999999999995</v>
      </c>
      <c r="AC18" s="35"/>
      <c r="AD18">
        <v>80</v>
      </c>
      <c r="AE18">
        <v>247</v>
      </c>
      <c r="AF18">
        <v>8</v>
      </c>
    </row>
    <row r="19" spans="2:32" ht="15" customHeight="1" x14ac:dyDescent="0.25">
      <c r="I19" s="3">
        <v>4.0000000000000003E-5</v>
      </c>
      <c r="J19" s="28">
        <f t="shared" si="0"/>
        <v>0.13598878295059083</v>
      </c>
      <c r="L19">
        <v>4.1799749999999998E-4</v>
      </c>
      <c r="M19" s="39">
        <v>3.9499000000000001E-4</v>
      </c>
      <c r="N19" s="36">
        <f t="shared" si="1"/>
        <v>68.797441098657558</v>
      </c>
      <c r="O19" s="37">
        <f t="shared" si="2"/>
        <v>1265.8548317678928</v>
      </c>
      <c r="P19" s="37">
        <f t="shared" si="3"/>
        <v>10.901568256361132</v>
      </c>
      <c r="Q19" s="26">
        <v>545.48680000000002</v>
      </c>
      <c r="R19" s="36">
        <f t="shared" si="4"/>
        <v>4.6977437174521075</v>
      </c>
      <c r="S19" s="36"/>
      <c r="T19" s="36"/>
      <c r="U19" s="26"/>
      <c r="V19" s="36">
        <f t="shared" si="5"/>
        <v>448.14827640183717</v>
      </c>
      <c r="W19" s="36">
        <f t="shared" si="6"/>
        <v>149.38275880061238</v>
      </c>
      <c r="X19" s="36">
        <f t="shared" si="7"/>
        <v>1.0482565625756916E-2</v>
      </c>
      <c r="Y19" s="36">
        <f t="shared" si="8"/>
        <v>0.33749999999999997</v>
      </c>
      <c r="Z19" s="36">
        <f t="shared" si="9"/>
        <v>0.33749999999999997</v>
      </c>
      <c r="AA19" s="26">
        <v>0.2286</v>
      </c>
      <c r="AB19" s="36">
        <f t="shared" si="10"/>
        <v>342.9</v>
      </c>
      <c r="AC19" s="26"/>
      <c r="AD19">
        <v>90</v>
      </c>
      <c r="AE19">
        <v>251</v>
      </c>
      <c r="AF19">
        <v>6.6</v>
      </c>
    </row>
    <row r="20" spans="2:32" x14ac:dyDescent="0.25">
      <c r="B20" t="s">
        <v>18</v>
      </c>
      <c r="C20">
        <v>3.4000000000000002E-2</v>
      </c>
      <c r="D20" t="s">
        <v>50</v>
      </c>
      <c r="E20" s="4" t="s">
        <v>13</v>
      </c>
      <c r="F20">
        <f>PI()*C22^3*C20/(C23*C21)</f>
        <v>160.22122533307945</v>
      </c>
      <c r="I20" s="28">
        <v>5.0000000000000002E-5</v>
      </c>
      <c r="J20" s="28">
        <f>I20/$F$22</f>
        <v>0.16998597868823853</v>
      </c>
      <c r="K20" s="26"/>
      <c r="L20" s="26">
        <v>5.2413000000000004E-4</v>
      </c>
      <c r="M20" s="39">
        <v>4.9594000000000005E-4</v>
      </c>
      <c r="N20" s="28">
        <f>M20*$F$21</f>
        <v>86.380422133391306</v>
      </c>
      <c r="O20" s="28">
        <f>0.5/M20</f>
        <v>1008.1864741702624</v>
      </c>
      <c r="P20" s="28">
        <f>O20*$C$22/$F$21*10^10</f>
        <v>8.6825229777394082</v>
      </c>
      <c r="Q20" s="26">
        <v>433.98</v>
      </c>
      <c r="R20" s="28">
        <f>Q20*$C$22/$F$21*10^10</f>
        <v>3.7374448263456896</v>
      </c>
      <c r="S20" s="36">
        <v>574.55999999999995</v>
      </c>
      <c r="T20" s="36">
        <f>S20*$C$22/$F$21*10^10</f>
        <v>4.9481227232249854</v>
      </c>
      <c r="U20" s="26" t="s">
        <v>79</v>
      </c>
      <c r="V20" s="28">
        <f>((1+6*1^3*$F$20)/J20^2)*$C$22/$F$21*10^10</f>
        <v>286.8148968971758</v>
      </c>
      <c r="W20" s="28">
        <f>1/3*V20</f>
        <v>95.604965632391924</v>
      </c>
      <c r="X20" s="28">
        <f>R20/V20</f>
        <v>1.3030860205582619E-2</v>
      </c>
      <c r="Y20" s="28">
        <f>1/$F$20/J20^2</f>
        <v>0.216</v>
      </c>
      <c r="Z20" s="28">
        <f>2*$C$22*$C$21/I20^2</f>
        <v>0.216</v>
      </c>
      <c r="AA20" s="26">
        <v>0.2437</v>
      </c>
      <c r="AB20" s="28">
        <f>AA20*$C$22*10^10</f>
        <v>365.55</v>
      </c>
      <c r="AC20" s="26">
        <v>242</v>
      </c>
      <c r="AD20">
        <v>90</v>
      </c>
      <c r="AE20">
        <v>260</v>
      </c>
      <c r="AF20">
        <v>7.8</v>
      </c>
    </row>
    <row r="21" spans="2:32" x14ac:dyDescent="0.25">
      <c r="B21" t="s">
        <v>51</v>
      </c>
      <c r="C21" s="3">
        <v>1.8E-3</v>
      </c>
      <c r="D21" t="s">
        <v>12</v>
      </c>
      <c r="E21" t="s">
        <v>16</v>
      </c>
      <c r="F21" s="3">
        <f>12*PI()^2*C20*C24*C22^5/C23^2</f>
        <v>174175.14645600537</v>
      </c>
      <c r="G21" t="s">
        <v>17</v>
      </c>
      <c r="I21" s="28">
        <v>6.0000000000000002E-5</v>
      </c>
      <c r="J21" s="28">
        <f t="shared" ref="J21:J46" si="17">I21/$F$22</f>
        <v>0.20398317442588623</v>
      </c>
      <c r="K21" s="26"/>
      <c r="L21" s="36">
        <v>6.3104000000000003E-4</v>
      </c>
      <c r="M21" s="39">
        <v>6.0205000000000002E-4</v>
      </c>
      <c r="N21" s="28">
        <f t="shared" ref="N21:N30" si="18">M21*$F$21</f>
        <v>104.86214692383804</v>
      </c>
      <c r="O21" s="37">
        <f t="shared" ref="O21:O46" si="19">0.5/M21</f>
        <v>830.49580599617968</v>
      </c>
      <c r="P21" s="28">
        <f t="shared" ref="P21:P46" si="20">O21*$C$22/$F$21*10^10</f>
        <v>7.1522472312599996</v>
      </c>
      <c r="Q21" s="26">
        <v>267.64999999999998</v>
      </c>
      <c r="R21" s="28">
        <f t="shared" ref="R21:R46" si="21">Q21*$C$22/$F$21*10^10</f>
        <v>2.3050073915190183</v>
      </c>
      <c r="S21" s="36"/>
      <c r="T21" s="36"/>
      <c r="U21" s="26" t="s">
        <v>87</v>
      </c>
      <c r="V21" s="28">
        <f t="shared" ref="V21:V46" si="22">((1+6*1^3*$F$20)/J21^2)*$C$22/$F$21*10^10</f>
        <v>199.17701173414986</v>
      </c>
      <c r="W21" s="28">
        <f t="shared" ref="W21:W46" si="23">1/3*V21</f>
        <v>66.392337244716614</v>
      </c>
      <c r="X21" s="28">
        <f t="shared" ref="X21:X46" si="24">R21/V21</f>
        <v>1.1572657765322894E-2</v>
      </c>
      <c r="Y21" s="28">
        <f t="shared" ref="Y21:Y46" si="25">1/$F$20/J21^2</f>
        <v>0.15</v>
      </c>
      <c r="Z21" s="28">
        <f t="shared" ref="Z21:Z46" si="26">2*$C$22*$C$21/I21^2</f>
        <v>0.15</v>
      </c>
      <c r="AA21" s="26">
        <v>0.2545</v>
      </c>
      <c r="AB21" s="28">
        <f t="shared" ref="AB21:AB46" si="27">AA21*$C$22*10^10</f>
        <v>381.74999999999994</v>
      </c>
      <c r="AC21" s="26">
        <v>245</v>
      </c>
      <c r="AD21">
        <v>90</v>
      </c>
      <c r="AE21">
        <v>262</v>
      </c>
      <c r="AF21">
        <v>6.8</v>
      </c>
    </row>
    <row r="22" spans="2:32" x14ac:dyDescent="0.25">
      <c r="B22" t="s">
        <v>20</v>
      </c>
      <c r="C22" s="3">
        <v>1.4999999999999999E-7</v>
      </c>
      <c r="D22" t="s">
        <v>12</v>
      </c>
      <c r="E22" t="s">
        <v>19</v>
      </c>
      <c r="F22" s="3">
        <f>C22^2*SQRT(2*PI()*C20/C23)</f>
        <v>2.9414190738462093E-4</v>
      </c>
      <c r="G22" t="s">
        <v>12</v>
      </c>
      <c r="I22" s="28">
        <v>6.4999999999999994E-5</v>
      </c>
      <c r="J22" s="28">
        <f t="shared" si="17"/>
        <v>0.22098177229471005</v>
      </c>
      <c r="K22" s="26"/>
      <c r="L22" s="36">
        <v>6.8749000000000002E-4</v>
      </c>
      <c r="M22" s="39">
        <v>6.5954000000000002E-4</v>
      </c>
      <c r="N22" s="28">
        <f t="shared" si="18"/>
        <v>114.87547609359379</v>
      </c>
      <c r="O22" s="37">
        <f t="shared" si="19"/>
        <v>758.10413318373412</v>
      </c>
      <c r="P22" s="28">
        <f t="shared" si="20"/>
        <v>6.5288086326531873</v>
      </c>
      <c r="Q22" s="26">
        <v>309.95</v>
      </c>
      <c r="R22" s="28">
        <f t="shared" si="21"/>
        <v>2.6692958752150933</v>
      </c>
      <c r="S22" s="36"/>
      <c r="T22" s="36"/>
      <c r="U22" s="26" t="s">
        <v>85</v>
      </c>
      <c r="V22" s="28">
        <f t="shared" si="22"/>
        <v>169.71295674389106</v>
      </c>
      <c r="W22" s="28">
        <f t="shared" si="23"/>
        <v>56.570985581297016</v>
      </c>
      <c r="X22" s="28">
        <f t="shared" si="24"/>
        <v>1.5728297511446051E-2</v>
      </c>
      <c r="Y22" s="28">
        <f t="shared" si="25"/>
        <v>0.12781065088757398</v>
      </c>
      <c r="Z22" s="28">
        <f t="shared" si="26"/>
        <v>0.12781065088757398</v>
      </c>
      <c r="AA22" s="26">
        <v>0.24679999999999999</v>
      </c>
      <c r="AB22" s="28">
        <f t="shared" si="27"/>
        <v>370.2</v>
      </c>
      <c r="AC22" s="26" t="s">
        <v>86</v>
      </c>
      <c r="AD22">
        <v>100</v>
      </c>
      <c r="AE22">
        <v>300</v>
      </c>
      <c r="AF22">
        <v>8</v>
      </c>
    </row>
    <row r="23" spans="2:32" x14ac:dyDescent="0.25">
      <c r="B23" t="s">
        <v>14</v>
      </c>
      <c r="C23" s="3">
        <v>1.2499999999999999E-21</v>
      </c>
      <c r="D23" t="s">
        <v>15</v>
      </c>
      <c r="I23" s="28">
        <v>6.9999999999999994E-5</v>
      </c>
      <c r="J23" s="28">
        <f t="shared" si="17"/>
        <v>0.23798037016353391</v>
      </c>
      <c r="K23" s="26"/>
      <c r="L23" s="36">
        <v>7.3211000000000001E-4</v>
      </c>
      <c r="M23" s="39">
        <v>7.0609999999999998E-4</v>
      </c>
      <c r="N23" s="28">
        <f t="shared" si="18"/>
        <v>122.98507091258539</v>
      </c>
      <c r="O23" s="37">
        <f t="shared" si="19"/>
        <v>708.11499787565504</v>
      </c>
      <c r="P23" s="28">
        <f t="shared" si="20"/>
        <v>6.0983011550489774</v>
      </c>
      <c r="Q23" s="26">
        <v>284.44</v>
      </c>
      <c r="R23" s="28">
        <f t="shared" si="21"/>
        <v>2.4496032222815973</v>
      </c>
      <c r="S23" s="36"/>
      <c r="T23" s="36"/>
      <c r="U23" s="26" t="s">
        <v>89</v>
      </c>
      <c r="V23" s="28">
        <f t="shared" si="22"/>
        <v>146.33413106998768</v>
      </c>
      <c r="W23" s="28">
        <f t="shared" si="23"/>
        <v>48.77804368999589</v>
      </c>
      <c r="X23" s="28">
        <f t="shared" si="24"/>
        <v>1.6739794088844646E-2</v>
      </c>
      <c r="Y23" s="28">
        <f t="shared" si="25"/>
        <v>0.11020408163265309</v>
      </c>
      <c r="Z23" s="28">
        <f t="shared" si="26"/>
        <v>0.11020408163265308</v>
      </c>
      <c r="AA23" s="26">
        <v>0.246</v>
      </c>
      <c r="AB23" s="28">
        <f t="shared" si="27"/>
        <v>369</v>
      </c>
      <c r="AC23" s="26" t="s">
        <v>88</v>
      </c>
      <c r="AD23">
        <v>100</v>
      </c>
      <c r="AE23">
        <v>262</v>
      </c>
      <c r="AF23">
        <v>5.9</v>
      </c>
    </row>
    <row r="24" spans="2:32" x14ac:dyDescent="0.25">
      <c r="B24" t="s">
        <v>21</v>
      </c>
      <c r="C24">
        <v>8.8999999999999995E-4</v>
      </c>
      <c r="D24" t="s">
        <v>22</v>
      </c>
      <c r="I24" s="28">
        <v>7.4999999999999993E-5</v>
      </c>
      <c r="J24" s="28">
        <f t="shared" si="17"/>
        <v>0.25497896803235776</v>
      </c>
      <c r="K24" s="26"/>
      <c r="L24" s="36">
        <v>7.6805000000000005E-4</v>
      </c>
      <c r="M24" s="39">
        <v>7.427E-4</v>
      </c>
      <c r="N24" s="28">
        <f t="shared" si="18"/>
        <v>129.35988127287519</v>
      </c>
      <c r="O24" s="37">
        <f t="shared" si="19"/>
        <v>673.21933485929719</v>
      </c>
      <c r="P24" s="28">
        <f t="shared" si="20"/>
        <v>5.7977789761412204</v>
      </c>
      <c r="Q24" s="26">
        <v>259.29000000000002</v>
      </c>
      <c r="R24" s="28">
        <f t="shared" si="21"/>
        <v>2.2330108968689197</v>
      </c>
      <c r="S24" s="36"/>
      <c r="T24" s="36"/>
      <c r="U24" s="26" t="s">
        <v>90</v>
      </c>
      <c r="V24" s="28">
        <f t="shared" si="22"/>
        <v>127.47328750985595</v>
      </c>
      <c r="W24" s="28">
        <f t="shared" si="23"/>
        <v>42.491095836618648</v>
      </c>
      <c r="X24" s="28">
        <f t="shared" si="24"/>
        <v>1.7517481038498112E-2</v>
      </c>
      <c r="Y24" s="28">
        <f t="shared" si="25"/>
        <v>9.6000000000000044E-2</v>
      </c>
      <c r="Z24" s="28">
        <f t="shared" si="26"/>
        <v>9.6000000000000016E-2</v>
      </c>
      <c r="AA24" s="26">
        <v>0.24990000000000001</v>
      </c>
      <c r="AB24" s="28">
        <f t="shared" si="27"/>
        <v>374.85</v>
      </c>
      <c r="AC24" s="26" t="s">
        <v>91</v>
      </c>
      <c r="AD24">
        <v>100</v>
      </c>
      <c r="AE24">
        <v>255</v>
      </c>
      <c r="AF24">
        <v>7.4</v>
      </c>
    </row>
    <row r="25" spans="2:32" x14ac:dyDescent="0.25">
      <c r="I25" s="28">
        <v>8.0000000000000007E-5</v>
      </c>
      <c r="J25" s="28">
        <f t="shared" si="17"/>
        <v>0.27197756590118166</v>
      </c>
      <c r="K25" s="26"/>
      <c r="L25" s="36">
        <v>7.894E-4</v>
      </c>
      <c r="M25" s="39">
        <v>7.6477000000000001E-4</v>
      </c>
      <c r="N25" s="28">
        <f t="shared" si="18"/>
        <v>133.20392675515922</v>
      </c>
      <c r="O25" s="37">
        <f t="shared" si="19"/>
        <v>653.79133595721589</v>
      </c>
      <c r="P25" s="28">
        <f t="shared" si="20"/>
        <v>5.6304646437230579</v>
      </c>
      <c r="Q25" s="26">
        <v>238.82</v>
      </c>
      <c r="R25" s="28">
        <f t="shared" si="21"/>
        <v>2.0567228292268709</v>
      </c>
      <c r="S25" s="36"/>
      <c r="T25" s="36"/>
      <c r="U25" s="35" t="s">
        <v>93</v>
      </c>
      <c r="V25" s="28">
        <f t="shared" si="22"/>
        <v>112.03706910045929</v>
      </c>
      <c r="W25" s="28">
        <f t="shared" si="23"/>
        <v>37.345689700153095</v>
      </c>
      <c r="X25" s="28">
        <f t="shared" si="24"/>
        <v>1.8357520825385814E-2</v>
      </c>
      <c r="Y25" s="28">
        <f t="shared" si="25"/>
        <v>8.4374999999999992E-2</v>
      </c>
      <c r="Z25" s="28">
        <f t="shared" si="26"/>
        <v>8.4374999999999992E-2</v>
      </c>
      <c r="AA25" s="26">
        <v>0.251</v>
      </c>
      <c r="AB25" s="28">
        <f t="shared" si="27"/>
        <v>376.49999999999994</v>
      </c>
      <c r="AC25" s="26" t="s">
        <v>94</v>
      </c>
      <c r="AD25">
        <v>100</v>
      </c>
      <c r="AE25">
        <v>260</v>
      </c>
      <c r="AF25">
        <v>9</v>
      </c>
    </row>
    <row r="26" spans="2:32" s="40" customFormat="1" x14ac:dyDescent="0.25">
      <c r="G26" s="40" t="s">
        <v>104</v>
      </c>
      <c r="I26" s="41">
        <v>8.0000000000000007E-5</v>
      </c>
      <c r="J26" s="41">
        <f t="shared" si="17"/>
        <v>0.27197756590118166</v>
      </c>
      <c r="K26" s="42"/>
      <c r="L26" s="41">
        <v>9.2851000000000001E-4</v>
      </c>
      <c r="M26" s="39">
        <v>8.2779000000000001E-4</v>
      </c>
      <c r="N26" s="41">
        <f t="shared" si="18"/>
        <v>144.18044448481669</v>
      </c>
      <c r="O26" s="41">
        <f>0.4/M26</f>
        <v>483.21434180166472</v>
      </c>
      <c r="P26" s="41">
        <f t="shared" si="20"/>
        <v>4.1614520065041463</v>
      </c>
      <c r="Q26" s="42">
        <v>231.78</v>
      </c>
      <c r="R26" s="41">
        <f t="shared" si="21"/>
        <v>1.9960942021531036</v>
      </c>
      <c r="S26" s="41"/>
      <c r="T26" s="41"/>
      <c r="U26" s="42"/>
      <c r="V26" s="41">
        <f t="shared" si="22"/>
        <v>112.03706910045929</v>
      </c>
      <c r="W26" s="41">
        <f t="shared" si="23"/>
        <v>37.345689700153095</v>
      </c>
      <c r="X26" s="41">
        <f t="shared" si="24"/>
        <v>1.7816372903893832E-2</v>
      </c>
      <c r="Y26" s="41">
        <f t="shared" si="25"/>
        <v>8.4374999999999992E-2</v>
      </c>
      <c r="Z26" s="41">
        <f t="shared" si="26"/>
        <v>8.4374999999999992E-2</v>
      </c>
      <c r="AA26" s="42">
        <v>0.25130000000000002</v>
      </c>
      <c r="AB26" s="41">
        <f t="shared" si="27"/>
        <v>376.95</v>
      </c>
      <c r="AC26" s="42"/>
      <c r="AD26">
        <v>100</v>
      </c>
      <c r="AE26" s="17">
        <v>303</v>
      </c>
      <c r="AF26" s="17">
        <v>8.1</v>
      </c>
    </row>
    <row r="27" spans="2:32" s="40" customFormat="1" x14ac:dyDescent="0.25">
      <c r="G27" s="40" t="s">
        <v>100</v>
      </c>
      <c r="I27" s="41">
        <v>8.0000000000000007E-5</v>
      </c>
      <c r="J27" s="41">
        <f t="shared" si="17"/>
        <v>0.27197756590118166</v>
      </c>
      <c r="K27" s="42"/>
      <c r="L27" s="41">
        <v>9.5023000000000004E-4</v>
      </c>
      <c r="M27" s="39">
        <v>8.0590000000000002E-4</v>
      </c>
      <c r="N27" s="41">
        <f t="shared" si="18"/>
        <v>140.36775052889473</v>
      </c>
      <c r="O27" s="41">
        <f>0.375/M27</f>
        <v>465.31827770194815</v>
      </c>
      <c r="P27" s="41">
        <f t="shared" si="20"/>
        <v>4.0073307286078448</v>
      </c>
      <c r="Q27" s="42">
        <v>231.59</v>
      </c>
      <c r="R27" s="41">
        <f t="shared" si="21"/>
        <v>1.9944579181837829</v>
      </c>
      <c r="S27" s="41"/>
      <c r="T27" s="41"/>
      <c r="U27" s="42"/>
      <c r="V27" s="41">
        <f t="shared" si="22"/>
        <v>112.03706910045929</v>
      </c>
      <c r="W27" s="41">
        <f t="shared" si="23"/>
        <v>37.345689700153095</v>
      </c>
      <c r="X27" s="41">
        <f t="shared" si="24"/>
        <v>1.7801768059421744E-2</v>
      </c>
      <c r="Y27" s="41">
        <f t="shared" si="25"/>
        <v>8.4374999999999992E-2</v>
      </c>
      <c r="Z27" s="41">
        <f t="shared" si="26"/>
        <v>8.4374999999999992E-2</v>
      </c>
      <c r="AA27" s="42">
        <v>0.25130000000000002</v>
      </c>
      <c r="AB27" s="41">
        <f t="shared" si="27"/>
        <v>376.95</v>
      </c>
      <c r="AC27" s="42"/>
      <c r="AD27">
        <v>100</v>
      </c>
      <c r="AE27" s="17">
        <v>220</v>
      </c>
      <c r="AF27" s="17">
        <v>9.1</v>
      </c>
    </row>
    <row r="28" spans="2:32" s="40" customFormat="1" x14ac:dyDescent="0.25">
      <c r="G28" s="40" t="s">
        <v>102</v>
      </c>
      <c r="I28" s="41">
        <v>8.0000000000000007E-5</v>
      </c>
      <c r="J28" s="41">
        <f t="shared" si="17"/>
        <v>0.27197756590118166</v>
      </c>
      <c r="K28" s="42"/>
      <c r="L28" s="41">
        <v>9.8065000000000001E-4</v>
      </c>
      <c r="M28" s="39">
        <v>7.3864000000000004E-4</v>
      </c>
      <c r="N28" s="41">
        <f t="shared" si="18"/>
        <v>128.65273017826382</v>
      </c>
      <c r="O28" s="41">
        <f>(1/3)/M28</f>
        <v>451.27982959673631</v>
      </c>
      <c r="P28" s="41">
        <f t="shared" si="20"/>
        <v>3.8864313202462935</v>
      </c>
      <c r="Q28" s="42">
        <v>231.47</v>
      </c>
      <c r="R28" s="41">
        <f t="shared" si="21"/>
        <v>1.993424475676844</v>
      </c>
      <c r="S28" s="41"/>
      <c r="T28" s="41"/>
      <c r="U28" s="42"/>
      <c r="V28" s="41">
        <f t="shared" si="22"/>
        <v>112.03706910045929</v>
      </c>
      <c r="W28" s="41">
        <f t="shared" si="23"/>
        <v>37.345689700153095</v>
      </c>
      <c r="X28" s="41">
        <f t="shared" si="24"/>
        <v>1.7792543947123585E-2</v>
      </c>
      <c r="Y28" s="41">
        <f t="shared" si="25"/>
        <v>8.4374999999999992E-2</v>
      </c>
      <c r="Z28" s="41">
        <f t="shared" si="26"/>
        <v>8.4374999999999992E-2</v>
      </c>
      <c r="AA28" s="42">
        <v>0.25130000000000002</v>
      </c>
      <c r="AB28" s="41">
        <f t="shared" si="27"/>
        <v>376.95</v>
      </c>
      <c r="AC28" s="42"/>
      <c r="AD28">
        <v>100</v>
      </c>
      <c r="AE28" s="17">
        <v>282</v>
      </c>
      <c r="AF28" s="17">
        <v>8.8000000000000007</v>
      </c>
    </row>
    <row r="29" spans="2:32" s="40" customFormat="1" x14ac:dyDescent="0.25">
      <c r="G29" s="40" t="s">
        <v>103</v>
      </c>
      <c r="I29" s="41">
        <v>8.0000000000000007E-5</v>
      </c>
      <c r="J29" s="41">
        <f t="shared" si="17"/>
        <v>0.27197756590118166</v>
      </c>
      <c r="K29" s="42"/>
      <c r="L29" s="41">
        <v>1.0182399999999999E-3</v>
      </c>
      <c r="M29" s="39">
        <v>5.0199999999999995E-4</v>
      </c>
      <c r="N29" s="41">
        <f t="shared" si="18"/>
        <v>87.435923520914685</v>
      </c>
      <c r="O29" s="41">
        <f>0.25/M29</f>
        <v>498.00796812749007</v>
      </c>
      <c r="P29" s="41">
        <f t="shared" si="20"/>
        <v>4.2888550254781705</v>
      </c>
      <c r="Q29" s="42">
        <v>231.44</v>
      </c>
      <c r="R29" s="41">
        <f t="shared" si="21"/>
        <v>1.9931661150501088</v>
      </c>
      <c r="S29" s="41"/>
      <c r="T29" s="41"/>
      <c r="U29" s="42"/>
      <c r="V29" s="41">
        <f t="shared" si="22"/>
        <v>112.03706910045929</v>
      </c>
      <c r="W29" s="41">
        <f t="shared" si="23"/>
        <v>37.345689700153095</v>
      </c>
      <c r="X29" s="41">
        <f t="shared" si="24"/>
        <v>1.7790237919049042E-2</v>
      </c>
      <c r="Y29" s="41">
        <f t="shared" si="25"/>
        <v>8.4374999999999992E-2</v>
      </c>
      <c r="Z29" s="41">
        <f t="shared" si="26"/>
        <v>8.4374999999999992E-2</v>
      </c>
      <c r="AA29" s="42">
        <v>0.25130000000000002</v>
      </c>
      <c r="AB29" s="41">
        <f t="shared" si="27"/>
        <v>376.95</v>
      </c>
      <c r="AC29" s="42"/>
      <c r="AD29">
        <v>100</v>
      </c>
      <c r="AE29" s="17">
        <v>260</v>
      </c>
      <c r="AF29" s="17">
        <v>9</v>
      </c>
    </row>
    <row r="30" spans="2:32" x14ac:dyDescent="0.25">
      <c r="I30" s="28">
        <v>9.0000000000000006E-5</v>
      </c>
      <c r="J30" s="28">
        <f t="shared" si="17"/>
        <v>0.30597476163882936</v>
      </c>
      <c r="K30" s="26"/>
      <c r="L30" s="36">
        <v>7.6292999999999999E-4</v>
      </c>
      <c r="M30" s="39">
        <v>7.3853000000000005E-4</v>
      </c>
      <c r="N30" s="28">
        <f t="shared" si="18"/>
        <v>128.63357091215366</v>
      </c>
      <c r="O30" s="37">
        <f t="shared" si="19"/>
        <v>677.02056788485231</v>
      </c>
      <c r="P30" s="28">
        <f t="shared" si="20"/>
        <v>5.8305152743694677</v>
      </c>
      <c r="Q30" s="26">
        <v>222.65</v>
      </c>
      <c r="R30" s="28">
        <f t="shared" si="21"/>
        <v>1.9174664514168114</v>
      </c>
      <c r="S30" s="36"/>
      <c r="T30" s="36"/>
      <c r="U30" s="26" t="s">
        <v>92</v>
      </c>
      <c r="V30" s="28">
        <f t="shared" si="22"/>
        <v>88.523116326288829</v>
      </c>
      <c r="W30" s="28">
        <f t="shared" si="23"/>
        <v>29.507705442096274</v>
      </c>
      <c r="X30" s="28">
        <f t="shared" si="24"/>
        <v>2.1660629799217526E-2</v>
      </c>
      <c r="Y30" s="28">
        <f t="shared" si="25"/>
        <v>6.6666666666666666E-2</v>
      </c>
      <c r="Z30" s="28">
        <f t="shared" si="26"/>
        <v>6.6666666666666652E-2</v>
      </c>
      <c r="AA30" s="26">
        <v>0.25409999999999999</v>
      </c>
      <c r="AB30" s="28">
        <f t="shared" si="27"/>
        <v>381.14999999999992</v>
      </c>
      <c r="AC30" s="26" t="s">
        <v>95</v>
      </c>
      <c r="AD30">
        <v>100</v>
      </c>
      <c r="AE30" s="17">
        <v>282</v>
      </c>
      <c r="AF30" s="17">
        <v>7.9</v>
      </c>
    </row>
    <row r="31" spans="2:32" ht="45" x14ac:dyDescent="0.25">
      <c r="I31" s="28">
        <v>1E-4</v>
      </c>
      <c r="J31" s="28">
        <f t="shared" si="17"/>
        <v>0.33997195737647706</v>
      </c>
      <c r="K31" s="26"/>
      <c r="L31" s="36">
        <v>6.4983E-4</v>
      </c>
      <c r="M31" s="39">
        <v>6.2520000000000002E-4</v>
      </c>
      <c r="N31" s="28">
        <f>M31*$F$21</f>
        <v>108.89430156429457</v>
      </c>
      <c r="O31" s="28">
        <f t="shared" si="19"/>
        <v>799.74408189379392</v>
      </c>
      <c r="P31" s="28">
        <f t="shared" si="20"/>
        <v>6.8874127408510599</v>
      </c>
      <c r="Q31" s="26">
        <v>265.26</v>
      </c>
      <c r="R31" s="28">
        <f t="shared" si="21"/>
        <v>2.2844246615891457</v>
      </c>
      <c r="S31" s="36">
        <v>265.67</v>
      </c>
      <c r="T31" s="36">
        <f>S31*$C$22/$F$21*10^10</f>
        <v>2.2879555901545214</v>
      </c>
      <c r="U31" s="26" t="s">
        <v>75</v>
      </c>
      <c r="V31" s="28">
        <f t="shared" si="22"/>
        <v>71.70372422429395</v>
      </c>
      <c r="W31" s="28">
        <f t="shared" si="23"/>
        <v>23.901241408097981</v>
      </c>
      <c r="X31" s="28">
        <f t="shared" si="24"/>
        <v>3.185921911731273E-2</v>
      </c>
      <c r="Y31" s="28">
        <f t="shared" si="25"/>
        <v>5.3999999999999999E-2</v>
      </c>
      <c r="Z31" s="28">
        <f t="shared" si="26"/>
        <v>5.3999999999999999E-2</v>
      </c>
      <c r="AA31" s="26">
        <v>0.25319999999999998</v>
      </c>
      <c r="AB31" s="28">
        <f t="shared" si="27"/>
        <v>379.79999999999995</v>
      </c>
      <c r="AC31" s="26" t="s">
        <v>76</v>
      </c>
      <c r="AD31">
        <v>100</v>
      </c>
      <c r="AE31" s="17">
        <v>260</v>
      </c>
      <c r="AF31" s="17">
        <v>8.1</v>
      </c>
    </row>
    <row r="32" spans="2:32" x14ac:dyDescent="0.25">
      <c r="I32" s="28">
        <v>1.15E-4</v>
      </c>
      <c r="J32" s="28">
        <f t="shared" si="17"/>
        <v>0.39096775098294861</v>
      </c>
      <c r="K32" s="26"/>
      <c r="L32" s="36">
        <v>5.1709E-4</v>
      </c>
      <c r="M32" s="39">
        <v>4.9105000000000004E-4</v>
      </c>
      <c r="N32" s="28">
        <f t="shared" ref="N32:N46" si="28">M32*$F$21</f>
        <v>85.528705667221445</v>
      </c>
      <c r="O32" s="37">
        <f t="shared" si="19"/>
        <v>1018.2262498727216</v>
      </c>
      <c r="P32" s="28">
        <f t="shared" si="20"/>
        <v>8.7689857358315493</v>
      </c>
      <c r="Q32" s="26">
        <v>412</v>
      </c>
      <c r="R32" s="28">
        <f t="shared" si="21"/>
        <v>3.5481526071579887</v>
      </c>
      <c r="S32" s="36"/>
      <c r="T32" s="36"/>
      <c r="U32" s="26" t="s">
        <v>96</v>
      </c>
      <c r="V32" s="28">
        <f t="shared" si="22"/>
        <v>54.21831699379505</v>
      </c>
      <c r="W32" s="28">
        <f t="shared" si="23"/>
        <v>18.072772331265014</v>
      </c>
      <c r="X32" s="28">
        <f t="shared" si="24"/>
        <v>6.5441954009086131E-2</v>
      </c>
      <c r="Y32" s="28">
        <f t="shared" si="25"/>
        <v>4.0831758034026465E-2</v>
      </c>
      <c r="Z32" s="28">
        <f t="shared" si="26"/>
        <v>4.0831758034026465E-2</v>
      </c>
      <c r="AA32" s="26">
        <v>0.25679999999999997</v>
      </c>
      <c r="AB32" s="28">
        <f t="shared" si="27"/>
        <v>385.2</v>
      </c>
      <c r="AC32" s="26">
        <v>274</v>
      </c>
      <c r="AD32">
        <v>115</v>
      </c>
      <c r="AE32" s="17">
        <v>274</v>
      </c>
      <c r="AF32" s="17">
        <v>8.6</v>
      </c>
    </row>
    <row r="33" spans="7:32" x14ac:dyDescent="0.25">
      <c r="I33" s="28">
        <v>1.4999999999999999E-4</v>
      </c>
      <c r="J33" s="28">
        <f t="shared" si="17"/>
        <v>0.50995793606471551</v>
      </c>
      <c r="K33" s="26"/>
      <c r="L33" s="36">
        <v>4.8644999999999998E-4</v>
      </c>
      <c r="M33" s="39">
        <v>4.6145000000000002E-4</v>
      </c>
      <c r="N33" s="28">
        <f t="shared" si="28"/>
        <v>80.373121332123688</v>
      </c>
      <c r="O33" s="37">
        <f t="shared" si="19"/>
        <v>1083.5410120273052</v>
      </c>
      <c r="P33" s="28">
        <f t="shared" si="20"/>
        <v>9.3314778320079821</v>
      </c>
      <c r="Q33" s="26">
        <v>488.94</v>
      </c>
      <c r="R33" s="28">
        <f t="shared" si="21"/>
        <v>4.2107614945238518</v>
      </c>
      <c r="S33" s="36"/>
      <c r="T33" s="36"/>
      <c r="U33" s="26" t="s">
        <v>97</v>
      </c>
      <c r="V33" s="28">
        <f t="shared" si="22"/>
        <v>31.868321877463988</v>
      </c>
      <c r="W33" s="28">
        <f t="shared" si="23"/>
        <v>10.622773959154662</v>
      </c>
      <c r="X33" s="28">
        <f t="shared" si="24"/>
        <v>0.13213000391782584</v>
      </c>
      <c r="Y33" s="28">
        <f t="shared" si="25"/>
        <v>2.4000000000000011E-2</v>
      </c>
      <c r="Z33" s="28">
        <f t="shared" si="26"/>
        <v>2.4000000000000004E-2</v>
      </c>
      <c r="AA33" s="26">
        <v>0.25280000000000002</v>
      </c>
      <c r="AB33" s="28">
        <f t="shared" si="27"/>
        <v>379.20000000000005</v>
      </c>
      <c r="AC33" s="26">
        <v>258</v>
      </c>
      <c r="AD33">
        <v>150</v>
      </c>
      <c r="AE33" s="17">
        <v>258</v>
      </c>
      <c r="AF33" s="17">
        <v>6.4</v>
      </c>
    </row>
    <row r="34" spans="7:32" ht="45" x14ac:dyDescent="0.25">
      <c r="I34" s="28">
        <v>2.0000000000000001E-4</v>
      </c>
      <c r="J34" s="28">
        <f t="shared" si="17"/>
        <v>0.67994391475295413</v>
      </c>
      <c r="K34" s="26"/>
      <c r="L34" s="36">
        <v>5.0274E-4</v>
      </c>
      <c r="M34" s="39">
        <v>4.7721999999999999E-4</v>
      </c>
      <c r="N34" s="28">
        <f t="shared" si="28"/>
        <v>83.119863391734881</v>
      </c>
      <c r="O34" s="28">
        <f t="shared" si="19"/>
        <v>1047.7347973680903</v>
      </c>
      <c r="P34" s="28">
        <f t="shared" si="20"/>
        <v>9.0231139633294575</v>
      </c>
      <c r="Q34" s="26">
        <v>458.95</v>
      </c>
      <c r="R34" s="28">
        <f t="shared" si="21"/>
        <v>3.9524869879979585</v>
      </c>
      <c r="S34" s="36"/>
      <c r="T34" s="36"/>
      <c r="U34" s="26" t="s">
        <v>78</v>
      </c>
      <c r="V34" s="28">
        <f t="shared" si="22"/>
        <v>17.925931056073487</v>
      </c>
      <c r="W34" s="28">
        <f t="shared" si="23"/>
        <v>5.9753103520244952</v>
      </c>
      <c r="X34" s="28">
        <f t="shared" si="24"/>
        <v>0.22048991350208366</v>
      </c>
      <c r="Y34" s="28">
        <f t="shared" si="25"/>
        <v>1.35E-2</v>
      </c>
      <c r="Z34" s="28">
        <f t="shared" si="26"/>
        <v>1.35E-2</v>
      </c>
      <c r="AA34" s="26">
        <v>0.25080000000000002</v>
      </c>
      <c r="AB34" s="28">
        <f t="shared" si="27"/>
        <v>376.20000000000005</v>
      </c>
      <c r="AC34" s="26" t="s">
        <v>80</v>
      </c>
      <c r="AD34">
        <v>200</v>
      </c>
      <c r="AE34" s="17">
        <v>290</v>
      </c>
      <c r="AF34" s="17">
        <v>5.4</v>
      </c>
    </row>
    <row r="35" spans="7:32" s="40" customFormat="1" x14ac:dyDescent="0.25">
      <c r="G35" s="40" t="s">
        <v>101</v>
      </c>
      <c r="I35" s="41">
        <v>2.0000000000000001E-4</v>
      </c>
      <c r="J35" s="41">
        <f t="shared" si="17"/>
        <v>0.67994391475295413</v>
      </c>
      <c r="K35" s="42"/>
      <c r="L35" s="41">
        <v>5.9301000000000004E-4</v>
      </c>
      <c r="M35" s="39">
        <v>5.1093999999999998E-4</v>
      </c>
      <c r="N35" s="41">
        <f t="shared" si="28"/>
        <v>88.993049330231386</v>
      </c>
      <c r="O35" s="41">
        <f>0.4/M35</f>
        <v>782.87078717657653</v>
      </c>
      <c r="P35" s="41">
        <f t="shared" si="20"/>
        <v>6.7420995742436816</v>
      </c>
      <c r="Q35" s="42">
        <v>413.25</v>
      </c>
      <c r="R35" s="41">
        <f t="shared" si="21"/>
        <v>3.558917633271939</v>
      </c>
      <c r="S35" s="41"/>
      <c r="T35" s="41"/>
      <c r="U35" s="42"/>
      <c r="V35" s="41">
        <f t="shared" si="22"/>
        <v>17.925931056073487</v>
      </c>
      <c r="W35" s="41">
        <f t="shared" si="23"/>
        <v>5.9753103520244952</v>
      </c>
      <c r="X35" s="41">
        <f t="shared" si="24"/>
        <v>0.19853460454240349</v>
      </c>
      <c r="Y35" s="41">
        <f t="shared" si="25"/>
        <v>1.35E-2</v>
      </c>
      <c r="Z35" s="41">
        <f t="shared" si="26"/>
        <v>1.35E-2</v>
      </c>
      <c r="AA35" s="42">
        <v>0.2555</v>
      </c>
      <c r="AB35" s="41">
        <f t="shared" si="27"/>
        <v>383.25</v>
      </c>
      <c r="AC35" s="42"/>
      <c r="AD35">
        <v>200</v>
      </c>
      <c r="AE35" s="17">
        <v>288</v>
      </c>
      <c r="AF35" s="17">
        <v>5.2</v>
      </c>
    </row>
    <row r="36" spans="7:32" s="40" customFormat="1" x14ac:dyDescent="0.25">
      <c r="G36" s="40" t="s">
        <v>100</v>
      </c>
      <c r="I36" s="41">
        <v>2.0000000000000001E-4</v>
      </c>
      <c r="J36" s="41">
        <f t="shared" si="17"/>
        <v>0.67994391475295413</v>
      </c>
      <c r="K36" s="42"/>
      <c r="L36" s="41">
        <v>6.1596000000000003E-4</v>
      </c>
      <c r="M36" s="39">
        <v>5.0602000000000004E-4</v>
      </c>
      <c r="N36" s="41">
        <f t="shared" si="28"/>
        <v>88.136107609667846</v>
      </c>
      <c r="O36" s="41">
        <f>37.5/M36</f>
        <v>74107.74277696533</v>
      </c>
      <c r="P36" s="41">
        <f t="shared" si="20"/>
        <v>638.21742899194953</v>
      </c>
      <c r="Q36" s="42">
        <v>405.0061</v>
      </c>
      <c r="R36" s="41">
        <f t="shared" si="21"/>
        <v>3.4879209942473035</v>
      </c>
      <c r="S36" s="41"/>
      <c r="T36" s="41"/>
      <c r="U36" s="42"/>
      <c r="V36" s="41">
        <f t="shared" si="22"/>
        <v>17.925931056073487</v>
      </c>
      <c r="W36" s="41">
        <f t="shared" si="23"/>
        <v>5.9753103520244952</v>
      </c>
      <c r="X36" s="41">
        <f t="shared" si="24"/>
        <v>0.19457404936663306</v>
      </c>
      <c r="Y36" s="41">
        <f t="shared" si="25"/>
        <v>1.35E-2</v>
      </c>
      <c r="Z36" s="41">
        <f t="shared" si="26"/>
        <v>1.35E-2</v>
      </c>
      <c r="AA36" s="42">
        <v>0.25700000000000001</v>
      </c>
      <c r="AB36" s="41">
        <f t="shared" si="27"/>
        <v>385.5</v>
      </c>
      <c r="AC36" s="42"/>
      <c r="AD36">
        <v>200</v>
      </c>
      <c r="AE36" s="17">
        <v>342</v>
      </c>
      <c r="AF36" s="17">
        <v>6.4</v>
      </c>
    </row>
    <row r="37" spans="7:32" s="40" customFormat="1" x14ac:dyDescent="0.25">
      <c r="G37" s="40" t="s">
        <v>102</v>
      </c>
      <c r="I37" s="41">
        <v>2.0000000000000001E-4</v>
      </c>
      <c r="J37" s="41">
        <f t="shared" si="17"/>
        <v>0.67994391475295413</v>
      </c>
      <c r="K37" s="42"/>
      <c r="L37" s="41">
        <v>6.6680000000000005E-4</v>
      </c>
      <c r="M37" s="39">
        <v>5.0133999999999997E-4</v>
      </c>
      <c r="N37" s="41">
        <f t="shared" si="28"/>
        <v>87.320967924253722</v>
      </c>
      <c r="O37" s="41">
        <f>(1/3)/M37</f>
        <v>664.88477546841136</v>
      </c>
      <c r="P37" s="41">
        <f t="shared" si="20"/>
        <v>5.7260015765482963</v>
      </c>
      <c r="Q37" s="42">
        <v>374</v>
      </c>
      <c r="R37" s="41">
        <f t="shared" si="21"/>
        <v>3.2208958132939021</v>
      </c>
      <c r="S37" s="41"/>
      <c r="T37" s="41"/>
      <c r="U37" s="42"/>
      <c r="V37" s="41">
        <f t="shared" si="22"/>
        <v>17.925931056073487</v>
      </c>
      <c r="W37" s="41">
        <f t="shared" si="23"/>
        <v>5.9753103520244952</v>
      </c>
      <c r="X37" s="41">
        <f t="shared" si="24"/>
        <v>0.179678020807886</v>
      </c>
      <c r="Y37" s="41">
        <f t="shared" si="25"/>
        <v>1.35E-2</v>
      </c>
      <c r="Z37" s="41">
        <f t="shared" si="26"/>
        <v>1.35E-2</v>
      </c>
      <c r="AA37" s="42">
        <v>0.26150000000000001</v>
      </c>
      <c r="AB37" s="41">
        <f t="shared" si="27"/>
        <v>392.25</v>
      </c>
      <c r="AC37" s="42"/>
      <c r="AD37">
        <v>200</v>
      </c>
      <c r="AE37" s="17">
        <v>302</v>
      </c>
      <c r="AF37" s="17">
        <v>6.6</v>
      </c>
    </row>
    <row r="38" spans="7:32" s="40" customFormat="1" x14ac:dyDescent="0.25">
      <c r="G38" s="40" t="s">
        <v>103</v>
      </c>
      <c r="I38" s="41">
        <v>2.0000000000000001E-4</v>
      </c>
      <c r="J38" s="41">
        <f t="shared" si="17"/>
        <v>0.67994391475295413</v>
      </c>
      <c r="K38" s="42"/>
      <c r="L38" s="41">
        <v>1.5225099999999999E-3</v>
      </c>
      <c r="M38" s="39">
        <v>9.8780000000000005E-4</v>
      </c>
      <c r="N38" s="41">
        <f t="shared" si="28"/>
        <v>172.05020966924212</v>
      </c>
      <c r="O38" s="41">
        <f>0.25/M38</f>
        <v>253.08766956873859</v>
      </c>
      <c r="P38" s="41">
        <f t="shared" si="20"/>
        <v>2.1795962976210181</v>
      </c>
      <c r="Q38" s="42">
        <v>80.489999999999995</v>
      </c>
      <c r="R38" s="41">
        <f t="shared" si="21"/>
        <v>0.69318156152948185</v>
      </c>
      <c r="S38" s="41"/>
      <c r="T38" s="41"/>
      <c r="U38" s="42"/>
      <c r="V38" s="41">
        <f t="shared" si="22"/>
        <v>17.925931056073487</v>
      </c>
      <c r="W38" s="41">
        <f t="shared" si="23"/>
        <v>5.9753103520244952</v>
      </c>
      <c r="X38" s="41">
        <f t="shared" si="24"/>
        <v>3.8669208274937826E-2</v>
      </c>
      <c r="Y38" s="41">
        <f t="shared" si="25"/>
        <v>1.35E-2</v>
      </c>
      <c r="Z38" s="41">
        <f t="shared" si="26"/>
        <v>1.35E-2</v>
      </c>
      <c r="AA38" s="42">
        <v>0.26750000000000002</v>
      </c>
      <c r="AB38" s="41">
        <f t="shared" si="27"/>
        <v>401.25000000000006</v>
      </c>
      <c r="AC38" s="42"/>
      <c r="AD38">
        <v>200</v>
      </c>
      <c r="AE38" s="17">
        <v>292</v>
      </c>
      <c r="AF38" s="17">
        <v>4.7</v>
      </c>
    </row>
    <row r="39" spans="7:32" x14ac:dyDescent="0.25">
      <c r="I39" s="28">
        <v>2.9999999999999997E-4</v>
      </c>
      <c r="J39" s="28">
        <f t="shared" si="17"/>
        <v>1.019915872129431</v>
      </c>
      <c r="K39" s="26"/>
      <c r="L39" s="26">
        <v>5.0000000000000001E-4</v>
      </c>
      <c r="M39" s="39">
        <v>4.7449999999999999E-4</v>
      </c>
      <c r="N39" s="28">
        <f t="shared" si="28"/>
        <v>82.646106993374545</v>
      </c>
      <c r="O39" s="37">
        <f t="shared" si="19"/>
        <v>1053.7407797681772</v>
      </c>
      <c r="P39" s="28">
        <f t="shared" si="20"/>
        <v>9.0748376092309471</v>
      </c>
      <c r="Q39" s="26">
        <v>442.91800000000001</v>
      </c>
      <c r="R39" s="28">
        <f t="shared" si="21"/>
        <v>3.8144190690708784</v>
      </c>
      <c r="S39" s="36"/>
      <c r="T39" s="36"/>
      <c r="U39" s="26"/>
      <c r="V39" s="28">
        <f t="shared" si="22"/>
        <v>7.9670804693659969</v>
      </c>
      <c r="W39" s="28">
        <f t="shared" si="23"/>
        <v>2.6556934897886655</v>
      </c>
      <c r="X39" s="28">
        <f t="shared" si="24"/>
        <v>0.47877250439952213</v>
      </c>
      <c r="Y39" s="28">
        <f t="shared" si="25"/>
        <v>6.0000000000000027E-3</v>
      </c>
      <c r="Z39" s="28">
        <f t="shared" si="26"/>
        <v>6.000000000000001E-3</v>
      </c>
      <c r="AA39" s="26">
        <v>0.24640000000000001</v>
      </c>
      <c r="AB39" s="28">
        <f t="shared" si="27"/>
        <v>369.6</v>
      </c>
      <c r="AC39" s="26"/>
      <c r="AD39">
        <v>200</v>
      </c>
      <c r="AE39" s="17">
        <v>310</v>
      </c>
      <c r="AF39" s="17">
        <v>5.9</v>
      </c>
    </row>
    <row r="40" spans="7:32" x14ac:dyDescent="0.25">
      <c r="I40" s="28">
        <v>4.0000000000000002E-4</v>
      </c>
      <c r="J40" s="28">
        <f t="shared" si="17"/>
        <v>1.3598878295059083</v>
      </c>
      <c r="K40" s="26"/>
      <c r="L40" s="26">
        <v>5.0000000000000001E-4</v>
      </c>
      <c r="M40" s="39">
        <v>4.7465000000000002E-4</v>
      </c>
      <c r="N40" s="28">
        <f t="shared" si="28"/>
        <v>82.672233265342953</v>
      </c>
      <c r="O40" s="37">
        <f t="shared" si="19"/>
        <v>1053.4077741493732</v>
      </c>
      <c r="P40" s="28">
        <f t="shared" si="20"/>
        <v>9.071969757884931</v>
      </c>
      <c r="Q40" s="26">
        <v>446.17</v>
      </c>
      <c r="R40" s="28">
        <f t="shared" si="21"/>
        <v>3.8424253610089316</v>
      </c>
      <c r="S40" s="36"/>
      <c r="T40" s="36"/>
      <c r="U40" s="26"/>
      <c r="V40" s="28">
        <f t="shared" si="22"/>
        <v>4.4814827640183719</v>
      </c>
      <c r="W40" s="28">
        <f t="shared" si="23"/>
        <v>1.4938275880061238</v>
      </c>
      <c r="X40" s="28">
        <f t="shared" si="24"/>
        <v>0.8574004550144867</v>
      </c>
      <c r="Y40" s="28">
        <f t="shared" si="25"/>
        <v>3.375E-3</v>
      </c>
      <c r="Z40" s="28">
        <f t="shared" si="26"/>
        <v>3.375E-3</v>
      </c>
      <c r="AA40" s="26">
        <v>0.24429999999999999</v>
      </c>
      <c r="AB40" s="28">
        <f t="shared" si="27"/>
        <v>366.44999999999993</v>
      </c>
      <c r="AC40" s="26"/>
      <c r="AD40">
        <v>200</v>
      </c>
      <c r="AE40" s="17">
        <v>290</v>
      </c>
      <c r="AF40" s="17">
        <v>5.5</v>
      </c>
    </row>
    <row r="41" spans="7:32" ht="75" x14ac:dyDescent="0.25">
      <c r="I41" s="28">
        <v>5.0000000000000001E-4</v>
      </c>
      <c r="J41" s="28">
        <f t="shared" si="17"/>
        <v>1.6998597868823853</v>
      </c>
      <c r="K41" s="26"/>
      <c r="L41" s="36">
        <v>5.0023000000000005E-4</v>
      </c>
      <c r="M41" s="39">
        <v>4.7423000000000002E-4</v>
      </c>
      <c r="N41" s="28">
        <f t="shared" si="28"/>
        <v>82.599079703831435</v>
      </c>
      <c r="O41" s="37">
        <f t="shared" si="19"/>
        <v>1054.3407207473167</v>
      </c>
      <c r="P41" s="28">
        <f t="shared" si="20"/>
        <v>9.0800043134767581</v>
      </c>
      <c r="Q41" s="38">
        <v>446.71</v>
      </c>
      <c r="R41" s="28">
        <f t="shared" si="21"/>
        <v>3.8470758522901582</v>
      </c>
      <c r="S41" s="36">
        <v>461.04</v>
      </c>
      <c r="T41" s="36">
        <f>S41*$C$22/$F$21*10^10</f>
        <v>3.9704861116604833</v>
      </c>
      <c r="U41" s="26" t="s">
        <v>81</v>
      </c>
      <c r="V41" s="28">
        <f t="shared" si="22"/>
        <v>2.8681489689717585</v>
      </c>
      <c r="W41" s="28">
        <f t="shared" si="23"/>
        <v>0.95604965632391947</v>
      </c>
      <c r="X41" s="28">
        <f t="shared" si="24"/>
        <v>1.3413096369500461</v>
      </c>
      <c r="Y41" s="28">
        <f t="shared" si="25"/>
        <v>2.16E-3</v>
      </c>
      <c r="Z41" s="28">
        <f t="shared" si="26"/>
        <v>2.16E-3</v>
      </c>
      <c r="AA41" s="26">
        <v>0.24809999999999999</v>
      </c>
      <c r="AB41" s="28">
        <f t="shared" si="27"/>
        <v>372.15</v>
      </c>
      <c r="AC41" s="26" t="s">
        <v>82</v>
      </c>
      <c r="AD41">
        <v>500</v>
      </c>
      <c r="AE41" s="17">
        <v>331</v>
      </c>
      <c r="AF41" s="17">
        <v>2.8</v>
      </c>
    </row>
    <row r="42" spans="7:32" x14ac:dyDescent="0.25">
      <c r="I42" s="28">
        <v>5.9999999999999995E-4</v>
      </c>
      <c r="J42" s="28">
        <f t="shared" si="17"/>
        <v>2.039831744258862</v>
      </c>
      <c r="K42" s="26"/>
      <c r="L42" s="26">
        <v>5.0018999999999997E-4</v>
      </c>
      <c r="M42" s="39">
        <v>4.7449999999999999E-4</v>
      </c>
      <c r="N42" s="28">
        <f t="shared" si="28"/>
        <v>82.646106993374545</v>
      </c>
      <c r="O42" s="37">
        <f t="shared" si="19"/>
        <v>1053.7407797681772</v>
      </c>
      <c r="P42" s="28">
        <f t="shared" si="20"/>
        <v>9.0748376092309471</v>
      </c>
      <c r="Q42" s="26">
        <v>443.05</v>
      </c>
      <c r="R42" s="28">
        <f t="shared" si="21"/>
        <v>3.8155558558285123</v>
      </c>
      <c r="S42" s="36"/>
      <c r="T42" s="36"/>
      <c r="U42" s="26"/>
      <c r="V42" s="28">
        <f t="shared" si="22"/>
        <v>1.9917701173414992</v>
      </c>
      <c r="W42" s="28">
        <f t="shared" si="23"/>
        <v>0.66392337244716637</v>
      </c>
      <c r="X42" s="28">
        <f t="shared" si="24"/>
        <v>1.9156607595465374</v>
      </c>
      <c r="Y42" s="28">
        <f t="shared" si="25"/>
        <v>1.5000000000000007E-3</v>
      </c>
      <c r="Z42" s="28">
        <f t="shared" si="26"/>
        <v>1.5000000000000002E-3</v>
      </c>
      <c r="AA42" s="26">
        <v>0.24640000000000001</v>
      </c>
      <c r="AB42" s="28">
        <f t="shared" si="27"/>
        <v>369.6</v>
      </c>
      <c r="AC42" s="26"/>
      <c r="AD42">
        <v>500</v>
      </c>
      <c r="AE42" s="17">
        <v>302</v>
      </c>
      <c r="AF42" s="17">
        <v>3.9</v>
      </c>
    </row>
    <row r="43" spans="7:32" ht="30" x14ac:dyDescent="0.25">
      <c r="I43" s="28">
        <v>6.9999999999999999E-4</v>
      </c>
      <c r="J43" s="28">
        <f t="shared" si="17"/>
        <v>2.3798037016353391</v>
      </c>
      <c r="K43" s="26"/>
      <c r="L43" s="36">
        <v>5.0025999999999998E-4</v>
      </c>
      <c r="M43" s="39">
        <v>4.7423000000000002E-4</v>
      </c>
      <c r="N43" s="28">
        <f t="shared" si="28"/>
        <v>82.599079703831435</v>
      </c>
      <c r="O43" s="37">
        <f t="shared" si="19"/>
        <v>1054.3407207473167</v>
      </c>
      <c r="P43" s="28">
        <f t="shared" si="20"/>
        <v>9.0800043134767581</v>
      </c>
      <c r="Q43" s="26">
        <v>450.47</v>
      </c>
      <c r="R43" s="28">
        <f t="shared" si="21"/>
        <v>3.8794570508409203</v>
      </c>
      <c r="S43" s="36"/>
      <c r="T43" s="36"/>
      <c r="U43" s="26" t="s">
        <v>98</v>
      </c>
      <c r="V43" s="28">
        <f t="shared" si="22"/>
        <v>1.4633413106998772</v>
      </c>
      <c r="W43" s="28">
        <f t="shared" si="23"/>
        <v>0.48778043689995904</v>
      </c>
      <c r="X43" s="28">
        <f t="shared" si="24"/>
        <v>2.65109514948736</v>
      </c>
      <c r="Y43" s="28">
        <f t="shared" si="25"/>
        <v>1.102040816326531E-3</v>
      </c>
      <c r="Z43" s="28">
        <f t="shared" si="26"/>
        <v>1.1020408163265308E-3</v>
      </c>
      <c r="AA43" s="26">
        <v>0.24879999999999999</v>
      </c>
      <c r="AB43" s="28">
        <f t="shared" si="27"/>
        <v>373.2</v>
      </c>
      <c r="AC43" s="26" t="s">
        <v>99</v>
      </c>
      <c r="AD43">
        <v>500</v>
      </c>
      <c r="AE43" s="17">
        <v>305</v>
      </c>
      <c r="AF43" s="17">
        <v>3.7</v>
      </c>
    </row>
    <row r="44" spans="7:32" x14ac:dyDescent="0.25">
      <c r="I44" s="28">
        <v>8.0000000000000004E-4</v>
      </c>
      <c r="J44" s="28">
        <f t="shared" si="17"/>
        <v>2.7197756590118165</v>
      </c>
      <c r="K44" s="26"/>
      <c r="L44" s="36">
        <v>5.0014999999999999E-4</v>
      </c>
      <c r="M44" s="39">
        <v>4.7429999999999998E-4</v>
      </c>
      <c r="N44" s="28">
        <f t="shared" si="28"/>
        <v>82.611271964083343</v>
      </c>
      <c r="O44" s="37">
        <f t="shared" si="19"/>
        <v>1054.1851149061777</v>
      </c>
      <c r="P44" s="28">
        <f t="shared" si="20"/>
        <v>9.0786642327220815</v>
      </c>
      <c r="Q44" s="26">
        <v>444.54</v>
      </c>
      <c r="R44" s="28">
        <f t="shared" si="21"/>
        <v>3.8283877669563404</v>
      </c>
      <c r="S44" s="36"/>
      <c r="T44" s="36"/>
      <c r="U44" s="26"/>
      <c r="V44" s="28">
        <f t="shared" si="22"/>
        <v>1.120370691004593</v>
      </c>
      <c r="W44" s="28">
        <f t="shared" si="23"/>
        <v>0.37345689700153095</v>
      </c>
      <c r="X44" s="28">
        <f t="shared" si="24"/>
        <v>3.4170724008529478</v>
      </c>
      <c r="Y44" s="28">
        <f t="shared" si="25"/>
        <v>8.4374999999999999E-4</v>
      </c>
      <c r="Z44" s="28">
        <f t="shared" si="26"/>
        <v>8.4374999999999999E-4</v>
      </c>
      <c r="AA44" s="26">
        <v>0.2475</v>
      </c>
      <c r="AB44" s="28">
        <f t="shared" si="27"/>
        <v>371.24999999999994</v>
      </c>
      <c r="AC44" s="26"/>
      <c r="AD44">
        <v>500</v>
      </c>
      <c r="AE44" s="17">
        <v>336</v>
      </c>
      <c r="AF44" s="17">
        <v>4.3</v>
      </c>
    </row>
    <row r="45" spans="7:32" x14ac:dyDescent="0.25">
      <c r="I45" s="28">
        <v>8.9999999999999998E-4</v>
      </c>
      <c r="J45" s="28">
        <f t="shared" si="17"/>
        <v>3.0597476163882931</v>
      </c>
      <c r="K45" s="26"/>
      <c r="L45" s="36">
        <v>5.0018999999999997E-4</v>
      </c>
      <c r="M45" s="39">
        <v>4.7449999999999999E-4</v>
      </c>
      <c r="N45" s="28">
        <f t="shared" si="28"/>
        <v>82.646106993374545</v>
      </c>
      <c r="O45" s="37">
        <f t="shared" si="19"/>
        <v>1053.7407797681772</v>
      </c>
      <c r="P45" s="28">
        <f t="shared" si="20"/>
        <v>9.0748376092309471</v>
      </c>
      <c r="Q45" s="26">
        <v>443.06</v>
      </c>
      <c r="R45" s="28">
        <f t="shared" si="21"/>
        <v>3.8156419760374232</v>
      </c>
      <c r="S45" s="36"/>
      <c r="T45" s="36"/>
      <c r="U45" s="26"/>
      <c r="V45" s="28">
        <f t="shared" si="22"/>
        <v>0.88523116326288864</v>
      </c>
      <c r="W45" s="28">
        <f t="shared" si="23"/>
        <v>0.29507705442096288</v>
      </c>
      <c r="X45" s="28">
        <f t="shared" si="24"/>
        <v>4.3103339945391026</v>
      </c>
      <c r="Y45" s="28">
        <f t="shared" si="25"/>
        <v>6.6666666666666686E-4</v>
      </c>
      <c r="Z45" s="28">
        <f t="shared" si="26"/>
        <v>6.6666666666666664E-4</v>
      </c>
      <c r="AA45" s="26">
        <v>0.24640000000000001</v>
      </c>
      <c r="AB45" s="28">
        <f t="shared" si="27"/>
        <v>369.6</v>
      </c>
      <c r="AC45" s="26"/>
      <c r="AD45">
        <v>500</v>
      </c>
      <c r="AE45" s="17">
        <v>317</v>
      </c>
      <c r="AF45" s="17">
        <v>4.4000000000000004</v>
      </c>
    </row>
    <row r="46" spans="7:32" ht="45" x14ac:dyDescent="0.25">
      <c r="I46" s="28">
        <v>1E-3</v>
      </c>
      <c r="J46" s="28">
        <f t="shared" si="17"/>
        <v>3.3997195737647705</v>
      </c>
      <c r="K46" s="26"/>
      <c r="L46" s="36">
        <v>4.9976000000000003E-4</v>
      </c>
      <c r="M46" s="39">
        <v>4.7375999999999999E-4</v>
      </c>
      <c r="N46" s="28">
        <f t="shared" si="28"/>
        <v>82.51721738499711</v>
      </c>
      <c r="O46" s="37">
        <f t="shared" si="19"/>
        <v>1055.3866936845661</v>
      </c>
      <c r="P46" s="28">
        <f t="shared" si="20"/>
        <v>9.0890122542639382</v>
      </c>
      <c r="Q46" s="26">
        <v>447.1</v>
      </c>
      <c r="R46" s="28">
        <f t="shared" si="21"/>
        <v>3.8504345404377101</v>
      </c>
      <c r="S46" s="36"/>
      <c r="T46" s="36"/>
      <c r="U46" s="26" t="s">
        <v>83</v>
      </c>
      <c r="V46" s="28">
        <f t="shared" si="22"/>
        <v>0.71703724224293963</v>
      </c>
      <c r="W46" s="28">
        <f t="shared" si="23"/>
        <v>0.23901241408097987</v>
      </c>
      <c r="X46" s="28">
        <f t="shared" si="24"/>
        <v>5.3699226673265921</v>
      </c>
      <c r="Y46" s="28">
        <f t="shared" si="25"/>
        <v>5.4000000000000001E-4</v>
      </c>
      <c r="Z46" s="28">
        <f t="shared" si="26"/>
        <v>5.4000000000000001E-4</v>
      </c>
      <c r="AA46" s="26">
        <v>0.24809999999999999</v>
      </c>
      <c r="AB46" s="28">
        <f t="shared" si="27"/>
        <v>372.15</v>
      </c>
      <c r="AC46" s="26" t="s">
        <v>84</v>
      </c>
      <c r="AD46">
        <v>500</v>
      </c>
      <c r="AE46" s="17">
        <v>322</v>
      </c>
      <c r="AF46" s="17">
        <v>4.4000000000000004</v>
      </c>
    </row>
    <row r="47" spans="7:32" x14ac:dyDescent="0.25">
      <c r="AD47">
        <v>500</v>
      </c>
      <c r="AE47" s="17">
        <v>315</v>
      </c>
      <c r="AF47" s="17">
        <v>3.5</v>
      </c>
    </row>
    <row r="48" spans="7:32" x14ac:dyDescent="0.25">
      <c r="M48" s="47" t="s">
        <v>58</v>
      </c>
      <c r="N48" s="44" t="s">
        <v>59</v>
      </c>
      <c r="O48" s="44" t="s">
        <v>60</v>
      </c>
      <c r="P48" s="44" t="s">
        <v>62</v>
      </c>
      <c r="Q48" s="44" t="s">
        <v>61</v>
      </c>
      <c r="R48" s="44" t="s">
        <v>63</v>
      </c>
      <c r="S48" s="35"/>
      <c r="T48" s="35"/>
      <c r="U48" s="44" t="s">
        <v>64</v>
      </c>
      <c r="V48" s="44" t="s">
        <v>65</v>
      </c>
      <c r="W48" s="44" t="s">
        <v>66</v>
      </c>
      <c r="X48" s="44" t="s">
        <v>67</v>
      </c>
      <c r="Y48" s="44" t="s">
        <v>68</v>
      </c>
      <c r="Z48" s="44" t="s">
        <v>69</v>
      </c>
      <c r="AA48" s="44" t="s">
        <v>70</v>
      </c>
      <c r="AB48" s="44" t="s">
        <v>72</v>
      </c>
      <c r="AC48" s="44" t="s">
        <v>73</v>
      </c>
      <c r="AD48">
        <v>500</v>
      </c>
      <c r="AE48" s="17">
        <v>310</v>
      </c>
      <c r="AF48" s="17">
        <v>5.5</v>
      </c>
    </row>
    <row r="49" spans="2:32" x14ac:dyDescent="0.25">
      <c r="M49" s="47"/>
      <c r="N49" s="44"/>
      <c r="O49" s="44"/>
      <c r="P49" s="44"/>
      <c r="Q49" s="44"/>
      <c r="R49" s="44"/>
      <c r="S49" s="35"/>
      <c r="T49" s="35"/>
      <c r="U49" s="44"/>
      <c r="V49" s="44"/>
      <c r="W49" s="44"/>
      <c r="X49" s="44"/>
      <c r="Y49" s="44"/>
      <c r="Z49" s="44"/>
      <c r="AA49" s="44"/>
      <c r="AB49" s="44"/>
      <c r="AC49" s="44"/>
      <c r="AD49">
        <v>500</v>
      </c>
      <c r="AE49" s="17">
        <v>334</v>
      </c>
      <c r="AF49" s="17">
        <v>3.8</v>
      </c>
    </row>
    <row r="50" spans="2:32" x14ac:dyDescent="0.25">
      <c r="C50" s="43" t="s">
        <v>54</v>
      </c>
      <c r="D50" s="43"/>
      <c r="E50" s="43"/>
      <c r="F50" s="43"/>
      <c r="G50" s="43"/>
      <c r="H50" s="43"/>
      <c r="I50" s="43"/>
      <c r="K50" t="s">
        <v>56</v>
      </c>
      <c r="L50" t="s">
        <v>57</v>
      </c>
      <c r="M50" s="47"/>
      <c r="N50" s="44"/>
      <c r="O50" s="44"/>
      <c r="P50" s="44"/>
      <c r="Q50" s="44"/>
      <c r="R50" s="44"/>
      <c r="S50" s="35"/>
      <c r="T50" s="35"/>
      <c r="U50" s="44"/>
      <c r="V50" s="44"/>
      <c r="W50" s="44"/>
      <c r="X50" s="44"/>
      <c r="Y50" s="44"/>
      <c r="Z50" s="44"/>
      <c r="AA50" s="44"/>
      <c r="AB50" s="44"/>
      <c r="AC50" s="44"/>
      <c r="AD50">
        <v>500</v>
      </c>
      <c r="AE50" s="17">
        <v>360</v>
      </c>
      <c r="AF50" s="17">
        <v>2</v>
      </c>
    </row>
    <row r="51" spans="2:32" x14ac:dyDescent="0.25">
      <c r="B51" t="s">
        <v>18</v>
      </c>
      <c r="C51">
        <f>C20</f>
        <v>3.4000000000000002E-2</v>
      </c>
      <c r="E51" s="4" t="s">
        <v>13</v>
      </c>
      <c r="F51">
        <f>PI()*C53^3*C51/(C54*C52)</f>
        <v>13.846516668972285</v>
      </c>
      <c r="I51" s="3">
        <v>5.0000000000000002E-5</v>
      </c>
      <c r="J51" s="3">
        <f>I51/$F$53</f>
        <v>0.86962652374018867</v>
      </c>
      <c r="K51">
        <v>1.1306</v>
      </c>
      <c r="L51">
        <v>1.974244E-2</v>
      </c>
      <c r="M51" s="17">
        <v>1.54E-2</v>
      </c>
      <c r="N51" s="3">
        <f>M51*$F$52</f>
        <v>45.311424107294812</v>
      </c>
      <c r="O51">
        <f>(0.67-0.2)/M51</f>
        <v>30.519480519480521</v>
      </c>
      <c r="P51" s="3">
        <f>O51*$C$53*K51/$F$52*10^10</f>
        <v>7.7773303687284878</v>
      </c>
      <c r="Q51">
        <v>19.8552</v>
      </c>
      <c r="R51" s="3">
        <f>Q51*$C$53*K51/$F$52*10^10</f>
        <v>5.0597338915585937</v>
      </c>
      <c r="S51" s="3"/>
      <c r="T51" s="3"/>
      <c r="U51">
        <v>11.2</v>
      </c>
      <c r="V51" s="3">
        <f>((1+6*K51^3*$F$51)/J51^2)*$C$53*K51/$F$52*10^10</f>
        <v>40.795169741199288</v>
      </c>
      <c r="W51" s="3">
        <f>1/3*V51</f>
        <v>13.598389913733095</v>
      </c>
      <c r="X51" s="3">
        <f>R51/V51</f>
        <v>0.12402776906327559</v>
      </c>
      <c r="Y51" s="3">
        <f>K51/$F$51/J51^2</f>
        <v>0.10796994835200002</v>
      </c>
      <c r="Z51" s="3">
        <f>2*K51*$C$53*$C$52/I51^2</f>
        <v>0.10796994835200001</v>
      </c>
      <c r="AA51">
        <v>0.38450000000000001</v>
      </c>
      <c r="AB51" s="30">
        <f>AA51*$C$53*10^10</f>
        <v>254.99270999999999</v>
      </c>
      <c r="AC51">
        <f>AVERAGE(242)</f>
        <v>242</v>
      </c>
      <c r="AD51">
        <v>500</v>
      </c>
      <c r="AE51" s="17">
        <v>360</v>
      </c>
      <c r="AF51" s="17">
        <v>1.9</v>
      </c>
    </row>
    <row r="52" spans="2:32" x14ac:dyDescent="0.25">
      <c r="B52" t="s">
        <v>51</v>
      </c>
      <c r="C52" s="3">
        <f>C21</f>
        <v>1.8E-3</v>
      </c>
      <c r="E52" t="s">
        <v>16</v>
      </c>
      <c r="F52" s="3">
        <f>12*PI()^2*C51*C55*C53^5/C54^2</f>
        <v>2942.3002667074552</v>
      </c>
      <c r="G52" t="s">
        <v>17</v>
      </c>
      <c r="I52" s="3">
        <v>1E-4</v>
      </c>
      <c r="J52" s="3">
        <f t="shared" ref="J52:J55" si="29">I52/$F$53</f>
        <v>1.7392530474803773</v>
      </c>
      <c r="K52">
        <v>1.1297999999999999</v>
      </c>
      <c r="L52">
        <v>1.6990000000000002E-2</v>
      </c>
      <c r="M52" s="17">
        <v>1.26E-2</v>
      </c>
      <c r="N52" s="3">
        <f t="shared" ref="N52:N55" si="30">M52*$F$52</f>
        <v>37.072983360513938</v>
      </c>
      <c r="O52">
        <f t="shared" ref="O52:O55" si="31">(0.67-0.2)/M52</f>
        <v>37.301587301587304</v>
      </c>
      <c r="P52" s="3">
        <f t="shared" ref="P52:P55" si="32">O52*$C$53*K52/$F$52*10^10</f>
        <v>9.4988999308610857</v>
      </c>
      <c r="Q52">
        <v>25.348099999999999</v>
      </c>
      <c r="R52" s="3">
        <f t="shared" ref="R52:R55" si="33">Q52*$C$53*K52/$F$52*10^10</f>
        <v>6.4549281345787106</v>
      </c>
      <c r="S52" s="3"/>
      <c r="T52" s="3"/>
      <c r="U52">
        <v>8.1300000000000008</v>
      </c>
      <c r="V52" s="3">
        <f>((1+6*K52^3*$F$51)/J52^2)*$C$53*K52/$F$52*10^10</f>
        <v>10.170135422881152</v>
      </c>
      <c r="W52" s="3">
        <f t="shared" ref="W52:W55" si="34">1/3*V52</f>
        <v>3.390045140960384</v>
      </c>
      <c r="X52" s="3">
        <f t="shared" ref="X52:X55" si="35">R52/V52</f>
        <v>0.6346944132185468</v>
      </c>
      <c r="Y52" s="3">
        <f>K52/$F$51/J52^2</f>
        <v>2.6973387503999999E-2</v>
      </c>
      <c r="Z52" s="3">
        <f t="shared" ref="Z52:Z55" si="36">2*K52*$C$53*$C$52/I52^2</f>
        <v>2.6973387503999996E-2</v>
      </c>
      <c r="AA52">
        <v>0.3735</v>
      </c>
      <c r="AB52" s="30">
        <f t="shared" ref="AB52:AB55" si="37">AA52*$C$53*10^10</f>
        <v>247.69773000000001</v>
      </c>
      <c r="AC52">
        <f>SUM(300+262+255+260+303+220+282+260+282+260)/10</f>
        <v>268.39999999999998</v>
      </c>
      <c r="AD52">
        <v>500</v>
      </c>
      <c r="AE52" s="17">
        <v>395</v>
      </c>
      <c r="AF52" s="17">
        <v>3.5</v>
      </c>
    </row>
    <row r="53" spans="2:32" x14ac:dyDescent="0.25">
      <c r="B53" t="s">
        <v>20</v>
      </c>
      <c r="C53" s="3">
        <v>6.6317999999999999E-8</v>
      </c>
      <c r="D53" t="s">
        <v>12</v>
      </c>
      <c r="E53" t="s">
        <v>19</v>
      </c>
      <c r="F53" s="3">
        <f>C53^2*SQRT(2*PI()*C51/C54)</f>
        <v>5.7495946403467907E-5</v>
      </c>
      <c r="G53" t="s">
        <v>12</v>
      </c>
      <c r="I53" s="3">
        <v>2.0000000000000001E-4</v>
      </c>
      <c r="J53" s="3">
        <f t="shared" si="29"/>
        <v>3.4785060949607547</v>
      </c>
      <c r="K53">
        <v>1</v>
      </c>
      <c r="L53">
        <v>0</v>
      </c>
      <c r="N53" s="3">
        <f t="shared" si="30"/>
        <v>0</v>
      </c>
      <c r="O53" t="e">
        <f t="shared" si="31"/>
        <v>#DIV/0!</v>
      </c>
      <c r="P53" s="3" t="e">
        <f t="shared" si="32"/>
        <v>#DIV/0!</v>
      </c>
      <c r="R53" s="3">
        <f t="shared" si="33"/>
        <v>0</v>
      </c>
      <c r="S53" s="3"/>
      <c r="T53" s="3"/>
      <c r="V53" s="3">
        <f>((1+6*K53^3*$F$51)/J53^2)*$C$53*K53/$F$52*10^10</f>
        <v>1.5661990142696023</v>
      </c>
      <c r="W53" s="3">
        <f t="shared" si="34"/>
        <v>0.52206633808986735</v>
      </c>
      <c r="X53" s="3">
        <f t="shared" si="35"/>
        <v>0</v>
      </c>
      <c r="Y53" s="3">
        <f t="shared" ref="Y53:Y55" si="38">K53/$F$51/J53^2</f>
        <v>5.9686200000000009E-3</v>
      </c>
      <c r="Z53" s="3">
        <f t="shared" si="36"/>
        <v>5.9686199999999991E-3</v>
      </c>
      <c r="AB53" s="30">
        <f t="shared" si="37"/>
        <v>0</v>
      </c>
      <c r="AD53">
        <v>500</v>
      </c>
      <c r="AE53" s="17">
        <v>345</v>
      </c>
      <c r="AF53" s="17">
        <v>3.1</v>
      </c>
    </row>
    <row r="54" spans="2:32" x14ac:dyDescent="0.25">
      <c r="B54" t="s">
        <v>14</v>
      </c>
      <c r="C54" s="3">
        <f>C23</f>
        <v>1.2499999999999999E-21</v>
      </c>
      <c r="I54" s="3">
        <v>5.0000000000000001E-4</v>
      </c>
      <c r="J54" s="3">
        <f t="shared" si="29"/>
        <v>8.6962652374018869</v>
      </c>
      <c r="K54">
        <v>1</v>
      </c>
      <c r="N54" s="3">
        <f t="shared" si="30"/>
        <v>0</v>
      </c>
      <c r="O54" t="e">
        <f t="shared" si="31"/>
        <v>#DIV/0!</v>
      </c>
      <c r="P54" s="3" t="e">
        <f t="shared" si="32"/>
        <v>#DIV/0!</v>
      </c>
      <c r="R54" s="3">
        <f t="shared" si="33"/>
        <v>0</v>
      </c>
      <c r="S54" s="3"/>
      <c r="T54" s="3"/>
      <c r="V54" s="3">
        <f>((1+6*K54^3*$F$51)/J54^2)*$C$53*K54/$F$52*10^10</f>
        <v>0.2505918422831363</v>
      </c>
      <c r="W54" s="3">
        <f t="shared" si="34"/>
        <v>8.3530614094378758E-2</v>
      </c>
      <c r="X54" s="3">
        <f t="shared" si="35"/>
        <v>0</v>
      </c>
      <c r="Y54" s="3">
        <f t="shared" si="38"/>
        <v>9.5497919999999997E-4</v>
      </c>
      <c r="Z54" s="3">
        <f t="shared" si="36"/>
        <v>9.5497919999999997E-4</v>
      </c>
      <c r="AB54" s="30">
        <f t="shared" si="37"/>
        <v>0</v>
      </c>
      <c r="AD54">
        <v>500</v>
      </c>
      <c r="AE54" s="17">
        <v>345</v>
      </c>
      <c r="AF54" s="17">
        <v>2.4</v>
      </c>
    </row>
    <row r="55" spans="2:32" x14ac:dyDescent="0.25">
      <c r="B55" t="s">
        <v>55</v>
      </c>
      <c r="C55">
        <f>C24</f>
        <v>8.8999999999999995E-4</v>
      </c>
      <c r="I55" s="3">
        <v>1E-3</v>
      </c>
      <c r="J55" s="3">
        <f t="shared" si="29"/>
        <v>17.392530474803774</v>
      </c>
      <c r="K55">
        <v>1</v>
      </c>
      <c r="L55">
        <v>2.7456</v>
      </c>
      <c r="N55" s="3">
        <f t="shared" si="30"/>
        <v>0</v>
      </c>
      <c r="O55" t="e">
        <f t="shared" si="31"/>
        <v>#DIV/0!</v>
      </c>
      <c r="P55" s="3" t="e">
        <f t="shared" si="32"/>
        <v>#DIV/0!</v>
      </c>
      <c r="R55" s="3">
        <f t="shared" si="33"/>
        <v>0</v>
      </c>
      <c r="S55" s="3"/>
      <c r="T55" s="3"/>
      <c r="V55" s="3">
        <f>((1+6*K55^3*$F$51)/J55^2)*$C$53*K55/$F$52*10^10</f>
        <v>6.2647960570784075E-2</v>
      </c>
      <c r="W55" s="3">
        <f t="shared" si="34"/>
        <v>2.0882653523594689E-2</v>
      </c>
      <c r="X55" s="3">
        <f t="shared" si="35"/>
        <v>0</v>
      </c>
      <c r="Y55" s="3">
        <f t="shared" si="38"/>
        <v>2.3874479999999999E-4</v>
      </c>
      <c r="Z55" s="3">
        <f t="shared" si="36"/>
        <v>2.3874479999999999E-4</v>
      </c>
      <c r="AB55" s="30">
        <f t="shared" si="37"/>
        <v>0</v>
      </c>
      <c r="AD55">
        <v>500</v>
      </c>
      <c r="AE55" s="17">
        <v>315</v>
      </c>
      <c r="AF55" s="17">
        <v>4.5999999999999996</v>
      </c>
    </row>
    <row r="56" spans="2:32" x14ac:dyDescent="0.25">
      <c r="Y56" s="3"/>
      <c r="Z56" s="3"/>
      <c r="AD56">
        <v>700</v>
      </c>
      <c r="AE56" s="17">
        <v>341</v>
      </c>
      <c r="AF56" s="17">
        <v>3.3</v>
      </c>
    </row>
    <row r="57" spans="2:32" x14ac:dyDescent="0.25">
      <c r="AD57">
        <v>700</v>
      </c>
      <c r="AE57" s="17">
        <v>305</v>
      </c>
      <c r="AF57" s="17">
        <v>3.2</v>
      </c>
    </row>
    <row r="58" spans="2:32" ht="45" x14ac:dyDescent="0.25">
      <c r="M58" s="38" t="s">
        <v>71</v>
      </c>
      <c r="N58" s="26" t="s">
        <v>59</v>
      </c>
      <c r="O58" s="29" t="s">
        <v>60</v>
      </c>
      <c r="P58" s="29" t="s">
        <v>62</v>
      </c>
      <c r="Q58" s="29" t="s">
        <v>61</v>
      </c>
      <c r="R58" s="29" t="s">
        <v>63</v>
      </c>
      <c r="S58" s="34"/>
      <c r="T58" s="34"/>
      <c r="AD58">
        <v>700</v>
      </c>
      <c r="AE58" s="17">
        <v>328</v>
      </c>
      <c r="AF58" s="17">
        <v>2.6</v>
      </c>
    </row>
    <row r="59" spans="2:32" ht="15" customHeight="1" x14ac:dyDescent="0.25">
      <c r="K59" t="s">
        <v>56</v>
      </c>
      <c r="L59" t="s">
        <v>57</v>
      </c>
      <c r="M59" s="38"/>
      <c r="AD59">
        <v>700</v>
      </c>
      <c r="AE59" s="17">
        <v>345</v>
      </c>
      <c r="AF59" s="17">
        <v>2.5</v>
      </c>
    </row>
    <row r="60" spans="2:32" x14ac:dyDescent="0.25">
      <c r="I60" s="3">
        <v>5.0000000000000002E-5</v>
      </c>
      <c r="J60" s="3">
        <f>I60/$F$53</f>
        <v>0.86962652374018867</v>
      </c>
      <c r="K60">
        <v>2</v>
      </c>
      <c r="L60" s="3">
        <v>3.1254049999999998E-2</v>
      </c>
      <c r="M60" s="38">
        <v>4.0000000000000001E-3</v>
      </c>
      <c r="N60" s="3">
        <f>M60*F52</f>
        <v>11.769201066829821</v>
      </c>
      <c r="O60">
        <f>(0.377- 0.113)/M60</f>
        <v>66</v>
      </c>
      <c r="P60" s="3">
        <f>O60*C53*2/F52*10^10</f>
        <v>29.752150380613703</v>
      </c>
      <c r="Q60">
        <v>16.0337</v>
      </c>
      <c r="R60" s="3">
        <f>Q60*C53*2/F52*10^10</f>
        <v>7.2278341448128165</v>
      </c>
      <c r="S60" s="3"/>
      <c r="T60" s="3"/>
      <c r="AD60">
        <v>1000</v>
      </c>
      <c r="AE60" s="17">
        <v>348</v>
      </c>
      <c r="AF60" s="17">
        <v>3</v>
      </c>
    </row>
    <row r="61" spans="2:32" x14ac:dyDescent="0.25">
      <c r="L61" s="3"/>
      <c r="AD61">
        <v>1000</v>
      </c>
      <c r="AE61" s="17">
        <v>325</v>
      </c>
      <c r="AF61" s="17">
        <v>3.6</v>
      </c>
    </row>
    <row r="62" spans="2:32" x14ac:dyDescent="0.25">
      <c r="L62" s="3"/>
      <c r="AD62">
        <v>1000</v>
      </c>
      <c r="AE62" s="17">
        <v>385</v>
      </c>
      <c r="AF62" s="17">
        <v>3.6</v>
      </c>
    </row>
    <row r="63" spans="2:32" x14ac:dyDescent="0.25">
      <c r="AD63">
        <v>1000</v>
      </c>
      <c r="AE63" s="17">
        <v>358</v>
      </c>
      <c r="AF63" s="17">
        <v>3.6</v>
      </c>
    </row>
    <row r="64" spans="2:32" x14ac:dyDescent="0.25">
      <c r="AD64">
        <v>1000</v>
      </c>
      <c r="AE64" s="17">
        <v>335</v>
      </c>
      <c r="AF64" s="17">
        <v>3.3</v>
      </c>
    </row>
    <row r="65" spans="13:32" x14ac:dyDescent="0.25">
      <c r="M65" s="12">
        <f>K52*C53</f>
        <v>7.4926076399999997E-8</v>
      </c>
      <c r="AD65">
        <v>1000</v>
      </c>
      <c r="AE65" s="17">
        <v>350</v>
      </c>
      <c r="AF65" s="17">
        <v>3.5</v>
      </c>
    </row>
    <row r="66" spans="13:32" x14ac:dyDescent="0.25">
      <c r="M66" s="12">
        <f>0.00000005/M65</f>
        <v>0.66732441364032247</v>
      </c>
      <c r="AD66">
        <v>1000</v>
      </c>
      <c r="AE66" s="17">
        <v>358</v>
      </c>
      <c r="AF66" s="17">
        <v>1.9</v>
      </c>
    </row>
    <row r="67" spans="13:32" x14ac:dyDescent="0.25">
      <c r="M67" s="12">
        <f>0.000000015/M65</f>
        <v>0.20019732409209673</v>
      </c>
      <c r="AD67">
        <v>1000</v>
      </c>
      <c r="AE67" s="17">
        <v>350</v>
      </c>
      <c r="AF67" s="17">
        <v>2.8</v>
      </c>
    </row>
  </sheetData>
  <mergeCells count="37">
    <mergeCell ref="V1:V3"/>
    <mergeCell ref="W1:W3"/>
    <mergeCell ref="X1:X3"/>
    <mergeCell ref="Y1:Y3"/>
    <mergeCell ref="R1:R3"/>
    <mergeCell ref="U1:U3"/>
    <mergeCell ref="S1:S4"/>
    <mergeCell ref="T1:T4"/>
    <mergeCell ref="B5:F13"/>
    <mergeCell ref="M1:M3"/>
    <mergeCell ref="N1:N3"/>
    <mergeCell ref="O1:O3"/>
    <mergeCell ref="P1:P3"/>
    <mergeCell ref="Q1:Q3"/>
    <mergeCell ref="AC1:AC3"/>
    <mergeCell ref="AC48:AC50"/>
    <mergeCell ref="Z48:Z50"/>
    <mergeCell ref="AA48:AA50"/>
    <mergeCell ref="AB48:AB50"/>
    <mergeCell ref="Z1:Z3"/>
    <mergeCell ref="AA1:AA3"/>
    <mergeCell ref="AE1:AE3"/>
    <mergeCell ref="AD1:AD3"/>
    <mergeCell ref="AF1:AF3"/>
    <mergeCell ref="Y48:Y50"/>
    <mergeCell ref="C50:I50"/>
    <mergeCell ref="M48:M50"/>
    <mergeCell ref="N48:N50"/>
    <mergeCell ref="O48:O50"/>
    <mergeCell ref="P48:P50"/>
    <mergeCell ref="Q48:Q50"/>
    <mergeCell ref="R48:R50"/>
    <mergeCell ref="U48:U50"/>
    <mergeCell ref="V48:V50"/>
    <mergeCell ref="W48:W50"/>
    <mergeCell ref="X48:X50"/>
    <mergeCell ref="AB1:AB3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5" sqref="N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h0_300nm</vt:lpstr>
      <vt:lpstr>Pc_0p05</vt:lpstr>
      <vt:lpstr>avgFilmThicknesses</vt:lpstr>
      <vt:lpstr>avgFilmThickness_02</vt:lpstr>
      <vt:lpstr>Radoevdata</vt:lpstr>
      <vt:lpstr>RadoevData_basedOnhBy2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Maulik Shah - TNW</dc:creator>
  <cp:lastModifiedBy>Maulik Shah - TNW</cp:lastModifiedBy>
  <dcterms:created xsi:type="dcterms:W3CDTF">2018-08-28T18:08:29Z</dcterms:created>
  <dcterms:modified xsi:type="dcterms:W3CDTF">2018-10-04T19:29:42Z</dcterms:modified>
</cp:coreProperties>
</file>