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23"/>
  <workbookPr/>
  <mc:AlternateContent xmlns:mc="http://schemas.openxmlformats.org/markup-compatibility/2006">
    <mc:Choice Requires="x15">
      <x15ac:absPath xmlns:x15ac="http://schemas.microsoft.com/office/spreadsheetml/2010/11/ac" url="/Users/matthewsavoca/Documents/Research Data/Whale research/"/>
    </mc:Choice>
  </mc:AlternateContent>
  <xr:revisionPtr revIDLastSave="0" documentId="8_{9EAF7CFF-FDD7-A840-BCB6-57F7106FE47D}" xr6:coauthVersionLast="40" xr6:coauthVersionMax="40" xr10:uidLastSave="{00000000-0000-0000-0000-000000000000}"/>
  <bookViews>
    <workbookView xWindow="-4200" yWindow="-24940" windowWidth="35320" windowHeight="20920" xr2:uid="{00000000-000D-0000-FFFF-FFFF00000000}"/>
  </bookViews>
  <sheets>
    <sheet name="Tag Audit" sheetId="1" r:id="rId1"/>
    <sheet name="Summaries" sheetId="6" r:id="rId2"/>
    <sheet name="DataProviders" sheetId="5" r:id="rId3"/>
    <sheet name="Variable Dictionary" sheetId="2" r:id="rId4"/>
    <sheet name="Audit Data -&gt;" sheetId="7" r:id="rId5"/>
  </sheets>
  <definedNames>
    <definedName name="_xlnm._FilterDatabase" localSheetId="0" hidden="1">'Tag Audit'!$A$3:$BD$508</definedName>
    <definedName name="Z_51C2572D_CBA9_42BB_AFB3_00687F2DE6AB_.wvu.FilterData" localSheetId="0" hidden="1">'Tag Audit'!$A$3:$BD$3</definedName>
  </definedNames>
  <calcPr calcId="191029"/>
  <customWorkbookViews>
    <customWorkbookView name="Dave - Personal View" guid="{51C2572D-CBA9-42BB-AFB3-00687F2DE6AB}" mergeInterval="0" personalView="1" xWindow="281" yWindow="1" windowWidth="1500" windowHeight="1018"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29" i="1" l="1"/>
  <c r="O240" i="1"/>
  <c r="O158" i="1"/>
  <c r="Y13" i="1" l="1"/>
  <c r="Y8" i="1" l="1"/>
  <c r="Y254" i="1"/>
  <c r="M130" i="1" l="1"/>
  <c r="O305" i="1"/>
  <c r="O301" i="1"/>
  <c r="M315" i="1" l="1"/>
  <c r="M313" i="1"/>
  <c r="M309" i="1"/>
  <c r="M116" i="1" l="1"/>
  <c r="M115" i="1"/>
  <c r="M112" i="1"/>
  <c r="M111" i="1"/>
  <c r="O157" i="1" l="1"/>
  <c r="O196" i="1"/>
  <c r="O275" i="1"/>
  <c r="O239" i="1"/>
  <c r="O227" i="1"/>
  <c r="O226" i="1"/>
  <c r="A240" i="1"/>
  <c r="O232" i="1"/>
  <c r="O224" i="1"/>
  <c r="O238" i="1"/>
  <c r="O308" i="1"/>
  <c r="O300" i="1"/>
  <c r="O237" i="1"/>
  <c r="O230" i="1"/>
  <c r="A320" i="1" l="1"/>
  <c r="AT320" i="1" l="1"/>
  <c r="K320" i="1" l="1"/>
  <c r="I320" i="1"/>
  <c r="AZ320" i="1"/>
  <c r="AY320" i="1"/>
  <c r="K321" i="1" l="1"/>
  <c r="I321" i="1"/>
  <c r="J321" i="1"/>
  <c r="A321" i="1"/>
  <c r="M231" i="1" l="1"/>
  <c r="O233" i="1" l="1"/>
  <c r="A52" i="1" l="1"/>
  <c r="I52" i="1"/>
  <c r="J52" i="1"/>
  <c r="K52" i="1"/>
  <c r="A110" i="1"/>
  <c r="A112" i="1"/>
  <c r="M110" i="1"/>
  <c r="K112" i="1"/>
  <c r="J112" i="1"/>
  <c r="I112" i="1"/>
  <c r="K110" i="1"/>
  <c r="J110" i="1"/>
  <c r="I110" i="1"/>
  <c r="X112" i="1"/>
  <c r="X110" i="1"/>
  <c r="L110" i="1" l="1"/>
  <c r="L112" i="1"/>
  <c r="K168" i="1" l="1"/>
  <c r="K169" i="1"/>
  <c r="K170" i="1"/>
  <c r="J171" i="1"/>
  <c r="J170" i="1"/>
  <c r="J169" i="1"/>
  <c r="J168" i="1"/>
  <c r="I168" i="1"/>
  <c r="I169" i="1"/>
  <c r="I170" i="1"/>
  <c r="I171" i="1"/>
  <c r="A168" i="1"/>
  <c r="A318" i="1" l="1"/>
  <c r="K318" i="1"/>
  <c r="I318" i="1"/>
  <c r="AZ318" i="1" l="1"/>
  <c r="AY318" i="1"/>
  <c r="A314" i="1" l="1"/>
  <c r="A316" i="1"/>
  <c r="M316" i="1"/>
  <c r="K316" i="1"/>
  <c r="J316" i="1"/>
  <c r="I316" i="1"/>
  <c r="N314" i="1"/>
  <c r="AY314" i="1"/>
  <c r="X314" i="1"/>
  <c r="K314" i="1"/>
  <c r="J314" i="1"/>
  <c r="K129" i="1"/>
  <c r="A130" i="1"/>
  <c r="K130" i="1"/>
  <c r="I130" i="1"/>
  <c r="L129" i="1"/>
  <c r="L130" i="1"/>
  <c r="J130" i="1"/>
  <c r="J129" i="1"/>
  <c r="M265" i="1"/>
  <c r="M177" i="1"/>
  <c r="M203" i="1"/>
  <c r="A104" i="1"/>
  <c r="J104" i="1" l="1"/>
  <c r="J320" i="1"/>
  <c r="J318" i="1"/>
  <c r="N321" i="1"/>
  <c r="N319" i="1"/>
  <c r="N320" i="1"/>
  <c r="A319" i="1"/>
  <c r="Q318" i="1" l="1"/>
  <c r="Q320" i="1"/>
  <c r="Q321" i="1"/>
  <c r="AU321" i="1"/>
  <c r="AT321" i="1"/>
  <c r="N317" i="1"/>
  <c r="N318" i="1"/>
  <c r="M107" i="1"/>
  <c r="L107" i="1"/>
  <c r="K107" i="1"/>
  <c r="J107" i="1"/>
  <c r="I107" i="1"/>
  <c r="C107" i="1"/>
  <c r="A107" i="1"/>
  <c r="B107" i="1" s="1"/>
  <c r="C292" i="1" l="1"/>
  <c r="C308" i="1"/>
  <c r="C305" i="1"/>
  <c r="C307" i="1"/>
  <c r="C306" i="1"/>
  <c r="Q508" i="1" l="1"/>
  <c r="R508" i="1" s="1"/>
  <c r="Q507" i="1"/>
  <c r="R507" i="1" s="1"/>
  <c r="Q506" i="1"/>
  <c r="R506" i="1" s="1"/>
  <c r="Q505" i="1"/>
  <c r="R505" i="1" s="1"/>
  <c r="Q504" i="1"/>
  <c r="R504" i="1" s="1"/>
  <c r="Q503" i="1"/>
  <c r="R503" i="1" s="1"/>
  <c r="Q502" i="1"/>
  <c r="R502" i="1" s="1"/>
  <c r="Q501" i="1"/>
  <c r="R501" i="1" s="1"/>
  <c r="Q500" i="1"/>
  <c r="R500" i="1" s="1"/>
  <c r="Q499" i="1"/>
  <c r="R499" i="1" s="1"/>
  <c r="Q498" i="1"/>
  <c r="R498" i="1" s="1"/>
  <c r="Q497" i="1"/>
  <c r="R497" i="1" s="1"/>
  <c r="Q496" i="1"/>
  <c r="R496" i="1" s="1"/>
  <c r="Q495" i="1"/>
  <c r="R495" i="1" s="1"/>
  <c r="Q494" i="1"/>
  <c r="R494" i="1" s="1"/>
  <c r="Q493" i="1"/>
  <c r="R493" i="1" s="1"/>
  <c r="Q492" i="1"/>
  <c r="R492" i="1" s="1"/>
  <c r="Q491" i="1"/>
  <c r="R491" i="1" s="1"/>
  <c r="Q490" i="1"/>
  <c r="R490" i="1" s="1"/>
  <c r="Q489" i="1"/>
  <c r="R489" i="1" s="1"/>
  <c r="Q488" i="1"/>
  <c r="R488" i="1" s="1"/>
  <c r="Q487" i="1"/>
  <c r="R487" i="1" s="1"/>
  <c r="Q486" i="1"/>
  <c r="R486" i="1" s="1"/>
  <c r="Q485" i="1"/>
  <c r="R485" i="1" s="1"/>
  <c r="Q484" i="1"/>
  <c r="R484" i="1" s="1"/>
  <c r="Q483" i="1"/>
  <c r="R483" i="1" s="1"/>
  <c r="Q482" i="1"/>
  <c r="R482" i="1" s="1"/>
  <c r="Q481" i="1"/>
  <c r="R481" i="1" s="1"/>
  <c r="Q480" i="1"/>
  <c r="R480" i="1" s="1"/>
  <c r="Q479" i="1"/>
  <c r="R479" i="1" s="1"/>
  <c r="Q478" i="1"/>
  <c r="R478" i="1" s="1"/>
  <c r="Q477" i="1"/>
  <c r="R477" i="1" s="1"/>
  <c r="Q476" i="1"/>
  <c r="R476" i="1" s="1"/>
  <c r="Q475" i="1"/>
  <c r="R475" i="1" s="1"/>
  <c r="Q474" i="1"/>
  <c r="R474" i="1" s="1"/>
  <c r="Q473" i="1"/>
  <c r="R473" i="1" s="1"/>
  <c r="Q472" i="1"/>
  <c r="R472" i="1" s="1"/>
  <c r="Q471" i="1"/>
  <c r="R471" i="1" s="1"/>
  <c r="Q470" i="1"/>
  <c r="R470" i="1" s="1"/>
  <c r="Q469" i="1"/>
  <c r="R469" i="1" s="1"/>
  <c r="Q468" i="1"/>
  <c r="R468" i="1" s="1"/>
  <c r="Q467" i="1"/>
  <c r="R467" i="1" s="1"/>
  <c r="Q466" i="1"/>
  <c r="R466" i="1" s="1"/>
  <c r="Q465" i="1"/>
  <c r="R465" i="1" s="1"/>
  <c r="Q464" i="1"/>
  <c r="R464" i="1" s="1"/>
  <c r="Q463" i="1"/>
  <c r="R463" i="1" s="1"/>
  <c r="Q462" i="1"/>
  <c r="R462" i="1" s="1"/>
  <c r="Q461" i="1"/>
  <c r="R461" i="1" s="1"/>
  <c r="Q460" i="1"/>
  <c r="R460" i="1" s="1"/>
  <c r="Q459" i="1"/>
  <c r="R459" i="1" s="1"/>
  <c r="Q458" i="1"/>
  <c r="R458" i="1" s="1"/>
  <c r="Q457" i="1"/>
  <c r="R457" i="1" s="1"/>
  <c r="Q456" i="1"/>
  <c r="R456" i="1" s="1"/>
  <c r="Q455" i="1"/>
  <c r="R455" i="1" s="1"/>
  <c r="Q454" i="1"/>
  <c r="R454" i="1" s="1"/>
  <c r="Q453" i="1"/>
  <c r="R453" i="1" s="1"/>
  <c r="Q452" i="1"/>
  <c r="R452" i="1" s="1"/>
  <c r="Q451" i="1"/>
  <c r="R451" i="1" s="1"/>
  <c r="Q450" i="1"/>
  <c r="R450" i="1" s="1"/>
  <c r="Q449" i="1"/>
  <c r="R449" i="1" s="1"/>
  <c r="Q448" i="1"/>
  <c r="R448" i="1" s="1"/>
  <c r="Q447" i="1"/>
  <c r="R447" i="1" s="1"/>
  <c r="Q446" i="1"/>
  <c r="R446" i="1" s="1"/>
  <c r="Q445" i="1"/>
  <c r="R445" i="1" s="1"/>
  <c r="Q444" i="1"/>
  <c r="R444" i="1" s="1"/>
  <c r="Q443" i="1"/>
  <c r="R443" i="1" s="1"/>
  <c r="Q442" i="1"/>
  <c r="R442" i="1" s="1"/>
  <c r="Q441" i="1"/>
  <c r="R441" i="1" s="1"/>
  <c r="Q440" i="1"/>
  <c r="R440" i="1" s="1"/>
  <c r="Q439" i="1"/>
  <c r="R439" i="1" s="1"/>
  <c r="Q438" i="1"/>
  <c r="R438" i="1" s="1"/>
  <c r="Q437" i="1"/>
  <c r="R437" i="1" s="1"/>
  <c r="Q436" i="1"/>
  <c r="R436" i="1" s="1"/>
  <c r="Q435" i="1"/>
  <c r="R435" i="1" s="1"/>
  <c r="Q434" i="1"/>
  <c r="R434" i="1" s="1"/>
  <c r="Q433" i="1"/>
  <c r="R433" i="1" s="1"/>
  <c r="Q432" i="1"/>
  <c r="R432" i="1" s="1"/>
  <c r="Q431" i="1"/>
  <c r="R431" i="1" s="1"/>
  <c r="Q430" i="1"/>
  <c r="R430" i="1" s="1"/>
  <c r="Q429" i="1"/>
  <c r="R429" i="1" s="1"/>
  <c r="Q428" i="1"/>
  <c r="R428" i="1" s="1"/>
  <c r="Q427" i="1"/>
  <c r="R427" i="1" s="1"/>
  <c r="Q426" i="1"/>
  <c r="R426" i="1" s="1"/>
  <c r="Q425" i="1"/>
  <c r="R425" i="1" s="1"/>
  <c r="Q424" i="1"/>
  <c r="R424" i="1" s="1"/>
  <c r="Q423" i="1"/>
  <c r="R423" i="1" s="1"/>
  <c r="Q422" i="1"/>
  <c r="R422" i="1" s="1"/>
  <c r="Q421" i="1"/>
  <c r="R421" i="1" s="1"/>
  <c r="Q420" i="1"/>
  <c r="R420" i="1" s="1"/>
  <c r="Q419" i="1"/>
  <c r="R419" i="1" s="1"/>
  <c r="Q418" i="1"/>
  <c r="R418" i="1" s="1"/>
  <c r="Q417" i="1"/>
  <c r="R417" i="1" s="1"/>
  <c r="Q416" i="1"/>
  <c r="R416" i="1" s="1"/>
  <c r="Q415" i="1"/>
  <c r="R415" i="1" s="1"/>
  <c r="Q414" i="1"/>
  <c r="R414" i="1" s="1"/>
  <c r="Q413" i="1"/>
  <c r="R413" i="1" s="1"/>
  <c r="Q412" i="1"/>
  <c r="R412" i="1" s="1"/>
  <c r="Q411" i="1"/>
  <c r="R411" i="1" s="1"/>
  <c r="Q410" i="1"/>
  <c r="R410" i="1" s="1"/>
  <c r="Q409" i="1"/>
  <c r="R409" i="1" s="1"/>
  <c r="Q408" i="1"/>
  <c r="R408" i="1" s="1"/>
  <c r="Q407" i="1"/>
  <c r="R407" i="1" s="1"/>
  <c r="Q406" i="1"/>
  <c r="R406" i="1" s="1"/>
  <c r="Q405" i="1"/>
  <c r="R405" i="1" s="1"/>
  <c r="Q404" i="1"/>
  <c r="R404" i="1" s="1"/>
  <c r="Q403" i="1"/>
  <c r="R403" i="1" s="1"/>
  <c r="Q402" i="1"/>
  <c r="R402" i="1" s="1"/>
  <c r="Q401" i="1"/>
  <c r="R401" i="1" s="1"/>
  <c r="Q400" i="1"/>
  <c r="R400" i="1" s="1"/>
  <c r="Q399" i="1"/>
  <c r="R399" i="1" s="1"/>
  <c r="Q398" i="1"/>
  <c r="R398" i="1" s="1"/>
  <c r="Q397" i="1"/>
  <c r="R397" i="1" s="1"/>
  <c r="Q396" i="1"/>
  <c r="R396" i="1" s="1"/>
  <c r="Q395" i="1"/>
  <c r="R395" i="1" s="1"/>
  <c r="Q394" i="1"/>
  <c r="R394" i="1" s="1"/>
  <c r="Q393" i="1"/>
  <c r="R393" i="1" s="1"/>
  <c r="Q392" i="1"/>
  <c r="R392" i="1" s="1"/>
  <c r="Q391" i="1"/>
  <c r="R391" i="1" s="1"/>
  <c r="Q390" i="1"/>
  <c r="R390" i="1" s="1"/>
  <c r="Q389" i="1"/>
  <c r="R389" i="1" s="1"/>
  <c r="Q388" i="1"/>
  <c r="R388" i="1" s="1"/>
  <c r="Q387" i="1"/>
  <c r="R387" i="1" s="1"/>
  <c r="Q386" i="1"/>
  <c r="R386" i="1" s="1"/>
  <c r="Q385" i="1"/>
  <c r="R385" i="1" s="1"/>
  <c r="Q384" i="1"/>
  <c r="R384" i="1" s="1"/>
  <c r="Q383" i="1"/>
  <c r="R383" i="1" s="1"/>
  <c r="Q382" i="1"/>
  <c r="R382" i="1" s="1"/>
  <c r="Q381" i="1"/>
  <c r="R381" i="1" s="1"/>
  <c r="Q380" i="1"/>
  <c r="R380" i="1" s="1"/>
  <c r="Q379" i="1"/>
  <c r="R379" i="1" s="1"/>
  <c r="Q378" i="1"/>
  <c r="R378" i="1" s="1"/>
  <c r="Q377" i="1"/>
  <c r="R377" i="1" s="1"/>
  <c r="Q376" i="1"/>
  <c r="R376" i="1" s="1"/>
  <c r="Q375" i="1"/>
  <c r="R375" i="1" s="1"/>
  <c r="Q374" i="1"/>
  <c r="R374" i="1" s="1"/>
  <c r="Q373" i="1"/>
  <c r="R373" i="1" s="1"/>
  <c r="Q372" i="1"/>
  <c r="R372" i="1" s="1"/>
  <c r="Q371" i="1"/>
  <c r="R371" i="1" s="1"/>
  <c r="Q370" i="1"/>
  <c r="R370" i="1" s="1"/>
  <c r="Q369" i="1"/>
  <c r="R369" i="1" s="1"/>
  <c r="Q368" i="1"/>
  <c r="R368" i="1" s="1"/>
  <c r="Q367" i="1"/>
  <c r="R367" i="1" s="1"/>
  <c r="Q366" i="1"/>
  <c r="R366" i="1" s="1"/>
  <c r="Q365" i="1"/>
  <c r="R365" i="1" s="1"/>
  <c r="Q364" i="1"/>
  <c r="R364" i="1" s="1"/>
  <c r="Q363" i="1"/>
  <c r="R363" i="1" s="1"/>
  <c r="Q362" i="1"/>
  <c r="R362" i="1" s="1"/>
  <c r="Q361" i="1"/>
  <c r="R361" i="1" s="1"/>
  <c r="Q360" i="1"/>
  <c r="R360" i="1" s="1"/>
  <c r="Q359" i="1"/>
  <c r="R359" i="1" s="1"/>
  <c r="Q358" i="1"/>
  <c r="R358" i="1" s="1"/>
  <c r="Q357" i="1"/>
  <c r="R357" i="1" s="1"/>
  <c r="Q356" i="1"/>
  <c r="R356" i="1" s="1"/>
  <c r="Q355" i="1"/>
  <c r="R355" i="1" s="1"/>
  <c r="Q354" i="1"/>
  <c r="R354" i="1" s="1"/>
  <c r="Q353" i="1"/>
  <c r="R353" i="1" s="1"/>
  <c r="Q352" i="1"/>
  <c r="R352" i="1" s="1"/>
  <c r="Q351" i="1"/>
  <c r="R351" i="1" s="1"/>
  <c r="Q350" i="1"/>
  <c r="R350" i="1" s="1"/>
  <c r="Q349" i="1"/>
  <c r="R349" i="1" s="1"/>
  <c r="Q348" i="1"/>
  <c r="R348" i="1" s="1"/>
  <c r="Q347" i="1"/>
  <c r="R347" i="1" s="1"/>
  <c r="Q346" i="1"/>
  <c r="R346" i="1" s="1"/>
  <c r="Q345" i="1"/>
  <c r="R345" i="1" s="1"/>
  <c r="Q344" i="1"/>
  <c r="R344" i="1" s="1"/>
  <c r="Q343" i="1"/>
  <c r="R343" i="1" s="1"/>
  <c r="Q342" i="1"/>
  <c r="R342" i="1" s="1"/>
  <c r="Q341" i="1"/>
  <c r="R341" i="1" s="1"/>
  <c r="Q340" i="1"/>
  <c r="R340" i="1" s="1"/>
  <c r="Q339" i="1"/>
  <c r="R339" i="1" s="1"/>
  <c r="Q338" i="1"/>
  <c r="R338" i="1" s="1"/>
  <c r="Q337" i="1"/>
  <c r="R337" i="1" s="1"/>
  <c r="Q336" i="1"/>
  <c r="R336" i="1" s="1"/>
  <c r="Q335" i="1"/>
  <c r="R335" i="1" s="1"/>
  <c r="Q334" i="1"/>
  <c r="R334" i="1" s="1"/>
  <c r="Q333" i="1"/>
  <c r="R333" i="1" s="1"/>
  <c r="Q332" i="1"/>
  <c r="R332" i="1" s="1"/>
  <c r="Q331" i="1"/>
  <c r="R331" i="1" s="1"/>
  <c r="Q330" i="1"/>
  <c r="R330" i="1" s="1"/>
  <c r="Q329" i="1"/>
  <c r="R329" i="1" s="1"/>
  <c r="Q328" i="1"/>
  <c r="R328" i="1" s="1"/>
  <c r="Q327" i="1"/>
  <c r="R327" i="1" s="1"/>
  <c r="Q326" i="1"/>
  <c r="R326" i="1" s="1"/>
  <c r="Q325" i="1"/>
  <c r="R325" i="1" s="1"/>
  <c r="Q324" i="1"/>
  <c r="R324" i="1" s="1"/>
  <c r="Q323" i="1"/>
  <c r="R323" i="1" s="1"/>
  <c r="Q316" i="1"/>
  <c r="Q314" i="1"/>
  <c r="S314" i="1" s="1"/>
  <c r="Q130" i="1"/>
  <c r="Q129" i="1"/>
  <c r="Q127" i="1"/>
  <c r="S127" i="1" s="1"/>
  <c r="Q112" i="1"/>
  <c r="S112" i="1" s="1"/>
  <c r="Q110" i="1"/>
  <c r="S110" i="1" s="1"/>
  <c r="Q107" i="1"/>
  <c r="S107" i="1" s="1"/>
  <c r="Q105" i="1"/>
  <c r="S105" i="1" s="1"/>
  <c r="Q104" i="1"/>
  <c r="Q52" i="1"/>
  <c r="S52" i="1" s="1"/>
  <c r="S321" i="1"/>
  <c r="S320" i="1"/>
  <c r="S318" i="1"/>
  <c r="S317" i="1"/>
  <c r="Q282" i="1"/>
  <c r="Q275" i="1"/>
  <c r="S268" i="1"/>
  <c r="S266" i="1"/>
  <c r="S265" i="1"/>
  <c r="S264" i="1"/>
  <c r="S263" i="1"/>
  <c r="S261" i="1"/>
  <c r="S260" i="1"/>
  <c r="S259" i="1"/>
  <c r="S258" i="1"/>
  <c r="S257" i="1"/>
  <c r="S256" i="1"/>
  <c r="S255" i="1"/>
  <c r="S254" i="1"/>
  <c r="S253" i="1"/>
  <c r="S245" i="1"/>
  <c r="S244" i="1"/>
  <c r="S243" i="1"/>
  <c r="S242" i="1"/>
  <c r="S241" i="1"/>
  <c r="S240" i="1"/>
  <c r="S239" i="1"/>
  <c r="S238" i="1"/>
  <c r="S236" i="1"/>
  <c r="S235" i="1"/>
  <c r="S233" i="1"/>
  <c r="S232" i="1"/>
  <c r="S231" i="1"/>
  <c r="S230" i="1"/>
  <c r="S229" i="1"/>
  <c r="S228" i="1"/>
  <c r="S227" i="1"/>
  <c r="S226" i="1"/>
  <c r="S225" i="1"/>
  <c r="S224" i="1"/>
  <c r="S218" i="1"/>
  <c r="S216" i="1"/>
  <c r="S214" i="1"/>
  <c r="S212" i="1"/>
  <c r="S211" i="1"/>
  <c r="S210" i="1"/>
  <c r="S209" i="1"/>
  <c r="S208" i="1"/>
  <c r="S207" i="1"/>
  <c r="S206" i="1"/>
  <c r="S205" i="1"/>
  <c r="S204" i="1"/>
  <c r="S202" i="1"/>
  <c r="S201" i="1"/>
  <c r="S200" i="1"/>
  <c r="S199" i="1"/>
  <c r="S198" i="1"/>
  <c r="S197" i="1"/>
  <c r="S196" i="1"/>
  <c r="S194" i="1"/>
  <c r="S193" i="1"/>
  <c r="S192" i="1"/>
  <c r="S191" i="1"/>
  <c r="S190" i="1"/>
  <c r="S189" i="1"/>
  <c r="S187" i="1"/>
  <c r="S184" i="1"/>
  <c r="S182" i="1"/>
  <c r="S181" i="1"/>
  <c r="S180" i="1"/>
  <c r="S179" i="1"/>
  <c r="S178" i="1"/>
  <c r="S177" i="1"/>
  <c r="S176" i="1"/>
  <c r="S175" i="1"/>
  <c r="S174" i="1"/>
  <c r="S173" i="1"/>
  <c r="S172" i="1"/>
  <c r="S167" i="1"/>
  <c r="S166" i="1"/>
  <c r="S163" i="1"/>
  <c r="S162" i="1"/>
  <c r="S161" i="1"/>
  <c r="S160" i="1"/>
  <c r="S159" i="1"/>
  <c r="S158" i="1"/>
  <c r="S156" i="1"/>
  <c r="S155" i="1"/>
  <c r="S154" i="1"/>
  <c r="S152" i="1"/>
  <c r="S151" i="1"/>
  <c r="S150" i="1"/>
  <c r="S149" i="1"/>
  <c r="S148" i="1"/>
  <c r="S147" i="1"/>
  <c r="S146" i="1"/>
  <c r="S145" i="1"/>
  <c r="S144" i="1"/>
  <c r="S143" i="1"/>
  <c r="S142" i="1"/>
  <c r="S141" i="1"/>
  <c r="S139" i="1"/>
  <c r="S138" i="1"/>
  <c r="S137" i="1"/>
  <c r="S136" i="1"/>
  <c r="S135" i="1"/>
  <c r="S134" i="1"/>
  <c r="S132" i="1"/>
  <c r="S131" i="1"/>
  <c r="Q99" i="1"/>
  <c r="S99" i="1" s="1"/>
  <c r="S97" i="1"/>
  <c r="S96" i="1"/>
  <c r="S95" i="1"/>
  <c r="S94" i="1"/>
  <c r="S91" i="1"/>
  <c r="S90" i="1"/>
  <c r="S87" i="1"/>
  <c r="S86" i="1"/>
  <c r="S85" i="1"/>
  <c r="S83" i="1"/>
  <c r="S82" i="1"/>
  <c r="S81" i="1"/>
  <c r="S80" i="1"/>
  <c r="S72" i="1"/>
  <c r="S71" i="1"/>
  <c r="S70" i="1"/>
  <c r="S69" i="1"/>
  <c r="S68" i="1"/>
  <c r="S67" i="1"/>
  <c r="S66" i="1"/>
  <c r="S65" i="1"/>
  <c r="S64" i="1"/>
  <c r="S63" i="1"/>
  <c r="S62" i="1"/>
  <c r="S61" i="1"/>
  <c r="S60" i="1"/>
  <c r="S59" i="1"/>
  <c r="S58" i="1"/>
  <c r="S57" i="1"/>
  <c r="S56" i="1"/>
  <c r="S55" i="1"/>
  <c r="S54" i="1"/>
  <c r="S76" i="1"/>
  <c r="S75" i="1"/>
  <c r="Q45" i="1"/>
  <c r="S45" i="1" s="1"/>
  <c r="Q43" i="1"/>
  <c r="S43" i="1" s="1"/>
  <c r="Q42" i="1"/>
  <c r="S42" i="1" s="1"/>
  <c r="S37" i="1"/>
  <c r="S36" i="1"/>
  <c r="S35" i="1"/>
  <c r="S34" i="1"/>
  <c r="S33" i="1"/>
  <c r="S32" i="1"/>
  <c r="S31" i="1"/>
  <c r="S30" i="1"/>
  <c r="S29" i="1"/>
  <c r="S28" i="1"/>
  <c r="S27" i="1"/>
  <c r="S26" i="1"/>
  <c r="S25" i="1"/>
  <c r="S24" i="1"/>
  <c r="S23" i="1"/>
  <c r="Q17" i="1"/>
  <c r="S17" i="1" s="1"/>
  <c r="Q16" i="1"/>
  <c r="S16" i="1" s="1"/>
  <c r="S12" i="1"/>
  <c r="S11" i="1"/>
  <c r="S10" i="1"/>
  <c r="S9" i="1"/>
  <c r="S8" i="1"/>
  <c r="S7" i="1"/>
  <c r="S6" i="1"/>
  <c r="S5" i="1"/>
  <c r="S4" i="1"/>
  <c r="S13" i="1"/>
  <c r="A294" i="1"/>
  <c r="Q294" i="1" s="1"/>
  <c r="S294" i="1" s="1"/>
  <c r="X294" i="1"/>
  <c r="A293" i="1"/>
  <c r="Q293" i="1" s="1"/>
  <c r="S293" i="1" s="1"/>
  <c r="N293" i="1"/>
  <c r="N294" i="1"/>
  <c r="K293" i="1"/>
  <c r="J293" i="1"/>
  <c r="I293" i="1"/>
  <c r="K294" i="1"/>
  <c r="J294" i="1"/>
  <c r="I294" i="1"/>
  <c r="U107" i="1"/>
  <c r="V107" i="1"/>
  <c r="X304" i="1"/>
  <c r="L304" i="1"/>
  <c r="K304" i="1"/>
  <c r="J304" i="1"/>
  <c r="I304" i="1"/>
  <c r="A304" i="1"/>
  <c r="Q304" i="1" s="1"/>
  <c r="S304" i="1" s="1"/>
  <c r="X303" i="1"/>
  <c r="A303" i="1"/>
  <c r="Q303" i="1" s="1"/>
  <c r="S303" i="1" s="1"/>
  <c r="M303" i="1"/>
  <c r="L303" i="1"/>
  <c r="K303" i="1"/>
  <c r="J303" i="1"/>
  <c r="I303" i="1"/>
  <c r="L111" i="1"/>
  <c r="A111" i="1"/>
  <c r="Q111" i="1" s="1"/>
  <c r="S111" i="1" s="1"/>
  <c r="K111" i="1"/>
  <c r="J111" i="1"/>
  <c r="I111" i="1"/>
  <c r="C111" i="1"/>
  <c r="M114" i="1" l="1"/>
  <c r="M113" i="1"/>
  <c r="L108" i="1"/>
  <c r="K108" i="1"/>
  <c r="J108" i="1"/>
  <c r="I108" i="1"/>
  <c r="A108" i="1"/>
  <c r="Q108" i="1" s="1"/>
  <c r="S108" i="1" s="1"/>
  <c r="O296" i="1"/>
  <c r="M302" i="1"/>
  <c r="M301" i="1"/>
  <c r="M298" i="1"/>
  <c r="M297" i="1"/>
  <c r="M296" i="1"/>
  <c r="M295" i="1"/>
  <c r="M126" i="1"/>
  <c r="M125" i="1"/>
  <c r="M124" i="1"/>
  <c r="M123" i="1"/>
  <c r="M122" i="1"/>
  <c r="M121" i="1"/>
  <c r="M120" i="1"/>
  <c r="M119" i="1"/>
  <c r="M118" i="1"/>
  <c r="M117" i="1"/>
  <c r="M108" i="1"/>
  <c r="M106" i="1"/>
  <c r="M103" i="1"/>
  <c r="M102" i="1"/>
  <c r="M100" i="1"/>
  <c r="M53" i="1"/>
  <c r="M51" i="1"/>
  <c r="O295" i="1" l="1"/>
  <c r="A295" i="1"/>
  <c r="Q295" i="1" s="1"/>
  <c r="V289" i="1"/>
  <c r="U289" i="1"/>
  <c r="X284" i="1" l="1"/>
  <c r="L291" i="1"/>
  <c r="J290" i="1"/>
  <c r="L288" i="1"/>
  <c r="L286" i="1"/>
  <c r="L285" i="1"/>
  <c r="L284" i="1"/>
  <c r="K281" i="1"/>
  <c r="K290" i="1"/>
  <c r="K289" i="1"/>
  <c r="K282" i="1"/>
  <c r="K280" i="1"/>
  <c r="K279" i="1"/>
  <c r="K278" i="1"/>
  <c r="L278" i="1"/>
  <c r="A291" i="1"/>
  <c r="Q291" i="1" s="1"/>
  <c r="S291" i="1" s="1"/>
  <c r="A290" i="1"/>
  <c r="Q290" i="1" s="1"/>
  <c r="S290" i="1" s="1"/>
  <c r="A289" i="1"/>
  <c r="Q289" i="1" s="1"/>
  <c r="S289" i="1" s="1"/>
  <c r="A288" i="1"/>
  <c r="Q288" i="1" s="1"/>
  <c r="S288" i="1" s="1"/>
  <c r="A287" i="1"/>
  <c r="Q287" i="1" s="1"/>
  <c r="S287" i="1" s="1"/>
  <c r="A286" i="1"/>
  <c r="Q286" i="1" s="1"/>
  <c r="S286" i="1" s="1"/>
  <c r="A285" i="1"/>
  <c r="Q285" i="1" s="1"/>
  <c r="S285" i="1" s="1"/>
  <c r="A284" i="1"/>
  <c r="Q284" i="1" s="1"/>
  <c r="S284" i="1" s="1"/>
  <c r="A278" i="1"/>
  <c r="Q278" i="1" s="1"/>
  <c r="S278" i="1" s="1"/>
  <c r="A279" i="1"/>
  <c r="Q279" i="1" s="1"/>
  <c r="S279" i="1" s="1"/>
  <c r="A280" i="1"/>
  <c r="Q280" i="1" s="1"/>
  <c r="S280" i="1" s="1"/>
  <c r="A281" i="1"/>
  <c r="Q281" i="1" s="1"/>
  <c r="S281" i="1" s="1"/>
  <c r="C289" i="1" l="1"/>
  <c r="J289" i="1"/>
  <c r="I290" i="1"/>
  <c r="I289" i="1"/>
  <c r="K291" i="1"/>
  <c r="J291" i="1"/>
  <c r="I291" i="1"/>
  <c r="K288" i="1"/>
  <c r="J288" i="1"/>
  <c r="I288" i="1"/>
  <c r="K287" i="1"/>
  <c r="J287" i="1"/>
  <c r="I287" i="1"/>
  <c r="K286" i="1"/>
  <c r="J286" i="1"/>
  <c r="I286" i="1"/>
  <c r="K285" i="1"/>
  <c r="J285" i="1"/>
  <c r="I285" i="1"/>
  <c r="K284" i="1"/>
  <c r="J284" i="1"/>
  <c r="I284" i="1"/>
  <c r="K283" i="1"/>
  <c r="J283" i="1"/>
  <c r="I283" i="1"/>
  <c r="J282" i="1"/>
  <c r="I282" i="1"/>
  <c r="J281" i="1"/>
  <c r="I281" i="1"/>
  <c r="J280" i="1"/>
  <c r="I280" i="1"/>
  <c r="J279" i="1"/>
  <c r="I279" i="1"/>
  <c r="J278" i="1"/>
  <c r="I278" i="1"/>
  <c r="V278" i="1"/>
  <c r="X288" i="1"/>
  <c r="X287" i="1"/>
  <c r="X286" i="1"/>
  <c r="X283" i="1"/>
  <c r="X280" i="1"/>
  <c r="N289" i="1" l="1"/>
  <c r="O303" i="1" l="1"/>
  <c r="O304" i="1"/>
  <c r="O316" i="1"/>
  <c r="O298" i="1"/>
  <c r="O310" i="1"/>
  <c r="O302" i="1"/>
  <c r="O299" i="1"/>
  <c r="O297" i="1"/>
  <c r="O313" i="1"/>
  <c r="O315" i="1"/>
  <c r="O312" i="1"/>
  <c r="O309" i="1"/>
  <c r="K295" i="1"/>
  <c r="N304" i="1"/>
  <c r="N303" i="1"/>
  <c r="N302" i="1"/>
  <c r="N301" i="1"/>
  <c r="N300" i="1"/>
  <c r="N299" i="1"/>
  <c r="N298" i="1"/>
  <c r="N297" i="1"/>
  <c r="N296" i="1"/>
  <c r="N295"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53" i="1"/>
  <c r="N52" i="1"/>
  <c r="N51" i="1"/>
  <c r="L101" i="1" l="1"/>
  <c r="K101" i="1"/>
  <c r="J101" i="1"/>
  <c r="I101" i="1"/>
  <c r="A101" i="1"/>
  <c r="Q101" i="1" s="1"/>
  <c r="S101" i="1" s="1"/>
  <c r="K319" i="1" l="1"/>
  <c r="I319" i="1"/>
  <c r="M241" i="1" l="1"/>
  <c r="M239" i="1"/>
  <c r="M235" i="1"/>
  <c r="M234" i="1"/>
  <c r="M230" i="1"/>
  <c r="M229" i="1"/>
  <c r="M228" i="1"/>
  <c r="M226" i="1"/>
  <c r="M225" i="1"/>
  <c r="M224" i="1"/>
  <c r="M50" i="1"/>
  <c r="M49" i="1"/>
  <c r="M46" i="1"/>
  <c r="M47" i="1"/>
  <c r="M48" i="1"/>
  <c r="M44" i="1"/>
  <c r="M99" i="1"/>
  <c r="M98" i="1"/>
  <c r="M96" i="1"/>
  <c r="M93" i="1"/>
  <c r="M92" i="1"/>
  <c r="M91" i="1"/>
  <c r="M90" i="1"/>
  <c r="M84" i="1"/>
  <c r="M89" i="1"/>
  <c r="M87" i="1"/>
  <c r="M86" i="1"/>
  <c r="M85" i="1"/>
  <c r="M82" i="1"/>
  <c r="X308" i="1"/>
  <c r="A308" i="1"/>
  <c r="Q308" i="1" s="1"/>
  <c r="S308" i="1" s="1"/>
  <c r="A307" i="1"/>
  <c r="Q307" i="1" s="1"/>
  <c r="S307" i="1" s="1"/>
  <c r="N308" i="1"/>
  <c r="N307" i="1"/>
  <c r="K308" i="1"/>
  <c r="J308" i="1"/>
  <c r="I308" i="1"/>
  <c r="L307" i="1"/>
  <c r="L308" i="1"/>
  <c r="K307" i="1"/>
  <c r="J307" i="1"/>
  <c r="I307" i="1"/>
  <c r="X306" i="1"/>
  <c r="A306" i="1"/>
  <c r="Q306" i="1" s="1"/>
  <c r="S306" i="1" s="1"/>
  <c r="N306" i="1"/>
  <c r="N305" i="1"/>
  <c r="L306" i="1"/>
  <c r="K306" i="1"/>
  <c r="J306" i="1"/>
  <c r="I306" i="1"/>
  <c r="A125" i="1"/>
  <c r="Q125" i="1" s="1"/>
  <c r="S125" i="1" s="1"/>
  <c r="B125" i="1"/>
  <c r="A124" i="1"/>
  <c r="Q124" i="1" s="1"/>
  <c r="S124" i="1" s="1"/>
  <c r="R124" i="1"/>
  <c r="L124" i="1"/>
  <c r="AZ125" i="1"/>
  <c r="AY125" i="1"/>
  <c r="AU125" i="1"/>
  <c r="AT125" i="1"/>
  <c r="X125" i="1"/>
  <c r="V125" i="1"/>
  <c r="U125" i="1"/>
  <c r="K125" i="1"/>
  <c r="J125" i="1"/>
  <c r="I125" i="1"/>
  <c r="C125" i="1"/>
  <c r="V124" i="1"/>
  <c r="U124" i="1"/>
  <c r="K124" i="1"/>
  <c r="J124" i="1"/>
  <c r="I124" i="1"/>
  <c r="C124" i="1"/>
  <c r="A115" i="1"/>
  <c r="Q115" i="1" s="1"/>
  <c r="S115" i="1" s="1"/>
  <c r="B115" i="1"/>
  <c r="L115" i="1"/>
  <c r="V115" i="1"/>
  <c r="U115" i="1"/>
  <c r="K115" i="1"/>
  <c r="J115" i="1"/>
  <c r="I115" i="1"/>
  <c r="C115" i="1"/>
  <c r="R115" i="1"/>
  <c r="V302" i="1"/>
  <c r="U302" i="1"/>
  <c r="K302" i="1"/>
  <c r="J302" i="1"/>
  <c r="I302" i="1"/>
  <c r="C302" i="1"/>
  <c r="A302" i="1"/>
  <c r="Q302" i="1" s="1"/>
  <c r="S302" i="1" s="1"/>
  <c r="B302" i="1"/>
  <c r="V299" i="1"/>
  <c r="U299" i="1"/>
  <c r="K299" i="1"/>
  <c r="J299" i="1"/>
  <c r="I299" i="1"/>
  <c r="C299" i="1"/>
  <c r="A299" i="1"/>
  <c r="Q299" i="1" s="1"/>
  <c r="S299" i="1" s="1"/>
  <c r="B299" i="1"/>
  <c r="V296" i="1"/>
  <c r="U296" i="1"/>
  <c r="L296" i="1"/>
  <c r="K296" i="1"/>
  <c r="J296" i="1"/>
  <c r="I296" i="1"/>
  <c r="C296" i="1"/>
  <c r="A296" i="1"/>
  <c r="Q296" i="1" s="1"/>
  <c r="S296" i="1" s="1"/>
  <c r="AZ319" i="1"/>
  <c r="AY319" i="1"/>
  <c r="AU319" i="1"/>
  <c r="AT319" i="1"/>
  <c r="J319" i="1"/>
  <c r="AU320" i="1"/>
  <c r="X114" i="1"/>
  <c r="L114" i="1"/>
  <c r="K114" i="1"/>
  <c r="J114" i="1"/>
  <c r="I114" i="1"/>
  <c r="A114" i="1"/>
  <c r="Q114" i="1" s="1"/>
  <c r="S114" i="1" s="1"/>
  <c r="K51" i="1"/>
  <c r="J51" i="1"/>
  <c r="I51" i="1"/>
  <c r="A51" i="1"/>
  <c r="Q51" i="1" s="1"/>
  <c r="S51" i="1" s="1"/>
  <c r="AZ317" i="1"/>
  <c r="AY317" i="1"/>
  <c r="AU318" i="1"/>
  <c r="AT318" i="1"/>
  <c r="AU317" i="1"/>
  <c r="AT317" i="1"/>
  <c r="V321" i="1"/>
  <c r="U321" i="1"/>
  <c r="V319" i="1"/>
  <c r="U319" i="1"/>
  <c r="V320" i="1"/>
  <c r="U320" i="1"/>
  <c r="V318" i="1"/>
  <c r="U318" i="1"/>
  <c r="C321" i="1"/>
  <c r="C319" i="1"/>
  <c r="C320" i="1"/>
  <c r="C318" i="1"/>
  <c r="B321" i="1"/>
  <c r="B319" i="1"/>
  <c r="B320" i="1"/>
  <c r="B318" i="1"/>
  <c r="X305" i="1"/>
  <c r="L305" i="1"/>
  <c r="K305" i="1"/>
  <c r="I305" i="1"/>
  <c r="L51" i="1"/>
  <c r="X51" i="1"/>
  <c r="X128" i="1"/>
  <c r="J305" i="1"/>
  <c r="A305" i="1"/>
  <c r="Q305" i="1" s="1"/>
  <c r="S305" i="1" s="1"/>
  <c r="Y9" i="1"/>
  <c r="R289" i="1"/>
  <c r="A297" i="1"/>
  <c r="Q297" i="1" s="1"/>
  <c r="S297" i="1" s="1"/>
  <c r="V297" i="1"/>
  <c r="U297" i="1"/>
  <c r="L297" i="1"/>
  <c r="K297" i="1"/>
  <c r="J297" i="1"/>
  <c r="I297" i="1"/>
  <c r="C297" i="1"/>
  <c r="B297" i="1"/>
  <c r="X103" i="1"/>
  <c r="V103" i="1"/>
  <c r="U103" i="1"/>
  <c r="A103" i="1"/>
  <c r="Q103" i="1" s="1"/>
  <c r="S103" i="1" s="1"/>
  <c r="L103" i="1"/>
  <c r="K103" i="1"/>
  <c r="J103" i="1"/>
  <c r="I103" i="1"/>
  <c r="C103" i="1"/>
  <c r="X102" i="1"/>
  <c r="V102" i="1"/>
  <c r="U102" i="1"/>
  <c r="A102" i="1"/>
  <c r="Q102" i="1" s="1"/>
  <c r="S102" i="1" s="1"/>
  <c r="L102" i="1"/>
  <c r="K102" i="1"/>
  <c r="J102" i="1"/>
  <c r="I102" i="1"/>
  <c r="C102" i="1"/>
  <c r="L119" i="1"/>
  <c r="X119" i="1"/>
  <c r="V119" i="1"/>
  <c r="U119" i="1"/>
  <c r="A119" i="1"/>
  <c r="Q119" i="1" s="1"/>
  <c r="S119" i="1" s="1"/>
  <c r="K119" i="1"/>
  <c r="J119" i="1"/>
  <c r="I119" i="1"/>
  <c r="C119" i="1"/>
  <c r="B119" i="1"/>
  <c r="AZ109" i="1"/>
  <c r="AY109" i="1"/>
  <c r="X109" i="1"/>
  <c r="V109" i="1"/>
  <c r="U109" i="1"/>
  <c r="A109" i="1"/>
  <c r="Q109" i="1" s="1"/>
  <c r="S109" i="1" s="1"/>
  <c r="L109" i="1"/>
  <c r="K109" i="1"/>
  <c r="J109" i="1"/>
  <c r="I109" i="1"/>
  <c r="C109" i="1"/>
  <c r="V314" i="1"/>
  <c r="W314" i="1" s="1"/>
  <c r="A311" i="1"/>
  <c r="Q311" i="1" s="1"/>
  <c r="S311" i="1" s="1"/>
  <c r="I311" i="1"/>
  <c r="V311" i="1"/>
  <c r="W311" i="1" s="1"/>
  <c r="X311" i="1"/>
  <c r="J311" i="1"/>
  <c r="N316" i="1"/>
  <c r="N315" i="1"/>
  <c r="L315" i="1"/>
  <c r="J315" i="1"/>
  <c r="N312" i="1"/>
  <c r="L312" i="1"/>
  <c r="J312" i="1"/>
  <c r="N311" i="1"/>
  <c r="N313" i="1"/>
  <c r="L313" i="1"/>
  <c r="J313" i="1"/>
  <c r="N310" i="1"/>
  <c r="L310" i="1"/>
  <c r="J310" i="1"/>
  <c r="N309" i="1"/>
  <c r="L309" i="1"/>
  <c r="J309" i="1"/>
  <c r="N130" i="1"/>
  <c r="N129" i="1"/>
  <c r="N128" i="1"/>
  <c r="L128" i="1"/>
  <c r="J128" i="1"/>
  <c r="N127" i="1"/>
  <c r="L127" i="1"/>
  <c r="J127" i="1"/>
  <c r="L301" i="1"/>
  <c r="L295" i="1"/>
  <c r="L126" i="1"/>
  <c r="L123" i="1"/>
  <c r="L118" i="1"/>
  <c r="L117" i="1"/>
  <c r="L116" i="1"/>
  <c r="L113" i="1"/>
  <c r="L106" i="1"/>
  <c r="K106" i="1"/>
  <c r="J106" i="1"/>
  <c r="I106" i="1"/>
  <c r="L105" i="1"/>
  <c r="K105" i="1"/>
  <c r="J105" i="1"/>
  <c r="I105" i="1"/>
  <c r="L100" i="1"/>
  <c r="L53" i="1"/>
  <c r="L293" i="1"/>
  <c r="L294" i="1"/>
  <c r="N292" i="1"/>
  <c r="L292" i="1"/>
  <c r="J292" i="1"/>
  <c r="N291" i="1"/>
  <c r="N290" i="1"/>
  <c r="N288" i="1"/>
  <c r="N287" i="1"/>
  <c r="N286" i="1"/>
  <c r="N285" i="1"/>
  <c r="N284" i="1"/>
  <c r="N283" i="1"/>
  <c r="L283" i="1"/>
  <c r="N282" i="1"/>
  <c r="N281" i="1"/>
  <c r="N280" i="1"/>
  <c r="N279" i="1"/>
  <c r="N278" i="1"/>
  <c r="L203" i="1"/>
  <c r="X196" i="1"/>
  <c r="L195" i="1"/>
  <c r="L194" i="1"/>
  <c r="L193" i="1"/>
  <c r="Y81" i="1"/>
  <c r="Y80" i="1"/>
  <c r="L76" i="1"/>
  <c r="L75" i="1"/>
  <c r="L73" i="1"/>
  <c r="I128" i="1"/>
  <c r="A128" i="1"/>
  <c r="Q128" i="1" s="1"/>
  <c r="S128" i="1" s="1"/>
  <c r="K128" i="1"/>
  <c r="V127" i="1"/>
  <c r="W127" i="1" s="1"/>
  <c r="K127" i="1"/>
  <c r="I127" i="1"/>
  <c r="X313" i="1"/>
  <c r="A313" i="1"/>
  <c r="Q313" i="1" s="1"/>
  <c r="S313" i="1" s="1"/>
  <c r="K313" i="1"/>
  <c r="I313" i="1"/>
  <c r="A53" i="1"/>
  <c r="Q53" i="1" s="1"/>
  <c r="S53" i="1" s="1"/>
  <c r="AU53" i="1"/>
  <c r="AT53" i="1"/>
  <c r="X100" i="1"/>
  <c r="N322" i="1"/>
  <c r="K53" i="1"/>
  <c r="J53" i="1"/>
  <c r="I53" i="1"/>
  <c r="A301" i="1"/>
  <c r="Q301" i="1" s="1"/>
  <c r="S301" i="1" s="1"/>
  <c r="K301" i="1"/>
  <c r="I301" i="1"/>
  <c r="A300" i="1"/>
  <c r="Q300" i="1" s="1"/>
  <c r="S300" i="1" s="1"/>
  <c r="B300" i="1"/>
  <c r="K300" i="1"/>
  <c r="J300" i="1"/>
  <c r="I300" i="1"/>
  <c r="A23" i="1"/>
  <c r="B23" i="1" s="1"/>
  <c r="B24" i="1"/>
  <c r="B25" i="1"/>
  <c r="A26" i="1"/>
  <c r="B26" i="1" s="1"/>
  <c r="A27" i="1"/>
  <c r="B27" i="1" s="1"/>
  <c r="A28" i="1"/>
  <c r="B28" i="1" s="1"/>
  <c r="B29" i="1"/>
  <c r="B30" i="1"/>
  <c r="A31" i="1"/>
  <c r="B31" i="1" s="1"/>
  <c r="B32" i="1"/>
  <c r="A33" i="1"/>
  <c r="B33" i="1"/>
  <c r="B34" i="1"/>
  <c r="B35" i="1"/>
  <c r="A36" i="1"/>
  <c r="B36" i="1"/>
  <c r="A37" i="1"/>
  <c r="B37" i="1"/>
  <c r="A38" i="1"/>
  <c r="B38" i="1"/>
  <c r="A41" i="1"/>
  <c r="Q41" i="1" s="1"/>
  <c r="S41" i="1" s="1"/>
  <c r="B41" i="1"/>
  <c r="B42" i="1"/>
  <c r="B43" i="1"/>
  <c r="A44" i="1"/>
  <c r="Q44" i="1" s="1"/>
  <c r="S44" i="1" s="1"/>
  <c r="B44" i="1"/>
  <c r="B45" i="1"/>
  <c r="A46" i="1"/>
  <c r="Q46" i="1" s="1"/>
  <c r="S46" i="1" s="1"/>
  <c r="A47" i="1"/>
  <c r="Q47" i="1" s="1"/>
  <c r="S47" i="1" s="1"/>
  <c r="A48" i="1"/>
  <c r="Q48" i="1" s="1"/>
  <c r="S48" i="1" s="1"/>
  <c r="A49" i="1"/>
  <c r="Q49" i="1" s="1"/>
  <c r="S49" i="1" s="1"/>
  <c r="B54" i="1"/>
  <c r="B55" i="1"/>
  <c r="B56" i="1"/>
  <c r="B57" i="1"/>
  <c r="A58" i="1"/>
  <c r="B58" i="1" s="1"/>
  <c r="A59" i="1"/>
  <c r="B59" i="1" s="1"/>
  <c r="A60" i="1"/>
  <c r="B60" i="1" s="1"/>
  <c r="A61" i="1"/>
  <c r="B61" i="1" s="1"/>
  <c r="A62" i="1"/>
  <c r="B62" i="1" s="1"/>
  <c r="A63" i="1"/>
  <c r="B63" i="1" s="1"/>
  <c r="A64" i="1"/>
  <c r="B64" i="1" s="1"/>
  <c r="A65" i="1"/>
  <c r="B65" i="1" s="1"/>
  <c r="B66" i="1"/>
  <c r="A67" i="1"/>
  <c r="B67" i="1"/>
  <c r="A68" i="1"/>
  <c r="B68" i="1"/>
  <c r="A69" i="1"/>
  <c r="B69" i="1"/>
  <c r="A70" i="1"/>
  <c r="B70" i="1"/>
  <c r="A71" i="1"/>
  <c r="B71" i="1"/>
  <c r="A72" i="1"/>
  <c r="B72" i="1"/>
  <c r="A73" i="1"/>
  <c r="B73" i="1"/>
  <c r="A74" i="1"/>
  <c r="B74" i="1"/>
  <c r="B75" i="1"/>
  <c r="A76" i="1"/>
  <c r="B76" i="1" s="1"/>
  <c r="A98" i="1"/>
  <c r="Q98" i="1" s="1"/>
  <c r="S98" i="1" s="1"/>
  <c r="B99" i="1"/>
  <c r="A131" i="1"/>
  <c r="B131" i="1"/>
  <c r="A132" i="1"/>
  <c r="B132" i="1"/>
  <c r="A133" i="1"/>
  <c r="B133" i="1"/>
  <c r="A134" i="1"/>
  <c r="B134" i="1"/>
  <c r="A135" i="1"/>
  <c r="B135" i="1"/>
  <c r="A136" i="1"/>
  <c r="B136" i="1"/>
  <c r="A137" i="1"/>
  <c r="B137" i="1"/>
  <c r="A138" i="1"/>
  <c r="B138" i="1"/>
  <c r="A139" i="1"/>
  <c r="B139" i="1"/>
  <c r="A140" i="1"/>
  <c r="B140" i="1"/>
  <c r="A141" i="1"/>
  <c r="B141" i="1"/>
  <c r="B142" i="1"/>
  <c r="A143" i="1"/>
  <c r="B143" i="1" s="1"/>
  <c r="A144" i="1"/>
  <c r="B144" i="1"/>
  <c r="A145" i="1"/>
  <c r="B145" i="1" s="1"/>
  <c r="A146" i="1"/>
  <c r="B146" i="1"/>
  <c r="A147" i="1"/>
  <c r="B147" i="1" s="1"/>
  <c r="A148" i="1"/>
  <c r="B148" i="1"/>
  <c r="A149" i="1"/>
  <c r="B149" i="1" s="1"/>
  <c r="A150" i="1"/>
  <c r="B150" i="1"/>
  <c r="B151" i="1"/>
  <c r="A152" i="1"/>
  <c r="B152" i="1"/>
  <c r="A153" i="1"/>
  <c r="B153" i="1"/>
  <c r="A154" i="1"/>
  <c r="B154" i="1"/>
  <c r="A155" i="1"/>
  <c r="B155" i="1"/>
  <c r="A156" i="1"/>
  <c r="B156" i="1"/>
  <c r="A157" i="1"/>
  <c r="B157" i="1"/>
  <c r="A158" i="1"/>
  <c r="B158" i="1"/>
  <c r="A159" i="1"/>
  <c r="B159" i="1"/>
  <c r="A160" i="1"/>
  <c r="B160" i="1"/>
  <c r="A161" i="1"/>
  <c r="B161" i="1"/>
  <c r="A162" i="1"/>
  <c r="B162" i="1"/>
  <c r="A163" i="1"/>
  <c r="B163" i="1"/>
  <c r="A164" i="1"/>
  <c r="B164" i="1"/>
  <c r="A165" i="1"/>
  <c r="B165" i="1"/>
  <c r="A166" i="1"/>
  <c r="B166" i="1"/>
  <c r="A167" i="1"/>
  <c r="B167" i="1"/>
  <c r="B168" i="1"/>
  <c r="B169" i="1"/>
  <c r="B170" i="1"/>
  <c r="B171" i="1"/>
  <c r="A174" i="1"/>
  <c r="B174" i="1"/>
  <c r="A175" i="1"/>
  <c r="B175" i="1"/>
  <c r="A176" i="1"/>
  <c r="B176" i="1" s="1"/>
  <c r="A177" i="1"/>
  <c r="B177" i="1"/>
  <c r="A179" i="1"/>
  <c r="B179" i="1" s="1"/>
  <c r="A180" i="1"/>
  <c r="B180" i="1"/>
  <c r="A181" i="1"/>
  <c r="B181" i="1" s="1"/>
  <c r="A182" i="1"/>
  <c r="B182" i="1"/>
  <c r="A183" i="1"/>
  <c r="B183" i="1" s="1"/>
  <c r="A184" i="1"/>
  <c r="B184" i="1"/>
  <c r="A185" i="1"/>
  <c r="B185" i="1" s="1"/>
  <c r="A186" i="1"/>
  <c r="B186" i="1"/>
  <c r="A187" i="1"/>
  <c r="B187" i="1" s="1"/>
  <c r="A188" i="1"/>
  <c r="B188" i="1"/>
  <c r="A189" i="1"/>
  <c r="B189" i="1" s="1"/>
  <c r="A190" i="1"/>
  <c r="B190" i="1"/>
  <c r="A191" i="1"/>
  <c r="B191" i="1" s="1"/>
  <c r="A192" i="1"/>
  <c r="B192" i="1"/>
  <c r="A193" i="1"/>
  <c r="B193" i="1" s="1"/>
  <c r="A194" i="1"/>
  <c r="B194" i="1"/>
  <c r="A195" i="1"/>
  <c r="B195" i="1" s="1"/>
  <c r="A196" i="1"/>
  <c r="B196" i="1"/>
  <c r="A197" i="1"/>
  <c r="B197" i="1" s="1"/>
  <c r="A198" i="1"/>
  <c r="B198" i="1"/>
  <c r="B199" i="1"/>
  <c r="A200" i="1"/>
  <c r="B200" i="1"/>
  <c r="A201" i="1"/>
  <c r="B201" i="1" s="1"/>
  <c r="A202" i="1"/>
  <c r="B202" i="1"/>
  <c r="A203" i="1"/>
  <c r="B203" i="1" s="1"/>
  <c r="A204" i="1"/>
  <c r="B204" i="1"/>
  <c r="A205" i="1"/>
  <c r="B205" i="1" s="1"/>
  <c r="A206" i="1"/>
  <c r="B206" i="1"/>
  <c r="A207" i="1"/>
  <c r="B207" i="1" s="1"/>
  <c r="A208" i="1"/>
  <c r="B208" i="1"/>
  <c r="A209" i="1"/>
  <c r="B209" i="1" s="1"/>
  <c r="A210" i="1"/>
  <c r="B210" i="1"/>
  <c r="A213" i="1"/>
  <c r="B213" i="1" s="1"/>
  <c r="A214" i="1"/>
  <c r="B214" i="1"/>
  <c r="A218" i="1"/>
  <c r="B218" i="1" s="1"/>
  <c r="A222" i="1"/>
  <c r="B222" i="1"/>
  <c r="A272" i="1"/>
  <c r="Q272" i="1" s="1"/>
  <c r="S272" i="1" s="1"/>
  <c r="A273" i="1"/>
  <c r="Q273" i="1" s="1"/>
  <c r="S273" i="1" s="1"/>
  <c r="B273" i="1"/>
  <c r="A274" i="1"/>
  <c r="Q274" i="1" s="1"/>
  <c r="S274" i="1" s="1"/>
  <c r="B275" i="1"/>
  <c r="A276" i="1"/>
  <c r="Q276" i="1" s="1"/>
  <c r="S276" i="1" s="1"/>
  <c r="B276" i="1"/>
  <c r="A277" i="1"/>
  <c r="Q277" i="1" s="1"/>
  <c r="A292" i="1"/>
  <c r="Q292" i="1" s="1"/>
  <c r="S292" i="1" s="1"/>
  <c r="B292" i="1"/>
  <c r="A317" i="1"/>
  <c r="B317" i="1" s="1"/>
  <c r="B294" i="1"/>
  <c r="B293" i="1"/>
  <c r="B51" i="1"/>
  <c r="B52" i="1"/>
  <c r="B53" i="1"/>
  <c r="B101" i="1"/>
  <c r="B104" i="1"/>
  <c r="B110" i="1"/>
  <c r="B112" i="1"/>
  <c r="A113" i="1"/>
  <c r="Q113" i="1" s="1"/>
  <c r="S113" i="1" s="1"/>
  <c r="A116" i="1"/>
  <c r="Q116" i="1" s="1"/>
  <c r="S116" i="1" s="1"/>
  <c r="B116" i="1"/>
  <c r="A117" i="1"/>
  <c r="Q117" i="1" s="1"/>
  <c r="S117" i="1" s="1"/>
  <c r="A118" i="1"/>
  <c r="Q118" i="1" s="1"/>
  <c r="S118" i="1" s="1"/>
  <c r="B118" i="1"/>
  <c r="A120" i="1"/>
  <c r="Q120" i="1" s="1"/>
  <c r="S120" i="1" s="1"/>
  <c r="A121" i="1"/>
  <c r="Q121" i="1" s="1"/>
  <c r="B121" i="1"/>
  <c r="A122" i="1"/>
  <c r="Q122" i="1" s="1"/>
  <c r="A123" i="1"/>
  <c r="Q123" i="1" s="1"/>
  <c r="S123" i="1" s="1"/>
  <c r="B123" i="1"/>
  <c r="A126" i="1"/>
  <c r="Q126" i="1" s="1"/>
  <c r="B295" i="1"/>
  <c r="A298" i="1"/>
  <c r="Q298" i="1" s="1"/>
  <c r="S298" i="1" s="1"/>
  <c r="B301" i="1"/>
  <c r="B303" i="1"/>
  <c r="B304" i="1"/>
  <c r="B306" i="1"/>
  <c r="B307" i="1"/>
  <c r="B305" i="1"/>
  <c r="B308" i="1"/>
  <c r="B127" i="1"/>
  <c r="B128" i="1"/>
  <c r="B129" i="1"/>
  <c r="B130" i="1"/>
  <c r="A309" i="1"/>
  <c r="Q309" i="1" s="1"/>
  <c r="S309" i="1" s="1"/>
  <c r="A310" i="1"/>
  <c r="Q310" i="1" s="1"/>
  <c r="S310" i="1" s="1"/>
  <c r="B310" i="1"/>
  <c r="B313" i="1"/>
  <c r="B311" i="1"/>
  <c r="A312" i="1"/>
  <c r="Q312" i="1" s="1"/>
  <c r="S312" i="1" s="1"/>
  <c r="B312" i="1"/>
  <c r="B314" i="1"/>
  <c r="A315" i="1"/>
  <c r="Q315" i="1" s="1"/>
  <c r="S315" i="1" s="1"/>
  <c r="B315" i="1"/>
  <c r="B316"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K117" i="1"/>
  <c r="J117" i="1"/>
  <c r="I117" i="1"/>
  <c r="X117" i="1"/>
  <c r="K116" i="1"/>
  <c r="J116" i="1"/>
  <c r="I116" i="1"/>
  <c r="X116" i="1"/>
  <c r="J301" i="1"/>
  <c r="X315" i="1"/>
  <c r="K315" i="1"/>
  <c r="I315" i="1"/>
  <c r="K310" i="1"/>
  <c r="I310" i="1"/>
  <c r="X310" i="1"/>
  <c r="M312" i="1"/>
  <c r="K312" i="1"/>
  <c r="K309" i="1"/>
  <c r="I312" i="1"/>
  <c r="A106" i="1"/>
  <c r="Q106" i="1" s="1"/>
  <c r="S106" i="1" s="1"/>
  <c r="X106" i="1"/>
  <c r="V105" i="1"/>
  <c r="W105" i="1" s="1"/>
  <c r="X113" i="1"/>
  <c r="X309" i="1"/>
  <c r="I309" i="1"/>
  <c r="AZ316" i="1"/>
  <c r="AY316" i="1"/>
  <c r="AZ315" i="1"/>
  <c r="AY315" i="1"/>
  <c r="AZ314" i="1"/>
  <c r="AU314" i="1"/>
  <c r="AT314" i="1"/>
  <c r="C316" i="1"/>
  <c r="C315" i="1"/>
  <c r="C314" i="1"/>
  <c r="C312" i="1"/>
  <c r="C311" i="1"/>
  <c r="C313" i="1"/>
  <c r="C310" i="1"/>
  <c r="C309" i="1"/>
  <c r="C130" i="1"/>
  <c r="C129" i="1"/>
  <c r="C128" i="1"/>
  <c r="C127" i="1"/>
  <c r="A270" i="1"/>
  <c r="Q270" i="1" s="1"/>
  <c r="O271" i="1"/>
  <c r="K113" i="1"/>
  <c r="J113" i="1"/>
  <c r="I113" i="1"/>
  <c r="O194" i="1"/>
  <c r="O159" i="1"/>
  <c r="O148" i="1"/>
  <c r="C148" i="1"/>
  <c r="I104" i="1"/>
  <c r="K104" i="1"/>
  <c r="A100" i="1"/>
  <c r="Q100" i="1" s="1"/>
  <c r="S100" i="1" s="1"/>
  <c r="K100" i="1"/>
  <c r="J100" i="1"/>
  <c r="I100" i="1"/>
  <c r="K122" i="1"/>
  <c r="I122" i="1"/>
  <c r="J122" i="1"/>
  <c r="X118" i="1"/>
  <c r="K118" i="1"/>
  <c r="J118" i="1"/>
  <c r="I118" i="1"/>
  <c r="K126" i="1"/>
  <c r="J126" i="1"/>
  <c r="R315" i="1"/>
  <c r="R314" i="1"/>
  <c r="R311" i="1"/>
  <c r="R313" i="1"/>
  <c r="R310" i="1"/>
  <c r="R128" i="1"/>
  <c r="R127" i="1"/>
  <c r="R308" i="1"/>
  <c r="X298" i="1"/>
  <c r="V298" i="1"/>
  <c r="U298" i="1"/>
  <c r="K298" i="1"/>
  <c r="J298" i="1"/>
  <c r="I298" i="1"/>
  <c r="C298" i="1"/>
  <c r="K123" i="1"/>
  <c r="J123" i="1"/>
  <c r="I123" i="1"/>
  <c r="I126" i="1"/>
  <c r="V295" i="1"/>
  <c r="U295" i="1"/>
  <c r="C295" i="1"/>
  <c r="X123" i="1"/>
  <c r="J121" i="1"/>
  <c r="I121" i="1"/>
  <c r="K121" i="1"/>
  <c r="X120" i="1"/>
  <c r="J120" i="1"/>
  <c r="K120" i="1"/>
  <c r="I120" i="1"/>
  <c r="AR118" i="1"/>
  <c r="U118" i="1" s="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R305" i="1"/>
  <c r="R306" i="1"/>
  <c r="V508" i="1"/>
  <c r="U508" i="1"/>
  <c r="V507" i="1"/>
  <c r="U507" i="1"/>
  <c r="V506" i="1"/>
  <c r="U506" i="1"/>
  <c r="V505" i="1"/>
  <c r="U505" i="1"/>
  <c r="V504" i="1"/>
  <c r="U504" i="1"/>
  <c r="V503" i="1"/>
  <c r="U503" i="1"/>
  <c r="V502" i="1"/>
  <c r="U502" i="1"/>
  <c r="V501" i="1"/>
  <c r="U501" i="1"/>
  <c r="V500" i="1"/>
  <c r="U500" i="1"/>
  <c r="V499" i="1"/>
  <c r="U499" i="1"/>
  <c r="V498" i="1"/>
  <c r="U498" i="1"/>
  <c r="V497" i="1"/>
  <c r="U497" i="1"/>
  <c r="V496" i="1"/>
  <c r="U496" i="1"/>
  <c r="V495" i="1"/>
  <c r="U495" i="1"/>
  <c r="V494" i="1"/>
  <c r="U494" i="1"/>
  <c r="V493" i="1"/>
  <c r="U493" i="1"/>
  <c r="V492" i="1"/>
  <c r="U492" i="1"/>
  <c r="V491" i="1"/>
  <c r="U491" i="1"/>
  <c r="V490" i="1"/>
  <c r="U490" i="1"/>
  <c r="V489" i="1"/>
  <c r="U489" i="1"/>
  <c r="V488" i="1"/>
  <c r="U488" i="1"/>
  <c r="V487" i="1"/>
  <c r="U487" i="1"/>
  <c r="V486" i="1"/>
  <c r="U486" i="1"/>
  <c r="V485" i="1"/>
  <c r="U485" i="1"/>
  <c r="V484" i="1"/>
  <c r="U484" i="1"/>
  <c r="V483" i="1"/>
  <c r="U483" i="1"/>
  <c r="V482" i="1"/>
  <c r="U482" i="1"/>
  <c r="V481" i="1"/>
  <c r="U481" i="1"/>
  <c r="V480" i="1"/>
  <c r="U480" i="1"/>
  <c r="V479" i="1"/>
  <c r="U479" i="1"/>
  <c r="V478" i="1"/>
  <c r="U478" i="1"/>
  <c r="V477" i="1"/>
  <c r="U477" i="1"/>
  <c r="V476" i="1"/>
  <c r="U476" i="1"/>
  <c r="V475" i="1"/>
  <c r="U475" i="1"/>
  <c r="V474" i="1"/>
  <c r="U474" i="1"/>
  <c r="V473" i="1"/>
  <c r="U473" i="1"/>
  <c r="V472" i="1"/>
  <c r="U472" i="1"/>
  <c r="V471" i="1"/>
  <c r="U471" i="1"/>
  <c r="V470" i="1"/>
  <c r="U470" i="1"/>
  <c r="V469" i="1"/>
  <c r="U469" i="1"/>
  <c r="V468" i="1"/>
  <c r="U468" i="1"/>
  <c r="V467" i="1"/>
  <c r="U467" i="1"/>
  <c r="V466" i="1"/>
  <c r="U466" i="1"/>
  <c r="V465" i="1"/>
  <c r="U465" i="1"/>
  <c r="V464" i="1"/>
  <c r="U464" i="1"/>
  <c r="V463" i="1"/>
  <c r="U463" i="1"/>
  <c r="V462" i="1"/>
  <c r="U462" i="1"/>
  <c r="V461" i="1"/>
  <c r="U461" i="1"/>
  <c r="V460" i="1"/>
  <c r="U460" i="1"/>
  <c r="V459" i="1"/>
  <c r="U459" i="1"/>
  <c r="V458" i="1"/>
  <c r="U458" i="1"/>
  <c r="V457" i="1"/>
  <c r="U457" i="1"/>
  <c r="V456" i="1"/>
  <c r="U456" i="1"/>
  <c r="V455" i="1"/>
  <c r="U455" i="1"/>
  <c r="V454" i="1"/>
  <c r="U454" i="1"/>
  <c r="V453" i="1"/>
  <c r="U453" i="1"/>
  <c r="V452" i="1"/>
  <c r="U452" i="1"/>
  <c r="V451" i="1"/>
  <c r="U451" i="1"/>
  <c r="V450" i="1"/>
  <c r="U450" i="1"/>
  <c r="V449" i="1"/>
  <c r="U449" i="1"/>
  <c r="V448" i="1"/>
  <c r="U448" i="1"/>
  <c r="V447" i="1"/>
  <c r="U447" i="1"/>
  <c r="V446" i="1"/>
  <c r="U446" i="1"/>
  <c r="V445" i="1"/>
  <c r="U445" i="1"/>
  <c r="V444" i="1"/>
  <c r="U444" i="1"/>
  <c r="V443" i="1"/>
  <c r="U443" i="1"/>
  <c r="V442" i="1"/>
  <c r="U442" i="1"/>
  <c r="V441" i="1"/>
  <c r="U441" i="1"/>
  <c r="V440" i="1"/>
  <c r="U440" i="1"/>
  <c r="V439" i="1"/>
  <c r="U439" i="1"/>
  <c r="V438" i="1"/>
  <c r="U438" i="1"/>
  <c r="V437" i="1"/>
  <c r="U437" i="1"/>
  <c r="V436" i="1"/>
  <c r="U436" i="1"/>
  <c r="V435" i="1"/>
  <c r="U435" i="1"/>
  <c r="V434" i="1"/>
  <c r="U434" i="1"/>
  <c r="V433" i="1"/>
  <c r="U433" i="1"/>
  <c r="V432" i="1"/>
  <c r="U432" i="1"/>
  <c r="V431" i="1"/>
  <c r="U431" i="1"/>
  <c r="V430" i="1"/>
  <c r="U430" i="1"/>
  <c r="V429" i="1"/>
  <c r="U429" i="1"/>
  <c r="V428" i="1"/>
  <c r="U428" i="1"/>
  <c r="V427" i="1"/>
  <c r="U427" i="1"/>
  <c r="V426" i="1"/>
  <c r="U426" i="1"/>
  <c r="V425" i="1"/>
  <c r="U425" i="1"/>
  <c r="V424" i="1"/>
  <c r="U424" i="1"/>
  <c r="V423" i="1"/>
  <c r="U423" i="1"/>
  <c r="V422" i="1"/>
  <c r="U422" i="1"/>
  <c r="V421" i="1"/>
  <c r="U421" i="1"/>
  <c r="V420" i="1"/>
  <c r="U420" i="1"/>
  <c r="V419" i="1"/>
  <c r="U419" i="1"/>
  <c r="V418" i="1"/>
  <c r="U418" i="1"/>
  <c r="V417" i="1"/>
  <c r="U417" i="1"/>
  <c r="V416" i="1"/>
  <c r="U416" i="1"/>
  <c r="V415" i="1"/>
  <c r="U415" i="1"/>
  <c r="V414" i="1"/>
  <c r="U414" i="1"/>
  <c r="V413" i="1"/>
  <c r="U413" i="1"/>
  <c r="V412" i="1"/>
  <c r="U412" i="1"/>
  <c r="V411" i="1"/>
  <c r="U411" i="1"/>
  <c r="V410" i="1"/>
  <c r="U410" i="1"/>
  <c r="V409" i="1"/>
  <c r="U409" i="1"/>
  <c r="V408" i="1"/>
  <c r="U408" i="1"/>
  <c r="V407" i="1"/>
  <c r="U407" i="1"/>
  <c r="V406" i="1"/>
  <c r="U406" i="1"/>
  <c r="V405" i="1"/>
  <c r="U405" i="1"/>
  <c r="V404" i="1"/>
  <c r="U404" i="1"/>
  <c r="V403" i="1"/>
  <c r="U403" i="1"/>
  <c r="V402" i="1"/>
  <c r="U402" i="1"/>
  <c r="V401" i="1"/>
  <c r="U401" i="1"/>
  <c r="V400" i="1"/>
  <c r="U400" i="1"/>
  <c r="V399" i="1"/>
  <c r="U399" i="1"/>
  <c r="V398" i="1"/>
  <c r="U398" i="1"/>
  <c r="V397" i="1"/>
  <c r="U397" i="1"/>
  <c r="V396" i="1"/>
  <c r="U396" i="1"/>
  <c r="V395" i="1"/>
  <c r="U395" i="1"/>
  <c r="V394" i="1"/>
  <c r="U394" i="1"/>
  <c r="V393" i="1"/>
  <c r="U393" i="1"/>
  <c r="V392" i="1"/>
  <c r="U392" i="1"/>
  <c r="V391" i="1"/>
  <c r="U391" i="1"/>
  <c r="V390" i="1"/>
  <c r="U390" i="1"/>
  <c r="V389" i="1"/>
  <c r="U389" i="1"/>
  <c r="V388" i="1"/>
  <c r="U388" i="1"/>
  <c r="V387" i="1"/>
  <c r="U387" i="1"/>
  <c r="V386" i="1"/>
  <c r="U386" i="1"/>
  <c r="V385" i="1"/>
  <c r="U385" i="1"/>
  <c r="V384" i="1"/>
  <c r="U384" i="1"/>
  <c r="V383" i="1"/>
  <c r="U383" i="1"/>
  <c r="V382" i="1"/>
  <c r="U382" i="1"/>
  <c r="V381" i="1"/>
  <c r="U381" i="1"/>
  <c r="V380" i="1"/>
  <c r="U380" i="1"/>
  <c r="V379" i="1"/>
  <c r="U379" i="1"/>
  <c r="V378" i="1"/>
  <c r="U378" i="1"/>
  <c r="V377" i="1"/>
  <c r="U377" i="1"/>
  <c r="V376" i="1"/>
  <c r="U376" i="1"/>
  <c r="V375" i="1"/>
  <c r="U375" i="1"/>
  <c r="V374" i="1"/>
  <c r="U374" i="1"/>
  <c r="V373" i="1"/>
  <c r="U373" i="1"/>
  <c r="V372" i="1"/>
  <c r="U372" i="1"/>
  <c r="V371" i="1"/>
  <c r="U371" i="1"/>
  <c r="V370" i="1"/>
  <c r="U370" i="1"/>
  <c r="V369" i="1"/>
  <c r="U369" i="1"/>
  <c r="V368" i="1"/>
  <c r="U368" i="1"/>
  <c r="V367" i="1"/>
  <c r="U367" i="1"/>
  <c r="V366" i="1"/>
  <c r="U366" i="1"/>
  <c r="V365" i="1"/>
  <c r="U365" i="1"/>
  <c r="V364" i="1"/>
  <c r="U364" i="1"/>
  <c r="V363" i="1"/>
  <c r="U363" i="1"/>
  <c r="V362" i="1"/>
  <c r="U362" i="1"/>
  <c r="V361" i="1"/>
  <c r="U361" i="1"/>
  <c r="V360" i="1"/>
  <c r="U360" i="1"/>
  <c r="V359" i="1"/>
  <c r="U359" i="1"/>
  <c r="V358" i="1"/>
  <c r="U358" i="1"/>
  <c r="V357" i="1"/>
  <c r="U357" i="1"/>
  <c r="V356" i="1"/>
  <c r="U356" i="1"/>
  <c r="V355" i="1"/>
  <c r="U355" i="1"/>
  <c r="V354" i="1"/>
  <c r="U354" i="1"/>
  <c r="V353" i="1"/>
  <c r="U353" i="1"/>
  <c r="V352" i="1"/>
  <c r="U352" i="1"/>
  <c r="V351" i="1"/>
  <c r="U351" i="1"/>
  <c r="V350" i="1"/>
  <c r="U350" i="1"/>
  <c r="V349" i="1"/>
  <c r="U349" i="1"/>
  <c r="V348" i="1"/>
  <c r="U348" i="1"/>
  <c r="V347" i="1"/>
  <c r="U347" i="1"/>
  <c r="V346" i="1"/>
  <c r="U346" i="1"/>
  <c r="V345" i="1"/>
  <c r="U345" i="1"/>
  <c r="V344" i="1"/>
  <c r="U344" i="1"/>
  <c r="V343" i="1"/>
  <c r="U343" i="1"/>
  <c r="V342" i="1"/>
  <c r="U342" i="1"/>
  <c r="V341" i="1"/>
  <c r="U341" i="1"/>
  <c r="V340" i="1"/>
  <c r="U340" i="1"/>
  <c r="V339" i="1"/>
  <c r="U339" i="1"/>
  <c r="V338" i="1"/>
  <c r="U338" i="1"/>
  <c r="V337" i="1"/>
  <c r="U337" i="1"/>
  <c r="V336" i="1"/>
  <c r="U336" i="1"/>
  <c r="V335" i="1"/>
  <c r="U335" i="1"/>
  <c r="V334" i="1"/>
  <c r="U334" i="1"/>
  <c r="V333" i="1"/>
  <c r="U333" i="1"/>
  <c r="V332" i="1"/>
  <c r="U332" i="1"/>
  <c r="V331" i="1"/>
  <c r="U331" i="1"/>
  <c r="V330" i="1"/>
  <c r="U330" i="1"/>
  <c r="V329" i="1"/>
  <c r="U329" i="1"/>
  <c r="V328" i="1"/>
  <c r="U328" i="1"/>
  <c r="V327" i="1"/>
  <c r="U327" i="1"/>
  <c r="V326" i="1"/>
  <c r="U326" i="1"/>
  <c r="V325" i="1"/>
  <c r="U325" i="1"/>
  <c r="V324" i="1"/>
  <c r="U324" i="1"/>
  <c r="V323" i="1"/>
  <c r="U323" i="1"/>
  <c r="V316" i="1"/>
  <c r="U316" i="1"/>
  <c r="V315" i="1"/>
  <c r="U315" i="1"/>
  <c r="U314" i="1"/>
  <c r="V312" i="1"/>
  <c r="U312" i="1"/>
  <c r="U311" i="1"/>
  <c r="V313" i="1"/>
  <c r="U313" i="1"/>
  <c r="V310" i="1"/>
  <c r="U310" i="1"/>
  <c r="V309" i="1"/>
  <c r="U309" i="1"/>
  <c r="V130" i="1"/>
  <c r="U130" i="1"/>
  <c r="V129" i="1"/>
  <c r="U129" i="1"/>
  <c r="V128" i="1"/>
  <c r="U128" i="1"/>
  <c r="U127" i="1"/>
  <c r="V308" i="1"/>
  <c r="U308" i="1"/>
  <c r="V305" i="1"/>
  <c r="U305" i="1"/>
  <c r="V307" i="1"/>
  <c r="U307" i="1"/>
  <c r="V306" i="1"/>
  <c r="U306" i="1"/>
  <c r="C304" i="1"/>
  <c r="C303" i="1"/>
  <c r="C301" i="1"/>
  <c r="C300" i="1"/>
  <c r="C126" i="1"/>
  <c r="C123" i="1"/>
  <c r="C122" i="1"/>
  <c r="C121" i="1"/>
  <c r="C120" i="1"/>
  <c r="C118" i="1"/>
  <c r="C117" i="1"/>
  <c r="C116" i="1"/>
  <c r="C114" i="1"/>
  <c r="C113" i="1"/>
  <c r="C112" i="1"/>
  <c r="C110" i="1"/>
  <c r="C108" i="1"/>
  <c r="C106" i="1"/>
  <c r="C105" i="1"/>
  <c r="C104" i="1"/>
  <c r="C101" i="1"/>
  <c r="C100" i="1"/>
  <c r="C53" i="1"/>
  <c r="C52" i="1"/>
  <c r="C51" i="1"/>
  <c r="V304" i="1"/>
  <c r="U304" i="1"/>
  <c r="V303" i="1"/>
  <c r="W303" i="1" s="1"/>
  <c r="U303" i="1"/>
  <c r="R303" i="1"/>
  <c r="V301" i="1"/>
  <c r="U301" i="1"/>
  <c r="V300" i="1"/>
  <c r="U300" i="1"/>
  <c r="V126" i="1"/>
  <c r="U126" i="1"/>
  <c r="V123" i="1"/>
  <c r="U123" i="1"/>
  <c r="R123" i="1"/>
  <c r="V122" i="1"/>
  <c r="U122" i="1"/>
  <c r="V121" i="1"/>
  <c r="U121" i="1"/>
  <c r="V120" i="1"/>
  <c r="U120" i="1"/>
  <c r="V117" i="1"/>
  <c r="U117" i="1"/>
  <c r="V116" i="1"/>
  <c r="U116" i="1"/>
  <c r="V114" i="1"/>
  <c r="U114" i="1"/>
  <c r="R114" i="1"/>
  <c r="V113" i="1"/>
  <c r="U113" i="1"/>
  <c r="R113" i="1"/>
  <c r="V112" i="1"/>
  <c r="U112" i="1"/>
  <c r="R112" i="1"/>
  <c r="V111" i="1"/>
  <c r="U111" i="1"/>
  <c r="R111" i="1"/>
  <c r="V110" i="1"/>
  <c r="U110" i="1"/>
  <c r="R110" i="1"/>
  <c r="V108" i="1"/>
  <c r="U108" i="1"/>
  <c r="R107" i="1"/>
  <c r="V106" i="1"/>
  <c r="U106" i="1"/>
  <c r="R106" i="1"/>
  <c r="U105" i="1"/>
  <c r="U104" i="1"/>
  <c r="V101" i="1"/>
  <c r="U101" i="1"/>
  <c r="R101" i="1"/>
  <c r="V100" i="1"/>
  <c r="U100" i="1"/>
  <c r="R100" i="1"/>
  <c r="V52" i="1"/>
  <c r="U52" i="1"/>
  <c r="R52" i="1"/>
  <c r="V51" i="1"/>
  <c r="U51" i="1"/>
  <c r="R51" i="1"/>
  <c r="O294" i="1"/>
  <c r="O293" i="1"/>
  <c r="AY294" i="1"/>
  <c r="AZ294" i="1"/>
  <c r="C293" i="1"/>
  <c r="C294" i="1"/>
  <c r="M22" i="1"/>
  <c r="M18" i="1"/>
  <c r="X184" i="1"/>
  <c r="K184" i="1"/>
  <c r="X22" i="1"/>
  <c r="V22" i="1"/>
  <c r="U22" i="1"/>
  <c r="N22" i="1"/>
  <c r="L22" i="1"/>
  <c r="K22" i="1"/>
  <c r="J22" i="1"/>
  <c r="I22" i="1"/>
  <c r="C22" i="1"/>
  <c r="A22" i="1"/>
  <c r="Q22" i="1" s="1"/>
  <c r="S22" i="1" s="1"/>
  <c r="X21" i="1"/>
  <c r="V21" i="1"/>
  <c r="U21" i="1"/>
  <c r="A21" i="1"/>
  <c r="Q21" i="1" s="1"/>
  <c r="S21" i="1" s="1"/>
  <c r="N21" i="1"/>
  <c r="L21" i="1"/>
  <c r="K21" i="1"/>
  <c r="J21" i="1"/>
  <c r="I21" i="1"/>
  <c r="C21" i="1"/>
  <c r="V20" i="1"/>
  <c r="U20" i="1"/>
  <c r="N20" i="1"/>
  <c r="L20" i="1"/>
  <c r="K20" i="1"/>
  <c r="J20" i="1"/>
  <c r="I20" i="1"/>
  <c r="C20" i="1"/>
  <c r="A20" i="1"/>
  <c r="Q20" i="1" s="1"/>
  <c r="S20" i="1" s="1"/>
  <c r="X19" i="1"/>
  <c r="V19" i="1"/>
  <c r="U19" i="1"/>
  <c r="N19" i="1"/>
  <c r="L19" i="1"/>
  <c r="K19" i="1"/>
  <c r="J19" i="1"/>
  <c r="I19" i="1"/>
  <c r="C19" i="1"/>
  <c r="A19" i="1"/>
  <c r="Q19" i="1" s="1"/>
  <c r="S19" i="1" s="1"/>
  <c r="X18" i="1"/>
  <c r="V18" i="1"/>
  <c r="U18" i="1"/>
  <c r="A18" i="1"/>
  <c r="Q18" i="1" s="1"/>
  <c r="S18" i="1" s="1"/>
  <c r="N18" i="1"/>
  <c r="L18" i="1"/>
  <c r="K18" i="1"/>
  <c r="J18" i="1"/>
  <c r="I18" i="1"/>
  <c r="C18" i="1"/>
  <c r="V17" i="1"/>
  <c r="W17" i="1" s="1"/>
  <c r="U17" i="1"/>
  <c r="N17" i="1"/>
  <c r="L17" i="1"/>
  <c r="K17" i="1"/>
  <c r="J17" i="1"/>
  <c r="I17" i="1"/>
  <c r="C17" i="1"/>
  <c r="V16" i="1"/>
  <c r="W16" i="1" s="1"/>
  <c r="U16" i="1"/>
  <c r="N16" i="1"/>
  <c r="L16" i="1"/>
  <c r="K16" i="1"/>
  <c r="J16" i="1"/>
  <c r="I16" i="1"/>
  <c r="C16" i="1"/>
  <c r="X15" i="1"/>
  <c r="V15" i="1"/>
  <c r="U15" i="1"/>
  <c r="A15" i="1"/>
  <c r="Q15" i="1" s="1"/>
  <c r="S15" i="1" s="1"/>
  <c r="N15" i="1"/>
  <c r="L15" i="1"/>
  <c r="K15" i="1"/>
  <c r="J15" i="1"/>
  <c r="I15" i="1"/>
  <c r="C15" i="1"/>
  <c r="X14" i="1"/>
  <c r="V14" i="1"/>
  <c r="U14" i="1"/>
  <c r="A14" i="1"/>
  <c r="Q14" i="1" s="1"/>
  <c r="S14" i="1" s="1"/>
  <c r="N14" i="1"/>
  <c r="L14" i="1"/>
  <c r="K14" i="1"/>
  <c r="J14" i="1"/>
  <c r="I14" i="1"/>
  <c r="C14" i="1"/>
  <c r="V292" i="1"/>
  <c r="U292" i="1"/>
  <c r="R292" i="1"/>
  <c r="K292" i="1"/>
  <c r="I292" i="1"/>
  <c r="C291" i="1"/>
  <c r="C290" i="1"/>
  <c r="C288" i="1"/>
  <c r="C287" i="1"/>
  <c r="C286" i="1"/>
  <c r="C285" i="1"/>
  <c r="C284" i="1"/>
  <c r="C283" i="1"/>
  <c r="C282" i="1"/>
  <c r="C281" i="1"/>
  <c r="C280" i="1"/>
  <c r="C279" i="1"/>
  <c r="C278" i="1"/>
  <c r="A283" i="1"/>
  <c r="Q283" i="1" s="1"/>
  <c r="S283" i="1" s="1"/>
  <c r="K99" i="1"/>
  <c r="I99" i="1"/>
  <c r="C7" i="1"/>
  <c r="M207" i="1"/>
  <c r="I41" i="1"/>
  <c r="K41" i="1"/>
  <c r="R41" i="1"/>
  <c r="R286" i="1"/>
  <c r="R290" i="1"/>
  <c r="R287" i="1"/>
  <c r="R291" i="1"/>
  <c r="R288" i="1"/>
  <c r="R281" i="1"/>
  <c r="R284" i="1"/>
  <c r="R285" i="1"/>
  <c r="R279" i="1"/>
  <c r="R280" i="1"/>
  <c r="R278" i="1"/>
  <c r="V286" i="1"/>
  <c r="U286" i="1"/>
  <c r="V290" i="1"/>
  <c r="U290" i="1"/>
  <c r="V287" i="1"/>
  <c r="U287" i="1"/>
  <c r="V291" i="1"/>
  <c r="U291" i="1"/>
  <c r="V282" i="1"/>
  <c r="U282" i="1"/>
  <c r="V288" i="1"/>
  <c r="U288" i="1"/>
  <c r="U281" i="1"/>
  <c r="V284" i="1"/>
  <c r="U284" i="1"/>
  <c r="V285" i="1"/>
  <c r="U285" i="1"/>
  <c r="V279" i="1"/>
  <c r="U279" i="1"/>
  <c r="V280" i="1"/>
  <c r="U280" i="1"/>
  <c r="U278" i="1"/>
  <c r="C59" i="1"/>
  <c r="M208" i="1"/>
  <c r="K204" i="1"/>
  <c r="O222" i="1"/>
  <c r="O272" i="1"/>
  <c r="O204" i="1"/>
  <c r="O209" i="1"/>
  <c r="O210" i="1"/>
  <c r="AZ196" i="1"/>
  <c r="AY196" i="1"/>
  <c r="AZ195" i="1"/>
  <c r="AY195" i="1"/>
  <c r="O195" i="1"/>
  <c r="O193" i="1"/>
  <c r="AZ38" i="1"/>
  <c r="AY38" i="1"/>
  <c r="L38" i="1"/>
  <c r="K38" i="1"/>
  <c r="K76" i="1"/>
  <c r="AR75" i="1"/>
  <c r="U75" i="1" s="1"/>
  <c r="AP75" i="1"/>
  <c r="N277" i="1"/>
  <c r="N276" i="1"/>
  <c r="N273" i="1"/>
  <c r="L273" i="1"/>
  <c r="N272" i="1"/>
  <c r="L272" i="1"/>
  <c r="N274" i="1"/>
  <c r="L274" i="1"/>
  <c r="N275" i="1"/>
  <c r="L275" i="1"/>
  <c r="N50" i="1"/>
  <c r="L50" i="1"/>
  <c r="N49" i="1"/>
  <c r="L49" i="1"/>
  <c r="N99" i="1"/>
  <c r="L99" i="1"/>
  <c r="N48" i="1"/>
  <c r="L48" i="1"/>
  <c r="N47" i="1"/>
  <c r="L47" i="1"/>
  <c r="N46" i="1"/>
  <c r="L46" i="1"/>
  <c r="N98" i="1"/>
  <c r="L98" i="1"/>
  <c r="N45" i="1"/>
  <c r="L45" i="1"/>
  <c r="K45" i="1"/>
  <c r="J45" i="1"/>
  <c r="I45" i="1"/>
  <c r="N44" i="1"/>
  <c r="L44" i="1"/>
  <c r="K44" i="1"/>
  <c r="J44" i="1"/>
  <c r="I44" i="1"/>
  <c r="N43" i="1"/>
  <c r="L43" i="1"/>
  <c r="K43" i="1"/>
  <c r="J43" i="1"/>
  <c r="I43" i="1"/>
  <c r="N42" i="1"/>
  <c r="M42" i="1"/>
  <c r="L42" i="1"/>
  <c r="K42" i="1"/>
  <c r="J42" i="1"/>
  <c r="I42" i="1"/>
  <c r="N41" i="1"/>
  <c r="J41" i="1"/>
  <c r="Y87" i="1"/>
  <c r="Y86" i="1"/>
  <c r="Y85" i="1"/>
  <c r="X191" i="1"/>
  <c r="X190" i="1"/>
  <c r="X188" i="1"/>
  <c r="X185" i="1"/>
  <c r="X187" i="1"/>
  <c r="X181" i="1"/>
  <c r="Y180" i="1"/>
  <c r="X180" i="1"/>
  <c r="K35" i="1"/>
  <c r="K34" i="1"/>
  <c r="Y179" i="1"/>
  <c r="L178" i="1"/>
  <c r="K178" i="1"/>
  <c r="X175" i="1"/>
  <c r="Y137" i="1"/>
  <c r="L170" i="1"/>
  <c r="Y160" i="1"/>
  <c r="N160" i="1"/>
  <c r="Y159" i="1"/>
  <c r="Y158" i="1"/>
  <c r="O178" i="1"/>
  <c r="K190" i="1"/>
  <c r="AZ179" i="1"/>
  <c r="AY179" i="1"/>
  <c r="AU178" i="1"/>
  <c r="AT178" i="1"/>
  <c r="N178" i="1"/>
  <c r="K179" i="1"/>
  <c r="AZ177" i="1"/>
  <c r="AY177" i="1"/>
  <c r="AU177" i="1"/>
  <c r="AT177" i="1"/>
  <c r="AU176" i="1"/>
  <c r="AT176" i="1"/>
  <c r="AZ175" i="1"/>
  <c r="AY175" i="1"/>
  <c r="AZ174" i="1"/>
  <c r="AY174" i="1"/>
  <c r="AU174" i="1"/>
  <c r="AT174" i="1"/>
  <c r="K167" i="1"/>
  <c r="AU168" i="1"/>
  <c r="AT168" i="1"/>
  <c r="V170" i="1"/>
  <c r="W170" i="1" s="1"/>
  <c r="V169" i="1"/>
  <c r="W169" i="1" s="1"/>
  <c r="U169" i="1"/>
  <c r="C169" i="1"/>
  <c r="U171" i="1"/>
  <c r="U170" i="1"/>
  <c r="V317" i="1"/>
  <c r="U317" i="1"/>
  <c r="V168" i="1"/>
  <c r="U168" i="1"/>
  <c r="O269" i="1"/>
  <c r="A267" i="1"/>
  <c r="K267" i="1"/>
  <c r="I267" i="1"/>
  <c r="X272" i="1"/>
  <c r="K272" i="1"/>
  <c r="J272" i="1"/>
  <c r="I272" i="1"/>
  <c r="X273" i="1"/>
  <c r="X274" i="1"/>
  <c r="K274" i="1"/>
  <c r="J274" i="1"/>
  <c r="I274" i="1"/>
  <c r="L188" i="1"/>
  <c r="O273" i="1"/>
  <c r="O277" i="1"/>
  <c r="O276" i="1"/>
  <c r="X276" i="1"/>
  <c r="AT276" i="1"/>
  <c r="AU276" i="1"/>
  <c r="R276" i="1"/>
  <c r="AS275" i="1"/>
  <c r="V275" i="1" s="1"/>
  <c r="K277" i="1"/>
  <c r="K273" i="1"/>
  <c r="J273" i="1"/>
  <c r="I273" i="1"/>
  <c r="R273" i="1"/>
  <c r="K276" i="1"/>
  <c r="J276" i="1"/>
  <c r="I276" i="1"/>
  <c r="AZ274" i="1"/>
  <c r="AZ272" i="1"/>
  <c r="AY272" i="1"/>
  <c r="AY274" i="1"/>
  <c r="C277" i="1"/>
  <c r="C276" i="1"/>
  <c r="C275" i="1"/>
  <c r="C273" i="1"/>
  <c r="C272" i="1"/>
  <c r="C274" i="1"/>
  <c r="J99" i="1"/>
  <c r="X44" i="1"/>
  <c r="R99" i="1"/>
  <c r="R45" i="1"/>
  <c r="R43" i="1"/>
  <c r="R42" i="1"/>
  <c r="X50" i="1"/>
  <c r="V50" i="1"/>
  <c r="U50" i="1"/>
  <c r="K50" i="1"/>
  <c r="J50" i="1"/>
  <c r="I50" i="1"/>
  <c r="C50" i="1"/>
  <c r="A50" i="1"/>
  <c r="Q50" i="1" s="1"/>
  <c r="S50" i="1" s="1"/>
  <c r="X49" i="1"/>
  <c r="V49" i="1"/>
  <c r="U49" i="1"/>
  <c r="K49" i="1"/>
  <c r="J49" i="1"/>
  <c r="I49" i="1"/>
  <c r="C49" i="1"/>
  <c r="V99" i="1"/>
  <c r="W99" i="1" s="1"/>
  <c r="U99" i="1"/>
  <c r="C99" i="1"/>
  <c r="X48" i="1"/>
  <c r="V48" i="1"/>
  <c r="U48" i="1"/>
  <c r="K48" i="1"/>
  <c r="J48" i="1"/>
  <c r="I48" i="1"/>
  <c r="C48" i="1"/>
  <c r="X47" i="1"/>
  <c r="V47" i="1"/>
  <c r="U47" i="1"/>
  <c r="K47" i="1"/>
  <c r="J47" i="1"/>
  <c r="I47" i="1"/>
  <c r="C47" i="1"/>
  <c r="R47" i="1"/>
  <c r="V46" i="1"/>
  <c r="U46" i="1"/>
  <c r="K46" i="1"/>
  <c r="J46" i="1"/>
  <c r="I46" i="1"/>
  <c r="C46" i="1"/>
  <c r="V98" i="1"/>
  <c r="U98" i="1"/>
  <c r="K98" i="1"/>
  <c r="J98" i="1"/>
  <c r="I98" i="1"/>
  <c r="C98" i="1"/>
  <c r="V45" i="1"/>
  <c r="W45" i="1" s="1"/>
  <c r="U45" i="1"/>
  <c r="C45" i="1"/>
  <c r="V44" i="1"/>
  <c r="U44" i="1"/>
  <c r="C44" i="1"/>
  <c r="V43" i="1"/>
  <c r="W43" i="1" s="1"/>
  <c r="U43" i="1"/>
  <c r="C43" i="1"/>
  <c r="V42" i="1"/>
  <c r="W42" i="1" s="1"/>
  <c r="U42" i="1"/>
  <c r="C42" i="1"/>
  <c r="V41" i="1"/>
  <c r="W41" i="1" s="1"/>
  <c r="U41" i="1"/>
  <c r="C41" i="1"/>
  <c r="O150" i="1"/>
  <c r="L36" i="1"/>
  <c r="M240" i="1"/>
  <c r="M242" i="1"/>
  <c r="M238" i="1"/>
  <c r="M237" i="1"/>
  <c r="M236" i="1"/>
  <c r="M233" i="1"/>
  <c r="M232" i="1"/>
  <c r="M223" i="1"/>
  <c r="R293" i="1"/>
  <c r="R294" i="1"/>
  <c r="AT185" i="1"/>
  <c r="C172" i="1"/>
  <c r="C173" i="1"/>
  <c r="J317" i="1"/>
  <c r="O160" i="1"/>
  <c r="X159" i="1"/>
  <c r="X158" i="1"/>
  <c r="C160" i="1"/>
  <c r="AZ158" i="1"/>
  <c r="AY158" i="1"/>
  <c r="X157" i="1"/>
  <c r="N271" i="1"/>
  <c r="L271" i="1"/>
  <c r="J271" i="1"/>
  <c r="N270" i="1"/>
  <c r="L270" i="1"/>
  <c r="J270" i="1"/>
  <c r="N269" i="1"/>
  <c r="L269" i="1"/>
  <c r="N268" i="1"/>
  <c r="L268" i="1"/>
  <c r="J268" i="1"/>
  <c r="N267" i="1"/>
  <c r="L267" i="1"/>
  <c r="J267" i="1"/>
  <c r="N266" i="1"/>
  <c r="L266" i="1"/>
  <c r="J266" i="1"/>
  <c r="N265" i="1"/>
  <c r="L265" i="1"/>
  <c r="J265" i="1"/>
  <c r="N264" i="1"/>
  <c r="L264" i="1"/>
  <c r="J264" i="1"/>
  <c r="Y322" i="1"/>
  <c r="X322" i="1"/>
  <c r="L322" i="1"/>
  <c r="X263" i="1"/>
  <c r="X262" i="1"/>
  <c r="X261" i="1"/>
  <c r="L261" i="1"/>
  <c r="X260" i="1"/>
  <c r="X259" i="1"/>
  <c r="L259" i="1"/>
  <c r="X258" i="1"/>
  <c r="X257" i="1"/>
  <c r="L257" i="1"/>
  <c r="X256" i="1"/>
  <c r="X255" i="1"/>
  <c r="X13" i="1"/>
  <c r="L13" i="1"/>
  <c r="Y12" i="1"/>
  <c r="X12" i="1"/>
  <c r="X11" i="1"/>
  <c r="Y10" i="1"/>
  <c r="X10" i="1"/>
  <c r="L10" i="1"/>
  <c r="X9" i="1"/>
  <c r="L9" i="1"/>
  <c r="L8" i="1"/>
  <c r="L7" i="1"/>
  <c r="Y6" i="1"/>
  <c r="X6" i="1"/>
  <c r="Y5" i="1"/>
  <c r="X5" i="1"/>
  <c r="X252" i="1"/>
  <c r="X251" i="1"/>
  <c r="X250" i="1"/>
  <c r="X249" i="1"/>
  <c r="X247" i="1"/>
  <c r="X246" i="1"/>
  <c r="Y208" i="1"/>
  <c r="Y207" i="1"/>
  <c r="Y200" i="1"/>
  <c r="Y33" i="1"/>
  <c r="L33" i="1"/>
  <c r="K32" i="1"/>
  <c r="X141" i="1"/>
  <c r="N141" i="1"/>
  <c r="L141" i="1"/>
  <c r="K141" i="1"/>
  <c r="J141" i="1"/>
  <c r="I141" i="1"/>
  <c r="C141" i="1"/>
  <c r="X140" i="1"/>
  <c r="N140" i="1"/>
  <c r="L140" i="1"/>
  <c r="K140" i="1"/>
  <c r="J140" i="1"/>
  <c r="I140" i="1"/>
  <c r="C140" i="1"/>
  <c r="X139" i="1"/>
  <c r="N139" i="1"/>
  <c r="L139" i="1"/>
  <c r="K139" i="1"/>
  <c r="J139" i="1"/>
  <c r="I139" i="1"/>
  <c r="C139" i="1"/>
  <c r="N138" i="1"/>
  <c r="L138" i="1"/>
  <c r="K138" i="1"/>
  <c r="J138" i="1"/>
  <c r="I138" i="1"/>
  <c r="C138" i="1"/>
  <c r="X137" i="1"/>
  <c r="N137" i="1"/>
  <c r="L137" i="1"/>
  <c r="K137" i="1"/>
  <c r="J137" i="1"/>
  <c r="I137" i="1"/>
  <c r="C137" i="1"/>
  <c r="Y136" i="1"/>
  <c r="X136" i="1"/>
  <c r="N136" i="1"/>
  <c r="L136" i="1"/>
  <c r="K136" i="1"/>
  <c r="J136" i="1"/>
  <c r="I136" i="1"/>
  <c r="C136" i="1"/>
  <c r="Y135" i="1"/>
  <c r="X135" i="1"/>
  <c r="N135" i="1"/>
  <c r="L135" i="1"/>
  <c r="K135" i="1"/>
  <c r="J135" i="1"/>
  <c r="I135" i="1"/>
  <c r="C135" i="1"/>
  <c r="Y134" i="1"/>
  <c r="X134" i="1"/>
  <c r="N134" i="1"/>
  <c r="L134" i="1"/>
  <c r="K134" i="1"/>
  <c r="J134" i="1"/>
  <c r="I134" i="1"/>
  <c r="C134" i="1"/>
  <c r="L163" i="1"/>
  <c r="L165" i="1"/>
  <c r="L164" i="1"/>
  <c r="L161" i="1"/>
  <c r="K161" i="1"/>
  <c r="L162" i="1"/>
  <c r="K162" i="1"/>
  <c r="L159" i="1"/>
  <c r="L158" i="1"/>
  <c r="L67" i="1"/>
  <c r="L25" i="1"/>
  <c r="N133" i="1"/>
  <c r="L133" i="1"/>
  <c r="K133" i="1"/>
  <c r="J133" i="1"/>
  <c r="I133" i="1"/>
  <c r="C133" i="1"/>
  <c r="N132" i="1"/>
  <c r="L132" i="1"/>
  <c r="K132" i="1"/>
  <c r="J132" i="1"/>
  <c r="I132" i="1"/>
  <c r="C132" i="1"/>
  <c r="N131" i="1"/>
  <c r="L131" i="1"/>
  <c r="K131" i="1"/>
  <c r="J131" i="1"/>
  <c r="I131" i="1"/>
  <c r="C131" i="1"/>
  <c r="L152" i="1"/>
  <c r="K152" i="1"/>
  <c r="L153" i="1"/>
  <c r="K153" i="1"/>
  <c r="C154" i="1"/>
  <c r="C67" i="1"/>
  <c r="X270" i="1"/>
  <c r="I271" i="1"/>
  <c r="I270" i="1"/>
  <c r="K271" i="1"/>
  <c r="K270" i="1"/>
  <c r="A271" i="1"/>
  <c r="Q271" i="1" s="1"/>
  <c r="S271" i="1" s="1"/>
  <c r="A268" i="1"/>
  <c r="K268" i="1"/>
  <c r="I268" i="1"/>
  <c r="AZ264" i="1"/>
  <c r="AY264" i="1"/>
  <c r="AU264" i="1"/>
  <c r="AT264" i="1"/>
  <c r="V264" i="1"/>
  <c r="U264" i="1"/>
  <c r="O264" i="1"/>
  <c r="K264" i="1"/>
  <c r="I264" i="1"/>
  <c r="C264" i="1"/>
  <c r="A264" i="1"/>
  <c r="M94" i="1"/>
  <c r="M97" i="1"/>
  <c r="M88" i="1"/>
  <c r="X266" i="1"/>
  <c r="K266" i="1"/>
  <c r="I266" i="1"/>
  <c r="A266" i="1"/>
  <c r="O266" i="1"/>
  <c r="O270" i="1"/>
  <c r="O144" i="1"/>
  <c r="O143" i="1"/>
  <c r="O146" i="1"/>
  <c r="O147" i="1"/>
  <c r="O267" i="1"/>
  <c r="O268" i="1"/>
  <c r="O175" i="1"/>
  <c r="A265" i="1"/>
  <c r="K265" i="1"/>
  <c r="I265" i="1"/>
  <c r="X265" i="1"/>
  <c r="O203" i="1"/>
  <c r="O265" i="1"/>
  <c r="O177" i="1"/>
  <c r="O179" i="1"/>
  <c r="C271" i="1"/>
  <c r="C270" i="1"/>
  <c r="C269" i="1"/>
  <c r="C268" i="1"/>
  <c r="C267" i="1"/>
  <c r="AT268" i="1"/>
  <c r="AU268" i="1"/>
  <c r="AU267" i="1"/>
  <c r="AT267" i="1"/>
  <c r="AZ266" i="1"/>
  <c r="AY266" i="1"/>
  <c r="AU266" i="1"/>
  <c r="AT266" i="1"/>
  <c r="AU265" i="1"/>
  <c r="AT265" i="1"/>
  <c r="C266" i="1"/>
  <c r="C265" i="1"/>
  <c r="AU201" i="1"/>
  <c r="AU202" i="1"/>
  <c r="AT202" i="1"/>
  <c r="AT201" i="1"/>
  <c r="C97" i="1"/>
  <c r="C96" i="1"/>
  <c r="C95" i="1"/>
  <c r="C94" i="1"/>
  <c r="C93" i="1"/>
  <c r="C92" i="1"/>
  <c r="C91" i="1"/>
  <c r="C90" i="1"/>
  <c r="C89" i="1"/>
  <c r="C88" i="1"/>
  <c r="C87" i="1"/>
  <c r="C86" i="1"/>
  <c r="C85" i="1"/>
  <c r="C84" i="1"/>
  <c r="C83" i="1"/>
  <c r="C82" i="1"/>
  <c r="C81" i="1"/>
  <c r="C80" i="1"/>
  <c r="C242" i="1"/>
  <c r="C241" i="1"/>
  <c r="C240" i="1"/>
  <c r="C239" i="1"/>
  <c r="C238" i="1"/>
  <c r="C237" i="1"/>
  <c r="C236" i="1"/>
  <c r="C235" i="1"/>
  <c r="C234" i="1"/>
  <c r="C233" i="1"/>
  <c r="C232" i="1"/>
  <c r="C231" i="1"/>
  <c r="C230" i="1"/>
  <c r="C229" i="1"/>
  <c r="C228" i="1"/>
  <c r="C227" i="1"/>
  <c r="C226" i="1"/>
  <c r="C225" i="1"/>
  <c r="C224" i="1"/>
  <c r="C223" i="1"/>
  <c r="C221" i="1"/>
  <c r="C79" i="1"/>
  <c r="C78" i="1"/>
  <c r="C77" i="1"/>
  <c r="AZ197" i="1"/>
  <c r="AY197" i="1"/>
  <c r="AU197" i="1"/>
  <c r="AT197" i="1"/>
  <c r="AZ198" i="1"/>
  <c r="AY198" i="1"/>
  <c r="AU198" i="1"/>
  <c r="AT198" i="1"/>
  <c r="AR198" i="1"/>
  <c r="U198" i="1" s="1"/>
  <c r="W198" i="1" s="1"/>
  <c r="AP198" i="1"/>
  <c r="AS198" i="1" s="1"/>
  <c r="X200" i="1"/>
  <c r="AZ200" i="1"/>
  <c r="AY200" i="1"/>
  <c r="AU200" i="1"/>
  <c r="AT200" i="1"/>
  <c r="K166" i="1"/>
  <c r="K164" i="1"/>
  <c r="K165" i="1"/>
  <c r="K163" i="1"/>
  <c r="AZ162" i="1"/>
  <c r="AU162" i="1"/>
  <c r="AT162" i="1"/>
  <c r="AU161" i="1"/>
  <c r="AT161" i="1"/>
  <c r="AY162" i="1"/>
  <c r="AZ161" i="1"/>
  <c r="AY161" i="1"/>
  <c r="AZ163" i="1"/>
  <c r="AY163" i="1"/>
  <c r="AU163" i="1"/>
  <c r="AT163" i="1"/>
  <c r="AU165" i="1"/>
  <c r="AT165" i="1"/>
  <c r="AU164" i="1"/>
  <c r="AT164" i="1"/>
  <c r="K67" i="1"/>
  <c r="L26" i="1"/>
  <c r="I24" i="1"/>
  <c r="M160" i="1"/>
  <c r="Y148" i="1"/>
  <c r="Y149" i="1"/>
  <c r="A322" i="1"/>
  <c r="Q322" i="1" s="1"/>
  <c r="S322" i="1" s="1"/>
  <c r="C178" i="1"/>
  <c r="A256" i="1"/>
  <c r="AZ256" i="1"/>
  <c r="AY256" i="1"/>
  <c r="AZ263" i="1"/>
  <c r="AY263" i="1"/>
  <c r="V263" i="1"/>
  <c r="U263" i="1"/>
  <c r="N263" i="1"/>
  <c r="M263" i="1"/>
  <c r="K263" i="1"/>
  <c r="J263" i="1"/>
  <c r="I263" i="1"/>
  <c r="C263" i="1"/>
  <c r="A263" i="1"/>
  <c r="AZ261" i="1"/>
  <c r="AY261" i="1"/>
  <c r="V261" i="1"/>
  <c r="U261" i="1"/>
  <c r="N261" i="1"/>
  <c r="M261" i="1"/>
  <c r="K261" i="1"/>
  <c r="J261" i="1"/>
  <c r="I261" i="1"/>
  <c r="C261" i="1"/>
  <c r="A261" i="1"/>
  <c r="V260" i="1"/>
  <c r="U260" i="1"/>
  <c r="N260" i="1"/>
  <c r="J260" i="1"/>
  <c r="I260" i="1"/>
  <c r="C260" i="1"/>
  <c r="A260" i="1"/>
  <c r="A262" i="1"/>
  <c r="K256" i="1"/>
  <c r="J256" i="1"/>
  <c r="I256" i="1"/>
  <c r="K262" i="1"/>
  <c r="J262" i="1"/>
  <c r="I262" i="1"/>
  <c r="K322" i="1"/>
  <c r="J322" i="1"/>
  <c r="I322" i="1"/>
  <c r="U7" i="1"/>
  <c r="I259" i="1"/>
  <c r="I258" i="1"/>
  <c r="A10" i="1"/>
  <c r="A5" i="1"/>
  <c r="J5" i="1"/>
  <c r="I5" i="1"/>
  <c r="N7" i="1"/>
  <c r="N6" i="1"/>
  <c r="N5" i="1"/>
  <c r="K6" i="1"/>
  <c r="J6" i="1"/>
  <c r="I6" i="1"/>
  <c r="A6" i="1"/>
  <c r="A259" i="1"/>
  <c r="K259" i="1"/>
  <c r="J259" i="1"/>
  <c r="A258" i="1"/>
  <c r="J258" i="1"/>
  <c r="A257" i="1"/>
  <c r="AU257" i="1"/>
  <c r="AT257" i="1"/>
  <c r="A254" i="1"/>
  <c r="K254" i="1"/>
  <c r="J254" i="1"/>
  <c r="I254" i="1"/>
  <c r="AY254" i="1"/>
  <c r="AZ254" i="1"/>
  <c r="N262" i="1"/>
  <c r="N259" i="1"/>
  <c r="N258" i="1"/>
  <c r="N257" i="1"/>
  <c r="N256" i="1"/>
  <c r="N255" i="1"/>
  <c r="N254" i="1"/>
  <c r="K257" i="1"/>
  <c r="J257" i="1"/>
  <c r="I257" i="1"/>
  <c r="K255" i="1"/>
  <c r="J255" i="1"/>
  <c r="I255" i="1"/>
  <c r="A255" i="1"/>
  <c r="AU255" i="1"/>
  <c r="AT255" i="1"/>
  <c r="M262" i="1"/>
  <c r="M259" i="1"/>
  <c r="M257" i="1"/>
  <c r="M256" i="1"/>
  <c r="M255" i="1"/>
  <c r="M254" i="1"/>
  <c r="M10" i="1"/>
  <c r="M9" i="1"/>
  <c r="N13" i="1"/>
  <c r="N12" i="1"/>
  <c r="K13" i="1"/>
  <c r="J13" i="1"/>
  <c r="I13" i="1"/>
  <c r="A13" i="1"/>
  <c r="AZ259" i="1"/>
  <c r="AY259" i="1"/>
  <c r="N11" i="1"/>
  <c r="K11" i="1"/>
  <c r="J11" i="1"/>
  <c r="I11" i="1"/>
  <c r="A11" i="1"/>
  <c r="K12" i="1"/>
  <c r="J12" i="1"/>
  <c r="I12" i="1"/>
  <c r="A12" i="1"/>
  <c r="AZ12" i="1"/>
  <c r="A8" i="1"/>
  <c r="N8" i="1"/>
  <c r="K8" i="1"/>
  <c r="J8" i="1"/>
  <c r="I8" i="1"/>
  <c r="AZ8" i="1"/>
  <c r="AY8" i="1"/>
  <c r="AZ5" i="1"/>
  <c r="AY5" i="1"/>
  <c r="N10" i="1"/>
  <c r="K10" i="1"/>
  <c r="J10" i="1"/>
  <c r="I10" i="1"/>
  <c r="AY12" i="1"/>
  <c r="AZ10" i="1"/>
  <c r="AY10" i="1"/>
  <c r="N9" i="1"/>
  <c r="K9" i="1"/>
  <c r="J9" i="1"/>
  <c r="I9" i="1"/>
  <c r="A9" i="1"/>
  <c r="V322" i="1"/>
  <c r="U322" i="1"/>
  <c r="C322" i="1"/>
  <c r="AZ262" i="1"/>
  <c r="AY262" i="1"/>
  <c r="V262" i="1"/>
  <c r="U262" i="1"/>
  <c r="C262" i="1"/>
  <c r="V259" i="1"/>
  <c r="U259" i="1"/>
  <c r="C259" i="1"/>
  <c r="V258" i="1"/>
  <c r="U258" i="1"/>
  <c r="C258" i="1"/>
  <c r="AZ257" i="1"/>
  <c r="AY257" i="1"/>
  <c r="V257" i="1"/>
  <c r="U257" i="1"/>
  <c r="C257" i="1"/>
  <c r="V256" i="1"/>
  <c r="U256" i="1"/>
  <c r="C256" i="1"/>
  <c r="V255" i="1"/>
  <c r="U255" i="1"/>
  <c r="C255" i="1"/>
  <c r="V254" i="1"/>
  <c r="U254" i="1"/>
  <c r="C254" i="1"/>
  <c r="V13" i="1"/>
  <c r="U13" i="1"/>
  <c r="C13" i="1"/>
  <c r="V12" i="1"/>
  <c r="U12" i="1"/>
  <c r="C12" i="1"/>
  <c r="V11" i="1"/>
  <c r="U11" i="1"/>
  <c r="C11" i="1"/>
  <c r="V10" i="1"/>
  <c r="U10" i="1"/>
  <c r="C10" i="1"/>
  <c r="V9" i="1"/>
  <c r="U9" i="1"/>
  <c r="C9" i="1"/>
  <c r="V8" i="1"/>
  <c r="U8" i="1"/>
  <c r="C8" i="1"/>
  <c r="V6" i="1"/>
  <c r="U6" i="1"/>
  <c r="C6" i="1"/>
  <c r="V5" i="1"/>
  <c r="U5" i="1"/>
  <c r="C5" i="1"/>
  <c r="A252" i="1"/>
  <c r="A251" i="1"/>
  <c r="A250" i="1"/>
  <c r="K252" i="1"/>
  <c r="J252" i="1"/>
  <c r="I252" i="1"/>
  <c r="K251" i="1"/>
  <c r="J251" i="1"/>
  <c r="I251" i="1"/>
  <c r="K250" i="1"/>
  <c r="J250" i="1"/>
  <c r="I250" i="1"/>
  <c r="K249" i="1"/>
  <c r="J249" i="1"/>
  <c r="I249" i="1"/>
  <c r="A249" i="1"/>
  <c r="K247" i="1"/>
  <c r="A247" i="1"/>
  <c r="I247" i="1"/>
  <c r="I246" i="1"/>
  <c r="J247" i="1"/>
  <c r="J246" i="1"/>
  <c r="N252" i="1"/>
  <c r="N251" i="1"/>
  <c r="N250" i="1"/>
  <c r="N249" i="1"/>
  <c r="N248" i="1"/>
  <c r="N247" i="1"/>
  <c r="N246" i="1"/>
  <c r="C252" i="1"/>
  <c r="C251" i="1"/>
  <c r="C250" i="1"/>
  <c r="C249" i="1"/>
  <c r="C248" i="1"/>
  <c r="C247" i="1"/>
  <c r="C246" i="1"/>
  <c r="C4" i="1"/>
  <c r="C253" i="1"/>
  <c r="V246" i="1"/>
  <c r="U246" i="1"/>
  <c r="V133" i="1"/>
  <c r="U133" i="1"/>
  <c r="V132" i="1"/>
  <c r="U132" i="1"/>
  <c r="V131" i="1"/>
  <c r="U131" i="1"/>
  <c r="V141" i="1"/>
  <c r="U141" i="1"/>
  <c r="V140" i="1"/>
  <c r="U140" i="1"/>
  <c r="V139" i="1"/>
  <c r="U139" i="1"/>
  <c r="V138" i="1"/>
  <c r="U138" i="1"/>
  <c r="V137" i="1"/>
  <c r="U137" i="1"/>
  <c r="V136" i="1"/>
  <c r="U136" i="1"/>
  <c r="V135" i="1"/>
  <c r="U135" i="1"/>
  <c r="V134" i="1"/>
  <c r="U134" i="1"/>
  <c r="A253" i="1"/>
  <c r="X253" i="1"/>
  <c r="AT253" i="1"/>
  <c r="AU4" i="1"/>
  <c r="AT4" i="1"/>
  <c r="Y4" i="1"/>
  <c r="V4" i="1"/>
  <c r="U4" i="1"/>
  <c r="L4" i="1"/>
  <c r="K4" i="1"/>
  <c r="J4" i="1"/>
  <c r="I4" i="1"/>
  <c r="A4" i="1"/>
  <c r="V293" i="1"/>
  <c r="U293" i="1"/>
  <c r="V294" i="1"/>
  <c r="U294" i="1"/>
  <c r="U277" i="1"/>
  <c r="V276" i="1"/>
  <c r="U276" i="1"/>
  <c r="V273" i="1"/>
  <c r="U273" i="1"/>
  <c r="V272" i="1"/>
  <c r="U272" i="1"/>
  <c r="V274" i="1"/>
  <c r="U274" i="1"/>
  <c r="U275" i="1"/>
  <c r="V271" i="1"/>
  <c r="U271" i="1"/>
  <c r="V270" i="1"/>
  <c r="U270" i="1"/>
  <c r="V268" i="1"/>
  <c r="U268" i="1"/>
  <c r="V267" i="1"/>
  <c r="U267" i="1"/>
  <c r="V266" i="1"/>
  <c r="U266" i="1"/>
  <c r="V265" i="1"/>
  <c r="U265" i="1"/>
  <c r="V252" i="1"/>
  <c r="U252" i="1"/>
  <c r="V251" i="1"/>
  <c r="U251" i="1"/>
  <c r="V250" i="1"/>
  <c r="U250" i="1"/>
  <c r="V249" i="1"/>
  <c r="U249" i="1"/>
  <c r="V248" i="1"/>
  <c r="U248" i="1"/>
  <c r="L253" i="1"/>
  <c r="K253" i="1"/>
  <c r="J253" i="1"/>
  <c r="I253" i="1"/>
  <c r="C167" i="1"/>
  <c r="C152" i="1"/>
  <c r="C153" i="1"/>
  <c r="V247" i="1"/>
  <c r="U247" i="1"/>
  <c r="V253" i="1"/>
  <c r="U253" i="1"/>
  <c r="A221" i="1"/>
  <c r="X77" i="1"/>
  <c r="X221" i="1"/>
  <c r="X79" i="1"/>
  <c r="V79" i="1"/>
  <c r="A77" i="1"/>
  <c r="A79" i="1"/>
  <c r="Q79" i="1" s="1"/>
  <c r="S79" i="1" s="1"/>
  <c r="A78" i="1"/>
  <c r="Q78" i="1" s="1"/>
  <c r="S78" i="1" s="1"/>
  <c r="N79" i="1"/>
  <c r="L79" i="1"/>
  <c r="K79" i="1"/>
  <c r="J79" i="1"/>
  <c r="I79" i="1"/>
  <c r="N78" i="1"/>
  <c r="L78" i="1"/>
  <c r="K78" i="1"/>
  <c r="J78" i="1"/>
  <c r="I78" i="1"/>
  <c r="N221" i="1"/>
  <c r="L221" i="1"/>
  <c r="K221" i="1"/>
  <c r="J221" i="1"/>
  <c r="I221" i="1"/>
  <c r="N77" i="1"/>
  <c r="L77" i="1"/>
  <c r="K77" i="1"/>
  <c r="J77" i="1"/>
  <c r="I77" i="1"/>
  <c r="K222" i="1"/>
  <c r="I222" i="1"/>
  <c r="X208" i="1"/>
  <c r="X207" i="1"/>
  <c r="K208" i="1"/>
  <c r="K205" i="1"/>
  <c r="J208" i="1"/>
  <c r="J207" i="1"/>
  <c r="J206" i="1"/>
  <c r="J205" i="1"/>
  <c r="I208" i="1"/>
  <c r="I207" i="1"/>
  <c r="I206" i="1"/>
  <c r="I205" i="1"/>
  <c r="A220" i="1"/>
  <c r="I56" i="1"/>
  <c r="I55" i="1"/>
  <c r="I54" i="1"/>
  <c r="Y56" i="1"/>
  <c r="Y55" i="1"/>
  <c r="Y54" i="1"/>
  <c r="Y57" i="1"/>
  <c r="I57" i="1"/>
  <c r="Y58" i="1"/>
  <c r="K58" i="1"/>
  <c r="I58" i="1"/>
  <c r="A234" i="1"/>
  <c r="Y234" i="1"/>
  <c r="A242" i="1"/>
  <c r="AY242" i="1"/>
  <c r="AZ242" i="1"/>
  <c r="Y242" i="1"/>
  <c r="J242" i="1"/>
  <c r="I242" i="1"/>
  <c r="A241" i="1"/>
  <c r="J241" i="1"/>
  <c r="I241" i="1"/>
  <c r="X241" i="1"/>
  <c r="Y241" i="1"/>
  <c r="A232" i="1"/>
  <c r="X245" i="1"/>
  <c r="N245" i="1"/>
  <c r="L245" i="1"/>
  <c r="K245" i="1"/>
  <c r="J245" i="1"/>
  <c r="I245" i="1"/>
  <c r="C245" i="1"/>
  <c r="A245" i="1"/>
  <c r="X244" i="1"/>
  <c r="N244" i="1"/>
  <c r="L244" i="1"/>
  <c r="K244" i="1"/>
  <c r="J244" i="1"/>
  <c r="I244" i="1"/>
  <c r="C244" i="1"/>
  <c r="A244" i="1"/>
  <c r="N243" i="1"/>
  <c r="M243" i="1"/>
  <c r="L243" i="1"/>
  <c r="K243" i="1"/>
  <c r="J243" i="1"/>
  <c r="I243" i="1"/>
  <c r="C243" i="1"/>
  <c r="A243" i="1"/>
  <c r="X40" i="1"/>
  <c r="N40" i="1"/>
  <c r="M40" i="1"/>
  <c r="L40" i="1"/>
  <c r="K40" i="1"/>
  <c r="J40" i="1"/>
  <c r="I40" i="1"/>
  <c r="C40" i="1"/>
  <c r="A40" i="1"/>
  <c r="Q40" i="1" s="1"/>
  <c r="S40" i="1" s="1"/>
  <c r="N39" i="1"/>
  <c r="L39" i="1"/>
  <c r="K39" i="1"/>
  <c r="J39" i="1"/>
  <c r="I39" i="1"/>
  <c r="C39" i="1"/>
  <c r="A39" i="1"/>
  <c r="Q39" i="1" s="1"/>
  <c r="S39" i="1" s="1"/>
  <c r="Y97" i="1"/>
  <c r="X97" i="1"/>
  <c r="N97" i="1"/>
  <c r="L97" i="1"/>
  <c r="K97" i="1"/>
  <c r="J97" i="1"/>
  <c r="I97" i="1"/>
  <c r="Y96" i="1"/>
  <c r="X96" i="1"/>
  <c r="N96" i="1"/>
  <c r="L96" i="1"/>
  <c r="K96" i="1"/>
  <c r="J96" i="1"/>
  <c r="I96" i="1"/>
  <c r="A96" i="1"/>
  <c r="X95" i="1"/>
  <c r="N95" i="1"/>
  <c r="M95" i="1"/>
  <c r="L95" i="1"/>
  <c r="K95" i="1"/>
  <c r="J95" i="1"/>
  <c r="I95" i="1"/>
  <c r="A95" i="1"/>
  <c r="X94" i="1"/>
  <c r="N94" i="1"/>
  <c r="L94" i="1"/>
  <c r="K94" i="1"/>
  <c r="J94" i="1"/>
  <c r="I94" i="1"/>
  <c r="A94" i="1"/>
  <c r="X93" i="1"/>
  <c r="N93" i="1"/>
  <c r="L93" i="1"/>
  <c r="K93" i="1"/>
  <c r="J93" i="1"/>
  <c r="I93" i="1"/>
  <c r="A93" i="1"/>
  <c r="X92" i="1"/>
  <c r="N92" i="1"/>
  <c r="L92" i="1"/>
  <c r="K92" i="1"/>
  <c r="J92" i="1"/>
  <c r="I92" i="1"/>
  <c r="A92" i="1"/>
  <c r="N91" i="1"/>
  <c r="K91" i="1"/>
  <c r="J91" i="1"/>
  <c r="I91" i="1"/>
  <c r="A91" i="1"/>
  <c r="N90" i="1"/>
  <c r="L90" i="1"/>
  <c r="K90" i="1"/>
  <c r="J90" i="1"/>
  <c r="I90" i="1"/>
  <c r="A90" i="1"/>
  <c r="X89" i="1"/>
  <c r="N89" i="1"/>
  <c r="L89" i="1"/>
  <c r="K89" i="1"/>
  <c r="J89" i="1"/>
  <c r="I89" i="1"/>
  <c r="A89" i="1"/>
  <c r="X88" i="1"/>
  <c r="N88" i="1"/>
  <c r="L88" i="1"/>
  <c r="K88" i="1"/>
  <c r="J88" i="1"/>
  <c r="I88" i="1"/>
  <c r="A88" i="1"/>
  <c r="N87" i="1"/>
  <c r="L87" i="1"/>
  <c r="K87" i="1"/>
  <c r="J87" i="1"/>
  <c r="I87" i="1"/>
  <c r="A87" i="1"/>
  <c r="X86" i="1"/>
  <c r="N86" i="1"/>
  <c r="K86" i="1"/>
  <c r="J86" i="1"/>
  <c r="I86" i="1"/>
  <c r="A86" i="1"/>
  <c r="N85" i="1"/>
  <c r="L85" i="1"/>
  <c r="K85" i="1"/>
  <c r="J85" i="1"/>
  <c r="I85" i="1"/>
  <c r="A85" i="1"/>
  <c r="N84" i="1"/>
  <c r="L84" i="1"/>
  <c r="K84" i="1"/>
  <c r="J84" i="1"/>
  <c r="I84" i="1"/>
  <c r="A84" i="1"/>
  <c r="Y83" i="1"/>
  <c r="N83" i="1"/>
  <c r="K83" i="1"/>
  <c r="J83" i="1"/>
  <c r="I83" i="1"/>
  <c r="A83" i="1"/>
  <c r="X82" i="1"/>
  <c r="N82" i="1"/>
  <c r="K82" i="1"/>
  <c r="J82" i="1"/>
  <c r="I82" i="1"/>
  <c r="A82" i="1"/>
  <c r="N81" i="1"/>
  <c r="L81" i="1"/>
  <c r="K81" i="1"/>
  <c r="J81" i="1"/>
  <c r="I81" i="1"/>
  <c r="A81" i="1"/>
  <c r="X80" i="1"/>
  <c r="N80" i="1"/>
  <c r="L80" i="1"/>
  <c r="K80" i="1"/>
  <c r="J80" i="1"/>
  <c r="I80" i="1"/>
  <c r="A80" i="1"/>
  <c r="N242" i="1"/>
  <c r="L242" i="1"/>
  <c r="K242" i="1"/>
  <c r="N241" i="1"/>
  <c r="L241" i="1"/>
  <c r="K241" i="1"/>
  <c r="X240" i="1"/>
  <c r="N240" i="1"/>
  <c r="L240" i="1"/>
  <c r="K240" i="1"/>
  <c r="J240" i="1"/>
  <c r="I240" i="1"/>
  <c r="Y239" i="1"/>
  <c r="N239" i="1"/>
  <c r="L239" i="1"/>
  <c r="K239" i="1"/>
  <c r="J239" i="1"/>
  <c r="I239" i="1"/>
  <c r="A239" i="1"/>
  <c r="Y238" i="1"/>
  <c r="X238" i="1"/>
  <c r="N238" i="1"/>
  <c r="L238" i="1"/>
  <c r="K238" i="1"/>
  <c r="J238" i="1"/>
  <c r="I238" i="1"/>
  <c r="A238" i="1"/>
  <c r="Y237" i="1"/>
  <c r="X237" i="1"/>
  <c r="N237" i="1"/>
  <c r="L237" i="1"/>
  <c r="K237" i="1"/>
  <c r="J237" i="1"/>
  <c r="I237" i="1"/>
  <c r="A237" i="1"/>
  <c r="N236" i="1"/>
  <c r="L236" i="1"/>
  <c r="K236" i="1"/>
  <c r="J236" i="1"/>
  <c r="I236" i="1"/>
  <c r="A236" i="1"/>
  <c r="N235" i="1"/>
  <c r="K235" i="1"/>
  <c r="J235" i="1"/>
  <c r="I235" i="1"/>
  <c r="A235" i="1"/>
  <c r="N234" i="1"/>
  <c r="L234" i="1"/>
  <c r="K234" i="1"/>
  <c r="J234" i="1"/>
  <c r="I234" i="1"/>
  <c r="Y233" i="1"/>
  <c r="N233" i="1"/>
  <c r="K233" i="1"/>
  <c r="J233" i="1"/>
  <c r="I233" i="1"/>
  <c r="A233" i="1"/>
  <c r="Y232" i="1"/>
  <c r="N232" i="1"/>
  <c r="L232" i="1"/>
  <c r="K232" i="1"/>
  <c r="J232" i="1"/>
  <c r="I232" i="1"/>
  <c r="X231" i="1"/>
  <c r="N231" i="1"/>
  <c r="L231" i="1"/>
  <c r="K231" i="1"/>
  <c r="J231" i="1"/>
  <c r="I231" i="1"/>
  <c r="A231" i="1"/>
  <c r="Y230" i="1"/>
  <c r="X230" i="1"/>
  <c r="N230" i="1"/>
  <c r="L230" i="1"/>
  <c r="K230" i="1"/>
  <c r="J230" i="1"/>
  <c r="I230" i="1"/>
  <c r="A230" i="1"/>
  <c r="X229" i="1"/>
  <c r="N229" i="1"/>
  <c r="L229" i="1"/>
  <c r="K229" i="1"/>
  <c r="J229" i="1"/>
  <c r="I229" i="1"/>
  <c r="A229" i="1"/>
  <c r="Y228" i="1"/>
  <c r="N228" i="1"/>
  <c r="L228" i="1"/>
  <c r="K228" i="1"/>
  <c r="J228" i="1"/>
  <c r="I228" i="1"/>
  <c r="A228" i="1"/>
  <c r="X227" i="1"/>
  <c r="N227" i="1"/>
  <c r="L227" i="1"/>
  <c r="K227" i="1"/>
  <c r="J227" i="1"/>
  <c r="I227" i="1"/>
  <c r="A227" i="1"/>
  <c r="N226" i="1"/>
  <c r="L226" i="1"/>
  <c r="K226" i="1"/>
  <c r="J226" i="1"/>
  <c r="I226" i="1"/>
  <c r="A226" i="1"/>
  <c r="Y225" i="1"/>
  <c r="X225" i="1"/>
  <c r="N225" i="1"/>
  <c r="L225" i="1"/>
  <c r="K225" i="1"/>
  <c r="J225" i="1"/>
  <c r="I225" i="1"/>
  <c r="A225" i="1"/>
  <c r="X224" i="1"/>
  <c r="N224" i="1"/>
  <c r="L224" i="1"/>
  <c r="K224" i="1"/>
  <c r="J224" i="1"/>
  <c r="I224" i="1"/>
  <c r="A224" i="1"/>
  <c r="Y223" i="1"/>
  <c r="X223" i="1"/>
  <c r="N223" i="1"/>
  <c r="K223" i="1"/>
  <c r="J223" i="1"/>
  <c r="I223" i="1"/>
  <c r="A223" i="1"/>
  <c r="Y199" i="1"/>
  <c r="N199" i="1"/>
  <c r="J199" i="1"/>
  <c r="I199" i="1"/>
  <c r="C199" i="1"/>
  <c r="Y198" i="1"/>
  <c r="N198" i="1"/>
  <c r="K198" i="1"/>
  <c r="J198" i="1"/>
  <c r="I198" i="1"/>
  <c r="C198" i="1"/>
  <c r="C171" i="1"/>
  <c r="C170" i="1"/>
  <c r="X220" i="1"/>
  <c r="N220" i="1"/>
  <c r="L220" i="1"/>
  <c r="K220" i="1"/>
  <c r="J220" i="1"/>
  <c r="I220" i="1"/>
  <c r="C220" i="1"/>
  <c r="N219" i="1"/>
  <c r="K219" i="1"/>
  <c r="J219" i="1"/>
  <c r="I219" i="1"/>
  <c r="C219" i="1"/>
  <c r="Y218" i="1"/>
  <c r="N218" i="1"/>
  <c r="L218" i="1"/>
  <c r="K218" i="1"/>
  <c r="J218" i="1"/>
  <c r="I218" i="1"/>
  <c r="C218" i="1"/>
  <c r="X217" i="1"/>
  <c r="N217" i="1"/>
  <c r="L217" i="1"/>
  <c r="K217" i="1"/>
  <c r="J217" i="1"/>
  <c r="I217" i="1"/>
  <c r="C217" i="1"/>
  <c r="A217" i="1"/>
  <c r="X216" i="1"/>
  <c r="N216" i="1"/>
  <c r="L216" i="1"/>
  <c r="K216" i="1"/>
  <c r="J216" i="1"/>
  <c r="I216" i="1"/>
  <c r="C216" i="1"/>
  <c r="A216" i="1"/>
  <c r="X213" i="1"/>
  <c r="N213" i="1"/>
  <c r="L213" i="1"/>
  <c r="K213" i="1"/>
  <c r="J213" i="1"/>
  <c r="I213" i="1"/>
  <c r="C213" i="1"/>
  <c r="Y212" i="1"/>
  <c r="X212" i="1"/>
  <c r="N212" i="1"/>
  <c r="L212" i="1"/>
  <c r="K212" i="1"/>
  <c r="J212" i="1"/>
  <c r="I212" i="1"/>
  <c r="C212" i="1"/>
  <c r="A212" i="1"/>
  <c r="N211" i="1"/>
  <c r="L211" i="1"/>
  <c r="K211" i="1"/>
  <c r="J211" i="1"/>
  <c r="I211" i="1"/>
  <c r="C211" i="1"/>
  <c r="Y214" i="1"/>
  <c r="X214" i="1"/>
  <c r="N214" i="1"/>
  <c r="L214" i="1"/>
  <c r="K214" i="1"/>
  <c r="J214" i="1"/>
  <c r="I214" i="1"/>
  <c r="C214" i="1"/>
  <c r="Y215" i="1"/>
  <c r="X215" i="1"/>
  <c r="N215" i="1"/>
  <c r="L215" i="1"/>
  <c r="K215" i="1"/>
  <c r="J215" i="1"/>
  <c r="I215" i="1"/>
  <c r="C215" i="1"/>
  <c r="A215" i="1"/>
  <c r="M222" i="1"/>
  <c r="J222" i="1"/>
  <c r="C222" i="1"/>
  <c r="Y210" i="1"/>
  <c r="X210" i="1"/>
  <c r="N210" i="1"/>
  <c r="L210" i="1"/>
  <c r="K210" i="1"/>
  <c r="J210" i="1"/>
  <c r="I210" i="1"/>
  <c r="C210" i="1"/>
  <c r="Y209" i="1"/>
  <c r="X209" i="1"/>
  <c r="N209" i="1"/>
  <c r="K209" i="1"/>
  <c r="J209" i="1"/>
  <c r="I209" i="1"/>
  <c r="C209" i="1"/>
  <c r="C208" i="1"/>
  <c r="C207" i="1"/>
  <c r="C206" i="1"/>
  <c r="X205" i="1"/>
  <c r="C205" i="1"/>
  <c r="N203" i="1"/>
  <c r="K203" i="1"/>
  <c r="J203" i="1"/>
  <c r="I203" i="1"/>
  <c r="C203" i="1"/>
  <c r="N204" i="1"/>
  <c r="J204" i="1"/>
  <c r="I204" i="1"/>
  <c r="C204" i="1"/>
  <c r="Y202" i="1"/>
  <c r="X202" i="1"/>
  <c r="N202" i="1"/>
  <c r="J202" i="1"/>
  <c r="I202" i="1"/>
  <c r="C202" i="1"/>
  <c r="Y201" i="1"/>
  <c r="X201" i="1"/>
  <c r="N201" i="1"/>
  <c r="J201" i="1"/>
  <c r="I201" i="1"/>
  <c r="C201" i="1"/>
  <c r="N200" i="1"/>
  <c r="K200" i="1"/>
  <c r="J200" i="1"/>
  <c r="I200" i="1"/>
  <c r="C200" i="1"/>
  <c r="Y197" i="1"/>
  <c r="X197" i="1"/>
  <c r="N197" i="1"/>
  <c r="J197" i="1"/>
  <c r="I197" i="1"/>
  <c r="C197" i="1"/>
  <c r="N196" i="1"/>
  <c r="L196" i="1"/>
  <c r="K196" i="1"/>
  <c r="J196" i="1"/>
  <c r="I196" i="1"/>
  <c r="C196" i="1"/>
  <c r="X194" i="1"/>
  <c r="N194" i="1"/>
  <c r="K194" i="1"/>
  <c r="J194" i="1"/>
  <c r="I194" i="1"/>
  <c r="C194" i="1"/>
  <c r="X195" i="1"/>
  <c r="N195" i="1"/>
  <c r="K195" i="1"/>
  <c r="J195" i="1"/>
  <c r="I195" i="1"/>
  <c r="C195" i="1"/>
  <c r="X193" i="1"/>
  <c r="N193" i="1"/>
  <c r="K193" i="1"/>
  <c r="J193" i="1"/>
  <c r="I193" i="1"/>
  <c r="C193" i="1"/>
  <c r="X38" i="1"/>
  <c r="N38" i="1"/>
  <c r="J38" i="1"/>
  <c r="I38" i="1"/>
  <c r="C38" i="1"/>
  <c r="X76" i="1"/>
  <c r="N76" i="1"/>
  <c r="J76" i="1"/>
  <c r="I76" i="1"/>
  <c r="C76" i="1"/>
  <c r="N75" i="1"/>
  <c r="J75" i="1"/>
  <c r="I75" i="1"/>
  <c r="C75" i="1"/>
  <c r="X74" i="1"/>
  <c r="N74" i="1"/>
  <c r="L74" i="1"/>
  <c r="K74" i="1"/>
  <c r="J74" i="1"/>
  <c r="I74" i="1"/>
  <c r="C74" i="1"/>
  <c r="N192" i="1"/>
  <c r="L192" i="1"/>
  <c r="K192" i="1"/>
  <c r="J192" i="1"/>
  <c r="I192" i="1"/>
  <c r="C192" i="1"/>
  <c r="X73" i="1"/>
  <c r="N73" i="1"/>
  <c r="K73" i="1"/>
  <c r="J73" i="1"/>
  <c r="I73" i="1"/>
  <c r="C73" i="1"/>
  <c r="N72" i="1"/>
  <c r="K72" i="1"/>
  <c r="J72" i="1"/>
  <c r="I72" i="1"/>
  <c r="C72" i="1"/>
  <c r="N191" i="1"/>
  <c r="K191" i="1"/>
  <c r="J191" i="1"/>
  <c r="I191" i="1"/>
  <c r="C191" i="1"/>
  <c r="N190" i="1"/>
  <c r="J190" i="1"/>
  <c r="I190" i="1"/>
  <c r="C190" i="1"/>
  <c r="N188" i="1"/>
  <c r="K188" i="1"/>
  <c r="J188" i="1"/>
  <c r="I188" i="1"/>
  <c r="C188" i="1"/>
  <c r="X189" i="1"/>
  <c r="N189" i="1"/>
  <c r="K189" i="1"/>
  <c r="J189" i="1"/>
  <c r="I189" i="1"/>
  <c r="C189" i="1"/>
  <c r="X186" i="1"/>
  <c r="N186" i="1"/>
  <c r="K186" i="1"/>
  <c r="J186" i="1"/>
  <c r="I186" i="1"/>
  <c r="C186" i="1"/>
  <c r="N185" i="1"/>
  <c r="L185" i="1"/>
  <c r="K185" i="1"/>
  <c r="J185" i="1"/>
  <c r="I185" i="1"/>
  <c r="C185" i="1"/>
  <c r="N187" i="1"/>
  <c r="L187" i="1"/>
  <c r="K187" i="1"/>
  <c r="J187" i="1"/>
  <c r="I187" i="1"/>
  <c r="C187" i="1"/>
  <c r="K37" i="1"/>
  <c r="J37" i="1"/>
  <c r="I37" i="1"/>
  <c r="C37" i="1"/>
  <c r="N183" i="1"/>
  <c r="K183" i="1"/>
  <c r="J183" i="1"/>
  <c r="I183" i="1"/>
  <c r="C183" i="1"/>
  <c r="N184" i="1"/>
  <c r="J184" i="1"/>
  <c r="I184" i="1"/>
  <c r="C184" i="1"/>
  <c r="N182" i="1"/>
  <c r="L182" i="1"/>
  <c r="K182" i="1"/>
  <c r="J182" i="1"/>
  <c r="I182" i="1"/>
  <c r="C182" i="1"/>
  <c r="N181" i="1"/>
  <c r="L181" i="1"/>
  <c r="K181" i="1"/>
  <c r="J181" i="1"/>
  <c r="I181" i="1"/>
  <c r="C181" i="1"/>
  <c r="N180" i="1"/>
  <c r="L180" i="1"/>
  <c r="K180" i="1"/>
  <c r="J180" i="1"/>
  <c r="I180" i="1"/>
  <c r="C180" i="1"/>
  <c r="K36" i="1"/>
  <c r="J36" i="1"/>
  <c r="I36" i="1"/>
  <c r="C36" i="1"/>
  <c r="L35" i="1"/>
  <c r="J35" i="1"/>
  <c r="I35" i="1"/>
  <c r="C35" i="1"/>
  <c r="J34" i="1"/>
  <c r="I34" i="1"/>
  <c r="C34" i="1"/>
  <c r="K33" i="1"/>
  <c r="J33" i="1"/>
  <c r="I33" i="1"/>
  <c r="C33" i="1"/>
  <c r="J32" i="1"/>
  <c r="I32" i="1"/>
  <c r="C32" i="1"/>
  <c r="N30" i="1"/>
  <c r="L30" i="1"/>
  <c r="K30" i="1"/>
  <c r="J30" i="1"/>
  <c r="I30" i="1"/>
  <c r="C30" i="1"/>
  <c r="N29" i="1"/>
  <c r="L29" i="1"/>
  <c r="K29" i="1"/>
  <c r="J29" i="1"/>
  <c r="I29" i="1"/>
  <c r="C29" i="1"/>
  <c r="X31" i="1"/>
  <c r="N31" i="1"/>
  <c r="L31" i="1"/>
  <c r="K31" i="1"/>
  <c r="J31" i="1"/>
  <c r="I31" i="1"/>
  <c r="C31" i="1"/>
  <c r="N179" i="1"/>
  <c r="J179" i="1"/>
  <c r="I179" i="1"/>
  <c r="C179" i="1"/>
  <c r="N177" i="1"/>
  <c r="L177" i="1"/>
  <c r="K177" i="1"/>
  <c r="J177" i="1"/>
  <c r="I177" i="1"/>
  <c r="C177" i="1"/>
  <c r="N176" i="1"/>
  <c r="K176" i="1"/>
  <c r="J176" i="1"/>
  <c r="I176" i="1"/>
  <c r="C176" i="1"/>
  <c r="N175" i="1"/>
  <c r="L175" i="1"/>
  <c r="K175" i="1"/>
  <c r="J175" i="1"/>
  <c r="I175" i="1"/>
  <c r="C175" i="1"/>
  <c r="N174" i="1"/>
  <c r="K174" i="1"/>
  <c r="J174" i="1"/>
  <c r="I174" i="1"/>
  <c r="C174" i="1"/>
  <c r="N71" i="1"/>
  <c r="J71" i="1"/>
  <c r="I71" i="1"/>
  <c r="C71" i="1"/>
  <c r="N70" i="1"/>
  <c r="J70" i="1"/>
  <c r="I70" i="1"/>
  <c r="C70" i="1"/>
  <c r="N69" i="1"/>
  <c r="J69" i="1"/>
  <c r="I69" i="1"/>
  <c r="C69" i="1"/>
  <c r="N68" i="1"/>
  <c r="J68" i="1"/>
  <c r="I68" i="1"/>
  <c r="C68" i="1"/>
  <c r="Y317" i="1"/>
  <c r="K317" i="1"/>
  <c r="I317" i="1"/>
  <c r="C317" i="1"/>
  <c r="L168" i="1"/>
  <c r="C168" i="1"/>
  <c r="J167" i="1"/>
  <c r="I167" i="1"/>
  <c r="N166" i="1"/>
  <c r="J166" i="1"/>
  <c r="I166" i="1"/>
  <c r="C166" i="1"/>
  <c r="N163" i="1"/>
  <c r="J163" i="1"/>
  <c r="I163" i="1"/>
  <c r="C163" i="1"/>
  <c r="X165" i="1"/>
  <c r="N165" i="1"/>
  <c r="J165" i="1"/>
  <c r="I165" i="1"/>
  <c r="C165" i="1"/>
  <c r="N164" i="1"/>
  <c r="J164" i="1"/>
  <c r="I164" i="1"/>
  <c r="C164" i="1"/>
  <c r="N161" i="1"/>
  <c r="J161" i="1"/>
  <c r="I161" i="1"/>
  <c r="C161" i="1"/>
  <c r="N162" i="1"/>
  <c r="J162" i="1"/>
  <c r="I162" i="1"/>
  <c r="C162" i="1"/>
  <c r="L160" i="1"/>
  <c r="K160" i="1"/>
  <c r="J160" i="1"/>
  <c r="I160" i="1"/>
  <c r="N159" i="1"/>
  <c r="K159" i="1"/>
  <c r="J159" i="1"/>
  <c r="I159" i="1"/>
  <c r="C159" i="1"/>
  <c r="N158" i="1"/>
  <c r="K158" i="1"/>
  <c r="J158" i="1"/>
  <c r="I158" i="1"/>
  <c r="C158" i="1"/>
  <c r="N157" i="1"/>
  <c r="L157" i="1"/>
  <c r="K157" i="1"/>
  <c r="J157" i="1"/>
  <c r="I157" i="1"/>
  <c r="C157" i="1"/>
  <c r="X67" i="1"/>
  <c r="N67" i="1"/>
  <c r="J67" i="1"/>
  <c r="I67" i="1"/>
  <c r="N156" i="1"/>
  <c r="L156" i="1"/>
  <c r="K156" i="1"/>
  <c r="J156" i="1"/>
  <c r="I156" i="1"/>
  <c r="C156" i="1"/>
  <c r="N155" i="1"/>
  <c r="L155" i="1"/>
  <c r="K155" i="1"/>
  <c r="J155" i="1"/>
  <c r="I155" i="1"/>
  <c r="C155" i="1"/>
  <c r="Y26" i="1"/>
  <c r="N26" i="1"/>
  <c r="K26" i="1"/>
  <c r="J26" i="1"/>
  <c r="I26" i="1"/>
  <c r="C26" i="1"/>
  <c r="N28" i="1"/>
  <c r="L28" i="1"/>
  <c r="K28" i="1"/>
  <c r="J28" i="1"/>
  <c r="I28" i="1"/>
  <c r="C28" i="1"/>
  <c r="N27" i="1"/>
  <c r="K27" i="1"/>
  <c r="J27" i="1"/>
  <c r="I27" i="1"/>
  <c r="C27" i="1"/>
  <c r="Y25" i="1"/>
  <c r="N25" i="1"/>
  <c r="J25" i="1"/>
  <c r="I25" i="1"/>
  <c r="C25" i="1"/>
  <c r="Y24" i="1"/>
  <c r="N24" i="1"/>
  <c r="L24" i="1"/>
  <c r="K24" i="1"/>
  <c r="J24" i="1"/>
  <c r="C24" i="1"/>
  <c r="N154" i="1"/>
  <c r="K154" i="1"/>
  <c r="J154" i="1"/>
  <c r="I154" i="1"/>
  <c r="N23" i="1"/>
  <c r="K23" i="1"/>
  <c r="J23" i="1"/>
  <c r="I23" i="1"/>
  <c r="C23" i="1"/>
  <c r="J152" i="1"/>
  <c r="I152" i="1"/>
  <c r="J153" i="1"/>
  <c r="I153" i="1"/>
  <c r="L66" i="1"/>
  <c r="K66" i="1"/>
  <c r="J66" i="1"/>
  <c r="I66" i="1"/>
  <c r="C66" i="1"/>
  <c r="Y63" i="1"/>
  <c r="N63" i="1"/>
  <c r="L63" i="1"/>
  <c r="K63" i="1"/>
  <c r="J63" i="1"/>
  <c r="I63" i="1"/>
  <c r="C63" i="1"/>
  <c r="Y62" i="1"/>
  <c r="N62" i="1"/>
  <c r="L62" i="1"/>
  <c r="K62" i="1"/>
  <c r="J62" i="1"/>
  <c r="I62" i="1"/>
  <c r="C62" i="1"/>
  <c r="Y65" i="1"/>
  <c r="N65" i="1"/>
  <c r="L65" i="1"/>
  <c r="K65" i="1"/>
  <c r="J65" i="1"/>
  <c r="I65" i="1"/>
  <c r="C65" i="1"/>
  <c r="Y64" i="1"/>
  <c r="N64" i="1"/>
  <c r="L64" i="1"/>
  <c r="K64" i="1"/>
  <c r="J64" i="1"/>
  <c r="I64" i="1"/>
  <c r="C64" i="1"/>
  <c r="Y61" i="1"/>
  <c r="N61" i="1"/>
  <c r="L61" i="1"/>
  <c r="K61" i="1"/>
  <c r="J61" i="1"/>
  <c r="I61" i="1"/>
  <c r="C61" i="1"/>
  <c r="N60" i="1"/>
  <c r="L60" i="1"/>
  <c r="K60" i="1"/>
  <c r="J60" i="1"/>
  <c r="I60" i="1"/>
  <c r="C60" i="1"/>
  <c r="L151" i="1"/>
  <c r="K151" i="1"/>
  <c r="J151" i="1"/>
  <c r="I151" i="1"/>
  <c r="C151" i="1"/>
  <c r="L150" i="1"/>
  <c r="K150" i="1"/>
  <c r="J150" i="1"/>
  <c r="I150" i="1"/>
  <c r="C150" i="1"/>
  <c r="L149" i="1"/>
  <c r="K149" i="1"/>
  <c r="J149" i="1"/>
  <c r="I149" i="1"/>
  <c r="C149" i="1"/>
  <c r="L148" i="1"/>
  <c r="K148" i="1"/>
  <c r="J148" i="1"/>
  <c r="I148" i="1"/>
  <c r="Y59" i="1"/>
  <c r="N59" i="1"/>
  <c r="L59" i="1"/>
  <c r="K59" i="1"/>
  <c r="J59" i="1"/>
  <c r="I59" i="1"/>
  <c r="N58" i="1"/>
  <c r="L58" i="1"/>
  <c r="J58" i="1"/>
  <c r="C58" i="1"/>
  <c r="N57" i="1"/>
  <c r="K57" i="1"/>
  <c r="J57" i="1"/>
  <c r="C57" i="1"/>
  <c r="N56" i="1"/>
  <c r="L56" i="1"/>
  <c r="K56" i="1"/>
  <c r="J56" i="1"/>
  <c r="C56" i="1"/>
  <c r="N55" i="1"/>
  <c r="L55" i="1"/>
  <c r="K55" i="1"/>
  <c r="J55" i="1"/>
  <c r="C55" i="1"/>
  <c r="N54" i="1"/>
  <c r="L54" i="1"/>
  <c r="K54" i="1"/>
  <c r="J54" i="1"/>
  <c r="C54" i="1"/>
  <c r="Y146" i="1"/>
  <c r="N146" i="1"/>
  <c r="L146" i="1"/>
  <c r="K146" i="1"/>
  <c r="J146" i="1"/>
  <c r="I146" i="1"/>
  <c r="C146" i="1"/>
  <c r="N147" i="1"/>
  <c r="L147" i="1"/>
  <c r="K147" i="1"/>
  <c r="J147" i="1"/>
  <c r="I147" i="1"/>
  <c r="C147" i="1"/>
  <c r="Y143" i="1"/>
  <c r="N143" i="1"/>
  <c r="L143" i="1"/>
  <c r="K143" i="1"/>
  <c r="J143" i="1"/>
  <c r="I143" i="1"/>
  <c r="C143" i="1"/>
  <c r="N142" i="1"/>
  <c r="L142" i="1"/>
  <c r="K142" i="1"/>
  <c r="J142" i="1"/>
  <c r="I142" i="1"/>
  <c r="C142" i="1"/>
  <c r="Y144" i="1"/>
  <c r="N144" i="1"/>
  <c r="L144" i="1"/>
  <c r="K144" i="1"/>
  <c r="J144" i="1"/>
  <c r="I144" i="1"/>
  <c r="C144" i="1"/>
  <c r="Y145" i="1"/>
  <c r="N145" i="1"/>
  <c r="L145" i="1"/>
  <c r="K145" i="1"/>
  <c r="J145" i="1"/>
  <c r="I145" i="1"/>
  <c r="C145" i="1"/>
  <c r="A97" i="1"/>
  <c r="V78" i="1"/>
  <c r="W78" i="1" s="1"/>
  <c r="U78" i="1"/>
  <c r="V220" i="1"/>
  <c r="U220" i="1"/>
  <c r="V219" i="1"/>
  <c r="U219" i="1"/>
  <c r="V208" i="1"/>
  <c r="U208" i="1"/>
  <c r="V207" i="1"/>
  <c r="U207" i="1"/>
  <c r="V206" i="1"/>
  <c r="U206" i="1"/>
  <c r="V205" i="1"/>
  <c r="U205" i="1"/>
  <c r="U231" i="1"/>
  <c r="U211" i="1"/>
  <c r="V211" i="1"/>
  <c r="W211" i="1" s="1"/>
  <c r="AT211" i="1"/>
  <c r="AU211" i="1"/>
  <c r="AY211" i="1"/>
  <c r="AZ211" i="1"/>
  <c r="V217" i="1"/>
  <c r="U217" i="1"/>
  <c r="U85" i="1"/>
  <c r="V85" i="1"/>
  <c r="AZ239" i="1"/>
  <c r="AY239" i="1"/>
  <c r="AY222" i="1"/>
  <c r="AZ222" i="1"/>
  <c r="V222" i="1"/>
  <c r="U222" i="1"/>
  <c r="AZ209" i="1"/>
  <c r="AY209" i="1"/>
  <c r="V210" i="1"/>
  <c r="U210" i="1"/>
  <c r="V209" i="1"/>
  <c r="U209" i="1"/>
  <c r="V39" i="1"/>
  <c r="U39" i="1"/>
  <c r="AZ245" i="1"/>
  <c r="AY245" i="1"/>
  <c r="AZ244" i="1"/>
  <c r="AY244" i="1"/>
  <c r="AU245" i="1"/>
  <c r="AT245" i="1"/>
  <c r="AU244" i="1"/>
  <c r="AT244" i="1"/>
  <c r="AY40" i="1"/>
  <c r="AZ40" i="1"/>
  <c r="AY243" i="1"/>
  <c r="AZ243" i="1"/>
  <c r="AU243" i="1"/>
  <c r="AT243" i="1"/>
  <c r="AU40" i="1"/>
  <c r="AT40" i="1"/>
  <c r="V245" i="1"/>
  <c r="U245" i="1"/>
  <c r="V244" i="1"/>
  <c r="U244" i="1"/>
  <c r="V243" i="1"/>
  <c r="U243" i="1"/>
  <c r="V40" i="1"/>
  <c r="U40" i="1"/>
  <c r="AT148" i="1"/>
  <c r="AU148" i="1"/>
  <c r="AZ151" i="1"/>
  <c r="AY151" i="1"/>
  <c r="AU151" i="1"/>
  <c r="AT151" i="1"/>
  <c r="V151" i="1"/>
  <c r="W151" i="1" s="1"/>
  <c r="AU150" i="1"/>
  <c r="AT150" i="1"/>
  <c r="V57" i="1"/>
  <c r="V56" i="1"/>
  <c r="V55" i="1"/>
  <c r="V54" i="1"/>
  <c r="AZ147" i="1"/>
  <c r="AY147" i="1"/>
  <c r="V142" i="1"/>
  <c r="U142" i="1"/>
  <c r="AZ167" i="1"/>
  <c r="AY167" i="1"/>
  <c r="AZ221" i="1"/>
  <c r="AY221" i="1"/>
  <c r="AU221" i="1"/>
  <c r="AT221" i="1"/>
  <c r="V221" i="1"/>
  <c r="U221" i="1"/>
  <c r="U79" i="1"/>
  <c r="AU77" i="1"/>
  <c r="AT77" i="1"/>
  <c r="V77" i="1"/>
  <c r="U77" i="1"/>
  <c r="AZ240" i="1"/>
  <c r="AY240" i="1"/>
  <c r="AX35" i="1"/>
  <c r="AX34" i="1"/>
  <c r="AX32" i="1"/>
  <c r="AZ31" i="1"/>
  <c r="AY31" i="1"/>
  <c r="AZ168" i="1"/>
  <c r="AY168" i="1"/>
  <c r="U84" i="1"/>
  <c r="V97" i="1"/>
  <c r="U97" i="1"/>
  <c r="V96" i="1"/>
  <c r="U96" i="1"/>
  <c r="V95" i="1"/>
  <c r="U95" i="1"/>
  <c r="V94" i="1"/>
  <c r="U94" i="1"/>
  <c r="V93" i="1"/>
  <c r="U93" i="1"/>
  <c r="V92" i="1"/>
  <c r="U92" i="1"/>
  <c r="V90" i="1"/>
  <c r="U90" i="1"/>
  <c r="V88" i="1"/>
  <c r="U88" i="1"/>
  <c r="V86" i="1"/>
  <c r="U86" i="1"/>
  <c r="V84" i="1"/>
  <c r="V83" i="1"/>
  <c r="U83" i="1"/>
  <c r="V82" i="1"/>
  <c r="U82" i="1"/>
  <c r="V80" i="1"/>
  <c r="U80" i="1"/>
  <c r="V242" i="1"/>
  <c r="U242" i="1"/>
  <c r="V239" i="1"/>
  <c r="U239" i="1"/>
  <c r="V237" i="1"/>
  <c r="U237" i="1"/>
  <c r="V235" i="1"/>
  <c r="U235" i="1"/>
  <c r="V233" i="1"/>
  <c r="U233" i="1"/>
  <c r="V231" i="1"/>
  <c r="V229" i="1"/>
  <c r="U229" i="1"/>
  <c r="V227" i="1"/>
  <c r="U227" i="1"/>
  <c r="V191" i="1"/>
  <c r="AZ215" i="1"/>
  <c r="AY215" i="1"/>
  <c r="AU215" i="1"/>
  <c r="AT215" i="1"/>
  <c r="AU214" i="1"/>
  <c r="AT214" i="1"/>
  <c r="V225" i="1"/>
  <c r="U225" i="1"/>
  <c r="V223" i="1"/>
  <c r="U223" i="1"/>
  <c r="AU213" i="1"/>
  <c r="AT213" i="1"/>
  <c r="U213" i="1"/>
  <c r="V202" i="1"/>
  <c r="V201" i="1"/>
  <c r="V200" i="1"/>
  <c r="V197" i="1"/>
  <c r="V190" i="1"/>
  <c r="V179" i="1"/>
  <c r="V177" i="1"/>
  <c r="V176" i="1"/>
  <c r="V175" i="1"/>
  <c r="V174" i="1"/>
  <c r="V167" i="1"/>
  <c r="V166" i="1"/>
  <c r="V165" i="1"/>
  <c r="V164" i="1"/>
  <c r="V163" i="1"/>
  <c r="V162" i="1"/>
  <c r="V161" i="1"/>
  <c r="V160" i="1"/>
  <c r="V159" i="1"/>
  <c r="V158" i="1"/>
  <c r="V157" i="1"/>
  <c r="V153" i="1"/>
  <c r="V150" i="1"/>
  <c r="V149" i="1"/>
  <c r="V148" i="1"/>
  <c r="V147" i="1"/>
  <c r="V146" i="1"/>
  <c r="V145" i="1"/>
  <c r="V144" i="1"/>
  <c r="V143" i="1"/>
  <c r="U57" i="1"/>
  <c r="U56" i="1"/>
  <c r="U55" i="1"/>
  <c r="U54" i="1"/>
  <c r="V76" i="1"/>
  <c r="V74" i="1"/>
  <c r="V73" i="1"/>
  <c r="W73" i="1" s="1"/>
  <c r="V72" i="1"/>
  <c r="V71" i="1"/>
  <c r="V70" i="1"/>
  <c r="V69" i="1"/>
  <c r="V68" i="1"/>
  <c r="V67" i="1"/>
  <c r="V65" i="1"/>
  <c r="V64" i="1"/>
  <c r="V63" i="1"/>
  <c r="V62" i="1"/>
  <c r="W62" i="1" s="1"/>
  <c r="V61" i="1"/>
  <c r="V60" i="1"/>
  <c r="V58" i="1"/>
  <c r="V38" i="1"/>
  <c r="V37" i="1"/>
  <c r="V36" i="1"/>
  <c r="V35" i="1"/>
  <c r="V34" i="1"/>
  <c r="W34" i="1" s="1"/>
  <c r="V33" i="1"/>
  <c r="V32" i="1"/>
  <c r="W32" i="1" s="1"/>
  <c r="V31" i="1"/>
  <c r="V29" i="1"/>
  <c r="U64" i="1"/>
  <c r="U65" i="1"/>
  <c r="U68" i="1"/>
  <c r="U69" i="1"/>
  <c r="U70" i="1"/>
  <c r="U71" i="1"/>
  <c r="U72" i="1"/>
  <c r="U73" i="1"/>
  <c r="U74" i="1"/>
  <c r="U76" i="1"/>
  <c r="U33" i="1"/>
  <c r="U34" i="1"/>
  <c r="U35" i="1"/>
  <c r="U36" i="1"/>
  <c r="U37" i="1"/>
  <c r="U38" i="1"/>
  <c r="U58" i="1"/>
  <c r="U67" i="1"/>
  <c r="U60" i="1"/>
  <c r="U61" i="1"/>
  <c r="U62" i="1"/>
  <c r="U63" i="1"/>
  <c r="U153" i="1"/>
  <c r="U167" i="1"/>
  <c r="U160" i="1"/>
  <c r="U161" i="1"/>
  <c r="U162" i="1"/>
  <c r="U163" i="1"/>
  <c r="U164" i="1"/>
  <c r="U165" i="1"/>
  <c r="U166" i="1"/>
  <c r="U197" i="1"/>
  <c r="U200" i="1"/>
  <c r="U201" i="1"/>
  <c r="U202" i="1"/>
  <c r="U29" i="1"/>
  <c r="U31" i="1"/>
  <c r="U32" i="1"/>
  <c r="U190" i="1"/>
  <c r="U179" i="1"/>
  <c r="U177" i="1"/>
  <c r="U176" i="1"/>
  <c r="U174" i="1"/>
  <c r="U175" i="1"/>
  <c r="U159" i="1"/>
  <c r="U158" i="1"/>
  <c r="U157" i="1"/>
  <c r="U150" i="1"/>
  <c r="U149" i="1"/>
  <c r="U148" i="1"/>
  <c r="U147" i="1"/>
  <c r="U146" i="1"/>
  <c r="U145" i="1"/>
  <c r="U144" i="1"/>
  <c r="U143" i="1"/>
  <c r="U191" i="1"/>
  <c r="V212" i="1"/>
  <c r="V216" i="1"/>
  <c r="V213" i="1"/>
  <c r="U218" i="1"/>
  <c r="U87" i="1"/>
  <c r="V87" i="1"/>
  <c r="U224" i="1"/>
  <c r="U215" i="1"/>
  <c r="U212" i="1"/>
  <c r="U23" i="1"/>
  <c r="U182" i="1"/>
  <c r="U183" i="1"/>
  <c r="U184" i="1"/>
  <c r="U185" i="1"/>
  <c r="U186" i="1"/>
  <c r="U187" i="1"/>
  <c r="U188" i="1"/>
  <c r="U189" i="1"/>
  <c r="V204" i="1"/>
  <c r="U203" i="1"/>
  <c r="U196" i="1"/>
  <c r="U195" i="1"/>
  <c r="V194" i="1"/>
  <c r="V193" i="1"/>
  <c r="V192" i="1"/>
  <c r="U151" i="1"/>
  <c r="U152" i="1"/>
  <c r="U199" i="1"/>
  <c r="U30" i="1"/>
  <c r="U66" i="1"/>
  <c r="U24" i="1"/>
  <c r="U25" i="1"/>
  <c r="U26" i="1"/>
  <c r="U27" i="1"/>
  <c r="V28" i="1"/>
  <c r="U154" i="1"/>
  <c r="U155" i="1"/>
  <c r="U156" i="1"/>
  <c r="V180" i="1"/>
  <c r="U181" i="1"/>
  <c r="V66" i="1"/>
  <c r="V234" i="1"/>
  <c r="U234" i="1"/>
  <c r="V240" i="1"/>
  <c r="U240" i="1"/>
  <c r="V228" i="1"/>
  <c r="U228" i="1"/>
  <c r="V236" i="1"/>
  <c r="U236" i="1"/>
  <c r="V81" i="1"/>
  <c r="U81" i="1"/>
  <c r="V230" i="1"/>
  <c r="U230" i="1"/>
  <c r="V238" i="1"/>
  <c r="U238" i="1"/>
  <c r="V232" i="1"/>
  <c r="U232" i="1"/>
  <c r="V241" i="1"/>
  <c r="U241" i="1"/>
  <c r="V89" i="1"/>
  <c r="U89" i="1"/>
  <c r="V91" i="1"/>
  <c r="U91" i="1"/>
  <c r="V226" i="1"/>
  <c r="V224" i="1"/>
  <c r="U226" i="1"/>
  <c r="V30" i="1"/>
  <c r="U216" i="1"/>
  <c r="V152" i="1"/>
  <c r="V214" i="1"/>
  <c r="V215" i="1"/>
  <c r="V189" i="1"/>
  <c r="U214" i="1"/>
  <c r="V203" i="1"/>
  <c r="U192" i="1"/>
  <c r="V183" i="1"/>
  <c r="V187" i="1"/>
  <c r="V199" i="1"/>
  <c r="W199" i="1" s="1"/>
  <c r="U204" i="1"/>
  <c r="V23" i="1"/>
  <c r="W23" i="1" s="1"/>
  <c r="V181" i="1"/>
  <c r="U194" i="1"/>
  <c r="V25" i="1"/>
  <c r="V24" i="1"/>
  <c r="V195" i="1"/>
  <c r="V196" i="1"/>
  <c r="V184" i="1"/>
  <c r="V27" i="1"/>
  <c r="V218" i="1"/>
  <c r="V26" i="1"/>
  <c r="W26" i="1" s="1"/>
  <c r="U193" i="1"/>
  <c r="U28" i="1"/>
  <c r="V188" i="1"/>
  <c r="V156" i="1"/>
  <c r="V186" i="1"/>
  <c r="V185" i="1"/>
  <c r="U180" i="1"/>
  <c r="V155" i="1"/>
  <c r="V154" i="1"/>
  <c r="V182" i="1"/>
  <c r="R44" i="1"/>
  <c r="R48" i="1"/>
  <c r="R46" i="1"/>
  <c r="R98" i="1"/>
  <c r="R274" i="1" l="1"/>
  <c r="R272" i="1"/>
  <c r="B98" i="1"/>
  <c r="B48" i="1"/>
  <c r="B46" i="1"/>
  <c r="R109" i="1"/>
  <c r="R119" i="1"/>
  <c r="B296" i="1"/>
  <c r="R118" i="1"/>
  <c r="R307" i="1"/>
  <c r="R309" i="1"/>
  <c r="R312" i="1"/>
  <c r="B309" i="1"/>
  <c r="B126" i="1"/>
  <c r="B122" i="1"/>
  <c r="B120" i="1"/>
  <c r="B117" i="1"/>
  <c r="B114" i="1"/>
  <c r="B277" i="1"/>
  <c r="R271" i="1"/>
  <c r="R49" i="1"/>
  <c r="R50" i="1"/>
  <c r="R283" i="1"/>
  <c r="R298" i="1"/>
  <c r="B298" i="1"/>
  <c r="B113" i="1"/>
  <c r="B274" i="1"/>
  <c r="B272" i="1"/>
  <c r="B49" i="1"/>
  <c r="B47" i="1"/>
  <c r="B109" i="1"/>
  <c r="B102" i="1"/>
  <c r="R302" i="1"/>
  <c r="V75" i="1"/>
  <c r="W75" i="1" s="1"/>
  <c r="V4" i="6" s="1"/>
  <c r="V118" i="1"/>
  <c r="V2" i="6"/>
  <c r="T2" i="6"/>
  <c r="B2" i="6"/>
  <c r="G2" i="6"/>
  <c r="T4" i="6"/>
  <c r="E2" i="6"/>
  <c r="C2" i="6"/>
  <c r="H2" i="6"/>
  <c r="F2" i="6"/>
  <c r="D2" i="6"/>
  <c r="U4" i="6" l="1"/>
  <c r="U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Gold Field</author>
    <author>Dave</author>
    <author>Goldbogen</author>
    <author>Elana Dobson</author>
    <author>Musculus</author>
    <author>David Cade</author>
  </authors>
  <commentList>
    <comment ref="P4" authorId="0" shapeId="0" xr:uid="{00000000-0006-0000-0000-000001000000}">
      <text>
        <r>
          <rPr>
            <b/>
            <sz val="9"/>
            <color indexed="81"/>
            <rFont val="Tahoma"/>
            <family val="2"/>
          </rPr>
          <t>Gold Field:</t>
        </r>
        <r>
          <rPr>
            <sz val="9"/>
            <color indexed="81"/>
            <rFont val="Tahoma"/>
            <family val="2"/>
          </rPr>
          <t xml:space="preserve">
Skin from suction cup tube
</t>
        </r>
      </text>
    </comment>
    <comment ref="H18" authorId="1" shapeId="0" xr:uid="{00000000-0006-0000-0000-000002000000}">
      <text>
        <r>
          <rPr>
            <b/>
            <sz val="9"/>
            <color indexed="81"/>
            <rFont val="Tahoma"/>
            <family val="2"/>
          </rPr>
          <t>Dave:</t>
        </r>
        <r>
          <rPr>
            <sz val="9"/>
            <color indexed="81"/>
            <rFont val="Tahoma"/>
            <family val="2"/>
          </rPr>
          <t xml:space="preserve">
No x accelerometer- PRH made with just Mag using Lucia's method</t>
        </r>
      </text>
    </comment>
    <comment ref="H21" authorId="1" shapeId="0" xr:uid="{00000000-0006-0000-0000-000003000000}">
      <text>
        <r>
          <rPr>
            <b/>
            <sz val="9"/>
            <color indexed="81"/>
            <rFont val="Tahoma"/>
            <family val="2"/>
          </rPr>
          <t>Dave:</t>
        </r>
        <r>
          <rPr>
            <sz val="9"/>
            <color indexed="81"/>
            <rFont val="Tahoma"/>
            <family val="2"/>
          </rPr>
          <t xml:space="preserve">
No x accelerometer- PRH made with just Mag using Lucia's method</t>
        </r>
      </text>
    </comment>
    <comment ref="H41" authorId="1" shapeId="0" xr:uid="{00000000-0006-0000-0000-000004000000}">
      <text>
        <r>
          <rPr>
            <b/>
            <sz val="9"/>
            <color indexed="81"/>
            <rFont val="Tahoma"/>
            <family val="2"/>
          </rPr>
          <t>Dave:</t>
        </r>
        <r>
          <rPr>
            <sz val="9"/>
            <color indexed="81"/>
            <rFont val="Tahoma"/>
            <family val="2"/>
          </rPr>
          <t xml:space="preserve">
No x accelerometer- PRH made with just Mag using Lucia's method</t>
        </r>
      </text>
    </comment>
    <comment ref="P87" authorId="2" shapeId="0" xr:uid="{00000000-0006-0000-0000-000005000000}">
      <text>
        <r>
          <rPr>
            <b/>
            <sz val="9"/>
            <color indexed="81"/>
            <rFont val="Tahoma"/>
            <family val="2"/>
          </rPr>
          <t>Goldbogen:</t>
        </r>
        <r>
          <rPr>
            <sz val="9"/>
            <color indexed="81"/>
            <rFont val="Tahoma"/>
            <family val="2"/>
          </rPr>
          <t xml:space="preserve">
Sample Collected from Suction cups on recovery</t>
        </r>
      </text>
    </comment>
    <comment ref="P91" authorId="2" shapeId="0" xr:uid="{00000000-0006-0000-0000-000006000000}">
      <text>
        <r>
          <rPr>
            <b/>
            <sz val="9"/>
            <color indexed="81"/>
            <rFont val="Tahoma"/>
            <family val="2"/>
          </rPr>
          <t>Goldbogen:</t>
        </r>
        <r>
          <rPr>
            <sz val="9"/>
            <color indexed="81"/>
            <rFont val="Tahoma"/>
            <family val="2"/>
          </rPr>
          <t xml:space="preserve">
Sample Collected from Suction cups on recovery</t>
        </r>
      </text>
    </comment>
    <comment ref="P100" authorId="3" shapeId="0" xr:uid="{00000000-0006-0000-0000-000007000000}">
      <text>
        <r>
          <rPr>
            <b/>
            <sz val="9"/>
            <color indexed="81"/>
            <rFont val="Tahoma"/>
            <family val="2"/>
          </rPr>
          <t>Elana Dobson:</t>
        </r>
        <r>
          <rPr>
            <sz val="9"/>
            <color indexed="81"/>
            <rFont val="Tahoma"/>
            <family val="2"/>
          </rPr>
          <t xml:space="preserve">
TAG 46 2 VIALS CRC-20180829-TAG46 (from TagRec in DailyEvents on 20180829  for tag deployed on 0827. Add Tsample entry with date, sight num, and FID from 0827 but note collected on 0829</t>
        </r>
      </text>
    </comment>
    <comment ref="P103" authorId="1" shapeId="0" xr:uid="{00000000-0006-0000-0000-000008000000}">
      <text>
        <r>
          <rPr>
            <b/>
            <sz val="9"/>
            <color indexed="81"/>
            <rFont val="Tahoma"/>
            <family val="2"/>
          </rPr>
          <t>Dave:</t>
        </r>
        <r>
          <rPr>
            <sz val="9"/>
            <color indexed="81"/>
            <rFont val="Tahoma"/>
            <family val="2"/>
          </rPr>
          <t xml:space="preserve">
but same whale as bw180828-48b</t>
        </r>
      </text>
    </comment>
    <comment ref="P105" authorId="3" shapeId="0" xr:uid="{00000000-0006-0000-0000-000009000000}">
      <text>
        <r>
          <rPr>
            <b/>
            <sz val="9"/>
            <color indexed="81"/>
            <rFont val="Tahoma"/>
            <family val="2"/>
          </rPr>
          <t>Elana Dobson:</t>
        </r>
        <r>
          <rPr>
            <sz val="9"/>
            <color indexed="81"/>
            <rFont val="Tahoma"/>
            <family val="2"/>
          </rPr>
          <t xml:space="preserve">
Could not find a sample matching the date and VESSEL in this sample # wrong date? CRC-20180828-ZIP-48 exists &lt;changed to this</t>
        </r>
      </text>
    </comment>
    <comment ref="X107" authorId="1" shapeId="0" xr:uid="{00000000-0006-0000-0000-00000A000000}">
      <text>
        <r>
          <rPr>
            <b/>
            <sz val="9"/>
            <color indexed="81"/>
            <rFont val="Tahoma"/>
            <family val="2"/>
          </rPr>
          <t>Dave:</t>
        </r>
        <r>
          <rPr>
            <sz val="9"/>
            <color indexed="81"/>
            <rFont val="Tahoma"/>
            <family val="2"/>
          </rPr>
          <t xml:space="preserve">
6 focal follow positions
</t>
        </r>
      </text>
    </comment>
    <comment ref="M109" authorId="1" shapeId="0" xr:uid="{00000000-0006-0000-0000-00000B000000}">
      <text>
        <r>
          <rPr>
            <b/>
            <sz val="9"/>
            <color indexed="81"/>
            <rFont val="Tahoma"/>
            <family val="2"/>
          </rPr>
          <t>Dave:</t>
        </r>
        <r>
          <rPr>
            <sz val="9"/>
            <color indexed="81"/>
            <rFont val="Tahoma"/>
            <family val="2"/>
          </rPr>
          <t xml:space="preserve">
Have not been able to confirm if this whale was droned.  There were extra blue whales droned this day but need to match photos to confirm if this whale has a measurment</t>
        </r>
      </text>
    </comment>
    <comment ref="P118" authorId="3" shapeId="0" xr:uid="{00000000-0006-0000-0000-00000C000000}">
      <text>
        <r>
          <rPr>
            <b/>
            <sz val="9"/>
            <color indexed="81"/>
            <rFont val="Tahoma"/>
            <family val="2"/>
          </rPr>
          <t>Elana Dobson:</t>
        </r>
        <r>
          <rPr>
            <sz val="9"/>
            <color indexed="81"/>
            <rFont val="Tahoma"/>
            <family val="2"/>
          </rPr>
          <t xml:space="preserve">
Added 2nd sample from new 9/20 list</t>
        </r>
      </text>
    </comment>
    <comment ref="P121" authorId="1" shapeId="0" xr:uid="{00000000-0006-0000-0000-00000D000000}">
      <text>
        <r>
          <rPr>
            <b/>
            <sz val="9"/>
            <color indexed="81"/>
            <rFont val="Tahoma"/>
            <family val="2"/>
          </rPr>
          <t>Dave:</t>
        </r>
        <r>
          <rPr>
            <sz val="9"/>
            <color indexed="81"/>
            <rFont val="Tahoma"/>
            <family val="2"/>
          </rPr>
          <t xml:space="preserve">
But same whale as 04-52</t>
        </r>
      </text>
    </comment>
    <comment ref="P122" authorId="1" shapeId="0" xr:uid="{00000000-0006-0000-0000-00000E000000}">
      <text>
        <r>
          <rPr>
            <b/>
            <sz val="9"/>
            <color indexed="81"/>
            <rFont val="Tahoma"/>
            <family val="2"/>
          </rPr>
          <t>Dave:</t>
        </r>
        <r>
          <rPr>
            <sz val="9"/>
            <color indexed="81"/>
            <rFont val="Tahoma"/>
            <family val="2"/>
          </rPr>
          <t xml:space="preserve">
Confirm that there was a second sample</t>
        </r>
      </text>
    </comment>
    <comment ref="P123" authorId="3" shapeId="0" xr:uid="{00000000-0006-0000-0000-00000F000000}">
      <text>
        <r>
          <rPr>
            <b/>
            <sz val="9"/>
            <color indexed="81"/>
            <rFont val="Tahoma"/>
            <family val="2"/>
          </rPr>
          <t>Elana Dobson:</t>
        </r>
        <r>
          <rPr>
            <sz val="9"/>
            <color indexed="81"/>
            <rFont val="Tahoma"/>
            <family val="2"/>
          </rPr>
          <t xml:space="preserve">
Added from new 9/20 sample sheet</t>
        </r>
      </text>
    </comment>
    <comment ref="P126" authorId="3" shapeId="0" xr:uid="{00000000-0006-0000-0000-000010000000}">
      <text>
        <r>
          <rPr>
            <b/>
            <sz val="9"/>
            <color indexed="81"/>
            <rFont val="Tahoma"/>
            <family val="2"/>
          </rPr>
          <t>Elana Dobson:</t>
        </r>
        <r>
          <rPr>
            <sz val="9"/>
            <color indexed="81"/>
            <rFont val="Tahoma"/>
            <family val="2"/>
          </rPr>
          <t xml:space="preserve">
Added # from new 9/20 sample list</t>
        </r>
      </text>
    </comment>
    <comment ref="X131" authorId="1" shapeId="0" xr:uid="{00000000-0006-0000-0000-000011000000}">
      <text>
        <r>
          <rPr>
            <b/>
            <sz val="9"/>
            <color indexed="81"/>
            <rFont val="Tahoma"/>
            <family val="2"/>
          </rPr>
          <t>Dave:</t>
        </r>
        <r>
          <rPr>
            <sz val="9"/>
            <color indexed="81"/>
            <rFont val="Tahoma"/>
            <family val="2"/>
          </rPr>
          <t xml:space="preserve">
161 Focal Follow positions</t>
        </r>
      </text>
    </comment>
    <comment ref="X133" authorId="1" shapeId="0" xr:uid="{00000000-0006-0000-0000-000012000000}">
      <text>
        <r>
          <rPr>
            <b/>
            <sz val="9"/>
            <color indexed="81"/>
            <rFont val="Tahoma"/>
            <family val="2"/>
          </rPr>
          <t>Dave:</t>
        </r>
        <r>
          <rPr>
            <sz val="9"/>
            <color indexed="81"/>
            <rFont val="Tahoma"/>
            <family val="2"/>
          </rPr>
          <t xml:space="preserve">
28 focal follow positions</t>
        </r>
      </text>
    </comment>
    <comment ref="X134" authorId="4" shapeId="0" xr:uid="{00000000-0006-0000-0000-000013000000}">
      <text>
        <r>
          <rPr>
            <b/>
            <sz val="9"/>
            <color indexed="81"/>
            <rFont val="Tahoma"/>
            <family val="2"/>
          </rPr>
          <t>Musculus:</t>
        </r>
        <r>
          <rPr>
            <sz val="9"/>
            <color indexed="81"/>
            <rFont val="Tahoma"/>
            <family val="2"/>
          </rPr>
          <t xml:space="preserve">
14 focal follow positions</t>
        </r>
      </text>
    </comment>
    <comment ref="X135" authorId="4" shapeId="0" xr:uid="{00000000-0006-0000-0000-000014000000}">
      <text>
        <r>
          <rPr>
            <b/>
            <sz val="9"/>
            <color indexed="81"/>
            <rFont val="Tahoma"/>
            <family val="2"/>
          </rPr>
          <t>Musculus:</t>
        </r>
        <r>
          <rPr>
            <sz val="9"/>
            <color indexed="81"/>
            <rFont val="Tahoma"/>
            <family val="2"/>
          </rPr>
          <t xml:space="preserve">
Additional 3 Positions (2 are from period with tag on)</t>
        </r>
      </text>
    </comment>
    <comment ref="X136" authorId="4" shapeId="0" xr:uid="{00000000-0006-0000-0000-000015000000}">
      <text>
        <r>
          <rPr>
            <b/>
            <sz val="9"/>
            <color indexed="81"/>
            <rFont val="Tahoma"/>
            <family val="2"/>
          </rPr>
          <t>Musculus:</t>
        </r>
        <r>
          <rPr>
            <sz val="9"/>
            <color indexed="81"/>
            <rFont val="Tahoma"/>
            <family val="2"/>
          </rPr>
          <t xml:space="preserve">
7 Additional Focal Follow Positions
</t>
        </r>
      </text>
    </comment>
    <comment ref="X137" authorId="4" shapeId="0" xr:uid="{00000000-0006-0000-0000-000016000000}">
      <text>
        <r>
          <rPr>
            <b/>
            <sz val="9"/>
            <color indexed="81"/>
            <rFont val="Tahoma"/>
            <family val="2"/>
          </rPr>
          <t>Musculus:</t>
        </r>
        <r>
          <rPr>
            <sz val="9"/>
            <color indexed="81"/>
            <rFont val="Tahoma"/>
            <family val="2"/>
          </rPr>
          <t xml:space="preserve">
38 additional Focal Follow positions
</t>
        </r>
      </text>
    </comment>
    <comment ref="X138" authorId="4" shapeId="0" xr:uid="{00000000-0006-0000-0000-000017000000}">
      <text>
        <r>
          <rPr>
            <b/>
            <sz val="9"/>
            <color indexed="81"/>
            <rFont val="Tahoma"/>
            <family val="2"/>
          </rPr>
          <t>Musculus:</t>
        </r>
        <r>
          <rPr>
            <sz val="9"/>
            <color indexed="81"/>
            <rFont val="Tahoma"/>
            <family val="2"/>
          </rPr>
          <t xml:space="preserve">
33 additional focal follow</t>
        </r>
      </text>
    </comment>
    <comment ref="X139" authorId="4" shapeId="0" xr:uid="{00000000-0006-0000-0000-000018000000}">
      <text>
        <r>
          <rPr>
            <b/>
            <sz val="9"/>
            <color indexed="81"/>
            <rFont val="Tahoma"/>
            <family val="2"/>
          </rPr>
          <t>Musculus:</t>
        </r>
        <r>
          <rPr>
            <sz val="9"/>
            <color indexed="81"/>
            <rFont val="Tahoma"/>
            <family val="2"/>
          </rPr>
          <t xml:space="preserve">
29 additional focal follow</t>
        </r>
      </text>
    </comment>
    <comment ref="X140" authorId="4" shapeId="0" xr:uid="{00000000-0006-0000-0000-000019000000}">
      <text>
        <r>
          <rPr>
            <b/>
            <sz val="9"/>
            <color indexed="81"/>
            <rFont val="Tahoma"/>
            <family val="2"/>
          </rPr>
          <t>Musculus:</t>
        </r>
        <r>
          <rPr>
            <sz val="9"/>
            <color indexed="81"/>
            <rFont val="Tahoma"/>
            <family val="2"/>
          </rPr>
          <t xml:space="preserve">
32 additional focal follow
</t>
        </r>
      </text>
    </comment>
    <comment ref="X141" authorId="4" shapeId="0" xr:uid="{00000000-0006-0000-0000-00001A000000}">
      <text>
        <r>
          <rPr>
            <b/>
            <sz val="9"/>
            <color indexed="81"/>
            <rFont val="Tahoma"/>
            <family val="2"/>
          </rPr>
          <t>Musculus:</t>
        </r>
        <r>
          <rPr>
            <sz val="9"/>
            <color indexed="81"/>
            <rFont val="Tahoma"/>
            <family val="2"/>
          </rPr>
          <t xml:space="preserve">
6 additional Focal Follow positions</t>
        </r>
      </text>
    </comment>
    <comment ref="X174" authorId="4" shapeId="0" xr:uid="{00000000-0006-0000-0000-00001B000000}">
      <text>
        <r>
          <rPr>
            <b/>
            <sz val="9"/>
            <color indexed="81"/>
            <rFont val="Tahoma"/>
            <family val="2"/>
          </rPr>
          <t>Musculus:</t>
        </r>
        <r>
          <rPr>
            <sz val="9"/>
            <color indexed="81"/>
            <rFont val="Tahoma"/>
            <family val="2"/>
          </rPr>
          <t xml:space="preserve">
33 additional focal follow</t>
        </r>
      </text>
    </comment>
    <comment ref="M177" authorId="5" shapeId="0" xr:uid="{00000000-0006-0000-0000-00001C000000}">
      <text>
        <r>
          <rPr>
            <b/>
            <sz val="9"/>
            <color indexed="81"/>
            <rFont val="Tahoma"/>
            <family val="2"/>
          </rPr>
          <t>David Cade:</t>
        </r>
        <r>
          <rPr>
            <sz val="9"/>
            <color indexed="81"/>
            <rFont val="Tahoma"/>
            <family val="2"/>
          </rPr>
          <t xml:space="preserve">
This value comes from Paolo stitching together a couple of gopro video shots.  KC had an earlier, likely underestimate, of 9.71 m using a slightly
different video.  </t>
        </r>
      </text>
    </comment>
    <comment ref="M203" authorId="5" shapeId="0" xr:uid="{00000000-0006-0000-0000-00001D000000}">
      <text>
        <r>
          <rPr>
            <b/>
            <sz val="9"/>
            <color indexed="81"/>
            <rFont val="Tahoma"/>
            <family val="2"/>
          </rPr>
          <t>David Cade:</t>
        </r>
        <r>
          <rPr>
            <sz val="9"/>
            <color indexed="81"/>
            <rFont val="Tahoma"/>
            <family val="2"/>
          </rPr>
          <t xml:space="preserve">
This value comes from Paolo stitching together a couple of gopro video shots.  KC had an earlier, likely underestimate, of 9.71 m using a slightly
different video.  </t>
        </r>
      </text>
    </comment>
    <comment ref="M231" authorId="1" shapeId="0" xr:uid="{00000000-0006-0000-0000-00001E000000}">
      <text>
        <r>
          <rPr>
            <b/>
            <sz val="9"/>
            <color indexed="81"/>
            <rFont val="Tahoma"/>
            <family val="2"/>
          </rPr>
          <t>Dave:</t>
        </r>
        <r>
          <rPr>
            <sz val="9"/>
            <color indexed="81"/>
            <rFont val="Tahoma"/>
            <family val="2"/>
          </rPr>
          <t xml:space="preserve">
Originally measured as 11.64
</t>
        </r>
      </text>
    </comment>
    <comment ref="P231" authorId="5" shapeId="0" xr:uid="{00000000-0006-0000-0000-00001F000000}">
      <text>
        <r>
          <rPr>
            <b/>
            <sz val="9"/>
            <color indexed="81"/>
            <rFont val="Tahoma"/>
            <family val="2"/>
          </rPr>
          <t>David Cade:</t>
        </r>
        <r>
          <rPr>
            <sz val="9"/>
            <color indexed="81"/>
            <rFont val="Tahoma"/>
            <family val="2"/>
          </rPr>
          <t xml:space="preserve">
Likely male (lack of visible mammary glands or hemispheric lobe in ventral images during tag off)</t>
        </r>
      </text>
    </comment>
    <comment ref="P252" authorId="1" shapeId="0" xr:uid="{00000000-0006-0000-0000-000020000000}">
      <text>
        <r>
          <rPr>
            <b/>
            <sz val="9"/>
            <color indexed="81"/>
            <rFont val="Tahoma"/>
            <family val="2"/>
          </rPr>
          <t>Dave:</t>
        </r>
        <r>
          <rPr>
            <sz val="9"/>
            <color indexed="81"/>
            <rFont val="Tahoma"/>
            <family val="2"/>
          </rPr>
          <t xml:space="preserve">
Tag 23 went on belly. Unsure if tag went on Mn18_007A_L or Mn18_007B_L</t>
        </r>
      </text>
    </comment>
    <comment ref="AT254" authorId="0" shapeId="0" xr:uid="{00000000-0006-0000-0000-000021000000}">
      <text>
        <r>
          <rPr>
            <b/>
            <sz val="9"/>
            <color indexed="81"/>
            <rFont val="Tahoma"/>
            <family val="2"/>
          </rPr>
          <t>Gold Field:</t>
        </r>
        <r>
          <rPr>
            <sz val="9"/>
            <color indexed="81"/>
            <rFont val="Tahoma"/>
            <family val="2"/>
          </rPr>
          <t xml:space="preserve">
Tag on location from tag 45 which was on and in the boat
</t>
        </r>
      </text>
    </comment>
    <comment ref="M265" authorId="5" shapeId="0" xr:uid="{00000000-0006-0000-0000-000022000000}">
      <text>
        <r>
          <rPr>
            <b/>
            <sz val="9"/>
            <color indexed="81"/>
            <rFont val="Tahoma"/>
            <family val="2"/>
          </rPr>
          <t>David Cade:</t>
        </r>
        <r>
          <rPr>
            <sz val="9"/>
            <color indexed="81"/>
            <rFont val="Tahoma"/>
            <family val="2"/>
          </rPr>
          <t xml:space="preserve">
This value comes from Paolo stitching together a couple of gopro video shots.  KC had an earlier, likely underestimate, of 9.71 m using a slightly
different video.  </t>
        </r>
      </text>
    </comment>
    <comment ref="M299" authorId="1" shapeId="0" xr:uid="{00000000-0006-0000-0000-000023000000}">
      <text>
        <r>
          <rPr>
            <b/>
            <sz val="9"/>
            <color indexed="81"/>
            <rFont val="Tahoma"/>
            <family val="2"/>
          </rPr>
          <t>Dave:</t>
        </r>
        <r>
          <rPr>
            <sz val="9"/>
            <color indexed="81"/>
            <rFont val="Tahoma"/>
            <family val="2"/>
          </rPr>
          <t xml:space="preserve">
This whale was in a group of droned whales, but tag was off, so would take some detective work to match its drone picture to the tagged animal</t>
        </r>
      </text>
    </comment>
    <comment ref="M305" authorId="1" shapeId="0" xr:uid="{00000000-0006-0000-0000-000024000000}">
      <text>
        <r>
          <rPr>
            <b/>
            <sz val="9"/>
            <color indexed="81"/>
            <rFont val="Tahoma"/>
            <family val="2"/>
          </rPr>
          <t>Dave:</t>
        </r>
        <r>
          <rPr>
            <sz val="9"/>
            <color indexed="81"/>
            <rFont val="Tahoma"/>
            <family val="2"/>
          </rPr>
          <t xml:space="preserve">
Drone ops in area previous day.  Check with JC to see if images were matched to tagged animals</t>
        </r>
      </text>
    </comment>
    <comment ref="M306" authorId="1" shapeId="0" xr:uid="{00000000-0006-0000-0000-000025000000}">
      <text>
        <r>
          <rPr>
            <b/>
            <sz val="9"/>
            <color indexed="81"/>
            <rFont val="Tahoma"/>
            <family val="2"/>
          </rPr>
          <t>Dave:</t>
        </r>
        <r>
          <rPr>
            <sz val="9"/>
            <color indexed="81"/>
            <rFont val="Tahoma"/>
            <family val="2"/>
          </rPr>
          <t xml:space="preserve">
Drone ops in area previous day.  Check with JC to see if images were matched to tagged animals</t>
        </r>
      </text>
    </comment>
    <comment ref="M307" authorId="1" shapeId="0" xr:uid="{00000000-0006-0000-0000-000026000000}">
      <text>
        <r>
          <rPr>
            <b/>
            <sz val="9"/>
            <color indexed="81"/>
            <rFont val="Tahoma"/>
            <family val="2"/>
          </rPr>
          <t>Dave:</t>
        </r>
        <r>
          <rPr>
            <sz val="9"/>
            <color indexed="81"/>
            <rFont val="Tahoma"/>
            <family val="2"/>
          </rPr>
          <t xml:space="preserve">
Drone ops in area previous day.  Check with JC to see if images were matched to tagged animals</t>
        </r>
      </text>
    </comment>
    <comment ref="M308" authorId="1" shapeId="0" xr:uid="{00000000-0006-0000-0000-000027000000}">
      <text>
        <r>
          <rPr>
            <b/>
            <sz val="9"/>
            <color indexed="81"/>
            <rFont val="Tahoma"/>
            <family val="2"/>
          </rPr>
          <t>Dave:</t>
        </r>
        <r>
          <rPr>
            <sz val="9"/>
            <color indexed="81"/>
            <rFont val="Tahoma"/>
            <family val="2"/>
          </rPr>
          <t xml:space="preserve">
Drone ops in area previous day.  Check with JC to see if images were matched to tagged animals</t>
        </r>
      </text>
    </comment>
  </commentList>
</comments>
</file>

<file path=xl/sharedStrings.xml><?xml version="1.0" encoding="utf-8"?>
<sst xmlns="http://schemas.openxmlformats.org/spreadsheetml/2006/main" count="10294" uniqueCount="1464">
  <si>
    <t>Tag ID</t>
  </si>
  <si>
    <t>Date/Time Tag start (if different)</t>
  </si>
  <si>
    <t>Date/Time Tag data ends (if different)</t>
  </si>
  <si>
    <t>Date/Time Tag On</t>
  </si>
  <si>
    <t>Date/Time Tag Off</t>
  </si>
  <si>
    <t>Deployment Location (General)</t>
  </si>
  <si>
    <t>Deployment Location (Specific)</t>
  </si>
  <si>
    <t>Latitude On</t>
  </si>
  <si>
    <t>Longitude On</t>
  </si>
  <si>
    <t>Latitude Recovery</t>
  </si>
  <si>
    <t>Longitude Recovery</t>
  </si>
  <si>
    <t># Good GPS hits</t>
  </si>
  <si>
    <t>PRH made?</t>
  </si>
  <si>
    <t>Location Method</t>
  </si>
  <si>
    <t>PRH notes</t>
  </si>
  <si>
    <t>Tag #</t>
  </si>
  <si>
    <t>Tag Style</t>
  </si>
  <si>
    <t>Pleats?</t>
  </si>
  <si>
    <t>Mouth/ head view?</t>
  </si>
  <si>
    <t>Flippers?</t>
  </si>
  <si>
    <t>Flukes?</t>
  </si>
  <si>
    <t>Blow holes?</t>
  </si>
  <si>
    <t>Feeding?</t>
  </si>
  <si>
    <t>Calls?</t>
  </si>
  <si>
    <t>Other whales?</t>
  </si>
  <si>
    <t>Video notes</t>
  </si>
  <si>
    <t>Other Creatures</t>
  </si>
  <si>
    <t>Prey</t>
  </si>
  <si>
    <t>ID Pictures</t>
  </si>
  <si>
    <t>Deployment Video</t>
  </si>
  <si>
    <t>Video Time HH:MM:SS</t>
  </si>
  <si>
    <t>Data Time HH:MM:SS</t>
  </si>
  <si>
    <t>Feeding on camera?</t>
  </si>
  <si>
    <t>Primary camera view</t>
  </si>
  <si>
    <t>Original Platypus</t>
  </si>
  <si>
    <t>Recovery Date/Time</t>
  </si>
  <si>
    <t>Known Animal ID?</t>
  </si>
  <si>
    <t>Braid</t>
  </si>
  <si>
    <t>Forward</t>
  </si>
  <si>
    <t>Y</t>
  </si>
  <si>
    <t>Sand Lance</t>
  </si>
  <si>
    <t>N</t>
  </si>
  <si>
    <t>Prey on video?</t>
  </si>
  <si>
    <t>North of P-town</t>
  </si>
  <si>
    <t>Short deployment, facing forward but no view of the blowhole or flippers.  At least one feeding event where head is visible at the very end. Deep dives interspersed with periods of breathing at the surface (approximately 9 breaths).</t>
  </si>
  <si>
    <t>U</t>
  </si>
  <si>
    <t>CCS#0102</t>
  </si>
  <si>
    <t>bp150619-2a</t>
  </si>
  <si>
    <t>bp150619-2b</t>
  </si>
  <si>
    <t>ID Picture Folder</t>
  </si>
  <si>
    <t>Not attached</t>
  </si>
  <si>
    <t>Tag didn't attach to whale, quick view of fluke (dorsal side) as whale swims away.</t>
  </si>
  <si>
    <t>CCS#1208</t>
  </si>
  <si>
    <t>Inchworm</t>
  </si>
  <si>
    <t>Total Deployment Time HH:MM:SS</t>
  </si>
  <si>
    <t>Third deployment this day on a group of 3 animals (one other CATS, one acousonde). No paddlewheel attached.</t>
  </si>
  <si>
    <t xml:space="preserve">Y- shadows on other whales </t>
  </si>
  <si>
    <t>Y- on other whales</t>
  </si>
  <si>
    <t>Birds at surface</t>
  </si>
  <si>
    <t>Entropy</t>
  </si>
  <si>
    <t>Mudskipper</t>
  </si>
  <si>
    <t>Pregunta</t>
  </si>
  <si>
    <t>Nuages</t>
  </si>
  <si>
    <t>Forward/Right</t>
  </si>
  <si>
    <t>Scratch</t>
  </si>
  <si>
    <t>Ursa</t>
  </si>
  <si>
    <t>Springboard</t>
  </si>
  <si>
    <t>Dome</t>
  </si>
  <si>
    <t>Raw Data</t>
  </si>
  <si>
    <t>Analysis</t>
  </si>
  <si>
    <t>Variable Name</t>
  </si>
  <si>
    <t>Description</t>
  </si>
  <si>
    <t>ID</t>
  </si>
  <si>
    <t>Video</t>
  </si>
  <si>
    <t>Identifies the data record by a unique combination of (i) species abbreviation, (ii) date of deployment, and (iii) tag ID</t>
  </si>
  <si>
    <t>Variable Dictionary</t>
  </si>
  <si>
    <t>Animal</t>
  </si>
  <si>
    <t>Tag</t>
  </si>
  <si>
    <t>Location</t>
  </si>
  <si>
    <t>GPS</t>
  </si>
  <si>
    <t>PRH</t>
  </si>
  <si>
    <t>Calls</t>
  </si>
  <si>
    <t>Pleats</t>
  </si>
  <si>
    <t>Tag_Desc</t>
  </si>
  <si>
    <t>Tag Type</t>
  </si>
  <si>
    <t>Tag number</t>
  </si>
  <si>
    <t>If known, the name of the individual animal observed in the data record</t>
  </si>
  <si>
    <t>Study_Area</t>
  </si>
  <si>
    <t>Tag_On</t>
  </si>
  <si>
    <t>Tag_Off</t>
  </si>
  <si>
    <t>Tag_Start</t>
  </si>
  <si>
    <t>Tag_End</t>
  </si>
  <si>
    <t>Total_Time</t>
  </si>
  <si>
    <t>Data_Time</t>
  </si>
  <si>
    <t>Lat_On</t>
  </si>
  <si>
    <t>Long_On</t>
  </si>
  <si>
    <t>Recover_Method</t>
  </si>
  <si>
    <t>Recover_Time</t>
  </si>
  <si>
    <t>Recover_Lat</t>
  </si>
  <si>
    <t>Recover_Long</t>
  </si>
  <si>
    <t>Jason Notes</t>
  </si>
  <si>
    <t>Is this the same as row 18?  Or does this refer to a different object being located?</t>
  </si>
  <si>
    <t>Video_Time</t>
  </si>
  <si>
    <t>PRH_Notes</t>
  </si>
  <si>
    <t>Photo</t>
  </si>
  <si>
    <t>Primary_Camera</t>
  </si>
  <si>
    <t>Feed</t>
  </si>
  <si>
    <t>Mouth_Head</t>
  </si>
  <si>
    <t>Takes a value of "Y" if the animal was feeding during the deployment, "N" otherwise.</t>
  </si>
  <si>
    <t>Feed_Observed</t>
  </si>
  <si>
    <t>Takes a value of "Y" if the video captured the animal feeding, "N" otherwise.</t>
  </si>
  <si>
    <t>If known, prey type - Leave blank if unknown</t>
  </si>
  <si>
    <t>If applicable, takes a value of "Y" if the video captured prey, "N" otherwise</t>
  </si>
  <si>
    <t>Prey_Observed</t>
  </si>
  <si>
    <t>Flippers</t>
  </si>
  <si>
    <t>Flukes</t>
  </si>
  <si>
    <t>Other_whales</t>
  </si>
  <si>
    <t>Other_Creatures</t>
  </si>
  <si>
    <t>Notes on other whales observed in video</t>
  </si>
  <si>
    <t>Takes a value of "Y" if the video captured the animal's pleats, "N" otherwise</t>
  </si>
  <si>
    <t>Takes a value of "Y" if the video captured the animal's mouth/head, "N" otherwise</t>
  </si>
  <si>
    <t>Takes a value of "Y" if the video captured the animal's flipper(s), "N" otherwise</t>
  </si>
  <si>
    <t>Takes a value of "Y" if the video captured the animal's flukes, "N" otherwise</t>
  </si>
  <si>
    <t>Takes a value of "Y" if the video captured the animal's blow hole, "N" otherwise</t>
  </si>
  <si>
    <t>Blow_Hole</t>
  </si>
  <si>
    <t>Notes on other creatures observed in video</t>
  </si>
  <si>
    <t>Notes</t>
  </si>
  <si>
    <t>General video notes (particularly useful, short/long deployment, other defining characteristics)</t>
  </si>
  <si>
    <t>Processed Data</t>
  </si>
  <si>
    <t>CCS15-055</t>
  </si>
  <si>
    <t>Wave</t>
  </si>
  <si>
    <t>Dorsal and Posterior</t>
  </si>
  <si>
    <t>Platypus</t>
  </si>
  <si>
    <t>Froback</t>
  </si>
  <si>
    <t>Surface feeding on sardines. Likely missed feeding events because light was so bad underwater and tag shut off. Water was coffee colored from some kind of red tide. Speed remarkably good for such a shallow feeder. MAGprhs not done.</t>
  </si>
  <si>
    <t>Data_End</t>
  </si>
  <si>
    <t>Data_Start</t>
  </si>
  <si>
    <t>Data source</t>
  </si>
  <si>
    <t>Date/Time Tag deployed on whale</t>
  </si>
  <si>
    <t>Date/Time Tag falls off whale</t>
  </si>
  <si>
    <t>Drobo (B:)\Lab Data\CATS\Tag Info2.xlsx, Tag Info3.xlsx</t>
  </si>
  <si>
    <t>File name [ex. mn140716-3 (Monterey)]</t>
  </si>
  <si>
    <r>
      <t>File name [ex. mn140716-</t>
    </r>
    <r>
      <rPr>
        <sz val="11"/>
        <color rgb="FFFF0000"/>
        <rFont val="Calibri"/>
        <family val="2"/>
        <scheme val="minor"/>
      </rPr>
      <t xml:space="preserve">3 </t>
    </r>
    <r>
      <rPr>
        <sz val="11"/>
        <rFont val="Calibri"/>
        <family val="2"/>
        <scheme val="minor"/>
      </rPr>
      <t>(Monterey)]</t>
    </r>
  </si>
  <si>
    <r>
      <t>File name [ex. mn140716-3 (</t>
    </r>
    <r>
      <rPr>
        <sz val="11"/>
        <color rgb="FFFF0000"/>
        <rFont val="Calibri"/>
        <family val="2"/>
        <scheme val="minor"/>
      </rPr>
      <t>Monterey</t>
    </r>
    <r>
      <rPr>
        <sz val="11"/>
        <color theme="1"/>
        <rFont val="Calibri"/>
        <family val="2"/>
        <scheme val="minor"/>
      </rPr>
      <t>)]</t>
    </r>
  </si>
  <si>
    <t>Enter Lat_On and Log_On into google maps, describe location in reference to major coastal ports</t>
  </si>
  <si>
    <t>Date/Time Tag is turned on</t>
  </si>
  <si>
    <t>Date/Time Tag tag is turned off or stops recording [only different from Tag_Off if tag stops recording data before  the tag falls off whale]</t>
  </si>
  <si>
    <t>Total time tag is deployed on the whale  HH:MM:SS</t>
  </si>
  <si>
    <t>Total time the tag is recording data (i.e. the tag is both on and deployed on the whale) HH:MM:SS</t>
  </si>
  <si>
    <t xml:space="preserve">Latitude where tag is deployed </t>
  </si>
  <si>
    <t>Longitude where tag is deployed</t>
  </si>
  <si>
    <t xml:space="preserve">How the tag is located </t>
  </si>
  <si>
    <t>Recovery Date/Time of tag</t>
  </si>
  <si>
    <t>Latitude at which tag is recovered</t>
  </si>
  <si>
    <t>Longitude at which tag is recovered</t>
  </si>
  <si>
    <t>Duration of video recorded by tag HH:MM:SS</t>
  </si>
  <si>
    <t>Mat lab, script &gt;&gt; datestr(DN(find(tagon,1,'first')),'mm/dd/yy HH:MM:SS')</t>
  </si>
  <si>
    <t>Mat lab, script &gt;&gt; datestr(DN(find(tagon,1,'last')),'mm/dd/yy HH:MM:SS')</t>
  </si>
  <si>
    <t>Mat lab, script &gt;&gt; datestr(DN(end),'mm/dd/yy HH:MM:SS')  **if time is different from Data_end time, then record same as Data_end</t>
  </si>
  <si>
    <t>Calculated by excel</t>
  </si>
  <si>
    <t>mat lab, script &gt;&gt; datestr(sum(camon&amp;tagon)/fs/24/60/60,'HH:MM:SS')</t>
  </si>
  <si>
    <t>Mat lab, script &gt;&gt; notes</t>
  </si>
  <si>
    <t>See video</t>
  </si>
  <si>
    <t>Drobo (B:)\Lab Data\CATS\metadata&amp;raw&amp;pics (look for notes)</t>
  </si>
  <si>
    <t>Note: If tag number as subdivided (i.e. 1a, 1b), same tag was used for multiple deployments without being turned off</t>
  </si>
  <si>
    <t>Look for PRH (no prh if data didn’t record or if surfacing was too brief)</t>
  </si>
  <si>
    <t>Look for map in deployment folder (has number of GPS hits listed at top)</t>
  </si>
  <si>
    <t>Y (base of left flipper)</t>
  </si>
  <si>
    <t>mn140815-4</t>
  </si>
  <si>
    <t>mn161106-36a</t>
  </si>
  <si>
    <t>bw140821-4</t>
  </si>
  <si>
    <t>bw160728-36a</t>
  </si>
  <si>
    <t>1st deployment of two.  Speed seems okay even with low pitch angle accepted.  Surface feeding.  MAGprhs not done.</t>
  </si>
  <si>
    <t>Lots of surface feeding, including shots of a partner with full pleat expansion.  No flow noise (audio appears not to work despite previous successful deployments).  Last successful deployment with this tag.  Has concurrent prey mapping for at least 1 hour.</t>
  </si>
  <si>
    <t>Monterey Bay.  Facing Hump.  11 hr deployment, found by fishermen two days later.</t>
  </si>
  <si>
    <t>Diving in cahoots with sea lions.  Preview of "the Humpback", although in dark water.</t>
  </si>
  <si>
    <t>Monterey Bay.  Dave's first tag.  Whale Lice.</t>
  </si>
  <si>
    <t>Monterey Bay.  Facing Fluke almost the whole time.  Great portrait of friend.  Lots of tag slips.</t>
  </si>
  <si>
    <t>Monterey Bay.  Magnetometer is really messed up when camera is off.  Not sure how to fix this.</t>
  </si>
  <si>
    <t>Monterey Bay.</t>
  </si>
  <si>
    <t>Monterey Bay.  Some fluke strokes. prh only is for the second animal tagged with this tag.  First animal is just video 2.</t>
  </si>
  <si>
    <t>No Camera, but lots of video boat side from this guy, including vertical spinning motion.  Minion data does not appear very precise...  MAGprhs not done.</t>
  </si>
  <si>
    <t>Magnetometer not super stable, needs degaussing?  Hopefully heading is sufficient for bubble nets.  Speed jiggle also may have been affected from bubbles etc.  Looks like some high Jig/Low speed sections.  MAGprhs not done.</t>
  </si>
  <si>
    <t>shorter (2nd on 1st off) of two deployments today.  Found krill in tag so likely food.</t>
  </si>
  <si>
    <t>longer of two deployments today.  Found krill in tag so likely food.  Surface activity in the afternoon including nearby surface lungers, but video off by that point.  Tag came off during acceleration for a breach.</t>
  </si>
  <si>
    <t>Longer of two tags, only tag with video.  Froback deployed as a third tag, on whale for 27 hours, but may not have data (water damage).  These whales feeding deep, echosounder data available.  Not in supergroup.</t>
  </si>
  <si>
    <t>S.A. Deployment.  Sub-Adult, ~9m.  Video did not turn on.</t>
  </si>
  <si>
    <t>Tag on for 27 hours with no camera, battery died after 14 hours.  Very cool behavior at end, but magnetometer readings may be slightly off.  Also issue with GPS.  ubx suggests there are more hits than exist for the pos file.</t>
  </si>
  <si>
    <t>Deployed at the end of the formation of a 20+ aggregation.  This animal paired with another and headed south.  The partner left and then came back (likely the same whale).</t>
  </si>
  <si>
    <t>Tag 36 spikes removed in magnetometer (~every 9 seconds).  MAGprhs not done.</t>
  </si>
  <si>
    <t>Tag 36 spikes removed in magnetometer (~every 9 seconds).  Tag Jiggle leads to large spikes on ascents in shallow water.  Cause unknown.  May be bubble related (tag is close to blow hole).  MAGprhs not done.</t>
  </si>
  <si>
    <t>Brief deployment, speed hard to calibrate, tag on by only 1 or 2 suction cups for entire deployment.  MAGprhs not done.</t>
  </si>
  <si>
    <t>Feeding didn't start until after camera shut off.  Not enough data for good flow noise.  MAGprhs not done.</t>
  </si>
  <si>
    <t>Pleats!!  Some head rise at end as well.  Last three dives have multiple tag slips in the middle, so only accounted for the largest one.  See tag slip diagram.  MAGprhs not done.</t>
  </si>
  <si>
    <t>Had to exclude JigRMS &gt;-50 and DB &gt;-52 for accurate speed curves.  MAGprhs not done.</t>
  </si>
  <si>
    <t>speedP is actually a good proxy this time.  May be slightly high?  but matches well</t>
  </si>
  <si>
    <t>Magnetometer redone on 12.21.16 from original data.  Cam off calibration does not quite line up, cam on cal looks good.  Data collected at 790 Hz so downsampling only allowed to 79,10,5 or 2 Hz.   MAGprhs not done.</t>
  </si>
  <si>
    <t>Two different whales!  Done before we started breaking them up.  Paddles is okay for the 1st cal period (although it is low), bad for second and okay for third, although definitely inaccuracy during deceleration</t>
  </si>
  <si>
    <t>multiple deployments.  prh only for last one</t>
  </si>
  <si>
    <t>Magnetometer didn't work (no heading data).  Very sad.  It appears to have not restarted after the tag was turned off and then back on.  Towards the end of the deployment, around 21:00, tag appears to have slipped down towards the tail.  Aw/pitch/roll may not be accurate for these times. Could get some heading info from gyros if warranted.</t>
  </si>
  <si>
    <t>Funky magnetometer readings.  Least consistent I've seen. Lots of deep feeding, lots of tag slips.</t>
  </si>
  <si>
    <t>Trailing animal in a pair.  Last deployment of Peg Leg  MAGprhs not done.</t>
  </si>
  <si>
    <t>humped whale.  Very short deployment  MAGprhs not done.</t>
  </si>
  <si>
    <t>Great example animal.  Very clear prh.  Few errors.  Tag slippage but lots of time to calibrate.  Audio seems not to work anymore, so speed relies on Jiggle.  MAGprhs not done.</t>
  </si>
  <si>
    <t>Speed data for this whale is suspect.  Hard to calibrate in so short a time.  All data could use better calibrations.  Find a better gyro stop point.  Calibration of tag on whale was from time right after the stick before the whale descends.</t>
  </si>
  <si>
    <t>1 of a pair of tagged whales.  Speed file no good (not enough calibration points).</t>
  </si>
  <si>
    <t>No flow noise, not enough points to do a jiggle calibration.  MAGprhs not done.</t>
  </si>
  <si>
    <t>Sunset around 14:15.  Tag recovered to the NE.    MAGprhs not done.</t>
  </si>
  <si>
    <t>bp160614-3a</t>
  </si>
  <si>
    <t>bp160615-3a</t>
  </si>
  <si>
    <t>bp160615-3b</t>
  </si>
  <si>
    <t>bp160609-26a</t>
  </si>
  <si>
    <t>bp160609-26b</t>
  </si>
  <si>
    <t>Imported Raw</t>
  </si>
  <si>
    <t>Site-specific data</t>
  </si>
  <si>
    <t>Link to photo folder (by deployment)</t>
  </si>
  <si>
    <t>Link to video folder (by deployment)</t>
  </si>
  <si>
    <t>Link to Imported (Raw) data folder for deployment</t>
  </si>
  <si>
    <t>Link to Raw (from tag) data folder for deployment</t>
  </si>
  <si>
    <t>Link to processed data folder for deployment</t>
  </si>
  <si>
    <t>Link to analysis data folder for deployment</t>
  </si>
  <si>
    <t>Link to site-specific data for deployment</t>
  </si>
  <si>
    <t>Color code</t>
  </si>
  <si>
    <t>Red</t>
  </si>
  <si>
    <t>Folder is empty, no data exists for this entry</t>
  </si>
  <si>
    <t>CATS (F:)\CATS\Photo\By Deployment</t>
  </si>
  <si>
    <t>CATS (F:)\CATS\Video\By Deployment</t>
  </si>
  <si>
    <t>CATS (F:)\CATS\Data\Imported (Raw)</t>
  </si>
  <si>
    <t>CATS (F:)\CATS\Data\Raw (From Tag)</t>
  </si>
  <si>
    <t>CATS (F:)\CATS\Data\Processed (PRH)</t>
  </si>
  <si>
    <t>CATS (F:)\CATS\Analysis</t>
  </si>
  <si>
    <t>CATS (F:)\CATS\Site-Specifc Data</t>
  </si>
  <si>
    <t>Deployment Location (General - Corresponds to names contained in data folders). Also link to Photos (By Location)</t>
  </si>
  <si>
    <t>Mat lab (using Imported raw data), script &gt;&gt; datestr(data.Date(1)+data.Time(1),'mm/dd/yy HH:MM:SS')</t>
  </si>
  <si>
    <t xml:space="preserve">Minion </t>
  </si>
  <si>
    <t>4k</t>
  </si>
  <si>
    <t>Calls _</t>
  </si>
  <si>
    <t>Breaches _</t>
  </si>
  <si>
    <t>Blow Hole _</t>
  </si>
  <si>
    <t>Other Creatures _</t>
  </si>
  <si>
    <t>Flippers _</t>
  </si>
  <si>
    <t>Flukes _</t>
  </si>
  <si>
    <t>Mouth/ Head _</t>
  </si>
  <si>
    <t>Pleats _</t>
  </si>
  <si>
    <t>Other whales _</t>
  </si>
  <si>
    <t>Prey Observed _</t>
  </si>
  <si>
    <t>Feed _</t>
  </si>
  <si>
    <t>Short Description _</t>
  </si>
  <si>
    <t xml:space="preserve">Primary Camera View </t>
  </si>
  <si>
    <t>PRH _</t>
  </si>
  <si>
    <t>Num GPS Hits _</t>
  </si>
  <si>
    <t>Processed Data (prh and vids) _</t>
  </si>
  <si>
    <t>Raw Data _</t>
  </si>
  <si>
    <t>Photo _</t>
  </si>
  <si>
    <t>Tag #     _</t>
  </si>
  <si>
    <t>Total Video Time           _</t>
  </si>
  <si>
    <t>bw140722-2a</t>
  </si>
  <si>
    <t>bw140722-2b</t>
  </si>
  <si>
    <t>bw140722-2c</t>
  </si>
  <si>
    <t>bw140722-2d</t>
  </si>
  <si>
    <t>Spec      _</t>
  </si>
  <si>
    <t>Komodo</t>
  </si>
  <si>
    <t>Notes _</t>
  </si>
  <si>
    <t>n/a</t>
  </si>
  <si>
    <t>Golden Mole</t>
  </si>
  <si>
    <t>Feed Vid     _</t>
  </si>
  <si>
    <t>?</t>
  </si>
  <si>
    <t>Bubble net feeding</t>
  </si>
  <si>
    <t>Auk</t>
  </si>
  <si>
    <t>Recover Vessel    _</t>
  </si>
  <si>
    <t>No video.  Check stellwagen notes.  With several other tagged whales in bubble net feeding groups.</t>
  </si>
  <si>
    <t>mn</t>
  </si>
  <si>
    <t>Hancock</t>
  </si>
  <si>
    <t>Left/Right</t>
  </si>
  <si>
    <t>Dual tagged mother, calf tagged, bottom feeding</t>
  </si>
  <si>
    <t>Fish (Mackeral?)</t>
  </si>
  <si>
    <t>Sardines</t>
  </si>
  <si>
    <t>Krill</t>
  </si>
  <si>
    <t>Study_Area     _</t>
  </si>
  <si>
    <t>Video Audit   _</t>
  </si>
  <si>
    <t>Instructions</t>
  </si>
  <si>
    <t>Filled cell implies that information has been examined for the notes.  ? Implies information could not be found or needs to be verified.  n/a means no link or data exists.  Highlight in red info that is not 100% certain</t>
  </si>
  <si>
    <t>Stellwagen Sleigh Ride</t>
  </si>
  <si>
    <t>Brief</t>
  </si>
  <si>
    <t>Fish Lunge/Buddy Pleats</t>
  </si>
  <si>
    <t>Pinball</t>
  </si>
  <si>
    <t>NOS</t>
  </si>
  <si>
    <t>Data, Photo, and Video HyperLinks</t>
  </si>
  <si>
    <t>Monarch</t>
  </si>
  <si>
    <t>Flipper/Dorsal</t>
  </si>
  <si>
    <t>Y (not on vid)</t>
  </si>
  <si>
    <t>Y (barely)</t>
  </si>
  <si>
    <t>Bubble net feeding, lots of other whales</t>
  </si>
  <si>
    <t>Luna</t>
  </si>
  <si>
    <t>Great bubble net videos, lots of feeding, with multiple other tagged whales</t>
  </si>
  <si>
    <t>forward</t>
  </si>
  <si>
    <t>forward/backward</t>
  </si>
  <si>
    <t>Herring</t>
  </si>
  <si>
    <t>mn170612-10a</t>
  </si>
  <si>
    <t>Balaena</t>
  </si>
  <si>
    <t>Good deployment, whale has old prop scars so perhaps hit one of those and didn't stick</t>
  </si>
  <si>
    <t>25 seconds</t>
  </si>
  <si>
    <t>Total Tag On Time HH:MM:SS _</t>
  </si>
  <si>
    <t>Aerospace</t>
  </si>
  <si>
    <t>Y-both</t>
  </si>
  <si>
    <t>Dtag on head.  Tag placed on midline, good views of both sides, early on both flippers are visible.  Calf also tagged. Calf has video of nursing events.  Bottom Feeding</t>
  </si>
  <si>
    <t>2k</t>
  </si>
  <si>
    <t>forward left side</t>
  </si>
  <si>
    <t>Milk</t>
  </si>
  <si>
    <t>Calf around bubble nets.  Some Nursing and breaching</t>
  </si>
  <si>
    <t>Calf with mother.  Lots of video of mom.  Nursing videos with milk.  Lots of breaching on video.  Video looks at left flipper mostly.  All GPS hits come from focal follow (no tag hits on whale).</t>
  </si>
  <si>
    <t>Hancock17calf</t>
  </si>
  <si>
    <t>Cheeto</t>
  </si>
  <si>
    <t>Musculus</t>
  </si>
  <si>
    <t>Flukin</t>
  </si>
  <si>
    <t>Twine</t>
  </si>
  <si>
    <t>Stereo</t>
  </si>
  <si>
    <t>forward/left side</t>
  </si>
  <si>
    <t>Up (on right side)</t>
  </si>
  <si>
    <t>Echo14calf</t>
  </si>
  <si>
    <t>Bubble nets, lots of whales, 5 tagged animals in group</t>
  </si>
  <si>
    <t>First wireless deployment.  Magnetometer jumps a bit at cam transitions, but else seems accurate.  Tag was not degaussed.  GPS hits from tag are bad, but there are several focal follow positions.</t>
  </si>
  <si>
    <t>Great video of bubble nets, gape angle, mouth opening durations.  Lots of other whales in frames.  Five tagged whales in group, perhaps some with VGB extended.  GPS hits from on whale were sketchy, but good focal follow hits used for geo-ptrack.</t>
  </si>
  <si>
    <t>Orion</t>
  </si>
  <si>
    <t>Earhart (22)</t>
  </si>
  <si>
    <t>Lucifer (723)</t>
  </si>
  <si>
    <t>Andenes, Norway</t>
  </si>
  <si>
    <t>Ask NOS</t>
  </si>
  <si>
    <t>Dorsal/Right Flipper</t>
  </si>
  <si>
    <t>Dorsal Fin</t>
  </si>
  <si>
    <t>Forward/Backward</t>
  </si>
  <si>
    <t>Right/Left</t>
  </si>
  <si>
    <t>Right</t>
  </si>
  <si>
    <t>Forward/Right Flipper</t>
  </si>
  <si>
    <t>Left/Right Flipper</t>
  </si>
  <si>
    <t>Tag slips from near dorsal fin to the center of the tail facing outward down the span of the left (?) fluke.</t>
  </si>
  <si>
    <t>Right Flipper</t>
  </si>
  <si>
    <t>Left Flipper/Backward</t>
  </si>
  <si>
    <t>bw</t>
  </si>
  <si>
    <t>Ziphiid</t>
  </si>
  <si>
    <t>John Martin</t>
  </si>
  <si>
    <t>Beach</t>
  </si>
  <si>
    <t>Sanctuary Cruises</t>
  </si>
  <si>
    <t>Santa Barbara Channel</t>
  </si>
  <si>
    <t>N Canyon, NW of Soquel</t>
  </si>
  <si>
    <t>Moss Landing</t>
  </si>
  <si>
    <t>NO VID</t>
  </si>
  <si>
    <t>Wireless</t>
  </si>
  <si>
    <t>Lat_On    _</t>
  </si>
  <si>
    <t>Long_On    _</t>
  </si>
  <si>
    <t>Recover_Lat      _</t>
  </si>
  <si>
    <t>Recover_Long       _</t>
  </si>
  <si>
    <t>Recover_Time          _</t>
  </si>
  <si>
    <t>Tagging Vessel              _</t>
  </si>
  <si>
    <t>Brief.  Tag slides all the way back</t>
  </si>
  <si>
    <t>Very short.</t>
  </si>
  <si>
    <t>Same whale as 26a</t>
  </si>
  <si>
    <t>Skin sloughing</t>
  </si>
  <si>
    <t>Dorsal, skin sloughing</t>
  </si>
  <si>
    <t>Side</t>
  </si>
  <si>
    <t>W of Soquel</t>
  </si>
  <si>
    <t>S of Soquel</t>
  </si>
  <si>
    <t>No video, no magnetometer so no heading, no gyro calibrations, no flow noise, no pseudotrack, no trackplot.</t>
  </si>
  <si>
    <t>Deep and night feeding</t>
  </si>
  <si>
    <t>N of Santa Cruz Island</t>
  </si>
  <si>
    <t>Fish (Anchovies?)</t>
  </si>
  <si>
    <t>Short deployment.  Similar scenario to IOS animals</t>
  </si>
  <si>
    <t>Video appears to have gotten corrupted on deployment (it exists but doesn't play.  Short deployment.  Feeding with conspecfics and dolphins.</t>
  </si>
  <si>
    <t>Similar to IOS deployments on humpbacks.  No video</t>
  </si>
  <si>
    <t>Palos Verdes</t>
  </si>
  <si>
    <t>Remora</t>
  </si>
  <si>
    <t>Flipper/Fluke</t>
  </si>
  <si>
    <t>Fish</t>
  </si>
  <si>
    <t>Flip/Fluke, dark, defecation</t>
  </si>
  <si>
    <t>Video only has surfacings. Defecation on video. Photo listed as fluke shot in database is not of tagged animal.  Tagged with 2 other animals.  Good view of flippers and flukes.</t>
  </si>
  <si>
    <t xml:space="preserve">R/L video stills are from before and after a slip.  Good views of flukes, lice on a scar, flipper.  Heading needs to be redone between two middle slips.  </t>
  </si>
  <si>
    <t>Lice, Great flukes, flipper</t>
  </si>
  <si>
    <t>Lice</t>
  </si>
  <si>
    <t>mn140716-2a</t>
  </si>
  <si>
    <t>Anchovy School</t>
  </si>
  <si>
    <t>Anchovies</t>
  </si>
  <si>
    <t>Down</t>
  </si>
  <si>
    <t>Great (presumed) anchovy school after tag comes off.</t>
  </si>
  <si>
    <t>Flipper/Down</t>
  </si>
  <si>
    <t>Maybe one lunge</t>
  </si>
  <si>
    <t>Flipper and flukes.  Great sunset view of Moss in last video.  View of whale watch boat.  Potential breaching late in deployment (video off)</t>
  </si>
  <si>
    <t>Fluke video.  Deep feeding</t>
  </si>
  <si>
    <t>Mostly focused on flukes.  100m dives along bottom?  Recover location (and geo pseudotrack locations) are approx. from beach video of MBARI and from psuedotrack approximation.  Sardines(?) at end of video 15.</t>
  </si>
  <si>
    <t>Biopsy      _</t>
  </si>
  <si>
    <t>Flukes/Flipper</t>
  </si>
  <si>
    <t>Bubbles, Evasive action, deep feeding</t>
  </si>
  <si>
    <t>Cam mostly fluke focused with some left flipper.  Some evasive action to avoid conspecific with fast speed, bubble production (vid 9).  Whale lice in motion.  Recovery well after tag off so psuedotrack is guestimate.</t>
  </si>
  <si>
    <t>Cordell Bank</t>
  </si>
  <si>
    <t>Dolphins &amp; Slip</t>
  </si>
  <si>
    <t>Dolphins</t>
  </si>
  <si>
    <t>Short attachment.  Slides with good view of animal and flukes.  Listed as "no attachment" in notes</t>
  </si>
  <si>
    <t>Short attachment.  Heavy diatom mats.  Bow-riding dolphins.  Good view of various plankton species.</t>
  </si>
  <si>
    <t>Short attachment.  Heavy diatom mats.   Good view of various plankton species.</t>
  </si>
  <si>
    <t>Sliding</t>
  </si>
  <si>
    <t>Fluke view</t>
  </si>
  <si>
    <t>Short attachment.  Slides with view of flukes.  Listed as "no attachment" in notes</t>
  </si>
  <si>
    <t>Slipping</t>
  </si>
  <si>
    <t>Forward/Left side</t>
  </si>
  <si>
    <t>Dorsal/Forward</t>
  </si>
  <si>
    <t>U (2a)</t>
  </si>
  <si>
    <t>U (2c)</t>
  </si>
  <si>
    <t>Drone  _</t>
  </si>
  <si>
    <t>Parasites, Salps</t>
  </si>
  <si>
    <t>Feeding, pleats</t>
  </si>
  <si>
    <t>Feeding in near darkness, several lunges with pleats, good view of mouth, some big parasite near left flipper.  ID photo does not match notes, confirm with Cascadia. R cam still was 4 seconds before left cam still.</t>
  </si>
  <si>
    <t>U (26b)</t>
  </si>
  <si>
    <t>U (26a)</t>
  </si>
  <si>
    <t>Epic lice video.  Ends with breach but tag slides.  All lats, longs and recovery times are best reconstructions.  Notes from the day can not be found</t>
  </si>
  <si>
    <t>Epic Lice</t>
  </si>
  <si>
    <t>Dorsal, whale contact</t>
  </si>
  <si>
    <t>Dark views of schools.  Some breaching perhaps late in deployment (no vid).  Collisions between whales leave a flap of skin.  All lats, longs are best reconstructions.  Recovery time is from pressure sensor.  Tag found by fishermen.</t>
  </si>
  <si>
    <t>With sea lion group</t>
  </si>
  <si>
    <t xml:space="preserve">With other whales and sea lions.  All lats, longs and recovery times are best reconstructions.  </t>
  </si>
  <si>
    <t>Zalophus</t>
  </si>
  <si>
    <t>Unk</t>
  </si>
  <si>
    <t>Short deployment</t>
  </si>
  <si>
    <t>Lat/Longs and recovery time are approximate reconstructions</t>
  </si>
  <si>
    <t>Friendly, breach, deep dive</t>
  </si>
  <si>
    <t>Flownoise speed had trouble converging.  Jiggle looks great.  Great breach at end 6.6 m/s.</t>
  </si>
  <si>
    <t>PR</t>
  </si>
  <si>
    <t xml:space="preserve">Friendly whale- approaches Ziphiid and John Martin.  Lots of UW footage of this whale.  With a partner (10). Great blow hole video. One deep dive, else surface associated.  Breaches twice after biopsy.  First breach tag is stable, speed ~ 6.6 m/s.  Good GPS hits since there were long surfacings.  </t>
  </si>
  <si>
    <t>Volume went in and out, so no speedFN.  Jiggle looks great.  Most videos were corrupted on the card, some couldn't be downloaded.  only 2 worked.  Could be the card was not inserted sufficiently, or could be related to tag being turned on and off several times.</t>
  </si>
  <si>
    <t>Friendly whale.  UW footage.  With 20 at least until 20's tag came off.  Deep dives, night feeding, day resting.  Lunges later.  Good GPS hits.   The biopsy on this animal immediately preceded breaching by 20.  Great tag placement, but many videos didn't record or were corrupted.</t>
  </si>
  <si>
    <t>Friendly, night feeding</t>
  </si>
  <si>
    <t xml:space="preserve">Best Remora video.  Double tagged with Dtag.  Cam image are two rights from different times.  Tag slips to peduncle so great views of whole whale.  Same animal tagged twice with the same tag. </t>
  </si>
  <si>
    <t>Double tagged with dtag bw14_218a. Feeding.  Ramora, peduncle slip</t>
  </si>
  <si>
    <t>Krill ID</t>
  </si>
  <si>
    <t>Nice surfacing shots, brief</t>
  </si>
  <si>
    <t>Epic pleats, krill flies by</t>
  </si>
  <si>
    <t>San Diego</t>
  </si>
  <si>
    <t>Nice reflections on surface, deep dive, remora in armpit</t>
  </si>
  <si>
    <t xml:space="preserve">Epic pleats.  Krill flies by.  End of day so camera had very little battery left.  </t>
  </si>
  <si>
    <t>Fish (Anchovies)</t>
  </si>
  <si>
    <t>Armpit deployment.  Tag basically slides the whole time over to right side.  Deployed right after feeding but no feeding attempts</t>
  </si>
  <si>
    <t xml:space="preserve">Longest San Diego deployment.  Multiple lunges with great view of jaws.  </t>
  </si>
  <si>
    <t>Forward/Left flipper</t>
  </si>
  <si>
    <t>Forward/right flipper</t>
  </si>
  <si>
    <t>Armpit</t>
  </si>
  <si>
    <t>Feeding.  Jaw</t>
  </si>
  <si>
    <t>bp</t>
  </si>
  <si>
    <t>Offshore near Tassilaq</t>
  </si>
  <si>
    <t>Siutoq</t>
  </si>
  <si>
    <t>Near Qulusuk - Transited to Icefjord</t>
  </si>
  <si>
    <t>In the Icefjord near Qulusuk</t>
  </si>
  <si>
    <t>(Charter)</t>
  </si>
  <si>
    <t>Sea Lions, Jellies</t>
  </si>
  <si>
    <t>La Nina</t>
  </si>
  <si>
    <t>Sea Lions (03, 08:41,892)</t>
  </si>
  <si>
    <t>Feeding on patchy krill, first ~50m so great, clear images of feeding.  Later feeding deep.  Concurrent with prey mapping.  Several humpbacks and blues in the area for the last several days.</t>
  </si>
  <si>
    <t>PI Contact _</t>
  </si>
  <si>
    <t>davecade@stanford.edu</t>
  </si>
  <si>
    <t>jergold@stanford.edu</t>
  </si>
  <si>
    <t>calambokidis@cascadiaresearch.org</t>
  </si>
  <si>
    <t>brandon.southall@sea-inc.net</t>
  </si>
  <si>
    <t>arsfried@ucsc.edu</t>
  </si>
  <si>
    <t>david.wiley@noaa.gov</t>
  </si>
  <si>
    <t>Y (minor)</t>
  </si>
  <si>
    <t>patchy foraging, stereotyped lunges, great video</t>
  </si>
  <si>
    <t>Soquel Canyon</t>
  </si>
  <si>
    <t>Project    _</t>
  </si>
  <si>
    <t>Hopkins</t>
  </si>
  <si>
    <t>7/14-</t>
  </si>
  <si>
    <t>SoCal BRS</t>
  </si>
  <si>
    <t>5/10-9/16</t>
  </si>
  <si>
    <t>Project Dates         _</t>
  </si>
  <si>
    <t>BBC</t>
  </si>
  <si>
    <t>Forward/Pleats</t>
  </si>
  <si>
    <t>Pleats &amp; Partner</t>
  </si>
  <si>
    <t>Pair feeding</t>
  </si>
  <si>
    <t>Up (360)</t>
  </si>
  <si>
    <t>VR</t>
  </si>
  <si>
    <t>Jellies</t>
  </si>
  <si>
    <t>UTC         _</t>
  </si>
  <si>
    <t>Starboard (360)</t>
  </si>
  <si>
    <t>Tag slips to flipper view</t>
  </si>
  <si>
    <t>Forward/Left Side</t>
  </si>
  <si>
    <t>Y-other whale</t>
  </si>
  <si>
    <t>No Pressure Sensor, Depth is a pseudotrack, speed could not be calibrated in situ.</t>
  </si>
  <si>
    <t>NO PRESSURE sensor.  Depth is a pseudotrack, speed is not calibrated in situ.  Trail animal of pair with 41 until about 12:30, great double lunges on video.  VGB observed by 41.  Flipper movements for rolls observed by 41.  No drone footage.  Great views of pleats later in the deployment after tag slips.  .</t>
  </si>
  <si>
    <t>Tag off is guess from Argos. No hydrophone.  Mag cal slightly better with diff. cam on periods but used standard anyway for smooth transitions around camon/camoff.</t>
  </si>
  <si>
    <t xml:space="preserve">Trail animal of pair with 50.  VGB/filtering continually observed by pair.  Some great double lunges.  </t>
  </si>
  <si>
    <t xml:space="preserve">Lead animal of pair with 40.  Great views of filtering of 40.  VGB observed by 40.  Some great double lunges.  Inset cam frame from vid 20.  </t>
  </si>
  <si>
    <t>Forward/Right Side</t>
  </si>
  <si>
    <t>Mole</t>
  </si>
  <si>
    <t>Pair.  Good GPS hits</t>
  </si>
  <si>
    <t>Pair. Data only</t>
  </si>
  <si>
    <t>U (14-31)</t>
  </si>
  <si>
    <t>U (15-42)</t>
  </si>
  <si>
    <t>Deployed in vicinity of 6-8 other whales.  With 2 other whales when tagged.</t>
  </si>
  <si>
    <t>Feeding</t>
  </si>
  <si>
    <t>Y- (very dark)</t>
  </si>
  <si>
    <t>Feeding/Travel</t>
  </si>
  <si>
    <t>Close to head, feeding</t>
  </si>
  <si>
    <t>Lead animal of pair with 42 until about 12:30, great double lunges on video.  No drone footage.  VGB observed by 42. Occasional views of both flippers</t>
  </si>
  <si>
    <t>S. Bay, Fragmented Vids</t>
  </si>
  <si>
    <t>9/17</t>
  </si>
  <si>
    <t>Only IOS whale to leave the north canyon area.  Videos are fragmented, best feeding videos start at 138</t>
  </si>
  <si>
    <t>Multiple Angles</t>
  </si>
  <si>
    <t>Some feeding on video.  Unique views of flipper rotation and (later) ventral side.  Not paired, no drone footage.</t>
  </si>
  <si>
    <t>Tag off is guess from Argos. Short videos, so no speedFN.  Hydrophone cracked anyway.</t>
  </si>
  <si>
    <t>Pair Feeding</t>
  </si>
  <si>
    <t>NO PRESSURE sensor.  Depth is a pseudotrack, speed is not calibrated in situ.  Paired with an unknown animal.  Fragmented videos with some feeding an observations of paired whale filtering and lunging.</t>
  </si>
  <si>
    <t xml:space="preserve">Lead animal of pair with 28.  Good GPS hits on every surfacing where the tag breaks the water.  </t>
  </si>
  <si>
    <t>Magnetometer wouldn't calibrate using whole tag on time, used [100000:200000 300000:600000 1015000:1017000] and Temperature cal</t>
  </si>
  <si>
    <t>Trail animal of pair with 21.  Still paired next day, but check if there is photo confirmation the pair was still 21.</t>
  </si>
  <si>
    <t>What's going on with the high speed at 15:18:43?</t>
  </si>
  <si>
    <t>NO PRESSURE sensor.  Depth is a pseudotrack, speed is not calibrated in situ.  Paired with 42/31, but they split before 43 was tagged.  Tag found close to shore, animal speed and direction suggests shallow water avoidance</t>
  </si>
  <si>
    <t>8/14</t>
  </si>
  <si>
    <t>LTER</t>
  </si>
  <si>
    <t>Eastern Greenland</t>
  </si>
  <si>
    <t>MERI</t>
  </si>
  <si>
    <t>2/14-</t>
  </si>
  <si>
    <t>Niko</t>
  </si>
  <si>
    <t>Beast Mode</t>
  </si>
  <si>
    <t>Dolphins, Sea Lions, Shearwaters</t>
  </si>
  <si>
    <t>Dolphins, Sea Lions</t>
  </si>
  <si>
    <t>Tail tag.  Consider gyro use to calculate body rotations to account for high specific acceleration.</t>
  </si>
  <si>
    <t>It was a fluke</t>
  </si>
  <si>
    <t>Forward (Whole Body)</t>
  </si>
  <si>
    <t>MaSi@natur.gl</t>
  </si>
  <si>
    <t>gchiang@fundacionmeri.cl</t>
  </si>
  <si>
    <t>1/16</t>
  </si>
  <si>
    <t>evejourdain@yahoo.fr</t>
  </si>
  <si>
    <r>
      <t xml:space="preserve">High speed pursuit and approaches to anchovy schools.  Some high speed approaches with no lunge.  Interactions with </t>
    </r>
    <r>
      <rPr>
        <i/>
        <sz val="10"/>
        <rFont val="Arial"/>
        <family val="2"/>
      </rPr>
      <t>Delphinus</t>
    </r>
    <r>
      <rPr>
        <sz val="10"/>
        <rFont val="Arial"/>
        <family val="2"/>
      </rPr>
      <t xml:space="preserve">, </t>
    </r>
    <r>
      <rPr>
        <i/>
        <sz val="10"/>
        <rFont val="Arial"/>
        <family val="2"/>
      </rPr>
      <t>Zalophus</t>
    </r>
    <r>
      <rPr>
        <sz val="10"/>
        <rFont val="Arial"/>
        <family val="2"/>
      </rPr>
      <t xml:space="preserve">, seabirds and conspecifics.  </t>
    </r>
  </si>
  <si>
    <r>
      <t xml:space="preserve">High speed pursuit and approaches to anchovy schools (basically beast mode).  Great forward view.  Interactions with </t>
    </r>
    <r>
      <rPr>
        <i/>
        <sz val="10"/>
        <rFont val="Arial"/>
        <family val="2"/>
      </rPr>
      <t>Delphinus</t>
    </r>
    <r>
      <rPr>
        <sz val="10"/>
        <rFont val="Arial"/>
        <family val="2"/>
      </rPr>
      <t xml:space="preserve">, </t>
    </r>
    <r>
      <rPr>
        <i/>
        <sz val="10"/>
        <rFont val="Arial"/>
        <family val="2"/>
      </rPr>
      <t>Zalophus</t>
    </r>
    <r>
      <rPr>
        <sz val="10"/>
        <rFont val="Arial"/>
        <family val="2"/>
      </rPr>
      <t>.</t>
    </r>
  </si>
  <si>
    <t>Only a few lunges</t>
  </si>
  <si>
    <t>Flownoise curve is poor.</t>
  </si>
  <si>
    <t>Occasional high speed pursuit and lunges.  End of exhalation sometimes visible above water.</t>
  </si>
  <si>
    <t>Forward/Left</t>
  </si>
  <si>
    <t>Anchovy pursuit, bubbles</t>
  </si>
  <si>
    <t>Some bubble bursts when feeding.  Some interesting low-speed interactions with sea lions, and with anchovies.  There is a time when anchovies just swim into the whale and bounce off.  Some high speed pursuit of schools with lunging.</t>
  </si>
  <si>
    <t>Dolphins, Sea Lions, Seabirds</t>
  </si>
  <si>
    <t>Some spikes in data at cam on/cam off boundaries</t>
  </si>
  <si>
    <t>Bubble Netting, Bottom Feeding</t>
  </si>
  <si>
    <t xml:space="preserve">Krill observed post surface lunges in vid 137&amp;139.  Lots of deep feeding and surface feeding, but highly fragmented video (due to cold?).  </t>
  </si>
  <si>
    <t>Short deployment.  Stuck on flukes for a few strokes.</t>
  </si>
  <si>
    <t>Bubble net feeding, resting, and repetetive deep dives, perhaps to the bottom, with slight increases in depth but pitched 0 degrees or negatively.  Perhaps bottom feeding up-slope.  Satellite tagged on 9/10 at 15:50.  Geo-referenced track from Argos hits with associated errors</t>
  </si>
  <si>
    <t>Trail animal of pair with 16-42, but split up by 13:18.</t>
  </si>
  <si>
    <t>NO PRESSURE sensor.  Depth is a pseudotrack, speed is not calibrated in situ.  No video since video was cued to pressure sensor so it never turned on.  Lead animal of pair with 16-27, but split up by 13:18</t>
  </si>
  <si>
    <t>Forward/right side</t>
  </si>
  <si>
    <t>Fast Pursuit</t>
  </si>
  <si>
    <t>Flownoise not consistent</t>
  </si>
  <si>
    <t>Wireless Mole</t>
  </si>
  <si>
    <t>Blind 2k</t>
  </si>
  <si>
    <t>7/14 -</t>
  </si>
  <si>
    <t>Busy in Moss</t>
  </si>
  <si>
    <t>NO PRESSURE sensor.  Depth is a pseudotrack, speed is not calibrated in situ.  Flapping flippers in conspecific in video 90.  Interactions with Zalophus, Jellies, conspecifics, some calls.  Tag recovered on beach by school group and returned the next day.</t>
  </si>
  <si>
    <t xml:space="preserve">No Pressure Sensor, Depth is a pseudotrack, speed could not be calibrated in situ.  </t>
  </si>
  <si>
    <t>MN0501018</t>
  </si>
  <si>
    <t>CRC-15574 (FIBB-1BB051)</t>
  </si>
  <si>
    <t>CRC-10616 (FIBB-3BB037)</t>
  </si>
  <si>
    <t xml:space="preserve">Same whale as bw170814-31.  NO PRESSURE sensor.  Depth is a pseudotrack, speed is not calibrated in situ.  Paired with 43, but they split before 43 was tagged. Simultaneous feeding observed.  </t>
  </si>
  <si>
    <t>Depl Video _</t>
  </si>
  <si>
    <t>SBNMS</t>
  </si>
  <si>
    <t>6/10 -</t>
  </si>
  <si>
    <t>Nursing</t>
  </si>
  <si>
    <t>whale lice</t>
  </si>
  <si>
    <t>Double tagged with DTAG.  Calf also tagged.  Video has long off periods for unknown reason.</t>
  </si>
  <si>
    <t>F</t>
  </si>
  <si>
    <t>Great views of nursing including views of spilled milk.  Often, but not always, stays near surface while adults in group are on longer dives.  Breaches tag off.</t>
  </si>
  <si>
    <t>Same animal as 170815-42.  Tag malfunctioned but some data (8 hours) was recovered.  Trail animal in a pair when tagged.  It was paired with 15- 43 for a bit before 43 was tagged (they split before 43's tag went on).  Has not yet been confirmed whether 15-43 was the same animal paired on 08/14.</t>
  </si>
  <si>
    <t>Left</t>
  </si>
  <si>
    <t>Bubble net feeding, resting, deep dives.  Some time in shallow water (can see the bottom in vid 107).  Can see prey swarms but no feeding on video.  With 12-43 and her calf at least some of the time (confirmed on video).  Video time stamps are one hour behind actual/data time.</t>
  </si>
  <si>
    <t>Sea Lions, sea birds</t>
  </si>
  <si>
    <t>High speed pursuit and approaches to anchovy schools.   Great forward views.</t>
  </si>
  <si>
    <t>Dolphins Bow-riding, fast pursuit</t>
  </si>
  <si>
    <t>Dolphins bow-riding.  Fast pursuit of anchovy schools.</t>
  </si>
  <si>
    <t>Cameras missed the first half of the deployment.</t>
  </si>
  <si>
    <t>Largest IOS whale.  Surface activity (breaches, head slaps) and some lunges.</t>
  </si>
  <si>
    <t>Breach, head slaps</t>
  </si>
  <si>
    <t>mn170615-40a</t>
  </si>
  <si>
    <t>Springboard15calf</t>
  </si>
  <si>
    <t>Smog</t>
  </si>
  <si>
    <t>East of Chatham</t>
  </si>
  <si>
    <t>Bottom Feeding</t>
  </si>
  <si>
    <t>Bottom feeding on sand lance.  Includes great observations of other whales feeding in unusual ways.  Big breach at the end.</t>
  </si>
  <si>
    <t>Accel does not appear to clip during tag off breach</t>
  </si>
  <si>
    <t>Not great speed calibration.  Never dove steeply deep.</t>
  </si>
  <si>
    <t>W side of Ant. Peninsula</t>
  </si>
  <si>
    <t>Bubble Nets/Resting</t>
  </si>
  <si>
    <t>Bubble Nets, Bottom Feeding</t>
  </si>
  <si>
    <t>At least 3 different feeding styles: Bubble nets, lunging along bottom and lunging near surface.  With calf.  12-42 also often in view.  Prey is hard to ID from video but likely krill.  Tag off is guess from Argos (Whale might have been logging, so hard to tell exact timing of tag off)</t>
  </si>
  <si>
    <t>Great GPS hits, bubble net feeding in large groups.  Multiple tags on surrounding whales.</t>
  </si>
  <si>
    <t>Short Deployment</t>
  </si>
  <si>
    <t>Bubble Net and Bottom Feeding</t>
  </si>
  <si>
    <t>NO PRESSURE sensor.  Depth is a pseudotrack, speed is not calibrated in situ.  Deployed close to head so great videos of mouth opening.  Paired?  Hydrophone worked.</t>
  </si>
  <si>
    <t>Feeding deep, lots of intearctions with swarms of Zalophus and jellies and conspecifics, calls audible at least during interactions in video 21.</t>
  </si>
  <si>
    <t>Left(Forward)/Up</t>
  </si>
  <si>
    <t>Shallow Lunging</t>
  </si>
  <si>
    <t>SpeedFN is not well calibrated.  Short data even though tag was on several days.</t>
  </si>
  <si>
    <t>Back/Left</t>
  </si>
  <si>
    <t>Night feeding</t>
  </si>
  <si>
    <t>Concurrent prey mapping.  Tagged near Moss Landing but didn't feed during day, instead travelling out to canyon and feeding at night.</t>
  </si>
  <si>
    <t>Flow noise did not seem to work, possibly due to a graph error. Video 11 might have been off by a couple of seconds.</t>
  </si>
  <si>
    <t>6/17-7/17</t>
  </si>
  <si>
    <t xml:space="preserve">3rd deployment.  Funny frame size of video.  </t>
  </si>
  <si>
    <t>Concurrent prey mapping.  Shallow and deeper feeding on anchovies.  In same area as Inverse et al.  In same area as 10-20, but 10-20 didn't feed until night feeding on krill.  Bottom feeding vid 70.</t>
  </si>
  <si>
    <t>Some calls recorded on acoustics and accelerometers (around 16:30).  Good footage of blow holes at first, then tag slips to right side with great flipper view.  No known pair.  A large UBX file exists, but GPS data was not recorded in the raw data.  CATS engineers may still be able to extract some position data.</t>
  </si>
  <si>
    <t>Sea Lion, Jellies</t>
  </si>
  <si>
    <t>Dolphins, Stalked Barnacles</t>
  </si>
  <si>
    <t>Bubbles around Prey</t>
  </si>
  <si>
    <t>Y- Occasionally just before nostrils close</t>
  </si>
  <si>
    <t>High speed pursuit proximate to dolphins, but then creates bubble streams proximate to large anchovy shoals.  Interactions with bottom, possibly feeding attempts.  Basically acts like a Stellwagen whale.</t>
  </si>
  <si>
    <t>VR, Fast swimming</t>
  </si>
  <si>
    <t>Dolphin whistles audible.  High speed swimming but no feeding.  Drone footage comes from 08/11 when whale was relocated.  Lots of surface feeding and maneuvering on 8/11 but no tag. First CATS VR deployment</t>
  </si>
  <si>
    <t>Sea Lions</t>
  </si>
  <si>
    <t>Anchovies in VR, many Sea Lions</t>
  </si>
  <si>
    <t>Up/Forward (VR)</t>
  </si>
  <si>
    <t>Paired with an unknown animal.  Deployed fairly far back, so good views of most of the body forward of the dorsal fin.  Mostly feeding in darkness.</t>
  </si>
  <si>
    <t>Not a great fit for speedFN</t>
  </si>
  <si>
    <t xml:space="preserve">Magnetometer calibration not great at beginning, perhaps due to a few weird spikes in y-axis magnetometer. </t>
  </si>
  <si>
    <t>Great VR video of feeding among Sea Lions, Dolphins and other whales.  Multiple lunges on single dives</t>
  </si>
  <si>
    <t>Dispersed Anchovies</t>
  </si>
  <si>
    <t>Deep feeding, lots of jellies and conspecifics in diving or ascending images.  Nice surface shots of John Martin/Moss Landing.  Dome leaked early on.</t>
  </si>
  <si>
    <t>Magnetometer calibration not great at beginning, big power draw when cameras are on?  Calibration of camon/camoff periods did not resolve.</t>
  </si>
  <si>
    <t>Left (360)</t>
  </si>
  <si>
    <t>Deep feeding, epic views of sea lions and conspecifics and jellies.  Good views of flippers and flukes.</t>
  </si>
  <si>
    <t>Several instances of multiple lunges per dive.  Often in presence of dolphins, conspecifics.  Shortest IOS whale</t>
  </si>
  <si>
    <t>Y-other whale (minor)</t>
  </si>
  <si>
    <t>No hydrophone.  Magnetometer less resolvable during camon periods, but the transitions between on/off periods were so numerous that a perfect calibration could not be attained, the end result had residual of 6% though, so not terrible.</t>
  </si>
  <si>
    <t>Great videos of both bottom feeding and bubble net feeding in a large group.  Videos continue on day 2.</t>
  </si>
  <si>
    <t>One long surfacing</t>
  </si>
  <si>
    <t>Deep feeding</t>
  </si>
  <si>
    <t>Logging</t>
  </si>
  <si>
    <t>Mostly logging.  Great views of blow holes while resting.  Navigating ice field, some surface behavior (spy hopping, slow rolls).  Something funky is going on with the time synching of video and data (see README).  Great views of scientists on small boats.</t>
  </si>
  <si>
    <t>Magnetometer calibration could not resolve well; residuals &gt;1.  Last few camera times were off.  28-30 were 15 seconds earlier than the rest, 32 was 5 minutes off.  Could be related to why speedFN could not resolve. First 5 hours of track are raw pseudotrack (no tagon location)</t>
  </si>
  <si>
    <t>Canyon feeding</t>
  </si>
  <si>
    <t>Concurrent prey mapping.  Blue whales also in area.  Feeding in canyon, but video is too dark.</t>
  </si>
  <si>
    <t>Long deployment, deep feeding through the day, some night feeding.  Tag off is guess.  No magnetometer, so can't create pseudotrack.  No video.</t>
  </si>
  <si>
    <t>speed calculated from flownoise and jiggle values from 38c.  Low confidence in whale frame (and thus pitch and roll calculations).  Tag moves a lot and appears to only be attached by a couple of suction cups.</t>
  </si>
  <si>
    <t>Good view of flukes.  Tag spins around when whale descends.</t>
  </si>
  <si>
    <t>Flukes, Short</t>
  </si>
  <si>
    <t>Surfacings</t>
  </si>
  <si>
    <t>Deep feeding with multiple lunges per dive.  Videos only of surfacings</t>
  </si>
  <si>
    <t>Backwards</t>
  </si>
  <si>
    <t>bb</t>
  </si>
  <si>
    <t>One Ocean</t>
  </si>
  <si>
    <t>James Brown</t>
  </si>
  <si>
    <t>Y-other whales</t>
  </si>
  <si>
    <t>Bubble Nets, shalow feeding</t>
  </si>
  <si>
    <t>Peduncle</t>
  </si>
  <si>
    <t>Tourists</t>
  </si>
  <si>
    <t>Mic drop</t>
  </si>
  <si>
    <t>Tag audio is no good, speed.FN all nans.</t>
  </si>
  <si>
    <t>Left Flipper</t>
  </si>
  <si>
    <t>Ventral</t>
  </si>
  <si>
    <t>After tag off</t>
  </si>
  <si>
    <t>Krill/Invert or Larva</t>
  </si>
  <si>
    <t>Tag slipped to ventral side of animal on peduncle.  Best efforts were made to find times when the peduncle was perpendicular to gravity, but may be some error in orientation estimation.</t>
  </si>
  <si>
    <t>Friendly Minke.  Spent &gt; 1 hr around One Ocean Zodiacs.  Then swam under ship and breached for 10 minutes.  Satellite tag at 4:27:34.  Can see the tag later on from camera view.  Short release filed down to ensure overnight release.  Minke still in area on day 2 and swam next to boat on recovery.</t>
  </si>
  <si>
    <t>S. of Lamaire Channel</t>
  </si>
  <si>
    <t>2014-</t>
  </si>
  <si>
    <t>Vavilov Zodiac</t>
  </si>
  <si>
    <t>LMG Zodiac</t>
  </si>
  <si>
    <t>Ioffe Zodiac</t>
  </si>
  <si>
    <t>Hans Hansen</t>
  </si>
  <si>
    <t>Tagged with 2 other whales present.  Lots of views of Euphausiia superba.  Some bubbles while feeding.  Shorter release used (says 9 hours at 16 deg, 7 hours at 24 deg).</t>
  </si>
  <si>
    <t>ER-NPS</t>
  </si>
  <si>
    <t>Left/Forward</t>
  </si>
  <si>
    <t>Ghost Shrimp</t>
  </si>
  <si>
    <t>Lots of feeding as well as views of other whales.</t>
  </si>
  <si>
    <t>Patch (49)</t>
  </si>
  <si>
    <t xml:space="preserve">Views of other whales, some body contact. </t>
  </si>
  <si>
    <t>Feeding Observed, views of conspecifics</t>
  </si>
  <si>
    <t>Feeding Observed, views of conspecifics, Ghost Shrimp</t>
  </si>
  <si>
    <t>Feeding Observed</t>
  </si>
  <si>
    <t>Feeding observed, some problems with Right Camera quality</t>
  </si>
  <si>
    <t>Feeding Barnacle</t>
  </si>
  <si>
    <t>Feeding observed, some problems with Right Camera quality. Barnacle seen feeding. Best GPS point taken at 22:31:29</t>
  </si>
  <si>
    <t>Backward</t>
  </si>
  <si>
    <t>FF</t>
  </si>
  <si>
    <t>Tag Breaks shortly after deployment. Barrel roll.</t>
  </si>
  <si>
    <t xml:space="preserve">Tag breaks shortly after deployment. </t>
  </si>
  <si>
    <t>3/15-5/16</t>
  </si>
  <si>
    <t>mn180105-28</t>
  </si>
  <si>
    <t>mn180105-22a</t>
  </si>
  <si>
    <t>Palmer Deep</t>
  </si>
  <si>
    <t>Tag came off shortly after deployment.  Good position and attachment when tagged.</t>
  </si>
  <si>
    <t>Mostly social</t>
  </si>
  <si>
    <t>Everett, WA</t>
  </si>
  <si>
    <t>Crab</t>
  </si>
  <si>
    <t>Video shows other whale resting</t>
  </si>
  <si>
    <t>Time in video is 3:58:37 ahead.  Video improper length (each frame needs to be read in from the time stamp to properly synch).   Heading is clearly off (doesn't match focal follows at all).  Battery winding down led to bad data at end.  Video shows other whale motionless on bottom and some rolling behavior near bottom.</t>
  </si>
  <si>
    <t>Minion Deployment.  Pressure sensor acted funny (above water pressure jumped to -10K).  Truncated last few dives because the data started skipping samples.  Pressure calibration is approximate (based on estimated depth of water from boat echosounder at 7:36 when the animal rolls on it's back.  Time sync with video will be off (data time stamped on video is ~45 seconds shorter than actual video).  Does not include the 70+ 3 second cam on periods.  No speed sensor on the minion (no flow noise at all, audio was just a place holder).</t>
  </si>
  <si>
    <t>LMG Solus</t>
  </si>
  <si>
    <t>From Julian: "This is a test and not a deployment?? Tag 22 was only deployed once this day and not agin till 7th Jan 18"</t>
  </si>
  <si>
    <t>Tag on time is the biopsy record time. Tag started download but failed. Was put on charge and then failed to turn on or reconnect with wifi. I assume you can tell the tag off time from the data?</t>
  </si>
  <si>
    <t>N. of Lamaire Channel</t>
  </si>
  <si>
    <t>Jonas Teilmann</t>
  </si>
  <si>
    <t>Aarhus Univ</t>
  </si>
  <si>
    <t>jte@bios.au.dk</t>
  </si>
  <si>
    <t>Contact data provider</t>
  </si>
  <si>
    <t>Brandon Southall</t>
  </si>
  <si>
    <t>Southall Environmental Associates,Inc.</t>
  </si>
  <si>
    <t>John Calambokidis</t>
  </si>
  <si>
    <t>Cascadia Research Collective</t>
  </si>
  <si>
    <t>One surface</t>
  </si>
  <si>
    <t>Mn18_005A_L</t>
  </si>
  <si>
    <t>Mn18_005B_L</t>
  </si>
  <si>
    <t>Mn18_006A_L</t>
  </si>
  <si>
    <t>Mn18_007A_L</t>
  </si>
  <si>
    <t>Mn18_007D_L</t>
  </si>
  <si>
    <t>Mn18_007E_L</t>
  </si>
  <si>
    <t>Longest data from a suction cup deployment.</t>
  </si>
  <si>
    <t>Short, Travel</t>
  </si>
  <si>
    <t>Bubble Nets</t>
  </si>
  <si>
    <t xml:space="preserve">Tag 23 went on belly. Unsure if tag went on Mn18_007A_L or Mn18_007B_L (so photo ID and biopsy information may be off for this whale, see LTER notes).  </t>
  </si>
  <si>
    <t>M</t>
  </si>
  <si>
    <t>NSF</t>
  </si>
  <si>
    <t>2/18-3/19</t>
  </si>
  <si>
    <t>Neko Harbor</t>
  </si>
  <si>
    <t>bb180228-50</t>
  </si>
  <si>
    <t xml:space="preserve">2nd animal tagged in group of 4.  Stayed with 45 and one other at least until 16:50, likely after as well as tag slipped to ventral side.  Prey-mapping starting at 16:45 around at least tag 45. Possible biopsy (need to confirm)  </t>
  </si>
  <si>
    <t>Buddy</t>
  </si>
  <si>
    <t>Mn18_058i_L</t>
  </si>
  <si>
    <t>Andvord Bay</t>
  </si>
  <si>
    <t>Mn18_058h_L</t>
  </si>
  <si>
    <t>Thundar</t>
  </si>
  <si>
    <t>Mn18_058j_L</t>
  </si>
  <si>
    <t>Mn18_058g_L</t>
  </si>
  <si>
    <t>Mn18_058a_L</t>
  </si>
  <si>
    <t>Mn18_058d_L</t>
  </si>
  <si>
    <t>Mn18_058c_L</t>
  </si>
  <si>
    <t>Mn18_059e_L</t>
  </si>
  <si>
    <t>LMG</t>
  </si>
  <si>
    <t>Mn18_061b_L</t>
  </si>
  <si>
    <t>oo</t>
  </si>
  <si>
    <t>Forward, Fluke</t>
  </si>
  <si>
    <t>Quad Lunge etc.</t>
  </si>
  <si>
    <t>Feeding and Social</t>
  </si>
  <si>
    <t>Forward, Right</t>
  </si>
  <si>
    <t>bb18_063a_L</t>
  </si>
  <si>
    <t>Forward, Left Flipper</t>
  </si>
  <si>
    <t>Roaming Whale</t>
  </si>
  <si>
    <t>On deployment appeared to be large for a minke.  Tagged in proximity to 42 and 45 but quickly split from the group.</t>
  </si>
  <si>
    <t>Tagged with one other whale, prey mapping started near this whale but contact was quickly lost.  Up to 5 other minkes in frame sometimes, another tagged whale in frame (either 04-40 or 04-45).</t>
  </si>
  <si>
    <t>Forward, Right Side</t>
  </si>
  <si>
    <t>Sextet in one frame</t>
  </si>
  <si>
    <t>Short</t>
  </si>
  <si>
    <t>Bubbles</t>
  </si>
  <si>
    <t>No good GPS hits, Argos positions were used to geo-reference the pseudotrack.  With 04-42, and then seen from 05-42b's camera.  Breaching/social behavior as well as feeding.  Biopsied dorsal fin.</t>
  </si>
  <si>
    <t>Paradise Bay</t>
  </si>
  <si>
    <t>Feeding near surface</t>
  </si>
  <si>
    <t>Forward, Left</t>
  </si>
  <si>
    <t>Barely</t>
  </si>
  <si>
    <t>Shallow Feeding, Bubbles</t>
  </si>
  <si>
    <t>Few videos</t>
  </si>
  <si>
    <t>Tagged while logging, joined by 41 later on.  Biopsy from peduncle. Great set of GPS hits.</t>
  </si>
  <si>
    <t>Barnacles</t>
  </si>
  <si>
    <t>Y- (after tagoff)</t>
  </si>
  <si>
    <t>With another whale.  GPS points only while camera is off.</t>
  </si>
  <si>
    <t>Bubble nets</t>
  </si>
  <si>
    <t>Short deployment.  No video (tag on during duty cycling).  Tubes slipped open and led to short deployment.</t>
  </si>
  <si>
    <t>Group feeding</t>
  </si>
  <si>
    <t>Was tagged in a trio.  Tag 50 also deployed in the trio but tag not yet recovered.  Prey mapping in general area of utilization both before and after tag on.  Tag slips to side late in deployment.</t>
  </si>
  <si>
    <t>Ice, Feeding</t>
  </si>
  <si>
    <t>Blue Serengeti</t>
  </si>
  <si>
    <t>Tagged with one other whale.  Prey-mapping through general area after tag on, but not close to whale.  Raw pseudotrack errors are partly a result of very slow animal movement when it stops forward motion to breathe through the ice, but also difficult mag. calibrations in tags 45-47.</t>
  </si>
  <si>
    <t>383_</t>
  </si>
  <si>
    <t>Shackleton (21)</t>
  </si>
  <si>
    <t>provider email</t>
  </si>
  <si>
    <t>provider name</t>
  </si>
  <si>
    <t>provider details</t>
  </si>
  <si>
    <t>provider license</t>
  </si>
  <si>
    <t>provider url</t>
  </si>
  <si>
    <t>Jeremy Goldbogen</t>
  </si>
  <si>
    <t>Hopkins Marine Station, Stanford University</t>
  </si>
  <si>
    <t>Ari Friedlaender</t>
  </si>
  <si>
    <t>University of California, Santa Cruz</t>
  </si>
  <si>
    <t>www.cascadiaresearch.org</t>
  </si>
  <si>
    <t>David Wiley</t>
  </si>
  <si>
    <t>Dave Cade</t>
  </si>
  <si>
    <t>Feeding in shallows</t>
  </si>
  <si>
    <t xml:space="preserve">No Video, 32 Focal Follow locations.  </t>
  </si>
  <si>
    <t>Y- barely</t>
  </si>
  <si>
    <t>Lots of feeding as well as views of other whales.  PRH file redone after videos were made.</t>
  </si>
  <si>
    <t>Paired with 21 (Shackleton) when tagged.  Some resting on bottom.  Good GPS hits at night.  Degenerates to pink eye later in deployment.  PRH file redone after videos were made</t>
  </si>
  <si>
    <t>Interactions with at least 2 other whales.   With another tagged whale (0407-25) for most of the time.  They split up evening of 407 but were back together the next morning.  Tag is pressed back on by a whale.  Views of crabs.   PRH file redone after videos were made</t>
  </si>
  <si>
    <t>Paired with 06-21 (Lucifer) at tagging, split up before feeding.  Some pink-eye in right camera.  Cam shots from different times.  Great videos of blow hole.  PRH file redone after videos were made</t>
  </si>
  <si>
    <t>Tag found near shore.  PRH file redone after videos were made</t>
  </si>
  <si>
    <t xml:space="preserve">Time on videos is 9 seconds behind prh &amp; GPS time.  Deployment starts out with camera facing fwd and left with views of other whales, a complete barrel roll and a breach. The camera moved to face backward and good views of 2 other whales seen. PRH file redone after videos were made.  There was an extensive focal follow for this animal which documents feeding location on the delta.  </t>
  </si>
  <si>
    <t>Lost</t>
  </si>
  <si>
    <t>Pinnipeds</t>
  </si>
  <si>
    <t>Right/Forward</t>
  </si>
  <si>
    <t>Y- other whale</t>
  </si>
  <si>
    <t xml:space="preserve">Type B (big).  Lots of vocalizations later in deployment.  Known to Durban's group.  Adolescent female.  Tag went on soon after a kill (carcass seen in water).  Approached boat, then the group circled boats for a few minutes before heading W.  </t>
  </si>
  <si>
    <t>Resting, re</t>
  </si>
  <si>
    <t>Mother tagged (with calf).  Spends time in Andvord and then moves through Paradise Bay towards the Gerlache.  Good GPS hits.</t>
  </si>
  <si>
    <t>Up/Forward</t>
  </si>
  <si>
    <t>Calf</t>
  </si>
  <si>
    <t>Up</t>
  </si>
  <si>
    <t>Poseidon</t>
  </si>
  <si>
    <t>VHF didn't transmit, UHF-based recovery was not successful</t>
  </si>
  <si>
    <t>Surface feeding and resting.  Paired with 27-40.  Has white undersides.  Audit video for possible VGB of 27-40</t>
  </si>
  <si>
    <t>No GPS, geo referencing is from SPOT and tag on from tag 43.  Tagged paired with 43 (had been with 43 all morning).  Has white undersides.  Lots of shallow feeding with some bubbles.  Audit video for possible VGB of 27-43</t>
  </si>
  <si>
    <t>Shallow Feeding</t>
  </si>
  <si>
    <t>Loneliest Whale</t>
  </si>
  <si>
    <t>mn160421-4</t>
  </si>
  <si>
    <t>Some fluking</t>
  </si>
  <si>
    <t>Tag slides on first lunge.  A minute or so of fluking view before next lunge and tagoff.</t>
  </si>
  <si>
    <t>Forward/Caudal</t>
  </si>
  <si>
    <t>Tag slides to perfect VGB spot, but slides during lunges.  Great underside view.  Compare this to bb180125-30.</t>
  </si>
  <si>
    <t>VGB</t>
  </si>
  <si>
    <t>Immediate slip off</t>
  </si>
  <si>
    <t>Forward/right</t>
  </si>
  <si>
    <t>Slide</t>
  </si>
  <si>
    <t>Wilhelmina Bay</t>
  </si>
  <si>
    <t>Friendly</t>
  </si>
  <si>
    <t>Resting</t>
  </si>
  <si>
    <t>Has paddlewheel for possible speed comparison.  Recovery location is guess from ptrack.  Some feeding on camera near sunset so very dark.  Other whales in frame.</t>
  </si>
  <si>
    <t>Friendly whale, great go pro of tag on whale. Camera didn't work.  Recovery time and location are guesses</t>
  </si>
  <si>
    <t>Short deployment, facing forward but hard to see the head, 2 feeding events, nice pleats of partner whale, view of other whale surfacing.</t>
  </si>
  <si>
    <t>Stellwagen Sleigh Ride.</t>
  </si>
  <si>
    <t>Very short deployment (tag deployed for less than a minute). Tag attached pretty far posterior, no view of head or blowhole.  View of Auk when surfacing</t>
  </si>
  <si>
    <t>Speed is not reliable.  PRH file redone since videos were made.  Lots of tag slippage. Tag begins facing forward, just anterior to the dorsal fin. Spins around to view both dorsal fin and flukes. Finally spins again to view dorsal before detaching.</t>
  </si>
  <si>
    <t>Classic Bubblenet</t>
  </si>
  <si>
    <t>Left/Up</t>
  </si>
  <si>
    <t>Flipper video while feeding</t>
  </si>
  <si>
    <t>Santa Barbara Island</t>
  </si>
  <si>
    <t>Flipper view with some VGB visible below flipper.  Lots of lunging during the daylight hours.</t>
  </si>
  <si>
    <t>SA DOE</t>
  </si>
  <si>
    <t>10/14-10/17</t>
  </si>
  <si>
    <t>smseakamela@environment.gov.za</t>
  </si>
  <si>
    <t>Cape Columbine</t>
  </si>
  <si>
    <t>Super Group</t>
  </si>
  <si>
    <t>Travelling</t>
  </si>
  <si>
    <t>Y - other whale</t>
  </si>
  <si>
    <t>Noted as a larger animal.  Tag near mouth at beginning, then slips further back.  Most lunging is really dark, though some mouth opening events are visible.  Found krill in tag.</t>
  </si>
  <si>
    <t>Within a super group in morning.  Found krill in tag.  Often associated with a larger animal and several others.  Afternoon included some surface lunging in the group and tag came off immediately before a series of a dozen breaches (animal was by itself at this point).  Tag was still on for a tail-cartwheel</t>
  </si>
  <si>
    <t>Dassen Island</t>
  </si>
  <si>
    <t>Likely bottom feeding.  Noted as a large animal.  Usually with a partner (including the next day).  Next day's activity were pretty chill surfacings, followed by a large gathering of 10+whales in a tight group right before the tag came off. Tag off time is guess from memory of days events</t>
  </si>
  <si>
    <t>Likely bottom feeding.  Smaller animal, recovery location is from pseduotrack.</t>
  </si>
  <si>
    <t>Likely bottom feeding.  Animal often by iteslf.  Some surface active behavior?  Cartwheeling before tag on.</t>
  </si>
  <si>
    <t>Hout Bay</t>
  </si>
  <si>
    <t>Stopped feeding soon after tagging.  With a partner whale most of the deployment.  Deployment and recovery locations from ptrack.  Prh redone since video was made.</t>
  </si>
  <si>
    <t>Super short deployment (actually second contact of the day)</t>
  </si>
  <si>
    <t>Call on deployment</t>
  </si>
  <si>
    <t>Saldanha Bay</t>
  </si>
  <si>
    <t>Blow hole/Super Group</t>
  </si>
  <si>
    <t xml:space="preserve">Best mn videos ever taken.  Epic blow hole.  Great feeding in super group.  Bottom feeding.  Check video 23 for lots of supergroups.  </t>
  </si>
  <si>
    <t>NO DATA</t>
  </si>
  <si>
    <t>Data did not turn on, but epic videos of supergroup feeding and a good blow hole video.  Also a few nice vocalizations.</t>
  </si>
  <si>
    <t>Up and forward</t>
  </si>
  <si>
    <t>Super group with lots of krill and other whales.  Can barely see head during lunging.</t>
  </si>
  <si>
    <t>NSF_IOS</t>
  </si>
  <si>
    <t>Surfacing</t>
  </si>
  <si>
    <t>Tag had IgotU GPS on it.  Increased drag may have contributed to short deployment duration.  Paired with Inverse when tagged</t>
  </si>
  <si>
    <t>With 2 others (1 juvenile/small whale) when tagged</t>
  </si>
  <si>
    <t>mn180425-21</t>
  </si>
  <si>
    <t>CRC 20180424 MUS_1</t>
  </si>
  <si>
    <t>CRC 20180424 MUS_2</t>
  </si>
  <si>
    <t>CRC 20180425 MUS_1</t>
  </si>
  <si>
    <t>CRC 20180425 MUS_2</t>
  </si>
  <si>
    <t>CRC 20180425 MUS_3</t>
  </si>
  <si>
    <t>Fishing Boat</t>
  </si>
  <si>
    <t>Orca pod, vocals</t>
  </si>
  <si>
    <t>S. Canyon</t>
  </si>
  <si>
    <t>Barnacles (filter feeding), jellies</t>
  </si>
  <si>
    <t>Observed paired with at least 4 different whales in groups of two and three throughout the next day.  Some surface active behavior in afternoon of 4/23.  Some concurrent echosounder data. Previously tagged whale mn160421-3 &amp; mn161117-10.</t>
  </si>
  <si>
    <t>Paired, surface behavior</t>
  </si>
  <si>
    <t>Paired, short</t>
  </si>
  <si>
    <t>Forward/Right side</t>
  </si>
  <si>
    <t>Fairly dark</t>
  </si>
  <si>
    <t>Smaller whale. No GPS locations after tag on, so track is pseudotrack only.</t>
  </si>
  <si>
    <t>Among surface krill patches and salmong fishing boats.  Concurrent echosounder for initial time period.  Great side views of jaws/filtering and baleen.</t>
  </si>
  <si>
    <t>Birds</t>
  </si>
  <si>
    <t>Epic krill patches</t>
  </si>
  <si>
    <t>be</t>
  </si>
  <si>
    <t>BSSA</t>
  </si>
  <si>
    <t>gwenpenry@gmail.com</t>
  </si>
  <si>
    <t>Plettenberg Bay</t>
  </si>
  <si>
    <t>Fluke</t>
  </si>
  <si>
    <t>be180422-45a</t>
  </si>
  <si>
    <t>be180422-45b</t>
  </si>
  <si>
    <t>04/18</t>
  </si>
  <si>
    <t>Among surface krill patches and salmon fishing boats.  Good GPS hits on almost every surfacing.</t>
  </si>
  <si>
    <t>Flats of Monterey</t>
  </si>
  <si>
    <t>fleurvisser@gmail.com</t>
  </si>
  <si>
    <t>KELP Marine Research</t>
  </si>
  <si>
    <t>7/15 -</t>
  </si>
  <si>
    <t>Slow surfacings, likely travelling when tagged.  Continued travelling until camera turned off, then started feeding.</t>
  </si>
  <si>
    <t>U (3a)</t>
  </si>
  <si>
    <t>U (3b)</t>
  </si>
  <si>
    <t>10/15</t>
  </si>
  <si>
    <t>Long deployment, lots of feeding, calls and overlap with other humpbacks (close ups of pleats and flippers of other whales). Head visible in most feeding events, mouth partially visible. Lots of footage of blowing bubble nets.  Good focal follow data.</t>
  </si>
  <si>
    <t>10 miles East of Eastham</t>
  </si>
  <si>
    <t>13 mi East of Chatham</t>
  </si>
  <si>
    <t>20 miles SE of Chatham</t>
  </si>
  <si>
    <t>10 miles East of Chatham</t>
  </si>
  <si>
    <t>3 tagged in a group</t>
  </si>
  <si>
    <t>Charter</t>
  </si>
  <si>
    <t>3 whales tagged in group.  Long deployment, facing forward but see little of head, no feeding events, views of other whales passing and birds when surfacing.  Camera shut off on dive and didn't trigger, so bubble netting was not captured.</t>
  </si>
  <si>
    <t>3 whales tagged in group (including 22-4).  Good view of right flipper, often belly up during bubble nets, blows some bubbles.  Lots of feeding.  Later bottom feeding (not on video).</t>
  </si>
  <si>
    <t>Kinematic signature suggests krill feeding.  Video did not work.  Foggy day.  Breached.</t>
  </si>
  <si>
    <t>Monterey Canyon</t>
  </si>
  <si>
    <t>Epic anchovies</t>
  </si>
  <si>
    <t>Breaching</t>
  </si>
  <si>
    <t>Breach. Travel.</t>
  </si>
  <si>
    <t>Breach.  Else slow travel.  No feeding observed</t>
  </si>
  <si>
    <t>Length measurement is mean of listed values but perhaps should be verified.  May be too long.  Great breaching videos.  Some social behavior.  TDR-10 tag also deployed on the same animal.  First animal ID'd by happy whale.</t>
  </si>
  <si>
    <t>Bubble nets galore</t>
  </si>
  <si>
    <t>Long deployment, facing forward with view of right flipper but not head. No feeding on video.  Lots of bottom feeding.  Paired with 37 when tagged.</t>
  </si>
  <si>
    <t>Junet</t>
  </si>
  <si>
    <t>E of Chatham</t>
  </si>
  <si>
    <t>E of Wellfleet</t>
  </si>
  <si>
    <t>E of Provincetown</t>
  </si>
  <si>
    <t>Terceira</t>
  </si>
  <si>
    <t>N of Provincetown</t>
  </si>
  <si>
    <t>Some bottom rolls but does not appear to be feeding.  Swimming and surfacing with some interaction with other humpbacks.  Tagged in group of 4, including 36.</t>
  </si>
  <si>
    <t>View of nothing</t>
  </si>
  <si>
    <t>Bad y-accelerometer data, only raw video footage. Camera facing up, no view of whale.  Left eye is hazy.</t>
  </si>
  <si>
    <t>Bubble net feeding, sometime with minimal bubbles. With other whales.  Bottom feeding later on.</t>
  </si>
  <si>
    <t>Videos need to be updated with pressure.  Only SPOT Bs for georeference points.  Magnetometer was difficult to calibrate in the y-axis.  With two other whales when tagged, including 228-47.  Prey mapping around this whale while feeding.</t>
  </si>
  <si>
    <t>Videos need to be updated with pressure.  Calf with its mother. No nursing on video.</t>
  </si>
  <si>
    <t>Videos need to be updated with pressure. Bubble net feeding alone when tagged.  Same whale as was in the group with 27-46.  Droned and biopsied on 0227.  Prey-mapped around area shortly after tagging, but whale moved away shortly after.</t>
  </si>
  <si>
    <t>Videos need to be updated with pressure. Low confidence in Magnetometer calibration. Tag facing up and left. Tagged alone but joins up with other whales in videos. Lot of logging.</t>
  </si>
  <si>
    <t>Video needs pressure updated.  Short deploy, near tag 42a.  Blows bubbles, video of LMG.</t>
  </si>
  <si>
    <t>Paired Bubble Nets</t>
  </si>
  <si>
    <t>No Video. Paired with Thumper (who was tagged with an acousonde) for several hours.  Splits are noted in focal follow data.  Paired whale did lots of kick feeding.  Early part of deployment (first 1000 seconds) is sketchy- temperature issue?</t>
  </si>
  <si>
    <t>bp180525-41b</t>
  </si>
  <si>
    <t>bp180525-44a</t>
  </si>
  <si>
    <t>bp180525-45</t>
  </si>
  <si>
    <t>bw180527-41</t>
  </si>
  <si>
    <t>Bubble nets (without full circles) and bottom feeding.  Plus resting behavior.  Other whales also feeding occasionally. 29:11.228, lower lip roll.  Magnetometer not well calibrated.</t>
  </si>
  <si>
    <t>Multiple feeding events with epic views of pleat expansion, but not very reliable mouth-opening time data because tag keeps slipping</t>
  </si>
  <si>
    <t>Travelling followed by a few lunges (two on camera).  Tag starts sliding during first lunge.  Paired with another whale.</t>
  </si>
  <si>
    <t>Travelling.  Tag slides off on descent for a deeper dive.</t>
  </si>
  <si>
    <t>Searching/feeding</t>
  </si>
  <si>
    <t>471m dive.   One dive with feeding, one lunge on camera.  Still taking video below 300 m water depth.</t>
  </si>
  <si>
    <t>Common Dolphins</t>
  </si>
  <si>
    <t>Paired with (and good video of) 26-44.  They split and tags recovered in different locations.  No apparent feeding.  Bow-riding common dolphins in video 11.  Deep dive of 450 m.</t>
  </si>
  <si>
    <t>Common Dolphins, Salps</t>
  </si>
  <si>
    <t>Search behavior</t>
  </si>
  <si>
    <t>Paired with 26-42 when tagged, they split and tags recovered in different locations.  Only one feeding event apparent.  Good views of blow holes and later of left flipper.  Later with up to 3 other animals.</t>
  </si>
  <si>
    <t>Paired with another whale when tagged and droned.  Several times surfaced as trail animal.  Check for calling behavior.</t>
  </si>
  <si>
    <t>Shallow feeding</t>
  </si>
  <si>
    <t>Smaller whale.  Deep diving and shallow feeding.  Laser was off for actual measurement, but on for an appropriate time for barometric calibration.  Other fin whales in area.  Later on tag slips to peduncle</t>
  </si>
  <si>
    <t>Dolphins bow-riding</t>
  </si>
  <si>
    <t>Slow travel.  At end of deployment, seems to be responding to common dolphins with lots of movement and maneuvering.   Tag comes off on a series of two breaches (tag comes off on acceleration).   One lunge, prey not visible</t>
  </si>
  <si>
    <t>Short deployment.  Tubes were installed, one tube was leaking so no suction.  X-axis accelerometer is no good.</t>
  </si>
  <si>
    <t>Short deployment.  Smallest animal of trio that includes 25-44b</t>
  </si>
  <si>
    <t>Short deployment.  Larger animal.  Tag slides off on acceleration after tagging.</t>
  </si>
  <si>
    <t>Short deployment.  Smaller, trailing animal of pair with 25-41a.  Tag slides off on acceleration after taking.</t>
  </si>
  <si>
    <t>With group of 3 when tagged.  Possibly starting feeding bout when tag came off.</t>
  </si>
  <si>
    <t>mn180607-62</t>
  </si>
  <si>
    <t>ECG</t>
  </si>
  <si>
    <t>Scripps</t>
  </si>
  <si>
    <t>6/18</t>
  </si>
  <si>
    <t>pponganis@ucsd.edu</t>
  </si>
  <si>
    <t>Kayak</t>
  </si>
  <si>
    <t>High Spirits (Blue Ocean Whale Watch)</t>
  </si>
  <si>
    <t>CRC 20180608_01</t>
  </si>
  <si>
    <t>CRC 20180608_47</t>
  </si>
  <si>
    <t>CRC 20180607_45</t>
  </si>
  <si>
    <t>Tagged on animal with ECG tag (62).  ECG tag not recording acc data.  Paired with animal that had ECG tag on during previous day.</t>
  </si>
  <si>
    <t>ECG, paired, feeding</t>
  </si>
  <si>
    <t>Khronos Zodiac</t>
  </si>
  <si>
    <t>Gulf of Corcovado</t>
  </si>
  <si>
    <t>Bm045</t>
  </si>
  <si>
    <t>Bm050</t>
  </si>
  <si>
    <t>Bm060</t>
  </si>
  <si>
    <t>BM201602_053A</t>
  </si>
  <si>
    <t>BM201602_055B</t>
  </si>
  <si>
    <t>BM201602_132</t>
  </si>
  <si>
    <t>In group of 4 when tagged.   Concurrent prey mapping through area.</t>
  </si>
  <si>
    <t>No Video.  With other whales when tagged.  Includes a couple of breaches (as indicated by tag data).</t>
  </si>
  <si>
    <t>No magnetometer data (so no heading).  Deep day feeding and shallow night feeding.  Water is murky enough so that you can't see the flukes from where the tag is…</t>
  </si>
  <si>
    <t>Day/Night feeding</t>
  </si>
  <si>
    <t>Front/Back</t>
  </si>
  <si>
    <t>Blow hole/Paired feeding</t>
  </si>
  <si>
    <t>Thalassa</t>
  </si>
  <si>
    <t xml:space="preserve">No Video.  With a few other whales when feeding, but not a stable group.  With her 2016 calf.  </t>
  </si>
  <si>
    <t>Bottom Feeding and social behavior</t>
  </si>
  <si>
    <t>Yearling.  Leaves area with other whales.  Bottom feeding.</t>
  </si>
  <si>
    <t>Bottom feeding</t>
  </si>
  <si>
    <t>Bottom feeding in view, lots of other whales including her calf.  Camera pointing dorsally, view of dorsal fin, then rotating posteriorly to view tail stock and flukes.  Recovery position used to anchor final position, but there are three hours of data not recorded before the position, so it is useful for general location only.</t>
  </si>
  <si>
    <t>Double tagged with dtag (deployment is on camera), but both tags were short deployments.  Same whale as 29-8.  Speed looks off/low with poor correlations.  A second whale in view late in deployment.</t>
  </si>
  <si>
    <t>Double Tag</t>
  </si>
  <si>
    <t>Right Up/Down</t>
  </si>
  <si>
    <t>BePB1</t>
  </si>
  <si>
    <t>Western part of ptrack may be inaccurate because whale is sleeping/coasting during day. Feeding happening at night!</t>
  </si>
  <si>
    <t>Surfah (BePB3)</t>
  </si>
  <si>
    <t>BePB6</t>
  </si>
  <si>
    <t>BePB10</t>
  </si>
  <si>
    <t>BePB11</t>
  </si>
  <si>
    <t>BePB12</t>
  </si>
  <si>
    <t>BePB16</t>
  </si>
  <si>
    <t>BePB17</t>
  </si>
  <si>
    <t>Far off Robberg Point. Can see feeding and fish, lots of time spent at depth</t>
  </si>
  <si>
    <t>Paired feeding</t>
  </si>
  <si>
    <t>Tag slips down to right flipper and moves across belly to left side. VGB clearly seen.  Nice flipper views.  Black dot is fish (Vid 53, 26:27:00).  UTC offset on video had been set to -2 (so off by 4 hours).</t>
  </si>
  <si>
    <t>Recovery time and location are guesses from verbal description.  Data had stopped working on tag, so also deployed 47 on the same animal.</t>
  </si>
  <si>
    <t>Paired with another animal (different animal than it is paired with the next day).  Concurrent prey mapping through area.  Data was not retrievable, should still be on tag, waiting to send to Niko.</t>
  </si>
  <si>
    <t>Other whales, deep feeding</t>
  </si>
  <si>
    <t>Paired</t>
  </si>
  <si>
    <t>Some day</t>
  </si>
  <si>
    <t>No sign of the tag after the first hour.  SPOT (171789, 17u0894) transmitted blank values for ~ two weeks, so likely was barely above the surface.  No VHF (151.452) from any high points around MB.  This whale was seen two days later (April 27th) still around moss landing.</t>
  </si>
  <si>
    <t>Paired with Inverse when tagged.  Seemed to record video, but SD card was damaged upon retrieval.  Prey mapping around area.  No GPS locations so track is only pseudotrack.  Track anchored with recovery location, but many hours after tag off.</t>
  </si>
  <si>
    <t>Epic blow hole</t>
  </si>
  <si>
    <t>Fro/back &amp; up/down on right</t>
  </si>
  <si>
    <t>Juvenile male.  Lots of vocalizations, including vocalizations concurrent with bubble stream production.  Clicking during deep dives in videos 7 &amp; 9.  No foraging on camera.  Track is only pseudotrack.</t>
  </si>
  <si>
    <t>Orca</t>
  </si>
  <si>
    <t>Slips right away</t>
  </si>
  <si>
    <t>Dorsal then Fluke</t>
  </si>
  <si>
    <t>4k Whales/Flipper</t>
  </si>
  <si>
    <t>Mom with calf</t>
  </si>
  <si>
    <t>Beautiful video of other humpbacks.  No feeding on camera.  Data was lost.</t>
  </si>
  <si>
    <t>Mom with calf.  Tag quickly slid back near flukes.  Did not turn on for first 10 minutes (per programming).  Feeding near orcas at first, then uncertain.  Night time by 1445.  Cameras did not initialize. Pseudotrack includes a "furthest east" point to help anchor the track on shore, it was generated by being west of the pseudotrack location, but is a guess as no GPS points were recorded.</t>
  </si>
  <si>
    <t>Lots of bubble nets.  Deployment and recovery locations are approximations.  Great view of right flipper.</t>
  </si>
  <si>
    <t>Epic blow holes.  Deep feeding (though too dark for video).  Same whale as 28-12.  Videos are fuzzy.</t>
  </si>
  <si>
    <t>Shallow feeding.  Forward eye gets blurry.  Water too murky to see flukes from tag placement.  Some feeding on camera.</t>
  </si>
  <si>
    <t>Same whale as mn170817-51.  Paired with another animal.  Concurrent prey mapping through area.  Video 26 (and others) have clear fish lunges.  Video 26 timestamps are off.</t>
  </si>
  <si>
    <t xml:space="preserve">Concurrent prey mapping around area.  Surface feeding on krill.  Tag behind dorsal so large fluking signal.  Good krill shots in video 5.   prh redone since videos made.  </t>
  </si>
  <si>
    <t>Fluke signal.  Surface feeding</t>
  </si>
  <si>
    <t>Lots of surface feeding, including shots of a partner with full pleat expansion.  No flow noise (audio appears not to work despite previous successful deployments).  Last successful deployment with this tag.  Has concurrent prey mapping for at least 1 hour.  Smaller of two paired animal.  Great shots of other whale in video 6.  Prh redone since videos made</t>
  </si>
  <si>
    <t>Breach off</t>
  </si>
  <si>
    <t>Short deployment, came off at very end of a breach approach.  Near to shore/crab pots.  PRH redone since videos were made.</t>
  </si>
  <si>
    <t>N. Canyon</t>
  </si>
  <si>
    <t>Tracked the tag via VHF down the big sur coast line, heard it west of Morro Bay 1 week post deployment, went to recover, never heard it again and no signal from land upon return.</t>
  </si>
  <si>
    <t>Resting, Breach</t>
  </si>
  <si>
    <t>Shallow krill feeding</t>
  </si>
  <si>
    <t>Prey-mapping around tagged animal for two hours.  Shallow krill feeding early on, then deeper (bottom?) feeding.  Breach.  Really nice speed calibration curve.   Recover time and location are approximate.</t>
  </si>
  <si>
    <t>Surface Feeding</t>
  </si>
  <si>
    <t>Surface feeding.  Shaky tag but nice views.  PRH file redone since videos were made.</t>
  </si>
  <si>
    <t>Flipper</t>
  </si>
  <si>
    <t>Great views of flippers during maneuvers/throwing flipper forward while feeding.  Lots of pitch changes.  Tag recovered by Sanctuary Cruises.  Last minute or so facing the flukes.</t>
  </si>
  <si>
    <t>Animal has a deformation- potentially an old injury.  Good views of flukes and head for first minute.</t>
  </si>
  <si>
    <t>Short.  Maneuvering with a deformation</t>
  </si>
  <si>
    <t>Parasites</t>
  </si>
  <si>
    <t>Came off right after placement.  Lots of parasites (Conchoderma via Ann Pabst) on the animal likely contributed to lack of attachment.  http://www.marinespecies.org/aphia.php?p=taxdetails&amp;id=106147</t>
  </si>
  <si>
    <t>Parasite</t>
  </si>
  <si>
    <t>Lat long infered from GPS track on Google Earth. Trailing animal in a pair.  Good views of flipper and fluke simultaneously.   Last deployment of Peg Leg (which is now in the American Museum of Natural History).</t>
  </si>
  <si>
    <t>No feeding on video.  Tag turns early to face flukes.  Good view of parasite.  Prey mapping in the general, but started after tag came off.  Prh redone since videos were made.</t>
  </si>
  <si>
    <t>Deep feeding.  Classic fin whale rolls.  Lots of tag slips.  Good prey mapping around tagged whale.  Whale was very slow at the surface.  X-accelerometer stopped working while tag was floating over night.  Last deployment of this tag.  Floating tag had lots of GPS hits so drift could be mapped.</t>
  </si>
  <si>
    <t>Inverts</t>
  </si>
  <si>
    <t>Krill (Shallow)</t>
  </si>
  <si>
    <t>Krill (Bubble)</t>
  </si>
  <si>
    <t>Krill (no lunges)</t>
  </si>
  <si>
    <t>Krill/Inverts (Shallow)</t>
  </si>
  <si>
    <t>Krill (Shallow and deep later)</t>
  </si>
  <si>
    <t>Murky</t>
  </si>
  <si>
    <t>Sardine Feeding, Murky</t>
  </si>
  <si>
    <t>Poor video visibility due to orangey-red coloration in water and whale doing dives.  Slow behavior most of the day.  Same whale as 05-37.  Tag was breached off.  No apparent feeding.  Prey-mapping around area.  PRH redone since videos were made</t>
  </si>
  <si>
    <t>Summaries:</t>
  </si>
  <si>
    <t>#bw</t>
  </si>
  <si>
    <t>#mn</t>
  </si>
  <si>
    <t>#bp</t>
  </si>
  <si>
    <t>#bb</t>
  </si>
  <si>
    <t>#oo</t>
  </si>
  <si>
    <t>#be</t>
  </si>
  <si>
    <t>#er</t>
  </si>
  <si>
    <t>Mean</t>
  </si>
  <si>
    <t>Total</t>
  </si>
  <si>
    <t>Marina</t>
  </si>
  <si>
    <t>Murky, bottom feeding</t>
  </si>
  <si>
    <t>Snoozy whale.  Do not trust speed.  Partnered with Fran from yesterday and today.  Bottom rolls moved tag.  Interesting interactions with water.  Water is very brown.  Tag very loose towards end of deployment.  Prey mapping starting at 11:00.  PRH redone since videos were made</t>
  </si>
  <si>
    <t>Sardine Feeding in murky water</t>
  </si>
  <si>
    <t>Moss Landing to Marina</t>
  </si>
  <si>
    <t xml:space="preserve">Same whale as yesterday.  Long surface resting periods.  Paired with 05-36. Very calm animal (but with possible breaching). Prey mapping starting around 11am. </t>
  </si>
  <si>
    <t>Video mostly obscured by red tide murk, view of dorsal fin almost entire time.  Surface feeding on sardines. Water was coffee colored from some kind of red tide.   Some flipper views briefly in video 64. PRH redone since videos were made</t>
  </si>
  <si>
    <t>Surface behavior, bottom feeding.</t>
  </si>
  <si>
    <t>Battery low so few videos.  Feeding in supergroup and at the bottom?</t>
  </si>
  <si>
    <r>
      <t xml:space="preserve">High speed pursuit and approaches to anchovy schools.  Some rolls with lunging and lunges that break the surface.  Interactions with </t>
    </r>
    <r>
      <rPr>
        <i/>
        <sz val="10"/>
        <rFont val="Arial"/>
        <family val="2"/>
      </rPr>
      <t>Delphinus</t>
    </r>
    <r>
      <rPr>
        <sz val="10"/>
        <rFont val="Arial"/>
        <family val="2"/>
      </rPr>
      <t xml:space="preserve"> and conspecifics.  Same whale as 09-50.</t>
    </r>
  </si>
  <si>
    <t>A few lunges early on (great views in VR of head and flukes).  Blow hole views early on.  Some deep dives.  Same whale as 10-41.</t>
  </si>
  <si>
    <t xml:space="preserve">Sea Lions </t>
  </si>
  <si>
    <t>Cameras facing right pectoral flipper and possibly dorsal (mostly view of just water). A number of other humpbacks around.  Sea lions in video 3, 26:15 and 29:30.  PRH redone since videos were made</t>
  </si>
  <si>
    <t>Breach.  Fish Feeding.</t>
  </si>
  <si>
    <t>Larger of a tagged pair.  Pair has a similar dorsal fin with white patch.  Pair's tag was lost at sea.  Whale approached boat.  No feeding apparent.  Mostly resting/playing with kelp.  Breach at end that dislodges tag.  Drone estimate is from video and likely negatively biased (and from a year later).</t>
  </si>
  <si>
    <t>Breach (45, 03:40). Barnacles. Good views of flukes and blowholes.  Deep feeding, reports of deep mackarel in the area.  Prey-mapping around area.  Drone estimate is from video and likely negatively biased (and from a year later).</t>
  </si>
  <si>
    <t>Camera stopped recording after one video (and never recorded again).  Tag off is guess.  Shallow feeding and some mid-water feeding towards the end.  Lots of logging.</t>
  </si>
  <si>
    <t>Great engulfment videos, may need to increase brightness to see some of the lunges.  Only recorded 2.5 hours of data (recorded video for 5 minutes or so after that).  PRH redone since videos were made.  No deployment or recovery location information, so track could not be referenced.</t>
  </si>
  <si>
    <t>Check Drone</t>
  </si>
  <si>
    <t>Mostly logging, then turns to deep feeding after camera turns off.  Great views of Antarctic sunset.</t>
  </si>
  <si>
    <t>Y (after deployment)</t>
  </si>
  <si>
    <t>Y (general)</t>
  </si>
  <si>
    <t>Prey Map      _</t>
  </si>
  <si>
    <t>Jabiru18calf</t>
  </si>
  <si>
    <t>Ganesh14calf</t>
  </si>
  <si>
    <t>GOM-1587</t>
  </si>
  <si>
    <t>Bolide</t>
  </si>
  <si>
    <t>Bombay</t>
  </si>
  <si>
    <t xml:space="preserve">Balaena </t>
  </si>
  <si>
    <t>mn180621-27</t>
  </si>
  <si>
    <t>Deuce</t>
  </si>
  <si>
    <t>Lutris</t>
  </si>
  <si>
    <t>(8087-Dorsal w/ White Line)</t>
  </si>
  <si>
    <t>GOM-1206</t>
  </si>
  <si>
    <t>Shoreline</t>
  </si>
  <si>
    <t>Pisces</t>
  </si>
  <si>
    <t>Y- other whales</t>
  </si>
  <si>
    <t>Salps</t>
  </si>
  <si>
    <t>Tag came off and was redeployed on the same whale.  Great bottom feeding views of other whales with open mouths.</t>
  </si>
  <si>
    <t xml:space="preserve">Tagged in group with 42, but quickly split off.  Great views of blow holes and of feeding on fish.  Tag off with breach.  Tag found in Elkhorn slough. Concurrent prey mapping through area. Dorsal fin of paired whale similar to the previously tagged whale "Batman".  </t>
  </si>
  <si>
    <t>Lead animal of pair with 25-45.  Animal accelererated and tag came off when 45 was tagged.  X-axis accelerometer dead.  PRH created strictly from magnetometer using Lucia's method.  Roll is opposite sign in video (correct in prh file).</t>
  </si>
  <si>
    <t>CalCurCea</t>
  </si>
  <si>
    <t>7/18 -</t>
  </si>
  <si>
    <t>Top of back, ahead of Dorsal</t>
  </si>
  <si>
    <t>Swiftsure Bank, WA/BC Border Region</t>
  </si>
  <si>
    <t>KK</t>
  </si>
  <si>
    <t>Poor visibility in videos, good views of blowholes, no feeeding observed.</t>
  </si>
  <si>
    <t>mn160208-9</t>
  </si>
  <si>
    <t>mn160208-24</t>
  </si>
  <si>
    <t>Joined 44 just before tagging.  Other whales feeding in view late in deployment, possibly tagged?  Tag found in the ice in Charlotte Bay.  Great ventral shots of VGB from drone.  Z Gyro didn't work.  Gw not trustworthy</t>
  </si>
  <si>
    <t>Long, VGB</t>
  </si>
  <si>
    <t>Long, known whale</t>
  </si>
  <si>
    <t>Short, no X accel</t>
  </si>
  <si>
    <t>Medium, feeding</t>
  </si>
  <si>
    <t>Very short, feeding</t>
  </si>
  <si>
    <t xml:space="preserve">Far off Robberg Point. Can see feeding and fish. Short deployment, tag slips to peduncle </t>
  </si>
  <si>
    <t>VGB, with drone</t>
  </si>
  <si>
    <t xml:space="preserve">Some VGB. Whale comes close to shore at some point. Few GPS points for geo reference. Has drone. </t>
  </si>
  <si>
    <t>COA</t>
  </si>
  <si>
    <t>2018-</t>
  </si>
  <si>
    <t>MB Marine Life Studies</t>
  </si>
  <si>
    <t>CRC 20180807_MUS001</t>
  </si>
  <si>
    <t>CRC 20180807_MUS002</t>
  </si>
  <si>
    <t>CRC20180828-Mus-44</t>
  </si>
  <si>
    <t>Big Sur</t>
  </si>
  <si>
    <t>CRC20180830-Mus-53</t>
  </si>
  <si>
    <t>Point Pinos</t>
  </si>
  <si>
    <t>CRC20180827-Mus-49</t>
  </si>
  <si>
    <t>CRC20180827-Zip-52</t>
  </si>
  <si>
    <t>CRC20180827-Mus-62</t>
  </si>
  <si>
    <t>Martin</t>
  </si>
  <si>
    <t>bw180828-48a</t>
  </si>
  <si>
    <t>CRC20180828-Mus-49</t>
  </si>
  <si>
    <t>2K</t>
  </si>
  <si>
    <t>CRC20180831-Tag-47</t>
  </si>
  <si>
    <t>General Area</t>
  </si>
  <si>
    <t>CRC20180830-Zip-42</t>
  </si>
  <si>
    <t>CRC20180830-Mus-46</t>
  </si>
  <si>
    <t>CRC20180830-Mus-48</t>
  </si>
  <si>
    <t>CRC20180830-Zip-49</t>
  </si>
  <si>
    <t>CRC20180904-Zip-48</t>
  </si>
  <si>
    <t>CRC20180904-Mus-52</t>
  </si>
  <si>
    <t>Double tagged with bw180904-52</t>
  </si>
  <si>
    <t>Tagged same whale as bw180904-44</t>
  </si>
  <si>
    <t>CRC20180905-Zip-49</t>
  </si>
  <si>
    <t>Same animal as bw180905-42. Trailing animal with bw180905-49. Droned before tag on.</t>
  </si>
  <si>
    <t>CRC20180831-Zip-11</t>
  </si>
  <si>
    <t>CRC20180831-Zip-20</t>
  </si>
  <si>
    <t>Fast Raft</t>
  </si>
  <si>
    <t>Presumed calf of 31-20.</t>
  </si>
  <si>
    <t>In group with 20 and 30.</t>
  </si>
  <si>
    <t>CRC20180906-Zip-20</t>
  </si>
  <si>
    <t>CRC20180906-Zip-30b</t>
  </si>
  <si>
    <t>CRC20180906-Zip-40</t>
  </si>
  <si>
    <t>CRC20180906-Mus-47</t>
  </si>
  <si>
    <t>In large aggregation and split off after tagging.</t>
  </si>
  <si>
    <t>8/17-9/18</t>
  </si>
  <si>
    <t>North Mry Canyon</t>
  </si>
  <si>
    <t>CRC20180906-Mus-52</t>
  </si>
  <si>
    <t>CRC20180906-Zip-30</t>
  </si>
  <si>
    <t>Tagged in pair.  Tag off time is approx. based on land listening.  Picked up on the beach by a citizen.  Video card was corrupted in the same way as the prior deployment of this tag.</t>
  </si>
  <si>
    <t>Smaller animal in a group of three when tagged. May have been in a larger aggregation later on.</t>
  </si>
  <si>
    <t>Animal ID         _</t>
  </si>
  <si>
    <t>Heart rate for an hour: double tagged with bw180904-62a.  Trail whale with 04-44.  HTI gen 1 hydrophone.</t>
  </si>
  <si>
    <t>Heart Rate</t>
  </si>
  <si>
    <t xml:space="preserve">With heart rate tag.  Double tagged with bw180905-62. Trailing animal with bw180905-49. Droned before tag on.  Likely calling  around 12:30 on day two, potentially elsewhere.  </t>
  </si>
  <si>
    <t>Paired Feeding</t>
  </si>
  <si>
    <t>Link</t>
  </si>
  <si>
    <t>Deep Feeding</t>
  </si>
  <si>
    <t>sea lions</t>
  </si>
  <si>
    <t>Shallow feeding fish</t>
  </si>
  <si>
    <t>Total Data Time       _</t>
  </si>
  <si>
    <t>TDR</t>
  </si>
  <si>
    <t>Lead paired with bw180827-53/827-48b.  Partner is calling.  Pressure data is bad for about 1.5 hours total.  Replaced with nans and made a depth pseudotracks for periods with gaps.  Good GPS hits at night, some focal follow.  See prh notes for more info on pressure.</t>
  </si>
  <si>
    <t>bw181001-52a</t>
  </si>
  <si>
    <t>bw181001-62a</t>
  </si>
  <si>
    <t>Soquel Base</t>
  </si>
  <si>
    <t>CRC20180904-Zip-44A</t>
  </si>
  <si>
    <t>CRC20180829-Tag46A&amp;B</t>
  </si>
  <si>
    <t>CRC-20180828-ZIP-48b</t>
  </si>
  <si>
    <t>CRC-20180828-ZIP-48</t>
  </si>
  <si>
    <t>CRC20180829-Mus-30</t>
  </si>
  <si>
    <t>CRC20180829-Zip-42</t>
  </si>
  <si>
    <t>CRC20180904-Zip-44, CRC-20180905-TAG-44</t>
  </si>
  <si>
    <t>CRC-20180907-MUS-TAG-42</t>
  </si>
  <si>
    <t>CRC-20180905-TAG-62</t>
  </si>
  <si>
    <t>CRC-20181002-TAG-62b</t>
  </si>
  <si>
    <t>Epic anchovy feeding.  Large group of whales feeding on a single anchovy ball with Zalophus.  Tags 47, 49, 53 all also in area, sometimes in the same feeding aggregation.  Good prey mapping later in the day.  First hydrophone with filter.</t>
  </si>
  <si>
    <t>CRC-20181002-MUS45</t>
  </si>
  <si>
    <t>CRC-20181002-Cheeto 47</t>
  </si>
  <si>
    <t>CRC-20181002-MUS53</t>
  </si>
  <si>
    <t>CRC-20181002-MUS49</t>
  </si>
  <si>
    <t>CRC-20181002-MUS52</t>
  </si>
  <si>
    <t>CRC-20181002-MUS62</t>
  </si>
  <si>
    <t>Solo whale in the vicinity of ~4-6 other whales.  Deep feeding then moves south.  Tag drifted for several days.  Pressure sensor had about ~15 non-consecutive minutes of bad data, fixed with a pseudotrack.</t>
  </si>
  <si>
    <t xml:space="preserve">Same animal as bw180904-62b (ECG tag) and 05-49.  Lead animal, paired with 04-52.  Good GPS hits after camera turns off.  </t>
  </si>
  <si>
    <t>Lead animal with bw180905-42/bw180905-62 animal as trailing.  Same animal as 04-44.  Tag off approximation from argos</t>
  </si>
  <si>
    <t>Slipped on first descent</t>
  </si>
  <si>
    <t>Forward/Up</t>
  </si>
  <si>
    <t>Trail paired with 27-46.  Same whale as bw180827-53.  Lots of calls on video (including pre-calls).  Gz didn't work for some reason.  Watch this tag for future errors.</t>
  </si>
  <si>
    <t>Sea lions</t>
  </si>
  <si>
    <t>Great vids of flipper sweep before lunges.  Epic Anchovy feeding with conspecifics and Zalophus.  Tags 45,47,53 all also in area, sometimes in the same feeding aggregation.  Good prey mapping later in the day.  Gen 1 hydrophone with epoxy</t>
  </si>
  <si>
    <t>Whale lice, Sea Lions</t>
  </si>
  <si>
    <t>Epic anchovies, some bottom</t>
  </si>
  <si>
    <t>Up/Right</t>
  </si>
  <si>
    <t>Bottom interactions by video 38, whale lice in video 1, breaches in videos 37 and 38.  In vicinity of tags 45, 49, 53 throughout the day.</t>
  </si>
  <si>
    <t>??</t>
  </si>
  <si>
    <t>Around killer whales</t>
  </si>
  <si>
    <t>Whale lice, Sea lions</t>
  </si>
  <si>
    <t>Seen on 8.29 near (but not paired with) 829-30.  May have been droned (check records).  Paired with another animal</t>
  </si>
  <si>
    <t>Fast descents</t>
  </si>
  <si>
    <t>Up/Down</t>
  </si>
  <si>
    <t>Forward/Flipper</t>
  </si>
  <si>
    <t>Lead animal of a pair.</t>
  </si>
  <si>
    <t>Good blow hole shots at first.  In group with 20 and 40.</t>
  </si>
  <si>
    <t>Sea Lion Feeding</t>
  </si>
  <si>
    <t>In group with 20 and 40, at times right next to 20 (see drone photos).</t>
  </si>
  <si>
    <t>One feeding dive</t>
  </si>
  <si>
    <t>Tag went on twice. ~30 second deployment and ~15 minute deployment. Drone was after tag came off.  1 dive of deep feeding.  Tag deploy and track are only for second tag on period.</t>
  </si>
  <si>
    <t>Point Lobos</t>
  </si>
  <si>
    <t>Epic anchovy feeding.  Good blow holes.  Tags 47, 49, 45 all in area.  Hydrophone without filter.  Good GPS hits on almost every surfacing</t>
  </si>
  <si>
    <t>Juan de Fuca Straight</t>
  </si>
  <si>
    <t>Tag slipped off immediately.</t>
  </si>
  <si>
    <t>Slip</t>
  </si>
  <si>
    <t>Big Sur Feed</t>
  </si>
  <si>
    <t>Really fast descents for this whale.  Unpaired but in the vicinity of 6-8 whales including at least two pairs.</t>
  </si>
  <si>
    <t>Short deployment.  No good pics taken.  Deployed near 49 deployment.</t>
  </si>
  <si>
    <t>????</t>
  </si>
  <si>
    <t>Presumed solo whale. Unable to match up ID shots with drone flyover photos.</t>
  </si>
  <si>
    <t>Roll and heading messed up during third dive. Probably some slips during this period that we cannot see. Slipping constantly near the end of the deployment (almost every flukebeat).</t>
  </si>
  <si>
    <t>Trail animal of a pair (second animal not tagged).</t>
  </si>
  <si>
    <t>Solo whale. Very stereotyped feeding dives.</t>
  </si>
  <si>
    <t>Trail paired with bw180827-46. Lots of calling on this animal corresponding to flow noise peaks. Epic shots of paired whale. Only attached with three suction cups. Same animal as bw180828-48b.</t>
  </si>
  <si>
    <t>sea lions, barnacles, whale lice</t>
  </si>
  <si>
    <t>Playing with Mom</t>
  </si>
  <si>
    <t>In group of 3 when tagged.  Drone ops in the area the prior day.  Chance an image was taken.</t>
  </si>
  <si>
    <t>NKW-752</t>
  </si>
  <si>
    <t>NKW-561</t>
  </si>
  <si>
    <t>NKW-718</t>
  </si>
  <si>
    <t>Same animal seen 3 days in a row (notch in dorsal fin).  Epic views of fecal event.  Last few dives tag is far down peduncle close to flukes.  Good views of flippers and head movement on ascents.</t>
  </si>
  <si>
    <t>Fecal Plume</t>
  </si>
  <si>
    <t>Same whale as 28-49.  One shot of VGB contraction on ascent.  Nice shots of flippers</t>
  </si>
  <si>
    <t>Right/Flipper</t>
  </si>
  <si>
    <t>Other boat</t>
  </si>
  <si>
    <t>Carousel feeding.  Rolling at surface.  Fecal event when tagged.  Video was set to timelapse photos.  Several tag slips in short deployment.</t>
  </si>
  <si>
    <t>Forward/Left/Backward</t>
  </si>
  <si>
    <t>Lots of Activity</t>
  </si>
  <si>
    <t>Presumed mother of 31-30. Incredible feeding near the end.</t>
  </si>
  <si>
    <t>In group with 30 and 40. Most videos were corrupted from the tag.</t>
  </si>
  <si>
    <t>Long deployment, feeding</t>
  </si>
  <si>
    <t>ID shots in Access database may be inaccurate</t>
  </si>
  <si>
    <t>Lead animal of feeding pair</t>
  </si>
  <si>
    <t>Biopsy dart stuck on the whale.  Epic armpit shots.  Good blow hole videos.</t>
  </si>
  <si>
    <t>Paired with a really spotted animal. Drone ops in the area the prior day.  Chance an image was taken.  Gyro z-axis did not record, no Gw data.</t>
  </si>
  <si>
    <t>Deep Feding</t>
  </si>
  <si>
    <t>Collected fecal sample (CRC 20180924-ZIP 53A&amp;B). Tag comes off after a breach.  Smaller whale?  Drone ops in the area the prior day.  Chance an image was taken.</t>
  </si>
  <si>
    <t>Z-axis gyro acting weird for certain sections.  GPS has funny dates so no data.  Drone ops in the area the prior day.  Chance an image was taken.</t>
  </si>
  <si>
    <t>Time Lapse</t>
  </si>
  <si>
    <t>Lots of slipping.  Some views of flippers and VGB.</t>
  </si>
  <si>
    <t>New tags have tricky magnetometers (calibration is not super precise).</t>
  </si>
  <si>
    <t>Lots of slow tag slips on this one.  Speed is not great since orientation keeps changing.</t>
  </si>
  <si>
    <t>Large UBX file but no GPS points.  Video has funny frame skips. If high precision is needed use the timestamps directly on video.</t>
  </si>
  <si>
    <t>Last few cal sections after tag slips to peduncle have unreliable orientation and speed calibrations.</t>
  </si>
  <si>
    <t>Check for evidence of clipping in flow noise and jiggle on descents at 13:30 and 13:50</t>
  </si>
  <si>
    <t>Video should have been recorded, but no video was downloaded for this deployment.</t>
  </si>
  <si>
    <t>Pressure sensor &amp; speed recalibrated (original data off by factor of 3 1/3).  No speed.  If speed is necessary, apply calibration from another deployment.</t>
  </si>
  <si>
    <t>Added 4 hours to video times, added 1.5314 to Depth variable to account for tag that doesn't break the surface.  pc was adjusted to account for the adjustment.</t>
  </si>
  <si>
    <t>Adjusted pressure by adding 2.1701, also changed pconst</t>
  </si>
  <si>
    <t>Speed done just with JZ. No X accelerometer. Tag Prh done from images. Prh used only magnetometer.</t>
  </si>
  <si>
    <t>Speed plot is wide, not super accurate</t>
  </si>
  <si>
    <t>Flow noise is the best to use.</t>
  </si>
  <si>
    <t>No X accel- made many approximations. Based p r h from tag on picture. Speed done just with JY. Can be used as guideline but not definitively</t>
  </si>
  <si>
    <t>Tag shifts orientation constantly after 6:56 AM. Bench cal for 42 has drifted. Some speed plot sections are not great. Near last tag slip there is a weird heading change, indicating that something was off in the calibration</t>
  </si>
  <si>
    <t>First of two deployments with the same tag.  No paddlewheel attached.</t>
  </si>
  <si>
    <t>Speed is bad (lots of tag slips), negative slopes. Do not use the speed</t>
  </si>
  <si>
    <t xml:space="preserve">  MAGprhs not done.</t>
  </si>
  <si>
    <t xml:space="preserve">Lots of tag slips.  Good prey mapping.  Very slow surfacings. </t>
  </si>
  <si>
    <t xml:space="preserve">No hydrophone on camera.  Gyroscopes may have malfunctioned, Euler angle gys set to regular values </t>
  </si>
  <si>
    <t>Speed done just with JY.  No X accel signal.  Gyros were not yet implemented given problems with X</t>
  </si>
  <si>
    <t>Pressure sensor has some drift (+/- one meter)</t>
  </si>
  <si>
    <t>Maneuvering at end coincident with common dolphin avoidance.</t>
  </si>
  <si>
    <t>prh redone 6.13.18</t>
  </si>
  <si>
    <t>Speed is terrible for unclear reasons.  Trend is accurate but magnitude is off.</t>
  </si>
  <si>
    <t xml:space="preserve">Flow noise did not calibrate well (R2 = 0.05) so it was excluded. </t>
  </si>
  <si>
    <t>Hydrophone cracked so speedFN not great.</t>
  </si>
  <si>
    <t>NO PRESSURE SENSOR (depth is a corrected psuedotrack, and in situ speed calibration could not be performed, so values should be considered relative not absolute). Hydrophone cracked so speedFN not useful.</t>
  </si>
  <si>
    <t>Tag malfunctioned but was dissected and 8 hours of data were salvaged</t>
  </si>
  <si>
    <t>Tag off is guess from Argos.  At least 2 calls around 18:30.   No pos data (ubx unreadable).</t>
  </si>
  <si>
    <t>No Pressure Sensor, Depth is a pseudotrack, speed could not be calibrated in situ.  Flownoise is the best regression yet of these broken hydrophone wireless tags. Tried to zero each surfacing before making depth pseudotrack.</t>
  </si>
  <si>
    <t xml:space="preserve">No Pressure Sensor, Depth is a pseudotrack, speed could not be calibrated in situ. Flownoise works even with broken hydrophone. </t>
  </si>
  <si>
    <t xml:space="preserve">No Pressure Sensor, Depth is a pseudotrack, speed could not be calibrated in situ.  Last dive seems like pitch is off. </t>
  </si>
  <si>
    <t>No Pressure Sensor, Depth is a pseudotrack, speed could not be calibrated in situ. Not easy to detect surfacings (tag is low on animal).  Check for calls at depth shoulders.</t>
  </si>
  <si>
    <t>Aw and Mw and prh redone 3.30.18.</t>
  </si>
  <si>
    <t>Speed.JJ from calibration from mn180105-22b.  Watch out for speed spikes from pit making.  Night time behavior looks interesting.</t>
  </si>
  <si>
    <t>Acc and Mag updated with an in situ cal on 3/29/18.  W updated 4/18/18.  Videos not updated. Tag on for 67 hours but only recorded ~36 hours.  With another tagged whale (0407-25) for most of the time.  They split up evening of 407 but were back together the next morning.</t>
  </si>
  <si>
    <t>Acc and Mag updated with an in situ cal on 3/29/18.  W updated 4/18/18.  Whale was feeding from early on.  Went North into the side passage into some potentially really shallow water.</t>
  </si>
  <si>
    <t>Acc and Mag updated with an in situ cal on 3/29/18.  No flow noise/audio on this tag.  At all.  No one knows why.  Animal was with another tagged animal (tag 21 from day before). No magprh.  MAGprhs not done.</t>
  </si>
  <si>
    <t>Acc and Mag updated with an in situ cal on 3/29/18.  Towards the back left of the animal.</t>
  </si>
  <si>
    <t>Monterey Bay.  Lots of flippers.</t>
  </si>
  <si>
    <t>Paddles is better than flow noise here.</t>
  </si>
  <si>
    <t>Only one tagslip towards the end of the deployment, not on video.  Speed calibration was suspect without deep dives.  Lots of great feeding behavior among &gt;50 other humpbacks in the area.  No paddlewheel attached.</t>
  </si>
  <si>
    <t>1st deployment this day on a group of 3 animals (one other CATS, one acousonde). No paddlewheel attached.</t>
  </si>
  <si>
    <t xml:space="preserve">PRH updated 5.15.18.  First 5 minutes, magnetometer is funny, probably temperature change.  No video files (recorded but not downloaded successfully. </t>
  </si>
  <si>
    <t>prh remade 5.17.18.  Videos have not been remade.  Magnetometer had some trouble, only used 60000:65000 as calperiod.  Videos have lots of views of other animals (mn, sea lions, cormorants...) feeding on anchovy schools.</t>
  </si>
  <si>
    <t>prh redone 5.20.18.  At least one breach at the beginning of video 7.Magnetometer was difficult to calibrate.  Used I = [45000:49000 114000:124000] and a camoff/camon calibration</t>
  </si>
  <si>
    <t>prh redone 5.21.18.  Santa Barbara.  TDR-10, dart attached deployment at ~3:02 pm (confirm).  That tag has 32 Hz accelerometry.  Several places in original csv had missing time stamp.  See processing notes.  Lots of breaches and surface behavior (at least two full breaches and potentially other half-breaches).</t>
  </si>
  <si>
    <t>Tag quickly slid back near flukes.  Did not turn on for first 10 minutes (programmed). Cameras did not initialize</t>
  </si>
  <si>
    <t xml:space="preserve">Tagged behind dorsal, on tail section.  Lots of fluking signal. </t>
  </si>
  <si>
    <t xml:space="preserve">Flow noise could not be calibrated.  Jiggle seems okay, though only time whale moved fast was at the end which appears to be a breach. </t>
  </si>
  <si>
    <t>First 2k deployment.  Good speed and GPS.</t>
  </si>
  <si>
    <t>Videos do not match updated prh. prh redone 5.22.18.  Flownoise speed unreliable, no correlation.</t>
  </si>
  <si>
    <t>Videos do not match updated prh prh redone 5.22.18.  Flownoise speed unreliable, no correlation.</t>
  </si>
  <si>
    <t>Early part of deployment (first 1000 seconds) is sketchy- temperature issue?  Deployed on Ursa feeding in a pair with Thumper  MAGprhs not done.  MAGprhs not done.  MAGprhs not done.  MAGprhs not done.  MAGprhs not done.</t>
  </si>
  <si>
    <t>Some low pitch values right in the middle (about 10:20-10:35).</t>
  </si>
  <si>
    <t>Magnetometer used bench test.  Speed from jiggle is probably slightly small.  One deployment early on in the data that came off on first dive (so that was a).  Then reattached to a different animal.  MAGprhs not done.</t>
  </si>
  <si>
    <t>prh redone 5.30.18.  Videos have not been redone. Mag cal not great, pseudotrack does not converge well.</t>
  </si>
  <si>
    <t>Speed done just with JY.</t>
  </si>
  <si>
    <t>prh remade 6.17.18. Flow noise not good.</t>
  </si>
  <si>
    <t xml:space="preserve"> </t>
  </si>
  <si>
    <t>Good example for Jiggle.  Lots of great krill feeding shots.  MAGprhs not done.</t>
  </si>
  <si>
    <t xml:space="preserve">Slow behavior most of the day.  Same tagged whale as 37 the next day.  Tag was breached off. </t>
  </si>
  <si>
    <t xml:space="preserve">Bottom rolls moved tag.  Speed is unreliable </t>
  </si>
  <si>
    <t>Fran. Same whale as yesterday. Long surface resting periods. Near tag 36. Speed is suspect as deep dives were scarce. Very calm animal. Prey mapping starting around 11am.</t>
  </si>
  <si>
    <t xml:space="preserve">Video 6 ends right before deployment. </t>
  </si>
  <si>
    <t>Acc was set to +/- 2g.  Some clipping for the breach, more in X and Y.  Also see speedY7090 to try to mitigate effects of clipping in other axes for this breach.</t>
  </si>
  <si>
    <t>speedFN not a good correlation; excluded.</t>
  </si>
  <si>
    <t>Tag malfunctioned but was dissected and data and one video were recovered.</t>
  </si>
  <si>
    <t>No GPS data.  Data stops after 2.5 hours for unknown reason.  Deployment was much longer.</t>
  </si>
  <si>
    <t>Magnetometer calibration could not be well-resolved; residuals &gt; 1.   First 2.5 hours of track are raw pseudotrack.</t>
  </si>
  <si>
    <t>Several large values made speed large if done section by section, so used whole data set instead.</t>
  </si>
  <si>
    <t>Calf.  Prh redone 6.15.18</t>
  </si>
  <si>
    <t>No hydrophone.  Lots of surface activity near the end (cal sections 15-16) that may have confused tag frame to whale frame calculations.</t>
  </si>
  <si>
    <t>Best speed was from magJ (not using a multivariate model).</t>
  </si>
  <si>
    <t xml:space="preserve">No hydrophone on camera.  </t>
  </si>
  <si>
    <t>Big change in flownoise around 3750s in, but also a big change in average speed about that time.</t>
  </si>
  <si>
    <t>Flownoise not reliable.  For some reason the flownoise is bimodal, with half the values above -100 DB and half below.  See speed graph  Some jumps in heading/roll at camera on/off boundaries</t>
  </si>
  <si>
    <t>Flow noise diverges at high speed.  Roll (and pitch?) have a small error, can see it on surfacings.</t>
  </si>
  <si>
    <t>Good speed JJ and FN</t>
  </si>
  <si>
    <t xml:space="preserve"> UTC offset should be minus 2, Local time is correct, but UTC time in data is off by one hour. </t>
  </si>
  <si>
    <t>raw Tag time off by 1 hour, corrected in prh file.  No active hydrophone.  Mag calibration better from I = 200000:800000, more variation before and after that.</t>
  </si>
  <si>
    <t>No active hydrophone.</t>
  </si>
  <si>
    <t>Johnson pressure cal didn't work on such a small file, so original depth was used.</t>
  </si>
  <si>
    <t>Dispersed points during jiggle speed regression.</t>
  </si>
  <si>
    <t>Cal section 5 is not well adjusted to whale frame.</t>
  </si>
  <si>
    <t>UBX file is big but no GPS hits recorded.</t>
  </si>
  <si>
    <t>Z-Gyro not working! Gw all nans, as are pitch, roll head gy</t>
  </si>
  <si>
    <t>Few videos.</t>
  </si>
  <si>
    <t>Videos need to be redone Pressure sensor &amp; speed recalibrated (original data off by factor of 3 1/3)New tags have tricky magnetometers (calibration is not super precise).</t>
  </si>
  <si>
    <t>Videos need to be redone Pressure sensor &amp; speed recalibrated (original data off by factor of 3 1/3).  Pressure sensor needs calibration. pcal = 2 was used but that was a guess.  Redo speed once pressure is right.</t>
  </si>
  <si>
    <t>Videos need to be redone Pressure sensor &amp; speed recalibrated (original data off by factor of 3 1/3).  Very slow speeds.  Also a problem with 302-47.  Perhaps depth sensor needs calibration?  Magnetometer was tricky to calibrate.</t>
  </si>
  <si>
    <t>Mother with a calf.  GPS points started repeating themselves after 0936 on 3/3, not sure why.  Great GPS hits until then.</t>
  </si>
  <si>
    <t>Pressure sensor &amp; speed recalibrated (original data off by factor of 3 1/3).  Good speed calibration but wnaimal appears to be moving very slow.  Tag on Right side of the animal. Magnetometer X axis appears to be off, tag hardware-related issue</t>
  </si>
  <si>
    <t>Videos didn't start, thresholds set to 0, should have turned on.</t>
  </si>
  <si>
    <t>Tag had IgotU GPS attached to it.</t>
  </si>
  <si>
    <t>GPS did not calibrate before deployment.  Camera seemed to record but SD card was damaged.</t>
  </si>
  <si>
    <t>Mt(5075:5107,:) was set to nan and filled, there was a big spike in the M data at that point.</t>
  </si>
  <si>
    <t>Tag fell off and was redeployed on the same animal.</t>
  </si>
  <si>
    <t>Steady values throughout deployment</t>
  </si>
  <si>
    <t>Tag slips were hard to identify.  Lots of movement near surface.  Video was in the wrong mode (took still images)</t>
  </si>
  <si>
    <t>Social behavior around boat to begin with.  Tag is loose towards end of deployment so heading and speed are a bit off.</t>
  </si>
  <si>
    <t>1.5 hour movies for some reason.  Last feeding dive rolls may be slightly large but could not be calibrated effectively.</t>
  </si>
  <si>
    <t>Speed could not be calibrated directly (bad pitch).  Used models from bw180904-52 for Jig (multi) and flow noise.  Lots of tag slips, bad attachment?  Pitch/roll hard to calculate at depth since so much tag movement.  Tag fell off and was redeployed on the same animal.</t>
  </si>
  <si>
    <t>Pressure sensor was messed up for some points.  see nanI variable or "PressnanI.mat" for the exact points replaced (at 50 Hz), or the "TDR3" file.  But vast majority of points were fine.  Bad points were replaced with nans, and then a pseudotrack based on pitch and speed.</t>
  </si>
  <si>
    <t>Orientations before the first surfacing are unreliable due to slips. Z-axis gyros have periodic weird spikes, so pitchgy, rollgy, and headgy all NaN.</t>
  </si>
  <si>
    <t>Deep diving. No Slips.</t>
  </si>
  <si>
    <t>Lots of slipping near the end of the deployment led to some abnormal roll calibration. Calls led to some abnormality in the flow noise.</t>
  </si>
  <si>
    <t>Z gyro did not record.  Possible bad sensor?  Lots of nice calls but watch out for flow noise speed during those times.  Jiggle speed seems only minorly affected.</t>
  </si>
  <si>
    <t>Pressure sensor had mistakes for a total of 15 non-consecutive minutes. See nanItrunc for places where p was replaced with a pressure pseudotrack.</t>
  </si>
  <si>
    <t>Lefty</t>
  </si>
  <si>
    <t>Pretty much slips on every dive, probably more than once. Precise calculations during lunging may be difficult if there are multiple slips on a dive.  But general information should be okay.</t>
  </si>
  <si>
    <t>3 deployments on one record. Deployed with bw180904-52</t>
  </si>
  <si>
    <t>3 deployments on one record. Deployed with bw180904-44</t>
  </si>
  <si>
    <t>2.4 seconds of Acc data had nans that were infilled at the index indicated by nanI</t>
  </si>
  <si>
    <t>3 deployments on one record. Deployed with bw180905-42</t>
  </si>
  <si>
    <t>Two periods of NaNs at 14:12:45.980 and 15:50:42.980. Last ride of the Froback (videos did not work).</t>
  </si>
  <si>
    <t>Few slips near end of deployment.</t>
  </si>
  <si>
    <t>Lots of slips and crazy rolling behavior (real) near the end of deployment made calibration periods a bit difficult.</t>
  </si>
  <si>
    <t>Many of the videos were corrupted coming off of the tag.</t>
  </si>
  <si>
    <t>Loose tag towards end</t>
  </si>
  <si>
    <t>Some strange frames in the video, but the problems have been fixed.</t>
  </si>
  <si>
    <t>z-axis gyroscope did not work, so no Gw, pitchgy etc.  Great example for speed differentiation in two different sections.</t>
  </si>
  <si>
    <t>Z-axis Gyro acting weird for certain sections</t>
  </si>
  <si>
    <t>Flow noise did not seem to be on for the breach.  Speed section 2 accounts for the high speed breach approach.</t>
  </si>
  <si>
    <t>First tag with hydrophone filter.  Flownoise seemed a little low.</t>
  </si>
  <si>
    <t>Jiggle speed done from 70-90 Hz to reduce low freq noise from tag placement.</t>
  </si>
  <si>
    <t>Speed was not created (not enough points to calibrate).  Could be made using calibration from another deployment if needed.</t>
  </si>
  <si>
    <t xml:space="preserve">Really good mag cal.  GPS never turned on until tag was floating  </t>
  </si>
  <si>
    <t>Calf watching mother feed. Spends a lot of time upsidedown. Bad GPS hits</t>
  </si>
  <si>
    <t>Lots of bottom feeding with other whales. No additional GPS points.</t>
  </si>
  <si>
    <t>Cool bubble and bottom feeding, weird speed plot. Breach!</t>
  </si>
  <si>
    <t>Group bottom feeding</t>
  </si>
  <si>
    <t>Lots of bottom feeding and other whales. Many birds. Had to fill in 1 min of data</t>
  </si>
  <si>
    <t>Tag off from Argos</t>
  </si>
  <si>
    <t>Great bubble net footage</t>
  </si>
  <si>
    <t>A very short deployment, only one dive and surface series</t>
  </si>
  <si>
    <t>None</t>
  </si>
  <si>
    <t>Up/Left</t>
  </si>
  <si>
    <t>Dusky16Calf</t>
  </si>
  <si>
    <t>VHF didn't transmit.  Tag was found with UHF after floating down near Nantucket.</t>
  </si>
  <si>
    <t>Single at the surface in the vicinity of another single.  Very calm at the surface, no tag reaction.</t>
  </si>
  <si>
    <t>100 m feeding</t>
  </si>
  <si>
    <t>U (05-42)</t>
  </si>
  <si>
    <t>U (05-62)</t>
  </si>
  <si>
    <t>U (04-44)</t>
  </si>
  <si>
    <t>U (04-52)</t>
  </si>
  <si>
    <t>U (04-62b)</t>
  </si>
  <si>
    <t>U (05-49 &amp; 04-62a)</t>
  </si>
  <si>
    <t>U (28-48b)</t>
  </si>
  <si>
    <t>U (27-53)</t>
  </si>
  <si>
    <t>U (30-48)</t>
  </si>
  <si>
    <t>U (28-49)</t>
  </si>
  <si>
    <t>Video 40 makes bad movies, video 50 is especially bad</t>
  </si>
  <si>
    <t>Group</t>
  </si>
  <si>
    <t>Small group</t>
  </si>
  <si>
    <t>With 49</t>
  </si>
  <si>
    <t>Jellies/Sea Lions</t>
  </si>
  <si>
    <t>Paired with 41.  Deep feeding in canyon.  Fish (sea lions present)  Good views of COA boat, jellies</t>
  </si>
  <si>
    <t>No X-accelerometer.  Paired with 49.  Brief deployment(s).  Suction cup left on this whale.  In brief footage, good view of maneuver by 07-49.</t>
  </si>
  <si>
    <t>First tag with new hydrophone.  Looks to be clipping during high flow noise times.</t>
  </si>
  <si>
    <t>Audio Type          _</t>
  </si>
  <si>
    <t>Cam Mic</t>
  </si>
  <si>
    <t>Y - 07-49</t>
  </si>
  <si>
    <t>Small blue whale.  Same as 30-48. Data ended before tag off, so pseudotrack isn't may not be great (no good tag off position/time).</t>
  </si>
  <si>
    <t>Epic anchovy feeding.  Large group of whales feeding on a single anchovy ball with Zalophus, cormorants and murres.  If you see nothing else, watch these videos.</t>
  </si>
  <si>
    <t>mn160125-17a</t>
  </si>
  <si>
    <t>mn160125-17b</t>
  </si>
  <si>
    <t>mn160202-16</t>
  </si>
  <si>
    <t>First blue whale deployment of HR tag.  Best recordings of HR (up to 6 hours of continuous good beats).  Sadly, the Lotek had some issues and there are large data gaps.</t>
  </si>
  <si>
    <t>Some HR</t>
  </si>
  <si>
    <t>Low and forward deployment, but did not stay on very long.</t>
  </si>
  <si>
    <t>Trail whale of a pair.  Some HR data</t>
  </si>
  <si>
    <t>Do not use</t>
  </si>
  <si>
    <t>Tagged in a pair.  No HR signal.</t>
  </si>
  <si>
    <t>Likely fish feeder</t>
  </si>
  <si>
    <t>Herring hunting.  Great videos of schools and eating individual fish (e.g. right camera still from video 8, 53 secs in).  Daytime and nighttime foraging near fishing boats.  Many videos were corrupted on download.</t>
  </si>
  <si>
    <t>Herring Herding</t>
  </si>
  <si>
    <t>Feeding at depth, long deployment.  Whale leaves area and heads north on day 2.</t>
  </si>
  <si>
    <t>Starts off Big Sur but travels to n. Monterey canyon on day 2.  Feeding at depth only, slides all the way down at the end</t>
  </si>
  <si>
    <t>Slid low on the fin whale. Other (blue) whales visible. No verification of ID photo, but no other fin whales in the area.</t>
  </si>
  <si>
    <t>Paired with blue?</t>
  </si>
  <si>
    <t>Epic Bottom Feeding</t>
  </si>
  <si>
    <t>More typical high speed "lunges" along the bottom. Lots of sand</t>
  </si>
  <si>
    <t>Fast Bottom Feeding</t>
  </si>
  <si>
    <t>Dorsal</t>
  </si>
  <si>
    <t xml:space="preserve">Bottom feeding, hard to see. </t>
  </si>
  <si>
    <t>Whale Lice</t>
  </si>
  <si>
    <t>Search/Travel</t>
  </si>
  <si>
    <t>Pretty chill whale.  Potentially some searching behavior.  Whale lice movement on video.</t>
  </si>
  <si>
    <t>Vengsøya</t>
  </si>
  <si>
    <t>DO NOT USE THIS PRH.  Pressure sensor bad for first few minutes, plus tag is loose and hard to get an accurate orientation calibration, plus it's an 11 minute deployment where the whale did not do very much of note.  All tag data kept in raw folder since it is not usable.  But deployed near killer a killer whale group after humpback interacted with the whales.</t>
  </si>
  <si>
    <t>Long deployment</t>
  </si>
  <si>
    <t xml:space="preserve">5 days on the whale, retrieved stranded on the beach.  Great images of travelling but foraging was all at night or after the camera turned off. But foraging at night confirmed to be around fishing boats (from camera). Track anchored with ARGOS data.  </t>
  </si>
  <si>
    <t>Andenes</t>
  </si>
  <si>
    <t>Foraging early in video, then travelling.  Video includes bottom interactions and lots of views of other whales.  Tag slides to tail stock towards end of deployment.</t>
  </si>
  <si>
    <t>11/16</t>
  </si>
  <si>
    <t>Great views of herring feeding</t>
  </si>
  <si>
    <t>Moonstone (CRC-16390, MN0500974)</t>
  </si>
  <si>
    <t>Ace (CRC-16766, MN0500947)</t>
  </si>
  <si>
    <t>Midnight (CRC-16597 MN0500968)</t>
  </si>
  <si>
    <t>Ornament (CRC-16456, MN0500323)</t>
  </si>
  <si>
    <t>CRC-17197 (MN0501017)</t>
  </si>
  <si>
    <t>CRC-16595 (MN0500567)</t>
  </si>
  <si>
    <t>Not much diving, mostly swimming and surfacing. NO X ACCEL (PRH FROM MAG ONLY).  May be issues with Euler angles &gt; 90 deg</t>
  </si>
  <si>
    <t>Tag placed near dorsal on left side. Can see lunging and fish.  NO X ACCEL (PRH FROM MAG ONLY).  May be issues with Euler angles &gt; 90 deg</t>
  </si>
  <si>
    <t>Shallow feeding on patchy krill at first, then moved to deeper water.  Great forward/backward alignment.  Video highlights lateral flexibility.  Great Fluke video in combination with engulfment.  Great pleats around video 111</t>
  </si>
  <si>
    <t>Tagged among group of killer whales.  Good GPS hits on first 2/3 of surfacings.  Breaching.  Great low frequency vocalizations in video 20 and others.  Feeding at end of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</si>
</sst>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409]m/d/yy\ hh:mm:ss;@"/>
    <numFmt numFmtId="165" formatCode="hh:mm:ss;@"/>
    <numFmt numFmtId="166" formatCode="h:mm:ss;@"/>
    <numFmt numFmtId="167" formatCode="0.0000"/>
    <numFmt numFmtId="168" formatCode="\+0;\-0;0"/>
    <numFmt numFmtId="169" formatCode="[h]:mm:ss;@"/>
    <numFmt numFmtId="170" formatCode="m/d/yy\ h:mm:ss"/>
  </numFmts>
  <fonts count="34">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u/>
      <sz val="10"/>
      <color theme="10"/>
      <name val="Arial"/>
      <family val="2"/>
    </font>
    <font>
      <sz val="10"/>
      <color theme="1"/>
      <name val="Arial"/>
      <family val="2"/>
    </font>
    <font>
      <b/>
      <sz val="18"/>
      <color theme="1"/>
      <name val="Arial"/>
      <family val="2"/>
    </font>
    <font>
      <b/>
      <sz val="18"/>
      <color theme="1"/>
      <name val="Calibri"/>
      <family val="2"/>
      <scheme val="minor"/>
    </font>
    <font>
      <sz val="11"/>
      <color rgb="FFFF0000"/>
      <name val="Calibri"/>
      <family val="2"/>
      <scheme val="minor"/>
    </font>
    <font>
      <sz val="11"/>
      <name val="Calibri"/>
      <family val="2"/>
      <scheme val="minor"/>
    </font>
    <font>
      <sz val="10"/>
      <name val="Arial"/>
      <family val="2"/>
    </font>
    <font>
      <b/>
      <sz val="10"/>
      <name val="Arial"/>
      <family val="2"/>
    </font>
    <font>
      <sz val="10"/>
      <color rgb="FF000000"/>
      <name val="Arial"/>
      <family val="2"/>
    </font>
    <font>
      <u/>
      <sz val="10"/>
      <name val="Arial"/>
      <family val="2"/>
    </font>
    <font>
      <sz val="10"/>
      <color indexed="8"/>
      <name val="Arial"/>
      <family val="2"/>
    </font>
    <font>
      <sz val="11"/>
      <name val="Calibri"/>
      <family val="2"/>
    </font>
    <font>
      <sz val="10"/>
      <name val="SansSerif"/>
    </font>
    <font>
      <b/>
      <sz val="11"/>
      <name val="Calibri"/>
      <family val="2"/>
      <scheme val="minor"/>
    </font>
    <font>
      <b/>
      <sz val="9"/>
      <color indexed="81"/>
      <name val="Tahoma"/>
      <family val="2"/>
    </font>
    <font>
      <sz val="9"/>
      <color indexed="81"/>
      <name val="Tahoma"/>
      <family val="2"/>
    </font>
    <font>
      <i/>
      <sz val="10"/>
      <name val="Arial"/>
      <family val="2"/>
    </font>
    <font>
      <u/>
      <sz val="10"/>
      <color rgb="FF0070C0"/>
      <name val="Arial"/>
      <family val="2"/>
    </font>
    <font>
      <sz val="10"/>
      <color rgb="FF000000"/>
      <name val="Arial"/>
      <family val="2"/>
    </font>
    <font>
      <b/>
      <sz val="10"/>
      <color rgb="FFFF0000"/>
      <name val="Arial"/>
      <family val="2"/>
    </font>
    <font>
      <b/>
      <u/>
      <sz val="11"/>
      <color rgb="FFFF0000"/>
      <name val="Calibri"/>
      <family val="2"/>
      <scheme val="minor"/>
    </font>
    <font>
      <b/>
      <u/>
      <sz val="10"/>
      <color rgb="FFFF0000"/>
      <name val="Arial"/>
      <family val="2"/>
    </font>
    <font>
      <b/>
      <sz val="11"/>
      <color rgb="FFFF0000"/>
      <name val="Calibri"/>
      <family val="2"/>
      <scheme val="minor"/>
    </font>
    <font>
      <u/>
      <sz val="11"/>
      <color rgb="FF0070C0"/>
      <name val="Calibri"/>
      <family val="2"/>
      <scheme val="minor"/>
    </font>
    <font>
      <sz val="10"/>
      <color rgb="FFFF0000"/>
      <name val="Arial"/>
      <family val="2"/>
    </font>
    <font>
      <u/>
      <sz val="11"/>
      <color rgb="FFFF0000"/>
      <name val="Calibri"/>
      <family val="2"/>
      <scheme val="minor"/>
    </font>
    <font>
      <u/>
      <sz val="10"/>
      <color rgb="FFFF0000"/>
      <name val="Arial"/>
      <family val="2"/>
    </font>
    <font>
      <sz val="11"/>
      <color indexed="8"/>
      <name val="Calibri"/>
      <family val="2"/>
    </font>
    <font>
      <u/>
      <sz val="10"/>
      <color theme="4" tint="-0.249977111117893"/>
      <name val="Arial"/>
      <family val="2"/>
    </font>
    <font>
      <sz val="10"/>
      <name val="Arial"/>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s>
  <borders count="3">
    <border>
      <left/>
      <right/>
      <top/>
      <bottom/>
      <diagonal/>
    </border>
    <border>
      <left/>
      <right/>
      <top/>
      <bottom style="thin">
        <color indexed="64"/>
      </bottom>
      <diagonal/>
    </border>
    <border>
      <left style="thin">
        <color indexed="22"/>
      </left>
      <right style="thin">
        <color indexed="22"/>
      </right>
      <top style="thin">
        <color indexed="22"/>
      </top>
      <bottom style="thin">
        <color indexed="22"/>
      </bottom>
      <diagonal/>
    </border>
  </borders>
  <cellStyleXfs count="6">
    <xf numFmtId="0" fontId="0" fillId="0" borderId="0"/>
    <xf numFmtId="0" fontId="2" fillId="0" borderId="0" applyNumberFormat="0" applyFill="0" applyBorder="0" applyAlignment="0" applyProtection="0"/>
    <xf numFmtId="0" fontId="12" fillId="0" borderId="0"/>
    <xf numFmtId="0" fontId="14" fillId="0" borderId="0"/>
    <xf numFmtId="0" fontId="22" fillId="0" borderId="0"/>
    <xf numFmtId="0" fontId="14" fillId="0" borderId="0"/>
  </cellStyleXfs>
  <cellXfs count="216">
    <xf numFmtId="0" fontId="0" fillId="0" borderId="0" xfId="0"/>
    <xf numFmtId="0" fontId="1" fillId="0" borderId="0" xfId="0" applyFont="1"/>
    <xf numFmtId="164" fontId="0" fillId="0" borderId="0" xfId="0" applyNumberFormat="1"/>
    <xf numFmtId="165" fontId="0" fillId="0" borderId="0" xfId="0" applyNumberFormat="1"/>
    <xf numFmtId="0" fontId="1" fillId="0" borderId="0" xfId="0" applyFont="1" applyAlignment="1">
      <alignment wrapText="1"/>
    </xf>
    <xf numFmtId="0" fontId="3" fillId="0" borderId="1" xfId="0" applyFont="1" applyBorder="1" applyAlignment="1">
      <alignment horizontal="center" wrapText="1"/>
    </xf>
    <xf numFmtId="0" fontId="3" fillId="0" borderId="1" xfId="0" applyFont="1" applyBorder="1" applyAlignment="1">
      <alignment horizontal="center"/>
    </xf>
    <xf numFmtId="0" fontId="5" fillId="0" borderId="0" xfId="0" applyFont="1"/>
    <xf numFmtId="0" fontId="3" fillId="0" borderId="0" xfId="0" applyFont="1" applyBorder="1" applyAlignment="1">
      <alignment horizontal="center"/>
    </xf>
    <xf numFmtId="0" fontId="6" fillId="0" borderId="0" xfId="0" applyFont="1" applyAlignment="1">
      <alignment horizontal="centerContinuous"/>
    </xf>
    <xf numFmtId="0" fontId="1" fillId="0" borderId="0" xfId="0" applyFont="1" applyAlignment="1">
      <alignment horizontal="centerContinuous"/>
    </xf>
    <xf numFmtId="0" fontId="0" fillId="0" borderId="0" xfId="0" applyAlignment="1">
      <alignment horizontal="centerContinuous"/>
    </xf>
    <xf numFmtId="0" fontId="5" fillId="0" borderId="0" xfId="0" applyFont="1" applyBorder="1" applyAlignment="1">
      <alignment horizontal="left" wrapText="1"/>
    </xf>
    <xf numFmtId="0" fontId="5" fillId="0" borderId="0" xfId="0" applyFont="1" applyBorder="1" applyAlignment="1">
      <alignment horizontal="left"/>
    </xf>
    <xf numFmtId="46" fontId="5" fillId="0" borderId="0" xfId="0" applyNumberFormat="1" applyFont="1" applyBorder="1" applyAlignment="1">
      <alignment horizontal="left" wrapText="1"/>
    </xf>
    <xf numFmtId="164" fontId="5" fillId="0" borderId="0" xfId="0" applyNumberFormat="1" applyFont="1" applyBorder="1" applyAlignment="1">
      <alignment horizontal="left" wrapText="1"/>
    </xf>
    <xf numFmtId="0" fontId="0" fillId="2" borderId="0" xfId="0" applyFill="1"/>
    <xf numFmtId="46" fontId="10" fillId="0" borderId="0" xfId="0" applyNumberFormat="1" applyFont="1"/>
    <xf numFmtId="0" fontId="5" fillId="3" borderId="0" xfId="0" applyFont="1" applyFill="1" applyBorder="1" applyAlignment="1">
      <alignment horizontal="left" wrapText="1"/>
    </xf>
    <xf numFmtId="0" fontId="0" fillId="3" borderId="0" xfId="0" applyFill="1"/>
    <xf numFmtId="0" fontId="8" fillId="0" borderId="0" xfId="0" applyFont="1"/>
    <xf numFmtId="0" fontId="9" fillId="0" borderId="0" xfId="0" applyFont="1"/>
    <xf numFmtId="0" fontId="5" fillId="0" borderId="0" xfId="0" applyFont="1" applyBorder="1"/>
    <xf numFmtId="46" fontId="10" fillId="0" borderId="0" xfId="0" applyNumberFormat="1" applyFont="1" applyBorder="1"/>
    <xf numFmtId="0" fontId="11" fillId="0" borderId="1" xfId="0" applyFont="1" applyFill="1" applyBorder="1" applyAlignment="1">
      <alignment horizontal="center" wrapText="1"/>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1" fillId="0" borderId="0" xfId="0" applyFont="1" applyAlignment="1">
      <alignment horizontal="center"/>
    </xf>
    <xf numFmtId="0" fontId="9" fillId="0" borderId="0" xfId="1" applyFont="1" applyAlignment="1">
      <alignment horizontal="center"/>
    </xf>
    <xf numFmtId="164" fontId="10" fillId="0" borderId="0" xfId="0" applyNumberFormat="1" applyFont="1" applyFill="1"/>
    <xf numFmtId="0" fontId="10" fillId="0" borderId="0" xfId="0" applyFont="1" applyAlignment="1">
      <alignment horizontal="center"/>
    </xf>
    <xf numFmtId="0" fontId="10" fillId="0" borderId="0" xfId="0" applyFont="1"/>
    <xf numFmtId="0" fontId="10" fillId="0" borderId="0" xfId="0" applyFont="1" applyAlignment="1">
      <alignment horizontal="left"/>
    </xf>
    <xf numFmtId="0" fontId="10" fillId="0" borderId="0" xfId="0" applyFont="1" applyBorder="1" applyAlignment="1">
      <alignment horizontal="center"/>
    </xf>
    <xf numFmtId="0" fontId="10" fillId="0" borderId="0" xfId="0" applyFont="1" applyBorder="1"/>
    <xf numFmtId="0" fontId="13" fillId="0" borderId="0" xfId="1" applyFont="1" applyAlignment="1">
      <alignment horizontal="center"/>
    </xf>
    <xf numFmtId="0" fontId="9" fillId="0" borderId="0" xfId="0" applyFont="1" applyAlignment="1">
      <alignment horizontal="center"/>
    </xf>
    <xf numFmtId="0" fontId="10" fillId="2" borderId="0" xfId="0" applyFont="1" applyFill="1"/>
    <xf numFmtId="0" fontId="0" fillId="4" borderId="0" xfId="0" applyFill="1"/>
    <xf numFmtId="0" fontId="5" fillId="4" borderId="0" xfId="0" applyFont="1" applyFill="1"/>
    <xf numFmtId="0" fontId="10" fillId="0" borderId="0" xfId="1" applyFont="1" applyAlignment="1">
      <alignment horizontal="center"/>
    </xf>
    <xf numFmtId="0" fontId="4" fillId="0" borderId="0" xfId="1" applyNumberFormat="1" applyFont="1" applyFill="1" applyBorder="1" applyAlignment="1" applyProtection="1">
      <alignment horizontal="center"/>
    </xf>
    <xf numFmtId="0" fontId="3" fillId="0" borderId="0" xfId="0" applyFont="1" applyAlignment="1">
      <alignment wrapText="1"/>
    </xf>
    <xf numFmtId="0" fontId="5" fillId="3" borderId="0" xfId="0" applyFont="1" applyFill="1"/>
    <xf numFmtId="0" fontId="9" fillId="0" borderId="0" xfId="0" applyFont="1" applyAlignment="1">
      <alignment horizontal="left"/>
    </xf>
    <xf numFmtId="0" fontId="2" fillId="0" borderId="0" xfId="1" applyNumberFormat="1" applyFill="1" applyBorder="1" applyAlignment="1" applyProtection="1">
      <alignment horizontal="center"/>
    </xf>
    <xf numFmtId="0" fontId="9" fillId="0" borderId="0" xfId="0" applyFont="1" applyAlignment="1">
      <alignment horizontal="centerContinuous"/>
    </xf>
    <xf numFmtId="0" fontId="11" fillId="0" borderId="1" xfId="0" applyFont="1" applyBorder="1" applyAlignment="1">
      <alignment horizontal="center" wrapText="1"/>
    </xf>
    <xf numFmtId="0" fontId="9" fillId="0" borderId="0" xfId="1" applyFont="1"/>
    <xf numFmtId="166" fontId="0" fillId="0" borderId="0" xfId="0" applyNumberFormat="1" applyAlignment="1">
      <alignment horizontal="center"/>
    </xf>
    <xf numFmtId="167" fontId="15" fillId="0" borderId="0" xfId="3" applyNumberFormat="1" applyFont="1" applyFill="1" applyBorder="1" applyAlignment="1">
      <alignment horizontal="right"/>
    </xf>
    <xf numFmtId="167" fontId="10" fillId="0" borderId="0" xfId="0" applyNumberFormat="1" applyFont="1" applyAlignment="1">
      <alignment horizontal="left"/>
    </xf>
    <xf numFmtId="0" fontId="3" fillId="0" borderId="1" xfId="0" applyFont="1" applyBorder="1" applyAlignment="1">
      <alignment horizontal="left" wrapText="1"/>
    </xf>
    <xf numFmtId="0" fontId="2" fillId="0" borderId="0" xfId="1" applyAlignment="1">
      <alignment horizontal="center"/>
    </xf>
    <xf numFmtId="0" fontId="2" fillId="0" borderId="0" xfId="1"/>
    <xf numFmtId="166" fontId="10" fillId="0" borderId="0" xfId="0" applyNumberFormat="1" applyFont="1" applyAlignment="1">
      <alignment horizontal="center"/>
    </xf>
    <xf numFmtId="0" fontId="1" fillId="0" borderId="0" xfId="0" applyFont="1" applyAlignment="1">
      <alignment horizontal="left"/>
    </xf>
    <xf numFmtId="0" fontId="0" fillId="0" borderId="0" xfId="0" applyAlignment="1">
      <alignment horizontal="left"/>
    </xf>
    <xf numFmtId="0" fontId="4" fillId="0" borderId="0" xfId="1" applyNumberFormat="1" applyFont="1" applyFill="1" applyBorder="1" applyAlignment="1" applyProtection="1">
      <alignment horizontal="left"/>
    </xf>
    <xf numFmtId="0" fontId="2" fillId="0" borderId="0" xfId="1" applyNumberFormat="1" applyFill="1" applyBorder="1" applyAlignment="1" applyProtection="1">
      <alignment horizontal="left"/>
    </xf>
    <xf numFmtId="0" fontId="10" fillId="0" borderId="0" xfId="1" applyNumberFormat="1" applyFont="1" applyFill="1" applyBorder="1" applyAlignment="1" applyProtection="1">
      <alignment horizontal="center"/>
    </xf>
    <xf numFmtId="0" fontId="9" fillId="0" borderId="0" xfId="1" applyNumberFormat="1" applyFont="1" applyFill="1" applyBorder="1" applyAlignment="1" applyProtection="1">
      <alignment horizontal="center"/>
    </xf>
    <xf numFmtId="0" fontId="10" fillId="0" borderId="0" xfId="1" quotePrefix="1" applyFont="1" applyAlignment="1">
      <alignment horizontal="center"/>
    </xf>
    <xf numFmtId="0" fontId="10" fillId="0" borderId="0" xfId="1" applyNumberFormat="1" applyFont="1" applyFill="1" applyBorder="1" applyAlignment="1" applyProtection="1">
      <alignment horizontal="left"/>
    </xf>
    <xf numFmtId="0" fontId="9" fillId="0" borderId="0" xfId="1" applyNumberFormat="1" applyFont="1" applyFill="1" applyBorder="1" applyAlignment="1" applyProtection="1">
      <alignment horizontal="left"/>
    </xf>
    <xf numFmtId="0" fontId="17" fillId="0" borderId="0" xfId="0" applyFont="1" applyAlignment="1">
      <alignment horizontal="left"/>
    </xf>
    <xf numFmtId="0" fontId="5" fillId="2" borderId="0" xfId="0" applyFont="1" applyFill="1"/>
    <xf numFmtId="0" fontId="5" fillId="2" borderId="0" xfId="0" applyFont="1" applyFill="1" applyAlignment="1">
      <alignment horizontal="center"/>
    </xf>
    <xf numFmtId="0" fontId="10" fillId="2" borderId="0" xfId="1" applyNumberFormat="1" applyFont="1" applyFill="1" applyBorder="1" applyAlignment="1" applyProtection="1">
      <alignment horizontal="center"/>
    </xf>
    <xf numFmtId="0" fontId="2" fillId="2" borderId="0" xfId="1" applyNumberFormat="1" applyFill="1" applyBorder="1" applyAlignment="1" applyProtection="1">
      <alignment horizontal="left"/>
    </xf>
    <xf numFmtId="0" fontId="10" fillId="2" borderId="0" xfId="0" applyFont="1" applyFill="1" applyAlignment="1">
      <alignment horizontal="center"/>
    </xf>
    <xf numFmtId="0" fontId="2" fillId="2" borderId="0" xfId="1" applyNumberFormat="1" applyFill="1" applyBorder="1" applyAlignment="1" applyProtection="1">
      <alignment horizontal="center"/>
    </xf>
    <xf numFmtId="0" fontId="2" fillId="2" borderId="0" xfId="1" applyFill="1" applyAlignment="1">
      <alignment horizontal="center"/>
    </xf>
    <xf numFmtId="46" fontId="10" fillId="2" borderId="0" xfId="0" applyNumberFormat="1" applyFont="1" applyFill="1"/>
    <xf numFmtId="166" fontId="10" fillId="2" borderId="0" xfId="0" applyNumberFormat="1" applyFont="1" applyFill="1" applyAlignment="1">
      <alignment horizontal="center"/>
    </xf>
    <xf numFmtId="0" fontId="10" fillId="2" borderId="0" xfId="1" quotePrefix="1" applyFont="1" applyFill="1" applyAlignment="1">
      <alignment horizontal="center"/>
    </xf>
    <xf numFmtId="0" fontId="10" fillId="0" borderId="0" xfId="1" quotePrefix="1" applyNumberFormat="1" applyFont="1" applyFill="1" applyBorder="1" applyAlignment="1" applyProtection="1">
      <alignment horizontal="center"/>
    </xf>
    <xf numFmtId="0" fontId="9" fillId="2" borderId="0" xfId="1" applyNumberFormat="1" applyFont="1" applyFill="1" applyBorder="1" applyAlignment="1" applyProtection="1">
      <alignment horizontal="center"/>
    </xf>
    <xf numFmtId="0" fontId="2" fillId="0" borderId="0" xfId="1" applyAlignment="1">
      <alignment horizontal="left"/>
    </xf>
    <xf numFmtId="0" fontId="21" fillId="0" borderId="0" xfId="0" applyFont="1"/>
    <xf numFmtId="0" fontId="21" fillId="0" borderId="0" xfId="0" applyFont="1" applyAlignment="1">
      <alignment horizontal="left"/>
    </xf>
    <xf numFmtId="0" fontId="9" fillId="2" borderId="0" xfId="1" applyFont="1" applyFill="1" applyAlignment="1">
      <alignment horizontal="center"/>
    </xf>
    <xf numFmtId="168" fontId="9" fillId="0" borderId="0" xfId="0" applyNumberFormat="1" applyFont="1" applyAlignment="1">
      <alignment horizontal="centerContinuous"/>
    </xf>
    <xf numFmtId="168" fontId="11" fillId="0" borderId="1" xfId="0" applyNumberFormat="1" applyFont="1" applyBorder="1" applyAlignment="1">
      <alignment horizontal="center" wrapText="1"/>
    </xf>
    <xf numFmtId="168" fontId="10" fillId="0" borderId="0" xfId="1" applyNumberFormat="1" applyFont="1" applyFill="1" applyBorder="1" applyAlignment="1" applyProtection="1">
      <alignment horizontal="center"/>
    </xf>
    <xf numFmtId="168" fontId="9" fillId="0" borderId="0" xfId="1" applyNumberFormat="1" applyFont="1" applyFill="1" applyBorder="1" applyAlignment="1" applyProtection="1">
      <alignment horizontal="center"/>
    </xf>
    <xf numFmtId="168" fontId="10" fillId="2" borderId="0" xfId="1" applyNumberFormat="1" applyFont="1" applyFill="1" applyBorder="1" applyAlignment="1" applyProtection="1">
      <alignment horizontal="center"/>
    </xf>
    <xf numFmtId="168" fontId="9" fillId="0" borderId="0" xfId="0" applyNumberFormat="1" applyFont="1"/>
    <xf numFmtId="0" fontId="9" fillId="0" borderId="0" xfId="1" quotePrefix="1" applyNumberFormat="1" applyFont="1" applyFill="1" applyBorder="1" applyAlignment="1" applyProtection="1">
      <alignment horizontal="left"/>
    </xf>
    <xf numFmtId="0" fontId="10" fillId="2" borderId="0" xfId="0" applyFont="1" applyFill="1" applyAlignment="1">
      <alignment horizontal="left"/>
    </xf>
    <xf numFmtId="0" fontId="10" fillId="0" borderId="0" xfId="0" applyFont="1" applyAlignment="1"/>
    <xf numFmtId="164" fontId="10" fillId="0" borderId="0" xfId="0" applyNumberFormat="1" applyFont="1" applyFill="1" applyAlignment="1">
      <alignment horizontal="right"/>
    </xf>
    <xf numFmtId="0" fontId="10" fillId="0" borderId="0" xfId="0" applyFont="1" applyFill="1" applyAlignment="1">
      <alignment horizontal="center"/>
    </xf>
    <xf numFmtId="0" fontId="10" fillId="3" borderId="0" xfId="0" applyFont="1" applyFill="1" applyAlignment="1">
      <alignment horizontal="center"/>
    </xf>
    <xf numFmtId="46" fontId="10" fillId="0" borderId="0" xfId="0" applyNumberFormat="1" applyFont="1" applyFill="1"/>
    <xf numFmtId="0" fontId="23" fillId="0" borderId="0" xfId="0" applyFont="1"/>
    <xf numFmtId="0" fontId="23" fillId="0" borderId="0" xfId="0" applyFont="1" applyAlignment="1">
      <alignment horizontal="center"/>
    </xf>
    <xf numFmtId="0" fontId="24" fillId="0" borderId="0" xfId="1" applyNumberFormat="1" applyFont="1" applyFill="1" applyBorder="1" applyAlignment="1" applyProtection="1">
      <alignment horizontal="center"/>
    </xf>
    <xf numFmtId="0" fontId="23" fillId="0" borderId="0" xfId="1" applyNumberFormat="1" applyFont="1" applyFill="1" applyBorder="1" applyAlignment="1" applyProtection="1">
      <alignment horizontal="left"/>
    </xf>
    <xf numFmtId="168" fontId="23" fillId="0" borderId="0" xfId="1" applyNumberFormat="1" applyFont="1" applyFill="1" applyBorder="1" applyAlignment="1" applyProtection="1">
      <alignment horizontal="center"/>
    </xf>
    <xf numFmtId="0" fontId="25" fillId="0" borderId="0" xfId="1" applyNumberFormat="1" applyFont="1" applyFill="1" applyBorder="1" applyAlignment="1" applyProtection="1">
      <alignment horizontal="center"/>
    </xf>
    <xf numFmtId="164" fontId="23" fillId="0" borderId="0" xfId="0" applyNumberFormat="1" applyFont="1" applyFill="1"/>
    <xf numFmtId="0" fontId="26" fillId="0" borderId="0" xfId="0" applyFont="1"/>
    <xf numFmtId="0" fontId="5" fillId="0" borderId="0" xfId="0" applyFont="1" applyFill="1"/>
    <xf numFmtId="0" fontId="5" fillId="0" borderId="0" xfId="0" applyFont="1" applyFill="1" applyAlignment="1">
      <alignment horizontal="center"/>
    </xf>
    <xf numFmtId="0" fontId="10" fillId="0" borderId="0" xfId="0" applyFont="1" applyFill="1"/>
    <xf numFmtId="167" fontId="10" fillId="0" borderId="0" xfId="0" applyNumberFormat="1" applyFont="1" applyFill="1" applyAlignment="1">
      <alignment horizontal="right"/>
    </xf>
    <xf numFmtId="167" fontId="10" fillId="0" borderId="0" xfId="2" applyNumberFormat="1" applyFont="1" applyFill="1" applyAlignment="1">
      <alignment horizontal="left"/>
    </xf>
    <xf numFmtId="169" fontId="10" fillId="0" borderId="0" xfId="0" applyNumberFormat="1" applyFont="1" applyAlignment="1">
      <alignment horizontal="center"/>
    </xf>
    <xf numFmtId="0" fontId="0" fillId="0" borderId="0" xfId="0" applyAlignment="1">
      <alignment horizontal="right"/>
    </xf>
    <xf numFmtId="0" fontId="10" fillId="0" borderId="0" xfId="0" applyFont="1" applyAlignment="1">
      <alignment horizontal="right"/>
    </xf>
    <xf numFmtId="49" fontId="0" fillId="0" borderId="0" xfId="0" applyNumberFormat="1" applyFont="1" applyAlignment="1">
      <alignment horizontal="right" vertical="top"/>
    </xf>
    <xf numFmtId="0" fontId="0" fillId="0" borderId="0" xfId="0" applyFont="1"/>
    <xf numFmtId="0" fontId="5" fillId="0" borderId="0" xfId="1" applyNumberFormat="1" applyFont="1" applyFill="1" applyBorder="1" applyAlignment="1" applyProtection="1">
      <alignment horizontal="left"/>
    </xf>
    <xf numFmtId="0" fontId="5" fillId="0" borderId="0" xfId="1" applyNumberFormat="1" applyFont="1" applyFill="1" applyBorder="1" applyAlignment="1" applyProtection="1">
      <alignment horizontal="center"/>
    </xf>
    <xf numFmtId="168" fontId="5" fillId="0" borderId="0" xfId="1" applyNumberFormat="1" applyFont="1" applyFill="1" applyBorder="1" applyAlignment="1" applyProtection="1">
      <alignment horizontal="center"/>
    </xf>
    <xf numFmtId="0" fontId="0" fillId="0" borderId="0" xfId="0" applyFont="1" applyAlignment="1">
      <alignment horizontal="right"/>
    </xf>
    <xf numFmtId="46" fontId="5" fillId="0" borderId="0" xfId="0" applyNumberFormat="1" applyFont="1" applyFill="1"/>
    <xf numFmtId="166" fontId="5" fillId="0" borderId="0" xfId="0" applyNumberFormat="1" applyFont="1" applyAlignment="1">
      <alignment horizontal="center"/>
    </xf>
    <xf numFmtId="164" fontId="5" fillId="0" borderId="0" xfId="0" applyNumberFormat="1" applyFont="1" applyFill="1"/>
    <xf numFmtId="0" fontId="27" fillId="0" borderId="0" xfId="1" applyNumberFormat="1" applyFont="1" applyFill="1" applyBorder="1" applyAlignment="1" applyProtection="1">
      <alignment horizontal="center"/>
    </xf>
    <xf numFmtId="0" fontId="27" fillId="0" borderId="0" xfId="1" applyNumberFormat="1" applyFont="1" applyFill="1" applyBorder="1" applyAlignment="1" applyProtection="1">
      <alignment horizontal="left"/>
    </xf>
    <xf numFmtId="0" fontId="23" fillId="0" borderId="0" xfId="1" applyNumberFormat="1" applyFont="1" applyFill="1" applyBorder="1" applyAlignment="1" applyProtection="1">
      <alignment horizontal="center"/>
    </xf>
    <xf numFmtId="0" fontId="24" fillId="0" borderId="0" xfId="1" applyNumberFormat="1" applyFont="1" applyFill="1" applyBorder="1" applyAlignment="1" applyProtection="1">
      <alignment horizontal="left"/>
    </xf>
    <xf numFmtId="0" fontId="26" fillId="2" borderId="0" xfId="1" applyFont="1" applyFill="1" applyAlignment="1">
      <alignment horizontal="center"/>
    </xf>
    <xf numFmtId="0" fontId="24" fillId="2" borderId="0" xfId="1" applyFont="1" applyFill="1" applyAlignment="1">
      <alignment horizontal="center"/>
    </xf>
    <xf numFmtId="49" fontId="26" fillId="0" borderId="0" xfId="0" applyNumberFormat="1" applyFont="1" applyAlignment="1">
      <alignment horizontal="right" vertical="top"/>
    </xf>
    <xf numFmtId="46" fontId="23" fillId="0" borderId="0" xfId="0" applyNumberFormat="1" applyFont="1"/>
    <xf numFmtId="166" fontId="23" fillId="0" borderId="0" xfId="0" applyNumberFormat="1" applyFont="1" applyAlignment="1">
      <alignment horizontal="center"/>
    </xf>
    <xf numFmtId="0" fontId="26" fillId="0" borderId="0" xfId="1" applyFont="1" applyAlignment="1">
      <alignment horizontal="center"/>
    </xf>
    <xf numFmtId="0" fontId="10" fillId="0" borderId="0" xfId="0" applyFont="1" applyFill="1" applyAlignment="1">
      <alignment horizontal="left"/>
    </xf>
    <xf numFmtId="0" fontId="10" fillId="0" borderId="0" xfId="0" applyFont="1" applyAlignment="1">
      <alignment horizontal="center" vertical="top"/>
    </xf>
    <xf numFmtId="0" fontId="9" fillId="0" borderId="0" xfId="0" applyFont="1" applyFill="1" applyAlignment="1">
      <alignment horizontal="centerContinuous"/>
    </xf>
    <xf numFmtId="0" fontId="9" fillId="0" borderId="0" xfId="0" applyFont="1" applyFill="1" applyAlignment="1">
      <alignment horizontal="right"/>
    </xf>
    <xf numFmtId="167" fontId="0" fillId="0" borderId="0" xfId="0" applyNumberFormat="1" applyFill="1" applyAlignment="1">
      <alignment horizontal="right"/>
    </xf>
    <xf numFmtId="167" fontId="0" fillId="0" borderId="0" xfId="0" applyNumberFormat="1" applyFill="1" applyAlignment="1">
      <alignment horizontal="left"/>
    </xf>
    <xf numFmtId="0" fontId="0" fillId="0" borderId="0" xfId="0" applyFill="1" applyAlignment="1">
      <alignment horizontal="centerContinuous"/>
    </xf>
    <xf numFmtId="164" fontId="0" fillId="0" borderId="0" xfId="0" applyNumberFormat="1" applyFill="1" applyAlignment="1">
      <alignment horizontal="centerContinuous"/>
    </xf>
    <xf numFmtId="167" fontId="3" fillId="0" borderId="1" xfId="0" applyNumberFormat="1" applyFont="1" applyFill="1" applyBorder="1" applyAlignment="1">
      <alignment horizontal="center" wrapText="1"/>
    </xf>
    <xf numFmtId="0" fontId="3" fillId="0" borderId="1" xfId="0" applyFont="1" applyFill="1" applyBorder="1" applyAlignment="1">
      <alignment horizontal="center" wrapText="1"/>
    </xf>
    <xf numFmtId="164" fontId="3" fillId="0" borderId="1" xfId="0" applyNumberFormat="1" applyFont="1" applyFill="1" applyBorder="1" applyAlignment="1">
      <alignment horizontal="center" wrapText="1"/>
    </xf>
    <xf numFmtId="167" fontId="10" fillId="0" borderId="0" xfId="0" applyNumberFormat="1" applyFont="1" applyFill="1" applyAlignment="1">
      <alignment horizontal="left"/>
    </xf>
    <xf numFmtId="167" fontId="10" fillId="0" borderId="0" xfId="0" quotePrefix="1" applyNumberFormat="1" applyFont="1" applyFill="1" applyAlignment="1">
      <alignment horizontal="left"/>
    </xf>
    <xf numFmtId="167" fontId="10" fillId="0" borderId="0" xfId="0" applyNumberFormat="1" applyFont="1" applyFill="1" applyBorder="1" applyAlignment="1">
      <alignment horizontal="right"/>
    </xf>
    <xf numFmtId="164" fontId="10" fillId="0" borderId="0" xfId="0" applyNumberFormat="1" applyFont="1" applyFill="1" applyBorder="1"/>
    <xf numFmtId="164" fontId="10" fillId="0" borderId="0" xfId="0" applyNumberFormat="1" applyFont="1" applyFill="1" applyBorder="1" applyAlignment="1">
      <alignment horizontal="right"/>
    </xf>
    <xf numFmtId="167" fontId="10" fillId="0" borderId="2" xfId="0" applyNumberFormat="1" applyFont="1" applyFill="1" applyBorder="1" applyAlignment="1">
      <alignment horizontal="right"/>
    </xf>
    <xf numFmtId="167" fontId="0" fillId="0" borderId="0" xfId="0" applyNumberFormat="1" applyFill="1"/>
    <xf numFmtId="0" fontId="0" fillId="0" borderId="0" xfId="0" applyFill="1"/>
    <xf numFmtId="167" fontId="16" fillId="0" borderId="0" xfId="0" applyNumberFormat="1" applyFont="1" applyFill="1" applyBorder="1" applyAlignment="1">
      <alignment horizontal="right" vertical="center" wrapText="1"/>
    </xf>
    <xf numFmtId="167" fontId="16" fillId="0" borderId="0" xfId="0" applyNumberFormat="1" applyFont="1" applyFill="1" applyBorder="1" applyAlignment="1">
      <alignment horizontal="left" vertical="center" wrapText="1"/>
    </xf>
    <xf numFmtId="167" fontId="9" fillId="0" borderId="0" xfId="0" applyNumberFormat="1" applyFont="1" applyFill="1" applyAlignment="1">
      <alignment horizontal="right"/>
    </xf>
    <xf numFmtId="167" fontId="9" fillId="0" borderId="0" xfId="0" applyNumberFormat="1" applyFont="1" applyFill="1" applyAlignment="1">
      <alignment horizontal="left"/>
    </xf>
    <xf numFmtId="167" fontId="9" fillId="0" borderId="0" xfId="0" applyNumberFormat="1" applyFont="1" applyFill="1"/>
    <xf numFmtId="167" fontId="10" fillId="0" borderId="0" xfId="0" applyNumberFormat="1" applyFont="1" applyFill="1"/>
    <xf numFmtId="167" fontId="9" fillId="0" borderId="0" xfId="0" applyNumberFormat="1" applyFont="1" applyFill="1" applyBorder="1" applyAlignment="1">
      <alignment horizontal="right"/>
    </xf>
    <xf numFmtId="167" fontId="10" fillId="0" borderId="0" xfId="2" applyNumberFormat="1" applyFont="1" applyFill="1" applyAlignment="1"/>
    <xf numFmtId="167" fontId="10" fillId="0" borderId="0" xfId="2" applyNumberFormat="1" applyFont="1" applyFill="1"/>
    <xf numFmtId="164" fontId="23" fillId="0" borderId="0" xfId="0" applyNumberFormat="1" applyFont="1" applyFill="1" applyAlignment="1">
      <alignment horizontal="right"/>
    </xf>
    <xf numFmtId="167" fontId="23" fillId="0" borderId="0" xfId="0" applyNumberFormat="1" applyFont="1" applyFill="1"/>
    <xf numFmtId="167" fontId="23" fillId="0" borderId="0" xfId="0" applyNumberFormat="1" applyFont="1" applyFill="1" applyAlignment="1">
      <alignment horizontal="left"/>
    </xf>
    <xf numFmtId="167" fontId="23" fillId="0" borderId="0" xfId="0" applyNumberFormat="1" applyFont="1" applyFill="1" applyAlignment="1">
      <alignment horizontal="right"/>
    </xf>
    <xf numFmtId="167" fontId="10" fillId="0" borderId="0" xfId="2" applyNumberFormat="1" applyFont="1" applyFill="1" applyAlignment="1">
      <alignment horizontal="right"/>
    </xf>
    <xf numFmtId="167" fontId="5" fillId="0" borderId="0" xfId="2" applyNumberFormat="1" applyFont="1" applyFill="1" applyAlignment="1">
      <alignment horizontal="right"/>
    </xf>
    <xf numFmtId="167" fontId="5" fillId="0" borderId="0" xfId="0" applyNumberFormat="1" applyFont="1" applyFill="1" applyAlignment="1">
      <alignment horizontal="left"/>
    </xf>
    <xf numFmtId="167" fontId="10" fillId="0" borderId="0" xfId="0" applyNumberFormat="1" applyFont="1" applyFill="1" applyBorder="1"/>
    <xf numFmtId="164" fontId="9" fillId="0" borderId="0" xfId="0" applyNumberFormat="1" applyFont="1" applyFill="1"/>
    <xf numFmtId="164" fontId="9" fillId="0" borderId="0" xfId="0" applyNumberFormat="1" applyFont="1" applyFill="1" applyAlignment="1">
      <alignment horizontal="right"/>
    </xf>
    <xf numFmtId="164" fontId="0" fillId="0" borderId="0" xfId="0" applyNumberFormat="1" applyFill="1"/>
    <xf numFmtId="0" fontId="9" fillId="0" borderId="0" xfId="0" applyFont="1" applyFill="1"/>
    <xf numFmtId="164" fontId="10" fillId="0" borderId="0" xfId="0" applyNumberFormat="1" applyFont="1" applyFill="1" applyAlignment="1">
      <alignment horizontal="center"/>
    </xf>
    <xf numFmtId="46" fontId="10" fillId="0" borderId="0" xfId="0" applyNumberFormat="1" applyFont="1" applyAlignment="1">
      <alignment horizontal="center"/>
    </xf>
    <xf numFmtId="0" fontId="28" fillId="0" borderId="0" xfId="0" applyFont="1"/>
    <xf numFmtId="0" fontId="28" fillId="0" borderId="0" xfId="0" applyFont="1" applyAlignment="1">
      <alignment horizontal="center"/>
    </xf>
    <xf numFmtId="0" fontId="29" fillId="0" borderId="0" xfId="1" applyNumberFormat="1" applyFont="1" applyFill="1" applyBorder="1" applyAlignment="1" applyProtection="1">
      <alignment horizontal="center"/>
    </xf>
    <xf numFmtId="0" fontId="28" fillId="0" borderId="0" xfId="1" applyNumberFormat="1" applyFont="1" applyFill="1" applyBorder="1" applyAlignment="1" applyProtection="1">
      <alignment horizontal="left"/>
    </xf>
    <xf numFmtId="0" fontId="28" fillId="0" borderId="0" xfId="1" quotePrefix="1" applyNumberFormat="1" applyFont="1" applyFill="1" applyBorder="1" applyAlignment="1" applyProtection="1">
      <alignment horizontal="center"/>
    </xf>
    <xf numFmtId="168" fontId="28" fillId="0" borderId="0" xfId="1" applyNumberFormat="1" applyFont="1" applyFill="1" applyBorder="1" applyAlignment="1" applyProtection="1">
      <alignment horizontal="center"/>
    </xf>
    <xf numFmtId="0" fontId="29" fillId="0" borderId="0" xfId="1" applyNumberFormat="1" applyFont="1" applyFill="1" applyBorder="1" applyAlignment="1" applyProtection="1">
      <alignment horizontal="left"/>
    </xf>
    <xf numFmtId="0" fontId="30" fillId="0" borderId="0" xfId="1" applyNumberFormat="1" applyFont="1" applyFill="1" applyBorder="1" applyAlignment="1" applyProtection="1">
      <alignment horizontal="center"/>
    </xf>
    <xf numFmtId="0" fontId="29" fillId="0" borderId="0" xfId="1" applyFont="1" applyAlignment="1">
      <alignment horizontal="center"/>
    </xf>
    <xf numFmtId="0" fontId="28" fillId="0" borderId="0" xfId="1" applyFont="1" applyAlignment="1">
      <alignment horizontal="center"/>
    </xf>
    <xf numFmtId="0" fontId="28" fillId="0" borderId="0" xfId="0" applyFont="1" applyAlignment="1">
      <alignment horizontal="left"/>
    </xf>
    <xf numFmtId="46" fontId="28" fillId="0" borderId="0" xfId="0" applyNumberFormat="1" applyFont="1"/>
    <xf numFmtId="166" fontId="28" fillId="0" borderId="0" xfId="0" applyNumberFormat="1" applyFont="1" applyAlignment="1">
      <alignment horizontal="center"/>
    </xf>
    <xf numFmtId="164" fontId="28" fillId="0" borderId="0" xfId="0" applyNumberFormat="1" applyFont="1" applyFill="1"/>
    <xf numFmtId="167" fontId="28" fillId="0" borderId="0" xfId="0" applyNumberFormat="1" applyFont="1" applyFill="1"/>
    <xf numFmtId="167" fontId="8" fillId="0" borderId="0" xfId="0" applyNumberFormat="1" applyFont="1" applyFill="1" applyAlignment="1">
      <alignment horizontal="left"/>
    </xf>
    <xf numFmtId="167" fontId="28" fillId="0" borderId="0" xfId="0" applyNumberFormat="1" applyFont="1" applyFill="1" applyAlignment="1">
      <alignment horizontal="right"/>
    </xf>
    <xf numFmtId="168" fontId="9" fillId="0" borderId="0" xfId="0" applyNumberFormat="1" applyFont="1" applyAlignment="1">
      <alignment horizontal="center"/>
    </xf>
    <xf numFmtId="46" fontId="0" fillId="0" borderId="0" xfId="0" applyNumberFormat="1"/>
    <xf numFmtId="46" fontId="10" fillId="0" borderId="0" xfId="0" applyNumberFormat="1" applyFont="1" applyAlignment="1">
      <alignment horizontal="right"/>
    </xf>
    <xf numFmtId="0" fontId="2" fillId="0" borderId="0" xfId="1" applyNumberFormat="1" applyFont="1" applyFill="1" applyBorder="1" applyAlignment="1" applyProtection="1">
      <alignment horizontal="center"/>
    </xf>
    <xf numFmtId="0" fontId="2" fillId="0" borderId="0" xfId="1" applyNumberFormat="1" applyFont="1" applyFill="1" applyBorder="1" applyAlignment="1" applyProtection="1">
      <alignment horizontal="left"/>
    </xf>
    <xf numFmtId="0" fontId="2" fillId="0" borderId="0" xfId="1" applyFont="1" applyAlignment="1">
      <alignment horizontal="center"/>
    </xf>
    <xf numFmtId="0" fontId="2" fillId="0" borderId="0" xfId="1" applyFont="1" applyAlignment="1">
      <alignment horizontal="left"/>
    </xf>
    <xf numFmtId="0" fontId="17" fillId="0" borderId="0" xfId="0" applyFont="1"/>
    <xf numFmtId="0" fontId="10" fillId="0" borderId="0" xfId="1" applyNumberFormat="1" applyFont="1" applyFill="1" applyBorder="1" applyAlignment="1" applyProtection="1"/>
    <xf numFmtId="0" fontId="10" fillId="0" borderId="0" xfId="1" applyNumberFormat="1" applyFont="1" applyFill="1" applyBorder="1" applyAlignment="1" applyProtection="1">
      <alignment horizontal="right"/>
    </xf>
    <xf numFmtId="22" fontId="9" fillId="0" borderId="0" xfId="0" applyNumberFormat="1" applyFont="1" applyFill="1"/>
    <xf numFmtId="164" fontId="5" fillId="0" borderId="0" xfId="0" applyNumberFormat="1" applyFont="1" applyFill="1" applyAlignment="1">
      <alignment horizontal="right"/>
    </xf>
    <xf numFmtId="0" fontId="31" fillId="0" borderId="2" xfId="5" applyFont="1" applyFill="1" applyBorder="1" applyAlignment="1">
      <alignment horizontal="right" wrapText="1"/>
    </xf>
    <xf numFmtId="0" fontId="2" fillId="2" borderId="0" xfId="1" applyFill="1" applyAlignment="1">
      <alignment horizontal="left"/>
    </xf>
    <xf numFmtId="0" fontId="32" fillId="0" borderId="0" xfId="1" applyFont="1" applyAlignment="1">
      <alignment horizontal="center"/>
    </xf>
    <xf numFmtId="0" fontId="11" fillId="0" borderId="0" xfId="0" applyFont="1"/>
    <xf numFmtId="22" fontId="10" fillId="0" borderId="0" xfId="0" applyNumberFormat="1" applyFont="1"/>
    <xf numFmtId="170" fontId="0" fillId="0" borderId="0" xfId="0" applyNumberFormat="1"/>
    <xf numFmtId="21" fontId="10" fillId="0" borderId="0" xfId="0" applyNumberFormat="1" applyFont="1" applyAlignment="1">
      <alignment horizontal="center"/>
    </xf>
    <xf numFmtId="0" fontId="33" fillId="0" borderId="0" xfId="0" applyFont="1" applyAlignment="1"/>
    <xf numFmtId="2" fontId="1" fillId="0" borderId="0" xfId="0" applyNumberFormat="1" applyFont="1" applyAlignment="1">
      <alignment horizontal="centerContinuous"/>
    </xf>
    <xf numFmtId="166" fontId="10" fillId="0" borderId="0" xfId="0" applyNumberFormat="1" applyFont="1" applyAlignment="1">
      <alignment horizontal="left"/>
    </xf>
    <xf numFmtId="167" fontId="10" fillId="0" borderId="2" xfId="0" applyNumberFormat="1" applyFont="1" applyFill="1" applyBorder="1"/>
    <xf numFmtId="0" fontId="31" fillId="0" borderId="0" xfId="5" applyFont="1" applyFill="1" applyBorder="1" applyAlignment="1">
      <alignment horizontal="right" wrapText="1"/>
    </xf>
    <xf numFmtId="167" fontId="9" fillId="0" borderId="0" xfId="0" applyNumberFormat="1" applyFont="1" applyFill="1" applyBorder="1"/>
    <xf numFmtId="0" fontId="0" fillId="0" borderId="0" xfId="0" applyFill="1" applyBorder="1"/>
  </cellXfs>
  <cellStyles count="6">
    <cellStyle name="Hyperlink" xfId="1" builtinId="8"/>
    <cellStyle name="Normal" xfId="0" builtinId="0"/>
    <cellStyle name="Normal 2" xfId="2" xr:uid="{00000000-0005-0000-0000-000002000000}"/>
    <cellStyle name="Normal 3" xfId="4" xr:uid="{00000000-0005-0000-0000-000003000000}"/>
    <cellStyle name="Normal_Events_1" xfId="3" xr:uid="{00000000-0005-0000-0000-000004000000}"/>
    <cellStyle name="Normal_Sheet1" xfId="5" xr:uid="{00000000-0005-0000-0000-000005000000}"/>
  </cellStyles>
  <dxfs count="254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ont>
        <b/>
        <i/>
      </font>
    </dxf>
    <dxf>
      <fill>
        <patternFill>
          <bgColor theme="9" tint="0.79998168889431442"/>
        </patternFill>
      </fill>
    </dxf>
    <dxf>
      <font>
        <b/>
        <i/>
      </font>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ont>
        <b/>
        <i/>
      </font>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ont>
        <b/>
        <i/>
      </font>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ont>
        <b/>
        <i/>
      </font>
    </dxf>
    <dxf>
      <font>
        <b/>
        <i/>
      </font>
    </dxf>
    <dxf>
      <fill>
        <patternFill>
          <bgColor theme="9" tint="0.79998168889431442"/>
        </patternFill>
      </fill>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ont>
        <b/>
        <i/>
      </font>
    </dxf>
    <dxf>
      <fill>
        <patternFill>
          <bgColor theme="9" tint="0.79998168889431442"/>
        </patternFill>
      </fill>
    </dxf>
    <dxf>
      <font>
        <strike val="0"/>
      </font>
      <fill>
        <patternFill>
          <bgColor theme="9" tint="0.79998168889431442"/>
        </patternFill>
      </fill>
    </dxf>
  </dxfs>
  <tableStyles count="1" defaultTableStyle="TableStyleMedium2" defaultPivotStyle="PivotStyleLight16">
    <tableStyle name="Table Style 1" pivot="0" count="1" xr9:uid="{00000000-0011-0000-FFFF-FFFF00000000}">
      <tableStyleElement type="firstRowStripe" dxfId="253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jergold@stanford.edu" TargetMode="External"/><Relationship Id="rId21" Type="http://schemas.openxmlformats.org/officeDocument/2006/relationships/hyperlink" Target="mailto:MaSi@natur.gl" TargetMode="External"/><Relationship Id="rId42" Type="http://schemas.openxmlformats.org/officeDocument/2006/relationships/hyperlink" Target="mailto:arsfried@ucsc.edu" TargetMode="External"/><Relationship Id="rId63" Type="http://schemas.openxmlformats.org/officeDocument/2006/relationships/hyperlink" Target="mailto:davecade@stanford.edu" TargetMode="External"/><Relationship Id="rId84" Type="http://schemas.openxmlformats.org/officeDocument/2006/relationships/hyperlink" Target="mailto:pponganis@ucsd.edu" TargetMode="External"/><Relationship Id="rId138" Type="http://schemas.openxmlformats.org/officeDocument/2006/relationships/hyperlink" Target="mailto:jergold@stanford.edu" TargetMode="External"/><Relationship Id="rId159" Type="http://schemas.openxmlformats.org/officeDocument/2006/relationships/printerSettings" Target="../printerSettings/printerSettings2.bin"/><Relationship Id="rId107" Type="http://schemas.openxmlformats.org/officeDocument/2006/relationships/hyperlink" Target="mailto:jergold@stanford.edu" TargetMode="External"/><Relationship Id="rId11" Type="http://schemas.openxmlformats.org/officeDocument/2006/relationships/hyperlink" Target="mailto:brandon.southall@sea-inc.net" TargetMode="External"/><Relationship Id="rId32" Type="http://schemas.openxmlformats.org/officeDocument/2006/relationships/hyperlink" Target="mailto:david.wiley@noaa.gov" TargetMode="External"/><Relationship Id="rId53" Type="http://schemas.openxmlformats.org/officeDocument/2006/relationships/hyperlink" Target="mailto:arsfried@ucsc.edu" TargetMode="External"/><Relationship Id="rId74" Type="http://schemas.openxmlformats.org/officeDocument/2006/relationships/hyperlink" Target="mailto:davecade@stanford.edu" TargetMode="External"/><Relationship Id="rId128" Type="http://schemas.openxmlformats.org/officeDocument/2006/relationships/hyperlink" Target="mailto:calambokidis@cascadiaresearch.org" TargetMode="External"/><Relationship Id="rId149" Type="http://schemas.openxmlformats.org/officeDocument/2006/relationships/hyperlink" Target="file:///C:/Users/Dave/AppData/Roaming/Microsoft/Excel/tag_data/bw180904-52%20(IOS_Monterey)/Pics&amp;Vids/drone" TargetMode="External"/><Relationship Id="rId5" Type="http://schemas.openxmlformats.org/officeDocument/2006/relationships/hyperlink" Target="file:///C:/Users/Dave/David%20Cade/AppData/Roaming/Microsoft/Excel/tag_data/mn161106-36b%20(South%20Africa)/mn161106-36b%20Video%20Audit.txt" TargetMode="External"/><Relationship Id="rId95" Type="http://schemas.openxmlformats.org/officeDocument/2006/relationships/hyperlink" Target="mailto:gwenpenry@gmail.com" TargetMode="External"/><Relationship Id="rId160" Type="http://schemas.openxmlformats.org/officeDocument/2006/relationships/vmlDrawing" Target="../drawings/vmlDrawing1.vml"/><Relationship Id="rId22" Type="http://schemas.openxmlformats.org/officeDocument/2006/relationships/hyperlink" Target="mailto:MaSi@natur.gl" TargetMode="External"/><Relationship Id="rId43" Type="http://schemas.openxmlformats.org/officeDocument/2006/relationships/hyperlink" Target="mailto:arsfried@ucsc.edu" TargetMode="External"/><Relationship Id="rId64" Type="http://schemas.openxmlformats.org/officeDocument/2006/relationships/hyperlink" Target="https://www.happywhale.com/individual/5174;enc=8507" TargetMode="External"/><Relationship Id="rId118" Type="http://schemas.openxmlformats.org/officeDocument/2006/relationships/hyperlink" Target="mailto:jergold@stanford.edu" TargetMode="External"/><Relationship Id="rId139" Type="http://schemas.openxmlformats.org/officeDocument/2006/relationships/hyperlink" Target="mailto:jergold@stanford.edu" TargetMode="External"/><Relationship Id="rId85" Type="http://schemas.openxmlformats.org/officeDocument/2006/relationships/hyperlink" Target="https://happywhale.com/individual/902;enc=27448" TargetMode="External"/><Relationship Id="rId150" Type="http://schemas.openxmlformats.org/officeDocument/2006/relationships/hyperlink" Target="file:///C:/Users/Dave/AppData/Roaming/Microsoft/Excel/tag_data/bw180904-52%20(IOS_Monterey)/Pics&amp;Vids/drone" TargetMode="External"/><Relationship Id="rId12" Type="http://schemas.openxmlformats.org/officeDocument/2006/relationships/hyperlink" Target="mailto:jergold@stanford.edu" TargetMode="External"/><Relationship Id="rId17" Type="http://schemas.openxmlformats.org/officeDocument/2006/relationships/hyperlink" Target="mailto:davecade@stanford.edu" TargetMode="External"/><Relationship Id="rId33" Type="http://schemas.openxmlformats.org/officeDocument/2006/relationships/hyperlink" Target="mailto:david.wiley@noaa.gov" TargetMode="External"/><Relationship Id="rId38" Type="http://schemas.openxmlformats.org/officeDocument/2006/relationships/hyperlink" Target="https://happywhale.com/encounter/27443;enc=27443" TargetMode="External"/><Relationship Id="rId59" Type="http://schemas.openxmlformats.org/officeDocument/2006/relationships/hyperlink" Target="mailto:davecade@stanford.edu" TargetMode="External"/><Relationship Id="rId103" Type="http://schemas.openxmlformats.org/officeDocument/2006/relationships/hyperlink" Target="mailto:jergold@stanford.edu" TargetMode="External"/><Relationship Id="rId108" Type="http://schemas.openxmlformats.org/officeDocument/2006/relationships/hyperlink" Target="mailto:jergold@stanford.edu" TargetMode="External"/><Relationship Id="rId124" Type="http://schemas.openxmlformats.org/officeDocument/2006/relationships/hyperlink" Target="file:///C:/Users/Dave/AppData/Roaming/Microsoft/Excel/tag_data/mn180831-11%20(IOS_Monterey)" TargetMode="External"/><Relationship Id="rId129" Type="http://schemas.openxmlformats.org/officeDocument/2006/relationships/hyperlink" Target="mailto:calambokidis@cascadiaresearch.org" TargetMode="External"/><Relationship Id="rId54" Type="http://schemas.openxmlformats.org/officeDocument/2006/relationships/hyperlink" Target="mailto:smseakamela@environment.gov.za" TargetMode="External"/><Relationship Id="rId70" Type="http://schemas.openxmlformats.org/officeDocument/2006/relationships/hyperlink" Target="mailto:davecade@stanford.edu" TargetMode="External"/><Relationship Id="rId75" Type="http://schemas.openxmlformats.org/officeDocument/2006/relationships/hyperlink" Target="mailto:davecade@stanford.edu" TargetMode="External"/><Relationship Id="rId91" Type="http://schemas.openxmlformats.org/officeDocument/2006/relationships/hyperlink" Target="mailto:gwenpenry@gmail.com" TargetMode="External"/><Relationship Id="rId96" Type="http://schemas.openxmlformats.org/officeDocument/2006/relationships/hyperlink" Target="mailto:davecade@stanford.edu" TargetMode="External"/><Relationship Id="rId140" Type="http://schemas.openxmlformats.org/officeDocument/2006/relationships/hyperlink" Target="mailto:jergold@stanford.edu" TargetMode="External"/><Relationship Id="rId145" Type="http://schemas.openxmlformats.org/officeDocument/2006/relationships/hyperlink" Target="mailto:jergold@stanford.edu" TargetMode="External"/><Relationship Id="rId161" Type="http://schemas.openxmlformats.org/officeDocument/2006/relationships/comments" Target="../comments1.xml"/><Relationship Id="rId1" Type="http://schemas.openxmlformats.org/officeDocument/2006/relationships/printerSettings" Target="../printerSettings/printerSettings1.bin"/><Relationship Id="rId6" Type="http://schemas.openxmlformats.org/officeDocument/2006/relationships/hyperlink" Target="mailto:davecade@stanford.edu" TargetMode="External"/><Relationship Id="rId23" Type="http://schemas.openxmlformats.org/officeDocument/2006/relationships/hyperlink" Target="mailto:davecade@stanford.edu" TargetMode="External"/><Relationship Id="rId28" Type="http://schemas.openxmlformats.org/officeDocument/2006/relationships/hyperlink" Target="https://happywhale.com/individual/3480;enc=27433" TargetMode="External"/><Relationship Id="rId49" Type="http://schemas.openxmlformats.org/officeDocument/2006/relationships/hyperlink" Target="mailto:arsfried@ucsc.edu" TargetMode="External"/><Relationship Id="rId114" Type="http://schemas.openxmlformats.org/officeDocument/2006/relationships/hyperlink" Target="mailto:jergold@stanford.edu" TargetMode="External"/><Relationship Id="rId119" Type="http://schemas.openxmlformats.org/officeDocument/2006/relationships/hyperlink" Target="mailto:jergold@stanford.edu" TargetMode="External"/><Relationship Id="rId44" Type="http://schemas.openxmlformats.org/officeDocument/2006/relationships/hyperlink" Target="mailto:calambokidis@cascadiaresearch.org" TargetMode="External"/><Relationship Id="rId60" Type="http://schemas.openxmlformats.org/officeDocument/2006/relationships/hyperlink" Target="mailto:davecade@stanford.edu" TargetMode="External"/><Relationship Id="rId65" Type="http://schemas.openxmlformats.org/officeDocument/2006/relationships/hyperlink" Target="https://www.happywhale.com/individual/3935;enc=8359" TargetMode="External"/><Relationship Id="rId81" Type="http://schemas.openxmlformats.org/officeDocument/2006/relationships/hyperlink" Target="mailto:davecade@stanford.edu" TargetMode="External"/><Relationship Id="rId86" Type="http://schemas.openxmlformats.org/officeDocument/2006/relationships/hyperlink" Target="mailto:calambokidis@cascadiaresearch.org" TargetMode="External"/><Relationship Id="rId130" Type="http://schemas.openxmlformats.org/officeDocument/2006/relationships/hyperlink" Target="mailto:pponganis@ucsd.edu" TargetMode="External"/><Relationship Id="rId135" Type="http://schemas.openxmlformats.org/officeDocument/2006/relationships/hyperlink" Target="mailto:davecade@stanford.edu" TargetMode="External"/><Relationship Id="rId151" Type="http://schemas.openxmlformats.org/officeDocument/2006/relationships/hyperlink" Target="file:///C:/Users/Dave/AppData/Roaming/Microsoft/Excel/tag_data/bw180904-52%20(IOS_Monterey)/Pics&amp;Vids/drone" TargetMode="External"/><Relationship Id="rId156" Type="http://schemas.openxmlformats.org/officeDocument/2006/relationships/hyperlink" Target="mailto:jergold@stanford.edu" TargetMode="External"/><Relationship Id="rId13" Type="http://schemas.openxmlformats.org/officeDocument/2006/relationships/hyperlink" Target="mailto:jergold@stanford.edu" TargetMode="External"/><Relationship Id="rId18" Type="http://schemas.openxmlformats.org/officeDocument/2006/relationships/hyperlink" Target="mailto:jergold@stanford.edu" TargetMode="External"/><Relationship Id="rId39" Type="http://schemas.openxmlformats.org/officeDocument/2006/relationships/hyperlink" Target="mailto:david.wiley@noaa.gov" TargetMode="External"/><Relationship Id="rId109" Type="http://schemas.openxmlformats.org/officeDocument/2006/relationships/hyperlink" Target="mailto:jergold@stanford.edu" TargetMode="External"/><Relationship Id="rId34" Type="http://schemas.openxmlformats.org/officeDocument/2006/relationships/hyperlink" Target="mailto:david.wiley@noaa.gov" TargetMode="External"/><Relationship Id="rId50" Type="http://schemas.openxmlformats.org/officeDocument/2006/relationships/hyperlink" Target="mailto:calambokidis@cascadiaresearch.org" TargetMode="External"/><Relationship Id="rId55" Type="http://schemas.openxmlformats.org/officeDocument/2006/relationships/hyperlink" Target="mailto:smseakamela@environment.gov.za" TargetMode="External"/><Relationship Id="rId76" Type="http://schemas.openxmlformats.org/officeDocument/2006/relationships/hyperlink" Target="mailto:davecade@stanford.edu" TargetMode="External"/><Relationship Id="rId97" Type="http://schemas.openxmlformats.org/officeDocument/2006/relationships/hyperlink" Target="mailto:davecade@stanford.edu" TargetMode="External"/><Relationship Id="rId104" Type="http://schemas.openxmlformats.org/officeDocument/2006/relationships/hyperlink" Target="mailto:jergold@stanford.edu" TargetMode="External"/><Relationship Id="rId120" Type="http://schemas.openxmlformats.org/officeDocument/2006/relationships/hyperlink" Target="mailto:pponganis@ucsd.edu" TargetMode="External"/><Relationship Id="rId125" Type="http://schemas.openxmlformats.org/officeDocument/2006/relationships/hyperlink" Target="file:///C:/Users/Dave/AppData/Roaming/Microsoft/Excel/tag_data_raw/IOS_Scaling/2018/mn180831-11" TargetMode="External"/><Relationship Id="rId141" Type="http://schemas.openxmlformats.org/officeDocument/2006/relationships/hyperlink" Target="mailto:jergold@stanford.edu" TargetMode="External"/><Relationship Id="rId146" Type="http://schemas.openxmlformats.org/officeDocument/2006/relationships/hyperlink" Target="mailto:jergold@stanford.edu" TargetMode="External"/><Relationship Id="rId7" Type="http://schemas.openxmlformats.org/officeDocument/2006/relationships/hyperlink" Target="mailto:jergold@stanford.edu" TargetMode="External"/><Relationship Id="rId71" Type="http://schemas.openxmlformats.org/officeDocument/2006/relationships/hyperlink" Target="mailto:davecade@stanford.edu" TargetMode="External"/><Relationship Id="rId92" Type="http://schemas.openxmlformats.org/officeDocument/2006/relationships/hyperlink" Target="mailto:gwenpenry@gmail.com" TargetMode="External"/><Relationship Id="rId2" Type="http://schemas.openxmlformats.org/officeDocument/2006/relationships/hyperlink" Target="file:///C:/Users/Dave/David%20Cade/AppData/Roaming/Microsoft/Excel/tag_data/oo160125-10%20(Norway)/Video%20Audit.txt" TargetMode="External"/><Relationship Id="rId29" Type="http://schemas.openxmlformats.org/officeDocument/2006/relationships/hyperlink" Target="https://happywhale.com/individual/11159;enc=27432" TargetMode="External"/><Relationship Id="rId24" Type="http://schemas.openxmlformats.org/officeDocument/2006/relationships/hyperlink" Target="mailto:davecade@stanford.edu" TargetMode="External"/><Relationship Id="rId40" Type="http://schemas.openxmlformats.org/officeDocument/2006/relationships/hyperlink" Target="mailto:david.wiley@noaa.gov" TargetMode="External"/><Relationship Id="rId45" Type="http://schemas.openxmlformats.org/officeDocument/2006/relationships/hyperlink" Target="mailto:calambokidis@cascadiaresearch.org" TargetMode="External"/><Relationship Id="rId66" Type="http://schemas.openxmlformats.org/officeDocument/2006/relationships/hyperlink" Target="https://www.happywhale.com/individual/5199;enc=8537" TargetMode="External"/><Relationship Id="rId87" Type="http://schemas.openxmlformats.org/officeDocument/2006/relationships/hyperlink" Target="mailto:gwenpenry@gmail.com" TargetMode="External"/><Relationship Id="rId110" Type="http://schemas.openxmlformats.org/officeDocument/2006/relationships/hyperlink" Target="mailto:jergold@stanford.edu" TargetMode="External"/><Relationship Id="rId115" Type="http://schemas.openxmlformats.org/officeDocument/2006/relationships/hyperlink" Target="mailto:jergold@stanford.edu" TargetMode="External"/><Relationship Id="rId131" Type="http://schemas.openxmlformats.org/officeDocument/2006/relationships/hyperlink" Target="mailto:jergold@stanford.edu" TargetMode="External"/><Relationship Id="rId136" Type="http://schemas.openxmlformats.org/officeDocument/2006/relationships/hyperlink" Target="mailto:davecade@stanford.edu" TargetMode="External"/><Relationship Id="rId157" Type="http://schemas.openxmlformats.org/officeDocument/2006/relationships/hyperlink" Target="https://happywhale.com/individual/7521;enc=27451" TargetMode="External"/><Relationship Id="rId61" Type="http://schemas.openxmlformats.org/officeDocument/2006/relationships/hyperlink" Target="mailto:davecade@stanford.edu" TargetMode="External"/><Relationship Id="rId82" Type="http://schemas.openxmlformats.org/officeDocument/2006/relationships/hyperlink" Target="mailto:pponganis@ucsd.edu" TargetMode="External"/><Relationship Id="rId152" Type="http://schemas.openxmlformats.org/officeDocument/2006/relationships/hyperlink" Target="file:///C:/Users/Dave/AppData/Roaming/Microsoft/Excel/tag_data/bw180904-52%20(IOS_Monterey)/Pics&amp;Vids/drone" TargetMode="External"/><Relationship Id="rId19" Type="http://schemas.openxmlformats.org/officeDocument/2006/relationships/hyperlink" Target="mailto:jergold@stanford.edu" TargetMode="External"/><Relationship Id="rId14" Type="http://schemas.openxmlformats.org/officeDocument/2006/relationships/hyperlink" Target="mailto:calambokidis@cascadiaresearch.org" TargetMode="External"/><Relationship Id="rId30" Type="http://schemas.openxmlformats.org/officeDocument/2006/relationships/hyperlink" Target="mailto:david.wiley@noaa.gov" TargetMode="External"/><Relationship Id="rId35" Type="http://schemas.openxmlformats.org/officeDocument/2006/relationships/hyperlink" Target="mailto:david.wiley@noaa.gov" TargetMode="External"/><Relationship Id="rId56" Type="http://schemas.openxmlformats.org/officeDocument/2006/relationships/hyperlink" Target="mailto:smseakamela@environment.gov.za" TargetMode="External"/><Relationship Id="rId77" Type="http://schemas.openxmlformats.org/officeDocument/2006/relationships/hyperlink" Target="mailto:davecade@stanford.edu" TargetMode="External"/><Relationship Id="rId100" Type="http://schemas.openxmlformats.org/officeDocument/2006/relationships/hyperlink" Target="mailto:jergold@stanford.edu" TargetMode="External"/><Relationship Id="rId105" Type="http://schemas.openxmlformats.org/officeDocument/2006/relationships/hyperlink" Target="mailto:jergold@stanford.edu" TargetMode="External"/><Relationship Id="rId126" Type="http://schemas.openxmlformats.org/officeDocument/2006/relationships/hyperlink" Target="file:///C:/Users/Dave/AppData/Roaming/Microsoft/Excel/tag_data/mn180831-11%20(IOS_Monterey)/mn180831-11%20Map.bmp" TargetMode="External"/><Relationship Id="rId147" Type="http://schemas.openxmlformats.org/officeDocument/2006/relationships/hyperlink" Target="mailto:jergold@stanford.edu" TargetMode="External"/><Relationship Id="rId8" Type="http://schemas.openxmlformats.org/officeDocument/2006/relationships/hyperlink" Target="mailto:jergold@stanford.edu" TargetMode="External"/><Relationship Id="rId51" Type="http://schemas.openxmlformats.org/officeDocument/2006/relationships/hyperlink" Target="mailto:arsfried@ucsc.edu" TargetMode="External"/><Relationship Id="rId72" Type="http://schemas.openxmlformats.org/officeDocument/2006/relationships/hyperlink" Target="mailto:davecade@stanford.edu" TargetMode="External"/><Relationship Id="rId93" Type="http://schemas.openxmlformats.org/officeDocument/2006/relationships/hyperlink" Target="mailto:gwenpenry@gmail.com" TargetMode="External"/><Relationship Id="rId98" Type="http://schemas.openxmlformats.org/officeDocument/2006/relationships/hyperlink" Target="mailto:jergold@stanford.edu" TargetMode="External"/><Relationship Id="rId121" Type="http://schemas.openxmlformats.org/officeDocument/2006/relationships/hyperlink" Target="mailto:pponganis@ucsd.edu" TargetMode="External"/><Relationship Id="rId142" Type="http://schemas.openxmlformats.org/officeDocument/2006/relationships/hyperlink" Target="mailto:jergold@stanford.edu" TargetMode="External"/><Relationship Id="rId3" Type="http://schemas.openxmlformats.org/officeDocument/2006/relationships/hyperlink" Target="file:///C:/Users/Dave/David%20Cade/AppData/Roaming/Microsoft/Excel/tag_data/mn161107-36b%20(South%20Africa)/mn161107-36b%20Video%20Audit.txt" TargetMode="External"/><Relationship Id="rId25" Type="http://schemas.openxmlformats.org/officeDocument/2006/relationships/hyperlink" Target="https://happywhale.com/individual/10979;enc=27438" TargetMode="External"/><Relationship Id="rId46" Type="http://schemas.openxmlformats.org/officeDocument/2006/relationships/hyperlink" Target="mailto:calambokidis@cascadiaresearch.org" TargetMode="External"/><Relationship Id="rId67" Type="http://schemas.openxmlformats.org/officeDocument/2006/relationships/hyperlink" Target="mailto:davecade@stanford.edu" TargetMode="External"/><Relationship Id="rId116" Type="http://schemas.openxmlformats.org/officeDocument/2006/relationships/hyperlink" Target="mailto:jergold@stanford.edu" TargetMode="External"/><Relationship Id="rId137" Type="http://schemas.openxmlformats.org/officeDocument/2006/relationships/hyperlink" Target="mailto:pponganis@ucsd.edu" TargetMode="External"/><Relationship Id="rId158" Type="http://schemas.openxmlformats.org/officeDocument/2006/relationships/hyperlink" Target="https://happywhale.com/individual/3480;enc=27433" TargetMode="External"/><Relationship Id="rId20" Type="http://schemas.openxmlformats.org/officeDocument/2006/relationships/hyperlink" Target="mailto:jergold@stanford.edu" TargetMode="External"/><Relationship Id="rId41" Type="http://schemas.openxmlformats.org/officeDocument/2006/relationships/hyperlink" Target="mailto:david.wiley@noaa.gov" TargetMode="External"/><Relationship Id="rId62" Type="http://schemas.openxmlformats.org/officeDocument/2006/relationships/hyperlink" Target="mailto:davecade@stanford.edu" TargetMode="External"/><Relationship Id="rId83" Type="http://schemas.openxmlformats.org/officeDocument/2006/relationships/hyperlink" Target="mailto:pponganis@ucsd.edu" TargetMode="External"/><Relationship Id="rId88" Type="http://schemas.openxmlformats.org/officeDocument/2006/relationships/hyperlink" Target="mailto:gwenpenry@gmail.com" TargetMode="External"/><Relationship Id="rId111" Type="http://schemas.openxmlformats.org/officeDocument/2006/relationships/hyperlink" Target="mailto:jergold@stanford.edu" TargetMode="External"/><Relationship Id="rId132" Type="http://schemas.openxmlformats.org/officeDocument/2006/relationships/hyperlink" Target="mailto:jergold@stanford.edu" TargetMode="External"/><Relationship Id="rId153" Type="http://schemas.openxmlformats.org/officeDocument/2006/relationships/hyperlink" Target="file:///C:/Users/Dave/AppData/Roaming/Microsoft/Excel/tag_data/bw180904-52%20(IOS_Monterey)/Pics&amp;Vids/drone" TargetMode="External"/><Relationship Id="rId15" Type="http://schemas.openxmlformats.org/officeDocument/2006/relationships/hyperlink" Target="mailto:calambokidis@cascadiaresearch.org" TargetMode="External"/><Relationship Id="rId36" Type="http://schemas.openxmlformats.org/officeDocument/2006/relationships/hyperlink" Target="mailto:david.wiley@noaa.gov" TargetMode="External"/><Relationship Id="rId57" Type="http://schemas.openxmlformats.org/officeDocument/2006/relationships/hyperlink" Target="mailto:davecade@stanford.edu" TargetMode="External"/><Relationship Id="rId106" Type="http://schemas.openxmlformats.org/officeDocument/2006/relationships/hyperlink" Target="mailto:jergold@stanford.edu" TargetMode="External"/><Relationship Id="rId127" Type="http://schemas.openxmlformats.org/officeDocument/2006/relationships/hyperlink" Target="mailto:jergold@stanford.edu" TargetMode="External"/><Relationship Id="rId10" Type="http://schemas.openxmlformats.org/officeDocument/2006/relationships/hyperlink" Target="mailto:calambokidis@cascadiaresearch.org" TargetMode="External"/><Relationship Id="rId31" Type="http://schemas.openxmlformats.org/officeDocument/2006/relationships/hyperlink" Target="mailto:david.wiley@noaa.gov" TargetMode="External"/><Relationship Id="rId52" Type="http://schemas.openxmlformats.org/officeDocument/2006/relationships/hyperlink" Target="mailto:arsfried@ucsc.edu" TargetMode="External"/><Relationship Id="rId73" Type="http://schemas.openxmlformats.org/officeDocument/2006/relationships/hyperlink" Target="mailto:davecade@stanford.edu" TargetMode="External"/><Relationship Id="rId78" Type="http://schemas.openxmlformats.org/officeDocument/2006/relationships/hyperlink" Target="mailto:davecade@stanford.edu" TargetMode="External"/><Relationship Id="rId94" Type="http://schemas.openxmlformats.org/officeDocument/2006/relationships/hyperlink" Target="mailto:gwenpenry@gmail.com" TargetMode="External"/><Relationship Id="rId99" Type="http://schemas.openxmlformats.org/officeDocument/2006/relationships/hyperlink" Target="mailto:jergold@stanford.edu" TargetMode="External"/><Relationship Id="rId101" Type="http://schemas.openxmlformats.org/officeDocument/2006/relationships/hyperlink" Target="mailto:jergold@stanford.edu" TargetMode="External"/><Relationship Id="rId122" Type="http://schemas.openxmlformats.org/officeDocument/2006/relationships/hyperlink" Target="mailto:pponganis@ucsd.edu" TargetMode="External"/><Relationship Id="rId143" Type="http://schemas.openxmlformats.org/officeDocument/2006/relationships/hyperlink" Target="mailto:jergold@stanford.edu" TargetMode="External"/><Relationship Id="rId148" Type="http://schemas.openxmlformats.org/officeDocument/2006/relationships/hyperlink" Target="mailto:jergold@stanford.edu" TargetMode="External"/><Relationship Id="rId4" Type="http://schemas.openxmlformats.org/officeDocument/2006/relationships/hyperlink" Target="file:///C:/Users/Dave/David%20Cade/AppData/Roaming/Microsoft/Excel/tag_data/mn161107-36a%20(South%20Africa)/mn161107-36a%20Video%20Audit.txt" TargetMode="External"/><Relationship Id="rId9" Type="http://schemas.openxmlformats.org/officeDocument/2006/relationships/hyperlink" Target="mailto:calambokidis@cascadiaresearch.org" TargetMode="External"/><Relationship Id="rId26" Type="http://schemas.openxmlformats.org/officeDocument/2006/relationships/hyperlink" Target="https://happywhale.com/individual/902;enc=27448" TargetMode="External"/><Relationship Id="rId47" Type="http://schemas.openxmlformats.org/officeDocument/2006/relationships/hyperlink" Target="mailto:calambokidis@cascadiaresearch.org" TargetMode="External"/><Relationship Id="rId68" Type="http://schemas.openxmlformats.org/officeDocument/2006/relationships/hyperlink" Target="mailto:davecade@stanford.edu" TargetMode="External"/><Relationship Id="rId89" Type="http://schemas.openxmlformats.org/officeDocument/2006/relationships/hyperlink" Target="mailto:gwenpenry@gmail.com" TargetMode="External"/><Relationship Id="rId112" Type="http://schemas.openxmlformats.org/officeDocument/2006/relationships/hyperlink" Target="mailto:pponganis@ucsd.edu" TargetMode="External"/><Relationship Id="rId133" Type="http://schemas.openxmlformats.org/officeDocument/2006/relationships/hyperlink" Target="mailto:davecade@stanford.edu" TargetMode="External"/><Relationship Id="rId154" Type="http://schemas.openxmlformats.org/officeDocument/2006/relationships/hyperlink" Target="file:///C:/Users/Dave/AppData/Roaming/Microsoft/Excel/tag_data/bw180904-52%20(IOS_Monterey)/Pics&amp;Vids/drone" TargetMode="External"/><Relationship Id="rId16" Type="http://schemas.openxmlformats.org/officeDocument/2006/relationships/hyperlink" Target="mailto:brandon.southall@sea-inc.net" TargetMode="External"/><Relationship Id="rId37" Type="http://schemas.openxmlformats.org/officeDocument/2006/relationships/hyperlink" Target="https://happywhale.com/encounter/27440;enc=27440" TargetMode="External"/><Relationship Id="rId58" Type="http://schemas.openxmlformats.org/officeDocument/2006/relationships/hyperlink" Target="mailto:davecade@stanford.edu" TargetMode="External"/><Relationship Id="rId79" Type="http://schemas.openxmlformats.org/officeDocument/2006/relationships/hyperlink" Target="mailto:davecade@stanford.edu" TargetMode="External"/><Relationship Id="rId102" Type="http://schemas.openxmlformats.org/officeDocument/2006/relationships/hyperlink" Target="mailto:jergold@stanford.edu" TargetMode="External"/><Relationship Id="rId123" Type="http://schemas.openxmlformats.org/officeDocument/2006/relationships/hyperlink" Target="mailto:jergold@stanford.edu" TargetMode="External"/><Relationship Id="rId144" Type="http://schemas.openxmlformats.org/officeDocument/2006/relationships/hyperlink" Target="mailto:jergold@stanford.edu" TargetMode="External"/><Relationship Id="rId90" Type="http://schemas.openxmlformats.org/officeDocument/2006/relationships/hyperlink" Target="mailto:gwenpenry@gmail.com" TargetMode="External"/><Relationship Id="rId27" Type="http://schemas.openxmlformats.org/officeDocument/2006/relationships/hyperlink" Target="https://happywhale.com/individual/7621;enc=27450" TargetMode="External"/><Relationship Id="rId48" Type="http://schemas.openxmlformats.org/officeDocument/2006/relationships/hyperlink" Target="mailto:arsfried@ucsc.edu" TargetMode="External"/><Relationship Id="rId69" Type="http://schemas.openxmlformats.org/officeDocument/2006/relationships/hyperlink" Target="mailto:davecade@stanford.edu" TargetMode="External"/><Relationship Id="rId113" Type="http://schemas.openxmlformats.org/officeDocument/2006/relationships/hyperlink" Target="mailto:jergold@stanford.edu" TargetMode="External"/><Relationship Id="rId134" Type="http://schemas.openxmlformats.org/officeDocument/2006/relationships/hyperlink" Target="mailto:davecade@stanford.edu" TargetMode="External"/><Relationship Id="rId80" Type="http://schemas.openxmlformats.org/officeDocument/2006/relationships/hyperlink" Target="mailto:davecade@stanford.edu" TargetMode="External"/><Relationship Id="rId155" Type="http://schemas.openxmlformats.org/officeDocument/2006/relationships/hyperlink" Target="mailto:jergold@stanford.edu"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jergold@stanford.edu" TargetMode="External"/><Relationship Id="rId7" Type="http://schemas.openxmlformats.org/officeDocument/2006/relationships/hyperlink" Target="http://www.cascadiaresearch.org/" TargetMode="External"/><Relationship Id="rId2" Type="http://schemas.openxmlformats.org/officeDocument/2006/relationships/hyperlink" Target="mailto:jergold@stanford.edu" TargetMode="External"/><Relationship Id="rId1" Type="http://schemas.openxmlformats.org/officeDocument/2006/relationships/hyperlink" Target="mailto:davecade@stanford.edu" TargetMode="External"/><Relationship Id="rId6" Type="http://schemas.openxmlformats.org/officeDocument/2006/relationships/hyperlink" Target="mailto:brandon.southall@sea-inc.net" TargetMode="External"/><Relationship Id="rId5" Type="http://schemas.openxmlformats.org/officeDocument/2006/relationships/hyperlink" Target="mailto:MaSi@natur.gl" TargetMode="External"/><Relationship Id="rId4" Type="http://schemas.openxmlformats.org/officeDocument/2006/relationships/hyperlink" Target="mailto:calambokidis@cascadiaresearch.org"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BG508"/>
  <sheetViews>
    <sheetView tabSelected="1" zoomScaleNormal="100" workbookViewId="0">
      <pane xSplit="1" ySplit="3" topLeftCell="B4" activePane="bottomRight" state="frozen"/>
      <selection pane="topRight" activeCell="B1" sqref="B1"/>
      <selection pane="bottomLeft" activeCell="A4" sqref="A4"/>
      <selection pane="bottomRight" activeCell="I21" sqref="I21"/>
    </sheetView>
  </sheetViews>
  <sheetFormatPr baseColWidth="10" defaultColWidth="8.83203125" defaultRowHeight="15"/>
  <cols>
    <col min="1" max="1" width="13.5" customWidth="1"/>
    <col min="2" max="2" width="5.6640625" style="25" customWidth="1"/>
    <col min="3" max="3" width="13.6640625" customWidth="1"/>
    <col min="4" max="4" width="8.6640625" style="45" customWidth="1"/>
    <col min="5" max="5" width="8.33203125" style="37" customWidth="1"/>
    <col min="6" max="6" width="4.6640625" style="88" customWidth="1"/>
    <col min="7" max="7" width="7.6640625" style="58" customWidth="1"/>
    <col min="8" max="8" width="4.6640625" style="25" customWidth="1"/>
    <col min="9" max="9" width="10" style="25" customWidth="1" collapsed="1"/>
    <col min="10" max="10" width="5.33203125" style="25" customWidth="1" collapsed="1"/>
    <col min="11" max="11" width="6.33203125" style="25" customWidth="1"/>
    <col min="12" max="12" width="6.5" style="25" customWidth="1"/>
    <col min="13" max="13" width="7.33203125" style="25" customWidth="1"/>
    <col min="14" max="14" width="6.33203125" style="25" customWidth="1"/>
    <col min="15" max="15" width="12" style="25" customWidth="1"/>
    <col min="16" max="16" width="7.33203125" style="25" customWidth="1"/>
    <col min="17" max="17" width="5" style="25" customWidth="1"/>
    <col min="18" max="18" width="13.1640625" customWidth="1"/>
    <col min="19" max="19" width="8.1640625" customWidth="1"/>
    <col min="20" max="20" width="9.6640625" customWidth="1"/>
    <col min="21" max="21" width="10.33203125" customWidth="1"/>
    <col min="22" max="22" width="8.83203125" customWidth="1"/>
    <col min="23" max="23" width="8.83203125" style="25" customWidth="1"/>
    <col min="24" max="24" width="5" style="25" customWidth="1"/>
    <col min="25" max="25" width="6.33203125" style="25" customWidth="1"/>
    <col min="26" max="26" width="5.5" style="25" customWidth="1"/>
    <col min="27" max="27" width="5.33203125" style="25" customWidth="1"/>
    <col min="28" max="28" width="10.6640625" style="25" bestFit="1" customWidth="1"/>
    <col min="29" max="29" width="4.83203125" style="25" customWidth="1"/>
    <col min="30" max="30" width="9.6640625" style="25" customWidth="1"/>
    <col min="31" max="31" width="5.6640625" style="25" customWidth="1"/>
    <col min="32" max="32" width="7.6640625" style="25" customWidth="1"/>
    <col min="33" max="33" width="9.33203125" style="25" customWidth="1"/>
    <col min="34" max="34" width="7.33203125" style="25" customWidth="1"/>
    <col min="35" max="35" width="6.33203125" style="25" customWidth="1"/>
    <col min="36" max="36" width="8.6640625" style="25" customWidth="1"/>
    <col min="37" max="37" width="7.6640625" style="25" customWidth="1"/>
    <col min="38" max="38" width="5.6640625" style="25" customWidth="1"/>
    <col min="39" max="39" width="9.5" style="25" customWidth="1"/>
    <col min="40" max="40" width="11.33203125" customWidth="1"/>
    <col min="41" max="41" width="20" customWidth="1"/>
    <col min="42" max="42" width="15.5" style="170" customWidth="1"/>
    <col min="43" max="43" width="15.6640625" style="170" customWidth="1"/>
    <col min="44" max="44" width="15.5" style="170" customWidth="1"/>
    <col min="45" max="45" width="15.5" style="134" customWidth="1"/>
    <col min="46" max="46" width="9.6640625" style="135" customWidth="1"/>
    <col min="47" max="47" width="10.5" style="135" customWidth="1"/>
    <col min="48" max="48" width="9.5" style="136" customWidth="1"/>
    <col min="49" max="49" width="8.6640625" style="149" customWidth="1"/>
    <col min="50" max="50" width="16.33203125" style="169" customWidth="1"/>
    <col min="51" max="51" width="12.33203125" style="135" bestFit="1" customWidth="1"/>
    <col min="52" max="52" width="13.6640625" style="135" customWidth="1"/>
    <col min="53" max="53" width="194.33203125" bestFit="1" customWidth="1"/>
    <col min="54" max="54" width="183.33203125" bestFit="1" customWidth="1"/>
  </cols>
  <sheetData>
    <row r="1" spans="1:59" ht="24">
      <c r="A1" s="9"/>
      <c r="B1" s="47"/>
      <c r="C1" s="27" t="s">
        <v>287</v>
      </c>
      <c r="D1" s="66"/>
      <c r="F1" s="83"/>
      <c r="G1" s="57"/>
      <c r="J1" s="27"/>
      <c r="L1" s="27"/>
      <c r="M1" s="27"/>
      <c r="N1" s="28"/>
      <c r="O1" s="28"/>
      <c r="P1" s="28"/>
      <c r="Q1" s="28"/>
      <c r="R1" s="10"/>
      <c r="S1" s="210"/>
      <c r="T1" s="11"/>
      <c r="U1" s="11"/>
      <c r="V1" s="11"/>
      <c r="AN1" s="11"/>
      <c r="AO1" s="10"/>
      <c r="AP1" s="133"/>
      <c r="AQ1" s="133"/>
      <c r="AR1" s="133"/>
      <c r="AW1" s="137"/>
      <c r="AX1" s="138"/>
      <c r="BA1" s="11"/>
      <c r="BB1" s="11"/>
    </row>
    <row r="2" spans="1:59" ht="16.75" hidden="1" customHeight="1">
      <c r="A2" s="9"/>
      <c r="B2" s="47"/>
      <c r="C2" s="27"/>
      <c r="D2" s="66"/>
      <c r="F2" s="83"/>
      <c r="G2" s="57"/>
      <c r="J2" s="27"/>
      <c r="L2" s="27"/>
      <c r="M2" s="27"/>
      <c r="N2" s="28"/>
      <c r="O2" s="28"/>
      <c r="P2" s="28"/>
      <c r="Q2" s="28"/>
      <c r="R2" s="10"/>
      <c r="S2" s="10"/>
      <c r="T2" s="11"/>
      <c r="U2" s="11"/>
      <c r="V2" s="11"/>
      <c r="AN2" s="11"/>
      <c r="AO2" s="10"/>
      <c r="AP2" s="133"/>
      <c r="AQ2" s="133"/>
      <c r="AR2" s="133"/>
      <c r="AW2" s="137"/>
      <c r="AX2" s="138"/>
      <c r="BA2" s="11"/>
      <c r="BB2" s="11"/>
    </row>
    <row r="3" spans="1:59" s="4" customFormat="1" ht="55.25" customHeight="1">
      <c r="A3" s="5" t="s">
        <v>72</v>
      </c>
      <c r="B3" s="5" t="s">
        <v>260</v>
      </c>
      <c r="C3" s="5" t="s">
        <v>278</v>
      </c>
      <c r="D3" s="48" t="s">
        <v>464</v>
      </c>
      <c r="E3" s="48" t="s">
        <v>469</v>
      </c>
      <c r="F3" s="84" t="s">
        <v>477</v>
      </c>
      <c r="G3" s="5" t="s">
        <v>454</v>
      </c>
      <c r="H3" s="5" t="s">
        <v>249</v>
      </c>
      <c r="I3" s="5" t="s">
        <v>251</v>
      </c>
      <c r="J3" s="5" t="s">
        <v>252</v>
      </c>
      <c r="K3" s="5" t="s">
        <v>253</v>
      </c>
      <c r="L3" s="5" t="s">
        <v>557</v>
      </c>
      <c r="M3" s="5" t="s">
        <v>406</v>
      </c>
      <c r="N3" s="5" t="s">
        <v>262</v>
      </c>
      <c r="O3" s="5" t="s">
        <v>1160</v>
      </c>
      <c r="P3" s="5" t="s">
        <v>388</v>
      </c>
      <c r="Q3" s="5" t="s">
        <v>254</v>
      </c>
      <c r="R3" s="5" t="s">
        <v>84</v>
      </c>
      <c r="S3" s="5" t="s">
        <v>1417</v>
      </c>
      <c r="T3" s="5" t="s">
        <v>248</v>
      </c>
      <c r="U3" s="5" t="s">
        <v>302</v>
      </c>
      <c r="V3" s="24" t="s">
        <v>1169</v>
      </c>
      <c r="W3" s="5" t="s">
        <v>255</v>
      </c>
      <c r="X3" s="5" t="s">
        <v>250</v>
      </c>
      <c r="Y3" s="5" t="s">
        <v>279</v>
      </c>
      <c r="Z3" s="5" t="s">
        <v>246</v>
      </c>
      <c r="AA3" s="5" t="s">
        <v>265</v>
      </c>
      <c r="AB3" s="5" t="s">
        <v>27</v>
      </c>
      <c r="AC3" s="5" t="s">
        <v>1080</v>
      </c>
      <c r="AD3" s="5" t="s">
        <v>245</v>
      </c>
      <c r="AE3" s="5" t="s">
        <v>236</v>
      </c>
      <c r="AF3" s="5" t="s">
        <v>244</v>
      </c>
      <c r="AG3" s="5" t="s">
        <v>237</v>
      </c>
      <c r="AH3" s="5" t="s">
        <v>243</v>
      </c>
      <c r="AI3" s="5" t="s">
        <v>242</v>
      </c>
      <c r="AJ3" s="5" t="s">
        <v>240</v>
      </c>
      <c r="AK3" s="5" t="s">
        <v>241</v>
      </c>
      <c r="AL3" s="5" t="s">
        <v>238</v>
      </c>
      <c r="AM3" s="5" t="s">
        <v>239</v>
      </c>
      <c r="AN3" s="5" t="s">
        <v>247</v>
      </c>
      <c r="AO3" s="5" t="s">
        <v>78</v>
      </c>
      <c r="AP3" s="24" t="s">
        <v>136</v>
      </c>
      <c r="AQ3" s="24" t="s">
        <v>88</v>
      </c>
      <c r="AR3" s="24" t="s">
        <v>89</v>
      </c>
      <c r="AS3" s="24" t="s">
        <v>135</v>
      </c>
      <c r="AT3" s="139" t="s">
        <v>348</v>
      </c>
      <c r="AU3" s="139" t="s">
        <v>349</v>
      </c>
      <c r="AV3" s="139" t="s">
        <v>353</v>
      </c>
      <c r="AW3" s="140" t="s">
        <v>269</v>
      </c>
      <c r="AX3" s="141" t="s">
        <v>352</v>
      </c>
      <c r="AY3" s="139" t="s">
        <v>350</v>
      </c>
      <c r="AZ3" s="139" t="s">
        <v>351</v>
      </c>
      <c r="BA3" s="53" t="s">
        <v>126</v>
      </c>
      <c r="BB3" s="53" t="s">
        <v>103</v>
      </c>
      <c r="BC3" s="43"/>
      <c r="BD3" s="43"/>
      <c r="BE3" s="43"/>
      <c r="BF3" s="43"/>
      <c r="BG3" s="43"/>
    </row>
    <row r="4" spans="1:59">
      <c r="A4" s="55" t="str">
        <f>HYPERLINK("tag_data/Quicklook/bb180125-30Quicklook.jpg","bb180125-30")</f>
        <v>bb180125-30</v>
      </c>
      <c r="B4" s="26" t="s">
        <v>640</v>
      </c>
      <c r="C4" s="46" t="str">
        <f>HYPERLINK("location data/Antarctic/2018/One Ocean","Antarctic")</f>
        <v>Antarctic</v>
      </c>
      <c r="D4" s="64" t="s">
        <v>641</v>
      </c>
      <c r="E4" s="61" t="s">
        <v>656</v>
      </c>
      <c r="F4" s="85">
        <v>-3</v>
      </c>
      <c r="G4" s="60" t="s">
        <v>459</v>
      </c>
      <c r="H4" s="31" t="s">
        <v>39</v>
      </c>
      <c r="I4" s="72" t="str">
        <f>HYPERLINK("tag_data/bb180125-30 (Antarctic)","Link")</f>
        <v>Link</v>
      </c>
      <c r="J4" s="72" t="str">
        <f>HYPERLINK("tag_data_raw/Antarctic/2018/bb180125-30","Link")</f>
        <v>Link</v>
      </c>
      <c r="K4" s="73" t="str">
        <f>HYPERLINK("tag_data/bb180125-30 (Antarctic)/Pics&amp;Vids","Link")</f>
        <v>Link</v>
      </c>
      <c r="L4" s="46" t="str">
        <f>HYPERLINK("location data/Antarctic/2018/Pics&amp;Vids/01.25/Videos/Chris/MINKE-TAGGING-MVI_2744.mov","Link")</f>
        <v>Link</v>
      </c>
      <c r="M4" s="82" t="s">
        <v>263</v>
      </c>
      <c r="N4" s="82" t="s">
        <v>263</v>
      </c>
      <c r="O4" s="31" t="s">
        <v>642</v>
      </c>
      <c r="P4" s="31" t="s">
        <v>39</v>
      </c>
      <c r="Q4" s="31">
        <v>30</v>
      </c>
      <c r="R4" s="32" t="s">
        <v>306</v>
      </c>
      <c r="S4" s="32" t="str">
        <f t="shared" ref="S4:S37" si="0">IF(OR(Q4&lt;38,Q4=50,Q4=51,AND(OR(Q4=46,Q4=47),AQ4&gt;43313)),"Cam Mic",IF(AND(Q4&lt;45,AQ4&lt;42958),"Dolphin Ear",IF(AND(Q4&gt;44,NOT(OR(Q4=46,Q4=47,Q4=50,Q4=51))),"HTI","None")))</f>
        <v>Cam Mic</v>
      </c>
      <c r="T4" s="32" t="s">
        <v>650</v>
      </c>
      <c r="U4" s="17">
        <f t="shared" ref="U4:U35" si="1">AR4-AQ4</f>
        <v>0.335694444438559</v>
      </c>
      <c r="V4" s="17">
        <f>MIN(AR4,AS4)-MAX(AP4,AQ4)</f>
        <v>0.335694444438559</v>
      </c>
      <c r="W4" s="56">
        <v>0.16619212962962962</v>
      </c>
      <c r="X4" s="31">
        <v>0</v>
      </c>
      <c r="Y4" s="54" t="str">
        <f>HYPERLINK("tag_data/bb180125-30 (Antarctic)/bb180125-30 audit.xlsx","Link")</f>
        <v>Link</v>
      </c>
      <c r="Z4" s="31" t="s">
        <v>39</v>
      </c>
      <c r="AA4" s="31" t="s">
        <v>39</v>
      </c>
      <c r="AB4" s="31" t="s">
        <v>277</v>
      </c>
      <c r="AC4" s="31" t="s">
        <v>41</v>
      </c>
      <c r="AD4" s="31" t="s">
        <v>39</v>
      </c>
      <c r="AE4" s="31" t="s">
        <v>266</v>
      </c>
      <c r="AF4" s="31" t="s">
        <v>41</v>
      </c>
      <c r="AG4" s="31" t="s">
        <v>39</v>
      </c>
      <c r="AH4" s="31" t="s">
        <v>39</v>
      </c>
      <c r="AI4" s="31" t="s">
        <v>39</v>
      </c>
      <c r="AJ4" s="31" t="s">
        <v>39</v>
      </c>
      <c r="AK4" s="33" t="s">
        <v>645</v>
      </c>
      <c r="AL4" s="31" t="s">
        <v>39</v>
      </c>
      <c r="AM4" s="31" t="s">
        <v>646</v>
      </c>
      <c r="AN4" s="32" t="s">
        <v>647</v>
      </c>
      <c r="AO4" s="32" t="s">
        <v>655</v>
      </c>
      <c r="AP4" s="30">
        <v>43125.617800925924</v>
      </c>
      <c r="AQ4" s="30">
        <v>43125.620497685188</v>
      </c>
      <c r="AR4" s="30">
        <v>43125.956192129626</v>
      </c>
      <c r="AS4" s="92" t="s">
        <v>651</v>
      </c>
      <c r="AT4" s="107">
        <f>-65-10.58/60</f>
        <v>-65.176333333333332</v>
      </c>
      <c r="AU4" s="107">
        <f>-64-7.26/60</f>
        <v>-64.120999999999995</v>
      </c>
      <c r="AV4" s="142" t="s">
        <v>659</v>
      </c>
      <c r="AW4" s="142" t="s">
        <v>659</v>
      </c>
      <c r="AX4" s="30">
        <v>43126.261655092596</v>
      </c>
      <c r="AY4" s="157">
        <v>-65.165125270999994</v>
      </c>
      <c r="AZ4" s="157">
        <v>-64.132954916000003</v>
      </c>
      <c r="BA4" s="32" t="s">
        <v>654</v>
      </c>
      <c r="BB4" s="49" t="s">
        <v>653</v>
      </c>
      <c r="BC4" s="7"/>
      <c r="BD4" s="7"/>
      <c r="BE4" s="7"/>
      <c r="BF4" s="7"/>
      <c r="BG4" s="7"/>
    </row>
    <row r="5" spans="1:59">
      <c r="A5" s="55" t="str">
        <f>HYPERLINK("tag_data/Quicklook/bb180227-45Quicklook.jpg","bb180227-45")</f>
        <v>bb180227-45</v>
      </c>
      <c r="B5" s="26" t="s">
        <v>640</v>
      </c>
      <c r="C5" s="46" t="str">
        <f t="shared" ref="C5:C13" si="2">HYPERLINK("location data/Antarctic/2018/NSF","Antarctic")</f>
        <v>Antarctic</v>
      </c>
      <c r="D5" s="64" t="s">
        <v>713</v>
      </c>
      <c r="E5" s="61" t="s">
        <v>714</v>
      </c>
      <c r="F5" s="85">
        <v>-3</v>
      </c>
      <c r="G5" s="60" t="s">
        <v>459</v>
      </c>
      <c r="H5" s="31" t="s">
        <v>39</v>
      </c>
      <c r="I5" s="72" t="str">
        <f>HYPERLINK("tag_data/bb180227-45 (Antarctic)","Link")</f>
        <v>Link</v>
      </c>
      <c r="J5" s="72" t="str">
        <f>HYPERLINK("tag_data_raw/Antarctic/2018/NSF/bb180227-45","Link")</f>
        <v>Link</v>
      </c>
      <c r="K5" s="82" t="s">
        <v>263</v>
      </c>
      <c r="L5" s="82" t="s">
        <v>263</v>
      </c>
      <c r="M5" s="82" t="s">
        <v>263</v>
      </c>
      <c r="N5" s="73" t="str">
        <f t="shared" ref="N5:N13" si="3">HYPERLINK("location data/Antarctic/2018/NSF","Link")</f>
        <v>Link</v>
      </c>
      <c r="O5" s="31" t="s">
        <v>45</v>
      </c>
      <c r="P5" s="31" t="s">
        <v>41</v>
      </c>
      <c r="Q5" s="31">
        <v>45</v>
      </c>
      <c r="R5" s="32" t="s">
        <v>347</v>
      </c>
      <c r="S5" s="32" t="str">
        <f t="shared" si="0"/>
        <v>HTI</v>
      </c>
      <c r="T5" s="32" t="s">
        <v>38</v>
      </c>
      <c r="U5" s="95">
        <f t="shared" si="1"/>
        <v>1.7244907407366554</v>
      </c>
      <c r="V5" s="95">
        <f>MIN(AR5,AS5)-MAX(AP5,AQ5)</f>
        <v>1.2377314814802958</v>
      </c>
      <c r="W5" s="56">
        <v>0.32776620370370368</v>
      </c>
      <c r="X5" s="54" t="str">
        <f>HYPERLINK("tag_data/bb180227-45 (Antarctic)/bb180227-45 Map.bmp","58")</f>
        <v>58</v>
      </c>
      <c r="Y5" s="54" t="str">
        <f>HYPERLINK("tag_data/bb180227-45 (Antarctic)/bb180227-45 VidAudit.txt","Link")</f>
        <v>Link</v>
      </c>
      <c r="Z5" s="93" t="s">
        <v>39</v>
      </c>
      <c r="AA5" s="93" t="s">
        <v>39</v>
      </c>
      <c r="AB5" s="93" t="s">
        <v>277</v>
      </c>
      <c r="AC5" s="93" t="s">
        <v>39</v>
      </c>
      <c r="AD5" s="31" t="s">
        <v>39</v>
      </c>
      <c r="AE5" s="31" t="s">
        <v>266</v>
      </c>
      <c r="AF5" s="31" t="s">
        <v>39</v>
      </c>
      <c r="AG5" s="31" t="s">
        <v>39</v>
      </c>
      <c r="AH5" s="33" t="s">
        <v>481</v>
      </c>
      <c r="AI5" s="31" t="s">
        <v>39</v>
      </c>
      <c r="AJ5" s="31" t="s">
        <v>41</v>
      </c>
      <c r="AK5" s="31" t="s">
        <v>41</v>
      </c>
      <c r="AL5" s="31" t="s">
        <v>41</v>
      </c>
      <c r="AM5" s="31" t="s">
        <v>41</v>
      </c>
      <c r="AN5" s="32" t="s">
        <v>760</v>
      </c>
      <c r="AO5" s="32" t="s">
        <v>715</v>
      </c>
      <c r="AP5" s="30">
        <v>43158.586168981485</v>
      </c>
      <c r="AQ5" s="30">
        <v>43158.629675925928</v>
      </c>
      <c r="AR5" s="30">
        <v>43160.354166666664</v>
      </c>
      <c r="AS5" s="30">
        <v>43159.867407407408</v>
      </c>
      <c r="AT5" s="107">
        <v>-64.827691528000003</v>
      </c>
      <c r="AU5" s="107">
        <v>-62.626935895000003</v>
      </c>
      <c r="AV5" s="142" t="s">
        <v>689</v>
      </c>
      <c r="AW5" s="106" t="s">
        <v>689</v>
      </c>
      <c r="AX5" s="30">
        <v>43160.366666666669</v>
      </c>
      <c r="AY5" s="107">
        <f>-64-52.65/60</f>
        <v>-64.877499999999998</v>
      </c>
      <c r="AZ5" s="107">
        <f>-62-27.68/60</f>
        <v>-62.461333333333336</v>
      </c>
      <c r="BA5" s="32" t="s">
        <v>762</v>
      </c>
      <c r="BB5" s="49" t="s">
        <v>1257</v>
      </c>
      <c r="BC5" s="7"/>
      <c r="BD5" s="7"/>
      <c r="BE5" s="7"/>
      <c r="BF5" s="7"/>
      <c r="BG5" s="7"/>
    </row>
    <row r="6" spans="1:59">
      <c r="A6" s="55" t="str">
        <f>HYPERLINK("tag_data/Quicklook/bb180228-42Quicklook.jpg","bb180228-42")</f>
        <v>bb180228-42</v>
      </c>
      <c r="B6" s="26" t="s">
        <v>640</v>
      </c>
      <c r="C6" s="46" t="str">
        <f t="shared" si="2"/>
        <v>Antarctic</v>
      </c>
      <c r="D6" s="64" t="s">
        <v>713</v>
      </c>
      <c r="E6" s="61" t="s">
        <v>714</v>
      </c>
      <c r="F6" s="85">
        <v>-3</v>
      </c>
      <c r="G6" s="60" t="s">
        <v>459</v>
      </c>
      <c r="H6" s="31" t="s">
        <v>39</v>
      </c>
      <c r="I6" s="72" t="str">
        <f>HYPERLINK("tag_data/bb180228-42 (Antarctic)","Link")</f>
        <v>Link</v>
      </c>
      <c r="J6" s="72" t="str">
        <f>HYPERLINK("tag_data_raw/Antarctic/2018/NSF/bb180228-42","Link")</f>
        <v>Link</v>
      </c>
      <c r="K6" s="73" t="str">
        <f>HYPERLINK("tag_data/bb180228-42 (Antarctic)/Pics&amp;Vids","Link")</f>
        <v>Link</v>
      </c>
      <c r="L6" s="82" t="s">
        <v>263</v>
      </c>
      <c r="M6" s="82" t="s">
        <v>263</v>
      </c>
      <c r="N6" s="73" t="str">
        <f t="shared" si="3"/>
        <v>Link</v>
      </c>
      <c r="O6" s="31" t="s">
        <v>45</v>
      </c>
      <c r="P6" s="31" t="s">
        <v>41</v>
      </c>
      <c r="Q6" s="31">
        <v>42</v>
      </c>
      <c r="R6" s="32" t="s">
        <v>347</v>
      </c>
      <c r="S6" s="32" t="str">
        <f t="shared" si="0"/>
        <v>None</v>
      </c>
      <c r="T6" s="32" t="s">
        <v>38</v>
      </c>
      <c r="U6" s="95">
        <f t="shared" si="1"/>
        <v>0.747314814812853</v>
      </c>
      <c r="V6" s="95">
        <f>MIN(AR6,AS6)-MAX(AP6,AQ6)</f>
        <v>0.747314814812853</v>
      </c>
      <c r="W6" s="56">
        <v>0.26745370370370369</v>
      </c>
      <c r="X6" s="54" t="str">
        <f>HYPERLINK("tag_data/bb180228-42 (Antarctic)/bb180228-42 Map.bmp","533")</f>
        <v>533</v>
      </c>
      <c r="Y6" s="54" t="str">
        <f>HYPERLINK("tag_data/bb180228-42 (Antarctic)/bb180228-42 VidAudit.txt","Link")</f>
        <v>Link</v>
      </c>
      <c r="Z6" s="93" t="s">
        <v>39</v>
      </c>
      <c r="AA6" s="93" t="s">
        <v>39</v>
      </c>
      <c r="AB6" s="93" t="s">
        <v>277</v>
      </c>
      <c r="AC6" s="93" t="s">
        <v>39</v>
      </c>
      <c r="AD6" s="31" t="s">
        <v>39</v>
      </c>
      <c r="AE6" s="31" t="s">
        <v>41</v>
      </c>
      <c r="AF6" s="31" t="s">
        <v>39</v>
      </c>
      <c r="AG6" s="31" t="s">
        <v>266</v>
      </c>
      <c r="AH6" s="33" t="s">
        <v>643</v>
      </c>
      <c r="AI6" s="31" t="s">
        <v>39</v>
      </c>
      <c r="AJ6" s="31" t="s">
        <v>39</v>
      </c>
      <c r="AK6" s="31" t="s">
        <v>41</v>
      </c>
      <c r="AL6" s="31" t="s">
        <v>41</v>
      </c>
      <c r="AM6" s="31" t="s">
        <v>41</v>
      </c>
      <c r="AN6" s="32" t="s">
        <v>758</v>
      </c>
      <c r="AO6" s="32" t="s">
        <v>715</v>
      </c>
      <c r="AP6" s="30">
        <v>43159.567314814813</v>
      </c>
      <c r="AQ6" s="30">
        <v>43159.648217592592</v>
      </c>
      <c r="AR6" s="30">
        <v>43160.395532407405</v>
      </c>
      <c r="AS6" s="92" t="s">
        <v>651</v>
      </c>
      <c r="AT6" s="152">
        <v>-64.853005760000002</v>
      </c>
      <c r="AU6" s="152">
        <v>-62.527428944</v>
      </c>
      <c r="AV6" s="142" t="s">
        <v>689</v>
      </c>
      <c r="AW6" s="106" t="s">
        <v>658</v>
      </c>
      <c r="AX6" s="30">
        <v>43160.530555555553</v>
      </c>
      <c r="AY6" s="107">
        <v>-64.866870000000006</v>
      </c>
      <c r="AZ6" s="107">
        <v>-62.491250000000001</v>
      </c>
      <c r="BA6" s="32" t="s">
        <v>759</v>
      </c>
      <c r="BB6" s="49" t="s">
        <v>1258</v>
      </c>
      <c r="BC6" s="7"/>
      <c r="BD6" s="7"/>
      <c r="BE6" s="7"/>
      <c r="BF6" s="7"/>
      <c r="BG6" s="7"/>
    </row>
    <row r="7" spans="1:59">
      <c r="A7" s="49" t="s">
        <v>716</v>
      </c>
      <c r="B7" s="31" t="s">
        <v>640</v>
      </c>
      <c r="C7" s="46" t="str">
        <f t="shared" si="2"/>
        <v>Antarctic</v>
      </c>
      <c r="D7" s="64" t="s">
        <v>713</v>
      </c>
      <c r="E7" s="61" t="s">
        <v>714</v>
      </c>
      <c r="F7" s="85">
        <v>-3</v>
      </c>
      <c r="G7" s="60" t="s">
        <v>459</v>
      </c>
      <c r="H7" s="31" t="s">
        <v>41</v>
      </c>
      <c r="I7" s="78" t="s">
        <v>786</v>
      </c>
      <c r="J7" s="78" t="s">
        <v>786</v>
      </c>
      <c r="K7" s="78" t="s">
        <v>786</v>
      </c>
      <c r="L7" s="73" t="str">
        <f>HYPERLINK("location data/Antarctic/2018/NSF/Pics&amp;Vids/Deployment Vids/MinkeTagOn-Apple Devices HD (bb0228-50).m4v","Link")</f>
        <v>Link</v>
      </c>
      <c r="M7" s="82" t="s">
        <v>263</v>
      </c>
      <c r="N7" s="73" t="str">
        <f t="shared" si="3"/>
        <v>Link</v>
      </c>
      <c r="O7" s="31" t="s">
        <v>45</v>
      </c>
      <c r="P7" s="31" t="s">
        <v>41</v>
      </c>
      <c r="Q7" s="31">
        <v>50</v>
      </c>
      <c r="R7" s="32" t="s">
        <v>475</v>
      </c>
      <c r="S7" s="32" t="str">
        <f t="shared" si="0"/>
        <v>Cam Mic</v>
      </c>
      <c r="T7" s="32" t="s">
        <v>786</v>
      </c>
      <c r="U7" s="95">
        <f t="shared" si="1"/>
        <v>0.25833333333139308</v>
      </c>
      <c r="V7" s="56" t="s">
        <v>786</v>
      </c>
      <c r="W7" s="56" t="s">
        <v>786</v>
      </c>
      <c r="X7" s="56" t="s">
        <v>786</v>
      </c>
      <c r="Y7" s="56" t="s">
        <v>786</v>
      </c>
      <c r="Z7" s="56" t="s">
        <v>786</v>
      </c>
      <c r="AA7" s="56" t="s">
        <v>786</v>
      </c>
      <c r="AB7" s="56" t="s">
        <v>786</v>
      </c>
      <c r="AC7" s="56" t="s">
        <v>39</v>
      </c>
      <c r="AD7" s="56" t="s">
        <v>786</v>
      </c>
      <c r="AE7" s="56" t="s">
        <v>786</v>
      </c>
      <c r="AF7" s="56" t="s">
        <v>786</v>
      </c>
      <c r="AG7" s="56" t="s">
        <v>786</v>
      </c>
      <c r="AH7" s="56" t="s">
        <v>786</v>
      </c>
      <c r="AI7" s="56" t="s">
        <v>786</v>
      </c>
      <c r="AJ7" s="56" t="s">
        <v>786</v>
      </c>
      <c r="AK7" s="56" t="s">
        <v>786</v>
      </c>
      <c r="AL7" s="56" t="s">
        <v>786</v>
      </c>
      <c r="AM7" s="56" t="s">
        <v>786</v>
      </c>
      <c r="AN7" s="56" t="s">
        <v>786</v>
      </c>
      <c r="AO7" s="32" t="s">
        <v>715</v>
      </c>
      <c r="AP7" s="30"/>
      <c r="AQ7" s="30">
        <v>43159.654861111114</v>
      </c>
      <c r="AR7" s="30">
        <v>43159.913194444445</v>
      </c>
      <c r="AS7" s="92"/>
      <c r="AT7" s="152"/>
      <c r="AU7" s="152"/>
      <c r="AV7" s="142" t="s">
        <v>689</v>
      </c>
      <c r="AW7" s="106" t="s">
        <v>796</v>
      </c>
      <c r="AX7" s="30" t="s">
        <v>1000</v>
      </c>
      <c r="AY7" s="107"/>
      <c r="AZ7" s="107"/>
      <c r="BA7" s="32" t="s">
        <v>797</v>
      </c>
      <c r="BB7" s="49"/>
      <c r="BC7" s="32"/>
      <c r="BD7" s="32"/>
      <c r="BE7" s="7"/>
      <c r="BF7" s="7"/>
      <c r="BG7" s="7"/>
    </row>
    <row r="8" spans="1:59">
      <c r="A8" s="55" t="str">
        <f>HYPERLINK("tag_data/Quicklook/bb180304-40Quicklook.jpg","bb180304-40")</f>
        <v>bb180304-40</v>
      </c>
      <c r="B8" s="26" t="s">
        <v>640</v>
      </c>
      <c r="C8" s="46" t="str">
        <f t="shared" si="2"/>
        <v>Antarctic</v>
      </c>
      <c r="D8" s="64" t="s">
        <v>713</v>
      </c>
      <c r="E8" s="61" t="s">
        <v>714</v>
      </c>
      <c r="F8" s="85">
        <v>-3</v>
      </c>
      <c r="G8" s="60" t="s">
        <v>459</v>
      </c>
      <c r="H8" s="31" t="s">
        <v>39</v>
      </c>
      <c r="I8" s="72" t="str">
        <f>HYPERLINK("tag_data/bb180304-40 (Antarctic)","Link")</f>
        <v>Link</v>
      </c>
      <c r="J8" s="72" t="str">
        <f>HYPERLINK("tag_data_raw/Antarctic/2018/NSF/bb180304-40","Link")</f>
        <v>Link</v>
      </c>
      <c r="K8" s="73" t="str">
        <f>HYPERLINK("tag_data/bb180304-40 (Antarctic)/Pics&amp;Vids","Link")</f>
        <v>Link</v>
      </c>
      <c r="L8" s="46" t="str">
        <f>HYPERLINK("location data/Antarctic/2018/NSF/Pics&amp;Vids/Deployment Vids/GH010925 (bb0305-47).MP4","Link")</f>
        <v>Link</v>
      </c>
      <c r="M8" s="82" t="s">
        <v>263</v>
      </c>
      <c r="N8" s="73" t="str">
        <f t="shared" si="3"/>
        <v>Link</v>
      </c>
      <c r="O8" s="31" t="s">
        <v>45</v>
      </c>
      <c r="P8" s="31" t="s">
        <v>41</v>
      </c>
      <c r="Q8" s="31">
        <v>40</v>
      </c>
      <c r="R8" s="32" t="s">
        <v>347</v>
      </c>
      <c r="S8" s="32" t="str">
        <f t="shared" si="0"/>
        <v>None</v>
      </c>
      <c r="T8" s="32" t="s">
        <v>737</v>
      </c>
      <c r="U8" s="95">
        <f t="shared" si="1"/>
        <v>1.2776041666729725</v>
      </c>
      <c r="V8" s="95">
        <f t="shared" ref="V8:V52" si="4">MIN(AR8,AS8)-MAX(AP8,AQ8)</f>
        <v>1.2776041666729725</v>
      </c>
      <c r="W8" s="56">
        <v>0.41158564814814813</v>
      </c>
      <c r="X8" s="93">
        <v>0</v>
      </c>
      <c r="Y8" s="72" t="str">
        <f>HYPERLINK("tag_data/bb180304-40 (Antarctic)/bb180304-40.boris","Boris")</f>
        <v>Boris</v>
      </c>
      <c r="Z8" s="93" t="s">
        <v>39</v>
      </c>
      <c r="AA8" s="93" t="s">
        <v>39</v>
      </c>
      <c r="AB8" s="93" t="s">
        <v>277</v>
      </c>
      <c r="AC8" s="93" t="s">
        <v>41</v>
      </c>
      <c r="AD8" s="31" t="s">
        <v>39</v>
      </c>
      <c r="AE8" s="31" t="s">
        <v>41</v>
      </c>
      <c r="AF8" s="31" t="s">
        <v>266</v>
      </c>
      <c r="AG8" s="31" t="s">
        <v>266</v>
      </c>
      <c r="AH8" s="31" t="s">
        <v>39</v>
      </c>
      <c r="AI8" s="31" t="s">
        <v>39</v>
      </c>
      <c r="AJ8" s="31" t="s">
        <v>39</v>
      </c>
      <c r="AK8" s="31" t="s">
        <v>41</v>
      </c>
      <c r="AL8" s="31" t="s">
        <v>41</v>
      </c>
      <c r="AM8" s="31" t="s">
        <v>41</v>
      </c>
      <c r="AN8" s="32" t="s">
        <v>738</v>
      </c>
      <c r="AO8" s="32" t="s">
        <v>746</v>
      </c>
      <c r="AP8" s="30">
        <v>43163.612569444442</v>
      </c>
      <c r="AQ8" s="30">
        <v>43163.61614583333</v>
      </c>
      <c r="AR8" s="30">
        <v>43164.893750000003</v>
      </c>
      <c r="AS8" s="92" t="s">
        <v>651</v>
      </c>
      <c r="AT8" s="107">
        <v>-64.844059999999999</v>
      </c>
      <c r="AU8" s="107">
        <v>-62.861020000000003</v>
      </c>
      <c r="AV8" s="142" t="s">
        <v>689</v>
      </c>
      <c r="AW8" s="106" t="s">
        <v>689</v>
      </c>
      <c r="AX8" s="30">
        <v>43165.4375</v>
      </c>
      <c r="AY8" s="107">
        <f>-64 - 54.821/60</f>
        <v>-64.913683333333339</v>
      </c>
      <c r="AZ8" s="107">
        <f>-63 -12.711/60</f>
        <v>-63.211849999999998</v>
      </c>
      <c r="BA8" s="32" t="s">
        <v>739</v>
      </c>
      <c r="BB8" s="49" t="s">
        <v>1259</v>
      </c>
      <c r="BC8" s="7"/>
      <c r="BD8" s="7"/>
      <c r="BE8" s="7"/>
      <c r="BF8" s="7"/>
      <c r="BG8" s="7"/>
    </row>
    <row r="9" spans="1:59">
      <c r="A9" s="55" t="str">
        <f>HYPERLINK("tag_data/Quicklook/bb180304-42Quicklook.jpg","bb180304-42")</f>
        <v>bb180304-42</v>
      </c>
      <c r="B9" s="26" t="s">
        <v>640</v>
      </c>
      <c r="C9" s="46" t="str">
        <f t="shared" si="2"/>
        <v>Antarctic</v>
      </c>
      <c r="D9" s="64" t="s">
        <v>713</v>
      </c>
      <c r="E9" s="61" t="s">
        <v>714</v>
      </c>
      <c r="F9" s="85">
        <v>-3</v>
      </c>
      <c r="G9" s="60" t="s">
        <v>459</v>
      </c>
      <c r="H9" s="31" t="s">
        <v>39</v>
      </c>
      <c r="I9" s="72" t="str">
        <f>HYPERLINK("tag_data/bb180304-42 (Antarctic)","Link")</f>
        <v>Link</v>
      </c>
      <c r="J9" s="72" t="str">
        <f>HYPERLINK("tag_data_raw/Antarctic/2018/NSF/bb180304-42","Link")</f>
        <v>Link</v>
      </c>
      <c r="K9" s="73" t="str">
        <f>HYPERLINK("tag_data/bb180304-42 (Antarctic)/Pics&amp;Vids","Link")</f>
        <v>Link</v>
      </c>
      <c r="L9" s="73" t="str">
        <f>HYPERLINK("location data/Antarctic/2018/NSF/Pics&amp;Vids/Deployment Vids/IMG_4718 (bb0304-42).m4v","Link")</f>
        <v>Link</v>
      </c>
      <c r="M9" s="73" t="str">
        <f>HYPERLINK("tag_data/bb180304-42 (Antarctic)/Pics&amp;Vids/drone","8.04 m")</f>
        <v>8.04 m</v>
      </c>
      <c r="N9" s="73" t="str">
        <f t="shared" si="3"/>
        <v>Link</v>
      </c>
      <c r="O9" s="31" t="s">
        <v>45</v>
      </c>
      <c r="P9" s="31" t="s">
        <v>266</v>
      </c>
      <c r="Q9" s="31">
        <v>42</v>
      </c>
      <c r="R9" s="32" t="s">
        <v>347</v>
      </c>
      <c r="S9" s="32" t="str">
        <f t="shared" si="0"/>
        <v>None</v>
      </c>
      <c r="T9" s="32" t="s">
        <v>732</v>
      </c>
      <c r="U9" s="95">
        <f t="shared" si="1"/>
        <v>0.12392361110687489</v>
      </c>
      <c r="V9" s="95">
        <f t="shared" si="4"/>
        <v>0.12392361110687489</v>
      </c>
      <c r="W9" s="56">
        <v>7.7546296296296294E-2</v>
      </c>
      <c r="X9" s="54" t="str">
        <f>HYPERLINK("tag_data/bb180304-42 (Antarctic)/bb180304-42 Map.bmp","104")</f>
        <v>104</v>
      </c>
      <c r="Y9" s="54" t="str">
        <f>HYPERLINK("tag_data/bb180304-42 (Antarctic)/bb180304-42 (Antarctic).boris","Boris")</f>
        <v>Boris</v>
      </c>
      <c r="Z9" s="93" t="s">
        <v>39</v>
      </c>
      <c r="AA9" s="93" t="s">
        <v>39</v>
      </c>
      <c r="AB9" s="93" t="s">
        <v>277</v>
      </c>
      <c r="AC9" s="93" t="s">
        <v>39</v>
      </c>
      <c r="AD9" s="31" t="s">
        <v>39</v>
      </c>
      <c r="AE9" s="31" t="s">
        <v>41</v>
      </c>
      <c r="AF9" s="31" t="s">
        <v>39</v>
      </c>
      <c r="AG9" s="31" t="s">
        <v>266</v>
      </c>
      <c r="AH9" s="33" t="s">
        <v>643</v>
      </c>
      <c r="AI9" s="31" t="s">
        <v>39</v>
      </c>
      <c r="AJ9" s="31" t="s">
        <v>39</v>
      </c>
      <c r="AK9" s="31" t="s">
        <v>39</v>
      </c>
      <c r="AL9" s="31"/>
      <c r="AM9" s="31" t="s">
        <v>41</v>
      </c>
      <c r="AN9" s="32" t="s">
        <v>733</v>
      </c>
      <c r="AO9" s="32" t="s">
        <v>746</v>
      </c>
      <c r="AP9" s="30">
        <v>43163.590937499997</v>
      </c>
      <c r="AQ9" s="30">
        <v>43163.61146990741</v>
      </c>
      <c r="AR9" s="30">
        <v>43163.735393518517</v>
      </c>
      <c r="AS9" s="92" t="s">
        <v>651</v>
      </c>
      <c r="AT9" s="107">
        <v>-64.856999999999999</v>
      </c>
      <c r="AU9" s="107">
        <v>-62.8583</v>
      </c>
      <c r="AV9" s="142" t="s">
        <v>689</v>
      </c>
      <c r="AW9" s="106" t="s">
        <v>658</v>
      </c>
      <c r="AX9" s="30">
        <v>43163.777430555558</v>
      </c>
      <c r="AY9" s="107">
        <v>-64.862300000000005</v>
      </c>
      <c r="AZ9" s="107">
        <v>-62.825699999999998</v>
      </c>
      <c r="BA9" s="32" t="s">
        <v>717</v>
      </c>
      <c r="BB9" s="49" t="s">
        <v>1260</v>
      </c>
      <c r="BC9" s="7"/>
      <c r="BD9" s="7"/>
      <c r="BE9" s="7"/>
      <c r="BF9" s="7"/>
      <c r="BG9" s="7"/>
    </row>
    <row r="10" spans="1:59">
      <c r="A10" s="55" t="str">
        <f>HYPERLINK("tag_data/Quicklook/bb180304-45Quicklook.jpg","bb180304-45")</f>
        <v>bb180304-45</v>
      </c>
      <c r="B10" s="26" t="s">
        <v>640</v>
      </c>
      <c r="C10" s="46" t="str">
        <f t="shared" si="2"/>
        <v>Antarctic</v>
      </c>
      <c r="D10" s="64" t="s">
        <v>713</v>
      </c>
      <c r="E10" s="61" t="s">
        <v>714</v>
      </c>
      <c r="F10" s="85">
        <v>-3</v>
      </c>
      <c r="G10" s="60" t="s">
        <v>459</v>
      </c>
      <c r="H10" s="31" t="s">
        <v>39</v>
      </c>
      <c r="I10" s="72" t="str">
        <f>HYPERLINK("tag_data/bb180304-45 (Antarctic)","Link")</f>
        <v>Link</v>
      </c>
      <c r="J10" s="72" t="str">
        <f>HYPERLINK("tag_data_raw/Antarctic/2018/NSF/bb180304-45","Link")</f>
        <v>Link</v>
      </c>
      <c r="K10" s="73" t="str">
        <f>HYPERLINK("tag_data/bb180304-45 (Antarctic)/Pics&amp;Vids","Link")</f>
        <v>Link</v>
      </c>
      <c r="L10" s="73" t="str">
        <f>HYPERLINK("location data/Antarctic/2018/NSF/Pics&amp;Vids/Deployment Vids/IMG_4717 (bb0304-45).m4v","Link")</f>
        <v>Link</v>
      </c>
      <c r="M10" s="73" t="str">
        <f>HYPERLINK("tag_data/bb180304-45 (Antarctic)/Pics&amp;Vids/drone","8.60 m")</f>
        <v>8.60 m</v>
      </c>
      <c r="N10" s="73" t="str">
        <f t="shared" si="3"/>
        <v>Link</v>
      </c>
      <c r="O10" s="31" t="s">
        <v>45</v>
      </c>
      <c r="P10" s="31" t="s">
        <v>736</v>
      </c>
      <c r="Q10" s="31">
        <v>45</v>
      </c>
      <c r="R10" s="32" t="s">
        <v>347</v>
      </c>
      <c r="S10" s="32" t="str">
        <f t="shared" si="0"/>
        <v>HTI</v>
      </c>
      <c r="T10" s="32" t="s">
        <v>735</v>
      </c>
      <c r="U10" s="95">
        <f t="shared" si="1"/>
        <v>1.1581365740712499</v>
      </c>
      <c r="V10" s="95">
        <f t="shared" si="4"/>
        <v>1.1581365740712499</v>
      </c>
      <c r="W10" s="56">
        <v>0.36704861111111109</v>
      </c>
      <c r="X10" s="54" t="str">
        <f>HYPERLINK("tag_data/bb180304-45 (Antarctic)/bb180304-45 Map.bmp","26")</f>
        <v>26</v>
      </c>
      <c r="Y10" s="54" t="str">
        <f>HYPERLINK("tag_data/bb180304-45 (Antarctic)/bb180304-45 VidAudit.xlsx","Link")</f>
        <v>Link</v>
      </c>
      <c r="Z10" s="93" t="s">
        <v>39</v>
      </c>
      <c r="AA10" s="93" t="s">
        <v>39</v>
      </c>
      <c r="AB10" s="93" t="s">
        <v>277</v>
      </c>
      <c r="AC10" s="93" t="s">
        <v>39</v>
      </c>
      <c r="AD10" s="31" t="s">
        <v>39</v>
      </c>
      <c r="AE10" s="31" t="s">
        <v>266</v>
      </c>
      <c r="AF10" s="31" t="s">
        <v>39</v>
      </c>
      <c r="AG10" s="31" t="s">
        <v>39</v>
      </c>
      <c r="AH10" s="33" t="s">
        <v>643</v>
      </c>
      <c r="AI10" s="31" t="s">
        <v>39</v>
      </c>
      <c r="AJ10" s="31" t="s">
        <v>39</v>
      </c>
      <c r="AK10" s="31" t="s">
        <v>41</v>
      </c>
      <c r="AL10" s="31" t="s">
        <v>39</v>
      </c>
      <c r="AM10" s="31" t="s">
        <v>41</v>
      </c>
      <c r="AN10" s="32" t="s">
        <v>734</v>
      </c>
      <c r="AO10" s="32" t="s">
        <v>746</v>
      </c>
      <c r="AP10" s="30">
        <v>43163.590185185189</v>
      </c>
      <c r="AQ10" s="30">
        <v>43163.603784722225</v>
      </c>
      <c r="AR10" s="30">
        <v>43164.761921296296</v>
      </c>
      <c r="AS10" s="92" t="s">
        <v>651</v>
      </c>
      <c r="AT10" s="152">
        <v>-64.852699999999999</v>
      </c>
      <c r="AU10" s="152">
        <v>-62.849299999999999</v>
      </c>
      <c r="AV10" s="142" t="s">
        <v>689</v>
      </c>
      <c r="AW10" s="106" t="s">
        <v>658</v>
      </c>
      <c r="AX10" s="30">
        <v>43165.354166666664</v>
      </c>
      <c r="AY10" s="107">
        <f>-64 -55.08/60</f>
        <v>-64.918000000000006</v>
      </c>
      <c r="AZ10" s="107">
        <f>-62-53.839/60</f>
        <v>-62.897316666666669</v>
      </c>
      <c r="BA10" s="32" t="s">
        <v>745</v>
      </c>
      <c r="BB10" s="49" t="s">
        <v>1261</v>
      </c>
      <c r="BC10" s="7"/>
      <c r="BD10" s="7"/>
      <c r="BE10" s="7"/>
      <c r="BF10" s="7"/>
      <c r="BG10" s="7"/>
    </row>
    <row r="11" spans="1:59">
      <c r="A11" s="55" t="str">
        <f>HYPERLINK("tag_data/Quicklook/bb180305-42aQuicklook.jpg","bb180305-42a")</f>
        <v>bb180305-42a</v>
      </c>
      <c r="B11" s="26" t="s">
        <v>640</v>
      </c>
      <c r="C11" s="46" t="str">
        <f t="shared" si="2"/>
        <v>Antarctic</v>
      </c>
      <c r="D11" s="64" t="s">
        <v>713</v>
      </c>
      <c r="E11" s="61" t="s">
        <v>714</v>
      </c>
      <c r="F11" s="85">
        <v>-3</v>
      </c>
      <c r="G11" s="60" t="s">
        <v>459</v>
      </c>
      <c r="H11" s="31" t="s">
        <v>39</v>
      </c>
      <c r="I11" s="72" t="str">
        <f>HYPERLINK("tag_data/bb180305-42a (Antarctic)","Link")</f>
        <v>Link</v>
      </c>
      <c r="J11" s="72" t="str">
        <f>HYPERLINK("tag_data_raw/Antarctic/2018/NSF/bb180305-42a","Link")</f>
        <v>Link</v>
      </c>
      <c r="K11" s="73" t="str">
        <f>HYPERLINK("tag_data/bb180305-42a (Antarctic)/Pics&amp;Vids","Link")</f>
        <v>Link</v>
      </c>
      <c r="L11" s="82" t="s">
        <v>263</v>
      </c>
      <c r="M11" s="82" t="s">
        <v>263</v>
      </c>
      <c r="N11" s="73" t="str">
        <f t="shared" si="3"/>
        <v>Link</v>
      </c>
      <c r="O11" s="31" t="s">
        <v>45</v>
      </c>
      <c r="P11" s="31" t="s">
        <v>41</v>
      </c>
      <c r="Q11" s="31">
        <v>42</v>
      </c>
      <c r="R11" s="32" t="s">
        <v>347</v>
      </c>
      <c r="S11" s="32" t="str">
        <f t="shared" si="0"/>
        <v>None</v>
      </c>
      <c r="T11" s="32" t="s">
        <v>263</v>
      </c>
      <c r="U11" s="95">
        <f t="shared" si="1"/>
        <v>8.5648147796746343E-4</v>
      </c>
      <c r="V11" s="95">
        <f t="shared" si="4"/>
        <v>8.5648147796746343E-4</v>
      </c>
      <c r="W11" s="56" t="s">
        <v>346</v>
      </c>
      <c r="X11" s="54" t="str">
        <f>HYPERLINK("tag_data/bb180305-42a (Antarctic)/bb180305-42a Map.bmp","1")</f>
        <v>1</v>
      </c>
      <c r="Y11" s="29" t="s">
        <v>263</v>
      </c>
      <c r="Z11" s="93" t="s">
        <v>41</v>
      </c>
      <c r="AA11" s="93" t="s">
        <v>41</v>
      </c>
      <c r="AB11" s="93" t="s">
        <v>277</v>
      </c>
      <c r="AC11" s="93" t="s">
        <v>41</v>
      </c>
      <c r="AD11" s="31" t="s">
        <v>41</v>
      </c>
      <c r="AE11" s="31" t="s">
        <v>41</v>
      </c>
      <c r="AF11" s="31" t="s">
        <v>41</v>
      </c>
      <c r="AG11" s="31" t="s">
        <v>41</v>
      </c>
      <c r="AH11" s="31" t="s">
        <v>41</v>
      </c>
      <c r="AI11" s="31" t="s">
        <v>41</v>
      </c>
      <c r="AJ11" s="31" t="s">
        <v>41</v>
      </c>
      <c r="AK11" s="31" t="s">
        <v>41</v>
      </c>
      <c r="AL11" s="31" t="s">
        <v>41</v>
      </c>
      <c r="AM11" s="31" t="s">
        <v>41</v>
      </c>
      <c r="AN11" s="32" t="s">
        <v>743</v>
      </c>
      <c r="AO11" s="32" t="s">
        <v>746</v>
      </c>
      <c r="AP11" s="30">
        <v>43164.396435185183</v>
      </c>
      <c r="AQ11" s="30">
        <v>43164.403993055559</v>
      </c>
      <c r="AR11" s="30">
        <v>43164.404849537037</v>
      </c>
      <c r="AS11" s="92" t="s">
        <v>651</v>
      </c>
      <c r="AT11" s="107">
        <v>-64.901744812999993</v>
      </c>
      <c r="AU11" s="107">
        <v>-63.021484768999997</v>
      </c>
      <c r="AV11" s="142" t="s">
        <v>689</v>
      </c>
      <c r="AW11" s="106" t="s">
        <v>658</v>
      </c>
      <c r="AX11" s="30">
        <v>43164.53461574074</v>
      </c>
      <c r="AY11" s="107">
        <v>-64.901878644999996</v>
      </c>
      <c r="AZ11" s="107">
        <v>-63.018667741999998</v>
      </c>
      <c r="BA11" s="32" t="s">
        <v>757</v>
      </c>
      <c r="BB11" s="49" t="s">
        <v>1262</v>
      </c>
      <c r="BC11" s="7"/>
      <c r="BD11" s="7"/>
      <c r="BE11" s="7"/>
      <c r="BF11" s="7"/>
      <c r="BG11" s="7"/>
    </row>
    <row r="12" spans="1:59">
      <c r="A12" s="55" t="str">
        <f>HYPERLINK("tag_data/Quicklook/bb180305-42bQuicklook.jpg","bb180305-42b")</f>
        <v>bb180305-42b</v>
      </c>
      <c r="B12" s="26" t="s">
        <v>640</v>
      </c>
      <c r="C12" s="46" t="str">
        <f t="shared" si="2"/>
        <v>Antarctic</v>
      </c>
      <c r="D12" s="64" t="s">
        <v>713</v>
      </c>
      <c r="E12" s="61" t="s">
        <v>714</v>
      </c>
      <c r="F12" s="85">
        <v>-3</v>
      </c>
      <c r="G12" s="60" t="s">
        <v>459</v>
      </c>
      <c r="H12" s="31" t="s">
        <v>39</v>
      </c>
      <c r="I12" s="72" t="str">
        <f>HYPERLINK("tag_data/bb180305-42b (Antarctic)","Link")</f>
        <v>Link</v>
      </c>
      <c r="J12" s="72" t="str">
        <f>HYPERLINK("tag_data_raw/Antarctic/2018/NSF/bb180305-42b","Link")</f>
        <v>Link</v>
      </c>
      <c r="K12" s="73" t="str">
        <f>HYPERLINK("tag_data/bb180305-42b (Antarctic)/Pics&amp;Vids","Link")</f>
        <v>Link</v>
      </c>
      <c r="L12" s="82" t="s">
        <v>263</v>
      </c>
      <c r="M12" s="82" t="s">
        <v>263</v>
      </c>
      <c r="N12" s="73" t="str">
        <f t="shared" si="3"/>
        <v>Link</v>
      </c>
      <c r="O12" s="31" t="s">
        <v>45</v>
      </c>
      <c r="P12" s="31" t="s">
        <v>41</v>
      </c>
      <c r="Q12" s="31">
        <v>42</v>
      </c>
      <c r="R12" s="32" t="s">
        <v>347</v>
      </c>
      <c r="S12" s="32" t="str">
        <f t="shared" si="0"/>
        <v>None</v>
      </c>
      <c r="T12" s="32" t="s">
        <v>741</v>
      </c>
      <c r="U12" s="95">
        <f t="shared" si="1"/>
        <v>0.69549768518481869</v>
      </c>
      <c r="V12" s="95">
        <f t="shared" si="4"/>
        <v>0.69549768518481869</v>
      </c>
      <c r="W12" s="56">
        <v>0.29782407407407407</v>
      </c>
      <c r="X12" s="54" t="str">
        <f>HYPERLINK("tag_data/bb180305-42b (Antarctic)/bb180305-42b Map.bmp","123")</f>
        <v>123</v>
      </c>
      <c r="Y12" s="54" t="str">
        <f>HYPERLINK("tag_data/bb180305-42b (Antarctic)/bb180305-42b VidAudit.xlsx","Link")</f>
        <v>Link</v>
      </c>
      <c r="Z12" s="93" t="s">
        <v>39</v>
      </c>
      <c r="AA12" s="93" t="s">
        <v>39</v>
      </c>
      <c r="AB12" s="93" t="s">
        <v>277</v>
      </c>
      <c r="AC12" s="93" t="s">
        <v>39</v>
      </c>
      <c r="AD12" s="31" t="s">
        <v>39</v>
      </c>
      <c r="AE12" s="31" t="s">
        <v>41</v>
      </c>
      <c r="AF12" s="31" t="s">
        <v>39</v>
      </c>
      <c r="AG12" s="31" t="s">
        <v>266</v>
      </c>
      <c r="AH12" s="33" t="s">
        <v>643</v>
      </c>
      <c r="AI12" s="31" t="s">
        <v>39</v>
      </c>
      <c r="AJ12" s="31" t="s">
        <v>41</v>
      </c>
      <c r="AK12" s="31" t="s">
        <v>41</v>
      </c>
      <c r="AL12" s="31" t="s">
        <v>41</v>
      </c>
      <c r="AM12" s="31" t="s">
        <v>41</v>
      </c>
      <c r="AN12" s="32" t="s">
        <v>742</v>
      </c>
      <c r="AO12" s="32" t="s">
        <v>746</v>
      </c>
      <c r="AP12" s="30">
        <v>43164.607719907406</v>
      </c>
      <c r="AQ12" s="30">
        <v>43164.649062500001</v>
      </c>
      <c r="AR12" s="30">
        <v>43165.344560185185</v>
      </c>
      <c r="AS12" s="92" t="s">
        <v>651</v>
      </c>
      <c r="AT12" s="107">
        <v>-64.88964</v>
      </c>
      <c r="AU12" s="107">
        <v>-62.854320999999999</v>
      </c>
      <c r="AV12" s="142" t="s">
        <v>689</v>
      </c>
      <c r="AW12" s="106" t="s">
        <v>658</v>
      </c>
      <c r="AX12" s="30">
        <v>43165.371527777781</v>
      </c>
      <c r="AY12" s="107">
        <f>-64-54.081/60</f>
        <v>-64.901349999999994</v>
      </c>
      <c r="AZ12" s="107">
        <f>-63-2.087/60</f>
        <v>-63.03478333333333</v>
      </c>
      <c r="BA12" s="32" t="s">
        <v>740</v>
      </c>
      <c r="BB12" s="49"/>
      <c r="BC12" s="7"/>
      <c r="BD12" s="7"/>
      <c r="BE12" s="40"/>
      <c r="BF12" s="40"/>
      <c r="BG12" s="40"/>
    </row>
    <row r="13" spans="1:59">
      <c r="A13" s="55" t="str">
        <f>HYPERLINK("tag_data/Quicklook/bb180305-47Quicklook.jpg","bb180305-47")</f>
        <v>bb180305-47</v>
      </c>
      <c r="B13" s="26" t="s">
        <v>640</v>
      </c>
      <c r="C13" s="46" t="str">
        <f t="shared" si="2"/>
        <v>Antarctic</v>
      </c>
      <c r="D13" s="64" t="s">
        <v>713</v>
      </c>
      <c r="E13" s="61" t="s">
        <v>714</v>
      </c>
      <c r="F13" s="85">
        <v>-3</v>
      </c>
      <c r="G13" s="60" t="s">
        <v>459</v>
      </c>
      <c r="H13" s="31" t="s">
        <v>39</v>
      </c>
      <c r="I13" s="72" t="str">
        <f>HYPERLINK("tag_data/bb180305-47 (Antarctic)","Link")</f>
        <v>Link</v>
      </c>
      <c r="J13" s="72" t="str">
        <f>HYPERLINK("tag_data_raw/Antarctic/2018/NSF/bb180305-47","Link")</f>
        <v>Link</v>
      </c>
      <c r="K13" s="73" t="str">
        <f>HYPERLINK("tag_data/bb180305-47 (Antarctic)/Pics&amp;Vids","Link")</f>
        <v>Link</v>
      </c>
      <c r="L13" s="46" t="str">
        <f>HYPERLINK("location data/Antarctic/2018/NSF/Pics&amp;Vids/Deployment Vids/GH010925 (bb0305-47).MP4","Link")</f>
        <v>Link</v>
      </c>
      <c r="M13" s="82" t="s">
        <v>263</v>
      </c>
      <c r="N13" s="73" t="str">
        <f t="shared" si="3"/>
        <v>Link</v>
      </c>
      <c r="O13" s="31" t="s">
        <v>45</v>
      </c>
      <c r="P13" s="31" t="s">
        <v>41</v>
      </c>
      <c r="Q13" s="31">
        <v>47</v>
      </c>
      <c r="R13" s="32" t="s">
        <v>347</v>
      </c>
      <c r="S13" s="32" t="str">
        <f t="shared" si="0"/>
        <v>None</v>
      </c>
      <c r="T13" s="32" t="s">
        <v>38</v>
      </c>
      <c r="U13" s="95">
        <f t="shared" si="1"/>
        <v>2.6273148178006522E-3</v>
      </c>
      <c r="V13" s="95">
        <f t="shared" si="4"/>
        <v>2.6273148178006522E-3</v>
      </c>
      <c r="W13" s="56">
        <v>2.627314814814815E-3</v>
      </c>
      <c r="X13" s="54" t="str">
        <f>HYPERLINK("tag_data/bb180305-47 (Antarctic)/bb180305-47 Map.bmp","10")</f>
        <v>10</v>
      </c>
      <c r="Y13" s="46" t="str">
        <f>HYPERLINK("tag_data\bb180305-47 (Antarctic)\bb180305-47 (Antarctic).boris","Boris")</f>
        <v>Boris</v>
      </c>
      <c r="Z13" s="93" t="s">
        <v>41</v>
      </c>
      <c r="AA13" s="93" t="s">
        <v>41</v>
      </c>
      <c r="AB13" s="93" t="s">
        <v>277</v>
      </c>
      <c r="AC13" s="93" t="s">
        <v>41</v>
      </c>
      <c r="AD13" s="31" t="s">
        <v>41</v>
      </c>
      <c r="AE13" s="31" t="s">
        <v>41</v>
      </c>
      <c r="AF13" s="31" t="s">
        <v>39</v>
      </c>
      <c r="AG13" s="31" t="s">
        <v>41</v>
      </c>
      <c r="AH13" s="31" t="s">
        <v>41</v>
      </c>
      <c r="AI13" s="31" t="s">
        <v>39</v>
      </c>
      <c r="AJ13" s="31" t="s">
        <v>41</v>
      </c>
      <c r="AK13" s="31" t="s">
        <v>41</v>
      </c>
      <c r="AL13" s="31" t="s">
        <v>39</v>
      </c>
      <c r="AM13" s="31" t="s">
        <v>41</v>
      </c>
      <c r="AN13" s="32" t="s">
        <v>744</v>
      </c>
      <c r="AO13" s="32" t="s">
        <v>746</v>
      </c>
      <c r="AP13" s="30">
        <v>43164.397604166668</v>
      </c>
      <c r="AQ13" s="30">
        <v>43164.410312499997</v>
      </c>
      <c r="AR13" s="30">
        <v>43164.412939814814</v>
      </c>
      <c r="AS13" s="92" t="s">
        <v>651</v>
      </c>
      <c r="AT13" s="144">
        <v>-64.904328007999993</v>
      </c>
      <c r="AU13" s="144">
        <v>-63.000556088000003</v>
      </c>
      <c r="AV13" s="142" t="s">
        <v>689</v>
      </c>
      <c r="AW13" s="106" t="s">
        <v>689</v>
      </c>
      <c r="AX13" s="30">
        <v>43164.418425925927</v>
      </c>
      <c r="AY13" s="144">
        <v>-64.906660871</v>
      </c>
      <c r="AZ13" s="144">
        <v>-62.987610529999998</v>
      </c>
      <c r="BA13" s="32" t="s">
        <v>921</v>
      </c>
      <c r="BB13" s="49" t="s">
        <v>1263</v>
      </c>
      <c r="BC13" s="7"/>
      <c r="BD13" s="7"/>
      <c r="BE13" s="7"/>
      <c r="BF13" s="7"/>
      <c r="BG13" s="7"/>
    </row>
    <row r="14" spans="1:59">
      <c r="A14" s="55" t="str">
        <f>HYPERLINK("tag_data/Quicklook/be180414-42Quicklook.jpg","be180414-42")</f>
        <v>be180414-42</v>
      </c>
      <c r="B14" s="26" t="s">
        <v>872</v>
      </c>
      <c r="C14" s="46" t="str">
        <f t="shared" ref="C14:C22" si="5">HYPERLINK("location data/South Africa/2018","South Africa")</f>
        <v>South Africa</v>
      </c>
      <c r="D14" s="64" t="s">
        <v>873</v>
      </c>
      <c r="E14" s="77" t="s">
        <v>879</v>
      </c>
      <c r="F14" s="85">
        <v>2</v>
      </c>
      <c r="G14" s="60" t="s">
        <v>874</v>
      </c>
      <c r="H14" s="31" t="s">
        <v>39</v>
      </c>
      <c r="I14" s="72" t="str">
        <f>HYPERLINK("tag_data/be180414-42 (South Africa)","Link")</f>
        <v>Link</v>
      </c>
      <c r="J14" s="72" t="str">
        <f>HYPERLINK("tag_data_raw/South Africa/2018/be180414-42","Link")</f>
        <v>Link</v>
      </c>
      <c r="K14" s="72" t="str">
        <f>HYPERLINK("tag_data/be180414-42 (South Africa)/Pics&amp;Vids","Link")</f>
        <v>Link</v>
      </c>
      <c r="L14" s="54" t="str">
        <f>HYPERLINK("location data/South Africa/2018/Pics&amp;Vids/04.14/GOPR0078.MP4","Link")</f>
        <v>Link</v>
      </c>
      <c r="M14" s="41" t="s">
        <v>263</v>
      </c>
      <c r="N14" s="73" t="str">
        <f t="shared" ref="N14:N22" si="6">HYPERLINK("location data/South Africa/2018/","Link")</f>
        <v>Link</v>
      </c>
      <c r="O14" s="31" t="s">
        <v>984</v>
      </c>
      <c r="P14" s="31" t="s">
        <v>41</v>
      </c>
      <c r="Q14" s="31">
        <f>LEFT(RIGHT(A14,LEN(A14)-FIND("-",A14)),MIN(SEARCH({"a","b","c","d","e","f","g","h","i","j","k","l","m","n","o","p","q","r","s","t","u","v","w","x","y","z"},RIGHT(A14,LEN(A14)-FIND("-",A14))&amp;"abcdefghijklmnopqrstuvwxyz"))-1)+1-1</f>
        <v>42</v>
      </c>
      <c r="R14" s="32" t="s">
        <v>347</v>
      </c>
      <c r="S14" s="32" t="str">
        <f t="shared" si="0"/>
        <v>None</v>
      </c>
      <c r="T14" s="32" t="s">
        <v>38</v>
      </c>
      <c r="U14" s="17">
        <f t="shared" si="1"/>
        <v>0.30122685185779119</v>
      </c>
      <c r="V14" s="17">
        <f t="shared" si="4"/>
        <v>0.30122685185779119</v>
      </c>
      <c r="W14" s="56">
        <v>0.29679398148148145</v>
      </c>
      <c r="X14" s="54" t="str">
        <f>HYPERLINK("tag_data/be180414-42 (South Africa)/be180414-42 Map.bmp","4")</f>
        <v>4</v>
      </c>
      <c r="Y14" s="42"/>
      <c r="Z14" s="31" t="s">
        <v>39</v>
      </c>
      <c r="AA14" s="31" t="s">
        <v>39</v>
      </c>
      <c r="AB14" s="31" t="s">
        <v>372</v>
      </c>
      <c r="AC14" s="31" t="s">
        <v>41</v>
      </c>
      <c r="AD14" s="31" t="s">
        <v>39</v>
      </c>
      <c r="AE14" s="31" t="s">
        <v>41</v>
      </c>
      <c r="AF14" s="31" t="s">
        <v>41</v>
      </c>
      <c r="AG14" s="31" t="s">
        <v>41</v>
      </c>
      <c r="AH14" s="31" t="s">
        <v>39</v>
      </c>
      <c r="AI14" s="31" t="s">
        <v>39</v>
      </c>
      <c r="AJ14" s="31" t="s">
        <v>39</v>
      </c>
      <c r="AK14" s="31" t="s">
        <v>41</v>
      </c>
      <c r="AL14" s="31" t="s">
        <v>41</v>
      </c>
      <c r="AM14" s="31" t="s">
        <v>41</v>
      </c>
      <c r="AN14" s="32" t="s">
        <v>1108</v>
      </c>
      <c r="AO14" s="32" t="s">
        <v>875</v>
      </c>
      <c r="AP14" s="30">
        <v>43204.422048611108</v>
      </c>
      <c r="AQ14" s="30">
        <v>43204.438981481479</v>
      </c>
      <c r="AR14" s="92">
        <v>43204.740208333336</v>
      </c>
      <c r="AS14" s="92" t="s">
        <v>651</v>
      </c>
      <c r="AT14" s="166">
        <v>-34.035021999999998</v>
      </c>
      <c r="AU14" s="166">
        <v>23.442691</v>
      </c>
      <c r="AV14" s="106" t="s">
        <v>876</v>
      </c>
      <c r="AW14" s="106" t="s">
        <v>876</v>
      </c>
      <c r="AX14" s="30">
        <v>43205.392928240741</v>
      </c>
      <c r="AY14" s="107">
        <v>-34.186616870999998</v>
      </c>
      <c r="AZ14" s="107">
        <v>23.441592905</v>
      </c>
      <c r="BA14" s="32" t="s">
        <v>995</v>
      </c>
      <c r="BB14" s="49" t="s">
        <v>1264</v>
      </c>
      <c r="BC14" s="7"/>
      <c r="BD14" s="7"/>
      <c r="BE14" s="7"/>
      <c r="BF14" s="7"/>
      <c r="BG14" s="7"/>
    </row>
    <row r="15" spans="1:59">
      <c r="A15" s="55" t="str">
        <f>HYPERLINK("tag_data/Quicklook/be180418-42Quicklook.jpg","be180418-42")</f>
        <v>be180418-42</v>
      </c>
      <c r="B15" s="26" t="s">
        <v>872</v>
      </c>
      <c r="C15" s="46" t="str">
        <f t="shared" si="5"/>
        <v>South Africa</v>
      </c>
      <c r="D15" s="64" t="s">
        <v>873</v>
      </c>
      <c r="E15" s="77" t="s">
        <v>879</v>
      </c>
      <c r="F15" s="85">
        <v>2</v>
      </c>
      <c r="G15" s="60" t="s">
        <v>874</v>
      </c>
      <c r="H15" s="31" t="s">
        <v>39</v>
      </c>
      <c r="I15" s="72" t="str">
        <f>HYPERLINK("tag_data/be180418-42 (South Africa)","Link")</f>
        <v>Link</v>
      </c>
      <c r="J15" s="46" t="str">
        <f>HYPERLINK("tag_data_raw/South Africa/2018/be180418-42","Link")</f>
        <v>Link</v>
      </c>
      <c r="K15" s="72" t="str">
        <f>HYPERLINK("tag_data/be180418-42 (South Africa)/Pics&amp;Vids","Link")</f>
        <v>Link</v>
      </c>
      <c r="L15" s="54" t="str">
        <f>HYPERLINK("location data/South Africa/2018/Pics&amp;Vids/04.18/GP030837.MP4","Link")</f>
        <v>Link</v>
      </c>
      <c r="M15" s="41" t="s">
        <v>263</v>
      </c>
      <c r="N15" s="73" t="str">
        <f t="shared" si="6"/>
        <v>Link</v>
      </c>
      <c r="O15" s="33" t="s">
        <v>986</v>
      </c>
      <c r="P15" s="31" t="s">
        <v>41</v>
      </c>
      <c r="Q15" s="31">
        <f>LEFT(RIGHT(A15,LEN(A15)-FIND("-",A15)),MIN(SEARCH({"a","b","c","d","e","f","g","h","i","j","k","l","m","n","o","p","q","r","s","t","u","v","w","x","y","z"},RIGHT(A15,LEN(A15)-FIND("-",A15))&amp;"abcdefghijklmnopqrstuvwxyz"))-1)+1-1</f>
        <v>42</v>
      </c>
      <c r="R15" s="32" t="s">
        <v>347</v>
      </c>
      <c r="S15" s="32" t="str">
        <f t="shared" si="0"/>
        <v>None</v>
      </c>
      <c r="T15" s="32" t="s">
        <v>38</v>
      </c>
      <c r="U15" s="17">
        <f t="shared" si="1"/>
        <v>0.58620370370772434</v>
      </c>
      <c r="V15" s="17">
        <f t="shared" si="4"/>
        <v>0.58620370370772434</v>
      </c>
      <c r="W15" s="56">
        <v>0.22769675925925925</v>
      </c>
      <c r="X15" s="54" t="str">
        <f>HYPERLINK("tag_data/be180418-42 (South Africa)/be180418-42 Map.bmp","261")</f>
        <v>261</v>
      </c>
      <c r="Y15" s="42"/>
      <c r="Z15" s="31" t="s">
        <v>39</v>
      </c>
      <c r="AA15" s="31" t="s">
        <v>41</v>
      </c>
      <c r="AB15" s="31" t="s">
        <v>266</v>
      </c>
      <c r="AC15" s="31" t="s">
        <v>41</v>
      </c>
      <c r="AD15" s="31" t="s">
        <v>41</v>
      </c>
      <c r="AE15" s="31" t="s">
        <v>41</v>
      </c>
      <c r="AF15" s="31" t="s">
        <v>41</v>
      </c>
      <c r="AG15" s="31" t="s">
        <v>41</v>
      </c>
      <c r="AH15" s="31" t="s">
        <v>41</v>
      </c>
      <c r="AI15" s="31" t="s">
        <v>41</v>
      </c>
      <c r="AJ15" s="31" t="s">
        <v>41</v>
      </c>
      <c r="AK15" s="31" t="s">
        <v>41</v>
      </c>
      <c r="AL15" s="31" t="s">
        <v>41</v>
      </c>
      <c r="AM15" s="31" t="s">
        <v>41</v>
      </c>
      <c r="AN15" s="32" t="s">
        <v>1109</v>
      </c>
      <c r="AO15" s="32" t="s">
        <v>875</v>
      </c>
      <c r="AP15" s="30">
        <v>43208.416319444441</v>
      </c>
      <c r="AQ15" s="30">
        <v>43208.509016203701</v>
      </c>
      <c r="AR15" s="30">
        <v>43209.095219907409</v>
      </c>
      <c r="AS15" s="92" t="s">
        <v>651</v>
      </c>
      <c r="AT15" s="166">
        <v>-34.088667000000001</v>
      </c>
      <c r="AU15" s="166">
        <v>23.417479</v>
      </c>
      <c r="AV15" s="106" t="s">
        <v>876</v>
      </c>
      <c r="AW15" s="106" t="s">
        <v>876</v>
      </c>
      <c r="AX15" s="30">
        <v>43209.435891203706</v>
      </c>
      <c r="AY15" s="107">
        <v>-34.039073899999998</v>
      </c>
      <c r="AZ15" s="107">
        <v>23.51870667</v>
      </c>
      <c r="BA15" s="32" t="s">
        <v>985</v>
      </c>
      <c r="BB15" s="49" t="s">
        <v>1265</v>
      </c>
      <c r="BC15" s="7"/>
      <c r="BD15" s="7"/>
      <c r="BE15" s="7"/>
      <c r="BF15" s="7"/>
      <c r="BG15" s="7"/>
    </row>
    <row r="16" spans="1:59">
      <c r="A16" s="7" t="s">
        <v>877</v>
      </c>
      <c r="B16" s="26" t="s">
        <v>872</v>
      </c>
      <c r="C16" s="46" t="str">
        <f t="shared" si="5"/>
        <v>South Africa</v>
      </c>
      <c r="D16" s="64" t="s">
        <v>873</v>
      </c>
      <c r="E16" s="77" t="s">
        <v>879</v>
      </c>
      <c r="F16" s="85">
        <v>2</v>
      </c>
      <c r="G16" s="60" t="s">
        <v>874</v>
      </c>
      <c r="H16" s="31" t="s">
        <v>41</v>
      </c>
      <c r="I16" s="72" t="str">
        <f>HYPERLINK("tag_data/be180422-45a&amp;b (South Africa- no prhs)","Link")</f>
        <v>Link</v>
      </c>
      <c r="J16" s="46" t="str">
        <f>HYPERLINK("tag_data_raw/South Africa/2018/be180422-45a","Link")</f>
        <v>Link</v>
      </c>
      <c r="K16" s="72" t="str">
        <f>HYPERLINK("tag_data/be180422-45a&amp;b (South Africa- no prhs)/a/Pics&amp;Vids","Link")</f>
        <v>Link</v>
      </c>
      <c r="L16" s="54" t="str">
        <f>HYPERLINK("location data/South Africa/2018/Pics&amp;Vids/04.22/GOPR0862.MP4","Link")</f>
        <v>Link</v>
      </c>
      <c r="M16" s="41" t="s">
        <v>263</v>
      </c>
      <c r="N16" s="73" t="str">
        <f t="shared" si="6"/>
        <v>Link</v>
      </c>
      <c r="O16" s="31" t="s">
        <v>987</v>
      </c>
      <c r="P16" s="31" t="s">
        <v>41</v>
      </c>
      <c r="Q16" s="31">
        <f>LEFT(RIGHT(A16,LEN(A16)-FIND("-",A16)),MIN(SEARCH({"a","b","c","d","e","f","g","h","i","j","k","l","m","n","o","p","q","r","s","t","u","v","w","x","y","z"},RIGHT(A16,LEN(A16)-FIND("-",A16))&amp;"abcdefghijklmnopqrstuvwxyz"))-1)+1-1</f>
        <v>45</v>
      </c>
      <c r="R16" s="32" t="s">
        <v>347</v>
      </c>
      <c r="S16" s="32" t="str">
        <f t="shared" si="0"/>
        <v>HTI</v>
      </c>
      <c r="T16" s="32" t="s">
        <v>38</v>
      </c>
      <c r="U16" s="17">
        <f t="shared" si="1"/>
        <v>6.9444446125999093E-5</v>
      </c>
      <c r="V16" s="17">
        <f t="shared" si="4"/>
        <v>6.9444446125999093E-5</v>
      </c>
      <c r="W16" s="56">
        <f>V16</f>
        <v>6.9444446125999093E-5</v>
      </c>
      <c r="X16" s="31" t="s">
        <v>263</v>
      </c>
      <c r="Y16" s="42"/>
      <c r="Z16" s="31" t="s">
        <v>41</v>
      </c>
      <c r="AA16" s="31" t="s">
        <v>41</v>
      </c>
      <c r="AB16" s="31" t="s">
        <v>263</v>
      </c>
      <c r="AC16" s="31" t="s">
        <v>41</v>
      </c>
      <c r="AD16" s="31" t="s">
        <v>41</v>
      </c>
      <c r="AE16" s="31" t="s">
        <v>41</v>
      </c>
      <c r="AF16" s="31" t="s">
        <v>41</v>
      </c>
      <c r="AG16" s="31" t="s">
        <v>41</v>
      </c>
      <c r="AH16" s="31" t="s">
        <v>41</v>
      </c>
      <c r="AI16" s="31" t="s">
        <v>41</v>
      </c>
      <c r="AJ16" s="31" t="s">
        <v>39</v>
      </c>
      <c r="AK16" s="31" t="s">
        <v>41</v>
      </c>
      <c r="AL16" s="31" t="s">
        <v>41</v>
      </c>
      <c r="AM16" s="31" t="s">
        <v>41</v>
      </c>
      <c r="AN16" s="32" t="s">
        <v>743</v>
      </c>
      <c r="AO16" s="32" t="s">
        <v>875</v>
      </c>
      <c r="AP16" s="30">
        <v>43212.387326388889</v>
      </c>
      <c r="AQ16" s="30">
        <v>43212.436030092591</v>
      </c>
      <c r="AR16" s="30">
        <v>43212.436099537037</v>
      </c>
      <c r="AS16" s="92" t="s">
        <v>651</v>
      </c>
      <c r="AT16" s="166">
        <v>-34.070474670000003</v>
      </c>
      <c r="AU16" s="166">
        <v>23.411647369000001</v>
      </c>
      <c r="AV16" s="106" t="s">
        <v>876</v>
      </c>
      <c r="AW16" s="106" t="s">
        <v>876</v>
      </c>
      <c r="AX16" s="30">
        <v>43212.436689814815</v>
      </c>
      <c r="AY16" s="107">
        <v>-34.070798117000002</v>
      </c>
      <c r="AZ16" s="107">
        <v>23.411481018</v>
      </c>
      <c r="BA16" s="32" t="s">
        <v>420</v>
      </c>
      <c r="BB16" s="32"/>
      <c r="BC16" s="7"/>
      <c r="BD16" s="7"/>
      <c r="BE16" s="7"/>
      <c r="BF16" s="7"/>
      <c r="BG16" s="7"/>
    </row>
    <row r="17" spans="1:59">
      <c r="A17" s="7" t="s">
        <v>878</v>
      </c>
      <c r="B17" s="26" t="s">
        <v>872</v>
      </c>
      <c r="C17" s="46" t="str">
        <f t="shared" si="5"/>
        <v>South Africa</v>
      </c>
      <c r="D17" s="64" t="s">
        <v>873</v>
      </c>
      <c r="E17" s="77" t="s">
        <v>879</v>
      </c>
      <c r="F17" s="85">
        <v>2</v>
      </c>
      <c r="G17" s="60" t="s">
        <v>874</v>
      </c>
      <c r="H17" s="31" t="s">
        <v>41</v>
      </c>
      <c r="I17" s="72" t="str">
        <f>HYPERLINK("tag_data/be180422-45a&amp;b (South Africa- no prhs)","Link")</f>
        <v>Link</v>
      </c>
      <c r="J17" s="46" t="str">
        <f>HYPERLINK("tag_data_raw/South Africa/2018/be180422-45b","Link")</f>
        <v>Link</v>
      </c>
      <c r="K17" s="72" t="str">
        <f>HYPERLINK("tag_data/be180422-45a&amp;b (South Africa- no prhs)/b/Pics&amp;Vids","Link")</f>
        <v>Link</v>
      </c>
      <c r="L17" s="54" t="str">
        <f>HYPERLINK("location data/South Africa/2018/Pics&amp;Vids/04.22/GOPR0868.MP4","Link")</f>
        <v>Link</v>
      </c>
      <c r="M17" s="41" t="s">
        <v>263</v>
      </c>
      <c r="N17" s="73" t="str">
        <f t="shared" si="6"/>
        <v>Link</v>
      </c>
      <c r="O17" s="31" t="s">
        <v>45</v>
      </c>
      <c r="P17" s="31" t="s">
        <v>41</v>
      </c>
      <c r="Q17" s="31">
        <f>LEFT(RIGHT(A17,LEN(A17)-FIND("-",A17)),MIN(SEARCH({"a","b","c","d","e","f","g","h","i","j","k","l","m","n","o","p","q","r","s","t","u","v","w","x","y","z"},RIGHT(A17,LEN(A17)-FIND("-",A17))&amp;"abcdefghijklmnopqrstuvwxyz"))-1)+1-1</f>
        <v>45</v>
      </c>
      <c r="R17" s="32" t="s">
        <v>347</v>
      </c>
      <c r="S17" s="32" t="str">
        <f t="shared" si="0"/>
        <v>HTI</v>
      </c>
      <c r="T17" s="32" t="s">
        <v>566</v>
      </c>
      <c r="U17" s="17">
        <f t="shared" si="1"/>
        <v>1.6203703853534535E-4</v>
      </c>
      <c r="V17" s="17">
        <f t="shared" si="4"/>
        <v>1.6203703853534535E-4</v>
      </c>
      <c r="W17" s="56">
        <f>V17</f>
        <v>1.6203703853534535E-4</v>
      </c>
      <c r="X17" s="31" t="s">
        <v>263</v>
      </c>
      <c r="Y17" s="42"/>
      <c r="Z17" s="31" t="s">
        <v>41</v>
      </c>
      <c r="AA17" s="31" t="s">
        <v>41</v>
      </c>
      <c r="AB17" s="31" t="s">
        <v>263</v>
      </c>
      <c r="AC17" s="31" t="s">
        <v>41</v>
      </c>
      <c r="AD17" s="31" t="s">
        <v>41</v>
      </c>
      <c r="AE17" s="31" t="s">
        <v>41</v>
      </c>
      <c r="AF17" s="31" t="s">
        <v>41</v>
      </c>
      <c r="AG17" s="31" t="s">
        <v>41</v>
      </c>
      <c r="AH17" s="31" t="s">
        <v>41</v>
      </c>
      <c r="AI17" s="31" t="s">
        <v>41</v>
      </c>
      <c r="AJ17" s="31" t="s">
        <v>39</v>
      </c>
      <c r="AK17" s="31" t="s">
        <v>41</v>
      </c>
      <c r="AL17" s="31" t="s">
        <v>41</v>
      </c>
      <c r="AM17" s="31" t="s">
        <v>41</v>
      </c>
      <c r="AN17" s="32" t="s">
        <v>743</v>
      </c>
      <c r="AO17" s="32" t="s">
        <v>875</v>
      </c>
      <c r="AP17" s="30">
        <v>43212.387326388889</v>
      </c>
      <c r="AQ17" s="30">
        <v>43212.483900462961</v>
      </c>
      <c r="AR17" s="30">
        <v>43212.4840625</v>
      </c>
      <c r="AS17" s="92" t="s">
        <v>651</v>
      </c>
      <c r="AT17" s="166">
        <v>-34.074386603999997</v>
      </c>
      <c r="AU17" s="166">
        <v>23.410838287000001</v>
      </c>
      <c r="AV17" s="106" t="s">
        <v>876</v>
      </c>
      <c r="AW17" s="106" t="s">
        <v>876</v>
      </c>
      <c r="AX17" s="30">
        <v>43212.487685185188</v>
      </c>
      <c r="AY17" s="107">
        <v>-34.074906853999998</v>
      </c>
      <c r="AZ17" s="107">
        <v>23.412964862999999</v>
      </c>
      <c r="BA17" s="32" t="s">
        <v>420</v>
      </c>
      <c r="BB17" s="32"/>
      <c r="BC17" s="7"/>
      <c r="BD17" s="7"/>
      <c r="BE17" s="7"/>
      <c r="BF17" s="7"/>
      <c r="BG17" s="7"/>
    </row>
    <row r="18" spans="1:59">
      <c r="A18" s="55" t="str">
        <f>HYPERLINK("tag_data/Quicklook/be180423-41Quicklook.jpg","be180423-41")</f>
        <v>be180423-41</v>
      </c>
      <c r="B18" s="26" t="s">
        <v>872</v>
      </c>
      <c r="C18" s="46" t="str">
        <f t="shared" si="5"/>
        <v>South Africa</v>
      </c>
      <c r="D18" s="64" t="s">
        <v>873</v>
      </c>
      <c r="E18" s="77" t="s">
        <v>879</v>
      </c>
      <c r="F18" s="85">
        <v>2</v>
      </c>
      <c r="G18" s="60" t="s">
        <v>874</v>
      </c>
      <c r="H18" s="31" t="s">
        <v>39</v>
      </c>
      <c r="I18" s="72" t="str">
        <f>HYPERLINK("tag_data/be180423-41 (South Africa)","Link")</f>
        <v>Link</v>
      </c>
      <c r="J18" s="46" t="str">
        <f>HYPERLINK("tag_data_raw/South Africa/2018/be180423-41","Link")</f>
        <v>Link</v>
      </c>
      <c r="K18" s="72" t="str">
        <f>HYPERLINK("tag_data/be180423-41 (South Africa)/Pics&amp;Vids","Link")</f>
        <v>Link</v>
      </c>
      <c r="L18" s="54" t="str">
        <f>HYPERLINK("location data/South Africa/2018/Pics&amp;Vids/04.23/GOPR0874-41.MP4","Link")</f>
        <v>Link</v>
      </c>
      <c r="M18" s="72" t="str">
        <f>HYPERLINK("tag_data/be180423-41 (South Africa)/Pics&amp;Vids/drone","9.97 m")</f>
        <v>9.97 m</v>
      </c>
      <c r="N18" s="73" t="str">
        <f t="shared" si="6"/>
        <v>Link</v>
      </c>
      <c r="O18" s="31" t="s">
        <v>988</v>
      </c>
      <c r="P18" s="31" t="s">
        <v>41</v>
      </c>
      <c r="Q18" s="31">
        <f>LEFT(RIGHT(A18,LEN(A18)-FIND("-",A18)),MIN(SEARCH({"a","b","c","d","e","f","g","h","i","j","k","l","m","n","o","p","q","r","s","t","u","v","w","x","y","z"},RIGHT(A18,LEN(A18)-FIND("-",A18))&amp;"abcdefghijklmnopqrstuvwxyz"))-1)+1-1</f>
        <v>41</v>
      </c>
      <c r="R18" s="32" t="s">
        <v>347</v>
      </c>
      <c r="S18" s="32" t="str">
        <f t="shared" si="0"/>
        <v>None</v>
      </c>
      <c r="T18" s="32" t="s">
        <v>38</v>
      </c>
      <c r="U18" s="17">
        <f t="shared" si="1"/>
        <v>0.13328703703882638</v>
      </c>
      <c r="V18" s="17">
        <f t="shared" si="4"/>
        <v>0.13328703703882638</v>
      </c>
      <c r="W18" s="56">
        <v>5.4768518518518522E-2</v>
      </c>
      <c r="X18" s="54" t="str">
        <f>HYPERLINK("tag_data/be180423-41 (South Africa)/be180423-41 Map.bmp","18")</f>
        <v>18</v>
      </c>
      <c r="Y18" s="42"/>
      <c r="Z18" s="31" t="s">
        <v>39</v>
      </c>
      <c r="AA18" s="31" t="s">
        <v>39</v>
      </c>
      <c r="AB18" s="31" t="s">
        <v>372</v>
      </c>
      <c r="AC18" s="31" t="s">
        <v>41</v>
      </c>
      <c r="AD18" s="31" t="s">
        <v>39</v>
      </c>
      <c r="AE18" s="31" t="s">
        <v>41</v>
      </c>
      <c r="AF18" s="31" t="s">
        <v>41</v>
      </c>
      <c r="AG18" s="31" t="s">
        <v>41</v>
      </c>
      <c r="AH18" s="31" t="s">
        <v>41</v>
      </c>
      <c r="AI18" s="31" t="s">
        <v>41</v>
      </c>
      <c r="AJ18" s="31" t="s">
        <v>39</v>
      </c>
      <c r="AK18" s="31" t="s">
        <v>41</v>
      </c>
      <c r="AL18" s="31" t="s">
        <v>41</v>
      </c>
      <c r="AM18" s="31" t="s">
        <v>41</v>
      </c>
      <c r="AN18" s="32" t="s">
        <v>1110</v>
      </c>
      <c r="AO18" s="32" t="s">
        <v>875</v>
      </c>
      <c r="AP18" s="30">
        <v>43213.390173611115</v>
      </c>
      <c r="AQ18" s="30">
        <v>43213.407546296294</v>
      </c>
      <c r="AR18" s="30">
        <v>43213.540833333333</v>
      </c>
      <c r="AS18" s="92" t="s">
        <v>651</v>
      </c>
      <c r="AT18" s="166">
        <v>-34.149118000000001</v>
      </c>
      <c r="AU18" s="166">
        <v>23.41874</v>
      </c>
      <c r="AV18" s="106" t="s">
        <v>876</v>
      </c>
      <c r="AW18" s="106" t="s">
        <v>876</v>
      </c>
      <c r="AX18" s="30">
        <v>43213.664178240739</v>
      </c>
      <c r="AY18" s="107">
        <v>-34.144765</v>
      </c>
      <c r="AZ18" s="107">
        <v>23.490382</v>
      </c>
      <c r="BA18" s="32" t="s">
        <v>1461</v>
      </c>
      <c r="BB18" s="49" t="s">
        <v>1266</v>
      </c>
      <c r="BC18" s="7"/>
      <c r="BD18" s="7"/>
      <c r="BE18" s="7"/>
      <c r="BF18" s="7"/>
      <c r="BG18" s="7"/>
    </row>
    <row r="19" spans="1:59">
      <c r="A19" s="55" t="str">
        <f>HYPERLINK("tag_data/Quicklook/be180423-42Quicklook.jpg","be180423-42")</f>
        <v>be180423-42</v>
      </c>
      <c r="B19" s="26" t="s">
        <v>872</v>
      </c>
      <c r="C19" s="46" t="str">
        <f t="shared" si="5"/>
        <v>South Africa</v>
      </c>
      <c r="D19" s="64" t="s">
        <v>873</v>
      </c>
      <c r="E19" s="77" t="s">
        <v>879</v>
      </c>
      <c r="F19" s="85">
        <v>2</v>
      </c>
      <c r="G19" s="60" t="s">
        <v>874</v>
      </c>
      <c r="H19" s="31" t="s">
        <v>39</v>
      </c>
      <c r="I19" s="72" t="str">
        <f>HYPERLINK("tag_data/be180423-42 (South Africa)","Link")</f>
        <v>Link</v>
      </c>
      <c r="J19" s="46" t="str">
        <f>HYPERLINK("tag_data_raw/South Africa/2018/be180423-42","Link")</f>
        <v>Link</v>
      </c>
      <c r="K19" s="72" t="str">
        <f>HYPERLINK("tag_data/be180423-42 (South Africa)/Pics&amp;Vids","Link")</f>
        <v>Link</v>
      </c>
      <c r="L19" s="54" t="str">
        <f>HYPERLINK("location data/South Africa/2018/Pics&amp;Vids/04.23/GOPR0878-42.MP4","Link")</f>
        <v>Link</v>
      </c>
      <c r="M19" s="41" t="s">
        <v>263</v>
      </c>
      <c r="N19" s="73" t="str">
        <f t="shared" si="6"/>
        <v>Link</v>
      </c>
      <c r="O19" s="31" t="s">
        <v>989</v>
      </c>
      <c r="P19" s="31" t="s">
        <v>41</v>
      </c>
      <c r="Q19" s="31">
        <f>LEFT(RIGHT(A19,LEN(A19)-FIND("-",A19)),MIN(SEARCH({"a","b","c","d","e","f","g","h","i","j","k","l","m","n","o","p","q","r","s","t","u","v","w","x","y","z"},RIGHT(A19,LEN(A19)-FIND("-",A19))&amp;"abcdefghijklmnopqrstuvwxyz"))-1)+1-1</f>
        <v>42</v>
      </c>
      <c r="R19" s="32" t="s">
        <v>347</v>
      </c>
      <c r="S19" s="32" t="str">
        <f t="shared" si="0"/>
        <v>None</v>
      </c>
      <c r="T19" s="32" t="s">
        <v>38</v>
      </c>
      <c r="U19" s="17">
        <f t="shared" si="1"/>
        <v>0.19726851851737592</v>
      </c>
      <c r="V19" s="17">
        <f t="shared" si="4"/>
        <v>0.19726851851737592</v>
      </c>
      <c r="W19" s="56">
        <v>0.14327546296296298</v>
      </c>
      <c r="X19" s="54" t="str">
        <f>HYPERLINK("tag_data/be180423-42 (South Africa)/be180423-42 Map.bmp","39")</f>
        <v>39</v>
      </c>
      <c r="Y19" s="42"/>
      <c r="Z19" s="31" t="s">
        <v>39</v>
      </c>
      <c r="AA19" s="31" t="s">
        <v>39</v>
      </c>
      <c r="AB19" s="31" t="s">
        <v>372</v>
      </c>
      <c r="AC19" s="31" t="s">
        <v>41</v>
      </c>
      <c r="AD19" s="31" t="s">
        <v>39</v>
      </c>
      <c r="AE19" s="31" t="s">
        <v>41</v>
      </c>
      <c r="AF19" s="31" t="s">
        <v>41</v>
      </c>
      <c r="AG19" s="31" t="s">
        <v>41</v>
      </c>
      <c r="AH19" s="31" t="s">
        <v>41</v>
      </c>
      <c r="AI19" s="31" t="s">
        <v>39</v>
      </c>
      <c r="AJ19" s="31" t="s">
        <v>39</v>
      </c>
      <c r="AK19" s="31" t="s">
        <v>41</v>
      </c>
      <c r="AL19" s="31" t="s">
        <v>41</v>
      </c>
      <c r="AM19" s="31" t="s">
        <v>41</v>
      </c>
      <c r="AN19" s="32" t="s">
        <v>1111</v>
      </c>
      <c r="AO19" s="32" t="s">
        <v>875</v>
      </c>
      <c r="AP19" s="30">
        <v>43213.429259259261</v>
      </c>
      <c r="AQ19" s="30">
        <v>43213.453750000001</v>
      </c>
      <c r="AR19" s="30">
        <v>43213.651018518518</v>
      </c>
      <c r="AS19" s="92" t="s">
        <v>651</v>
      </c>
      <c r="AT19" s="166">
        <v>-34.140765000000002</v>
      </c>
      <c r="AU19" s="166">
        <v>23.399217</v>
      </c>
      <c r="AV19" s="106" t="s">
        <v>876</v>
      </c>
      <c r="AW19" s="106" t="s">
        <v>876</v>
      </c>
      <c r="AX19" s="30">
        <v>43214.497627314813</v>
      </c>
      <c r="AY19" s="107">
        <v>-34.160066999999998</v>
      </c>
      <c r="AZ19" s="107">
        <v>23.392897000000001</v>
      </c>
      <c r="BA19" s="32" t="s">
        <v>993</v>
      </c>
      <c r="BB19" s="49" t="s">
        <v>1267</v>
      </c>
      <c r="BC19" s="7"/>
      <c r="BD19" s="7"/>
      <c r="BE19" s="7"/>
      <c r="BF19" s="7"/>
      <c r="BG19" s="7"/>
    </row>
    <row r="20" spans="1:59">
      <c r="A20" s="55" t="str">
        <f>HYPERLINK("tag_data/Quicklook/be180423-45Quicklook.jpg","be180423-45")</f>
        <v>be180423-45</v>
      </c>
      <c r="B20" s="26" t="s">
        <v>872</v>
      </c>
      <c r="C20" s="46" t="str">
        <f t="shared" si="5"/>
        <v>South Africa</v>
      </c>
      <c r="D20" s="64" t="s">
        <v>873</v>
      </c>
      <c r="E20" s="77" t="s">
        <v>879</v>
      </c>
      <c r="F20" s="85">
        <v>2</v>
      </c>
      <c r="G20" s="60" t="s">
        <v>874</v>
      </c>
      <c r="H20" s="31" t="s">
        <v>39</v>
      </c>
      <c r="I20" s="72" t="str">
        <f>HYPERLINK("tag_data/be180423-45 (South Africa)","Link")</f>
        <v>Link</v>
      </c>
      <c r="J20" s="46" t="str">
        <f>HYPERLINK("tag_data_raw/South Africa/2018/be180423-45","Link")</f>
        <v>Link</v>
      </c>
      <c r="K20" s="72" t="str">
        <f>HYPERLINK("tag_data/be180423-45 (South Africa)/Pics&amp;Vids","Link")</f>
        <v>Link</v>
      </c>
      <c r="L20" s="54" t="str">
        <f>HYPERLINK("location data/South Africa/2018/Pics&amp;Vids/04.23/GOPR0879-45.MP4","Link")</f>
        <v>Link</v>
      </c>
      <c r="M20" s="41" t="s">
        <v>263</v>
      </c>
      <c r="N20" s="73" t="str">
        <f t="shared" si="6"/>
        <v>Link</v>
      </c>
      <c r="O20" s="31" t="s">
        <v>990</v>
      </c>
      <c r="P20" s="31" t="s">
        <v>41</v>
      </c>
      <c r="Q20" s="31">
        <f>LEFT(RIGHT(A20,LEN(A20)-FIND("-",A20)),MIN(SEARCH({"a","b","c","d","e","f","g","h","i","j","k","l","m","n","o","p","q","r","s","t","u","v","w","x","y","z"},RIGHT(A20,LEN(A20)-FIND("-",A20))&amp;"abcdefghijklmnopqrstuvwxyz"))-1)+1-1</f>
        <v>45</v>
      </c>
      <c r="R20" s="32" t="s">
        <v>347</v>
      </c>
      <c r="S20" s="32" t="str">
        <f t="shared" si="0"/>
        <v>HTI</v>
      </c>
      <c r="T20" s="32" t="s">
        <v>38</v>
      </c>
      <c r="U20" s="17">
        <f t="shared" si="1"/>
        <v>3.3784722225391306E-2</v>
      </c>
      <c r="V20" s="17">
        <f t="shared" si="4"/>
        <v>3.3784722225391306E-2</v>
      </c>
      <c r="W20" s="56">
        <v>3.1458333333333331E-2</v>
      </c>
      <c r="X20" s="31">
        <v>0</v>
      </c>
      <c r="Y20" s="42"/>
      <c r="Z20" s="31" t="s">
        <v>39</v>
      </c>
      <c r="AA20" s="31" t="s">
        <v>39</v>
      </c>
      <c r="AB20" s="31" t="s">
        <v>372</v>
      </c>
      <c r="AC20" s="31" t="s">
        <v>41</v>
      </c>
      <c r="AD20" s="31" t="s">
        <v>39</v>
      </c>
      <c r="AE20" s="31" t="s">
        <v>41</v>
      </c>
      <c r="AF20" s="31" t="s">
        <v>41</v>
      </c>
      <c r="AG20" s="31" t="s">
        <v>41</v>
      </c>
      <c r="AH20" s="31" t="s">
        <v>41</v>
      </c>
      <c r="AI20" s="31" t="s">
        <v>41</v>
      </c>
      <c r="AJ20" s="31" t="s">
        <v>39</v>
      </c>
      <c r="AK20" s="31" t="s">
        <v>645</v>
      </c>
      <c r="AL20" s="31" t="s">
        <v>39</v>
      </c>
      <c r="AM20" s="31" t="s">
        <v>41</v>
      </c>
      <c r="AN20" s="32" t="s">
        <v>1112</v>
      </c>
      <c r="AO20" s="32" t="s">
        <v>875</v>
      </c>
      <c r="AP20" s="30">
        <v>43213.511516203704</v>
      </c>
      <c r="AQ20" s="30">
        <v>43213.514710648145</v>
      </c>
      <c r="AR20" s="30">
        <v>43213.548495370371</v>
      </c>
      <c r="AS20" s="92" t="s">
        <v>651</v>
      </c>
      <c r="AT20" s="166">
        <v>-34.180728999999999</v>
      </c>
      <c r="AU20" s="166">
        <v>23.407281000000001</v>
      </c>
      <c r="AV20" s="106" t="s">
        <v>876</v>
      </c>
      <c r="AW20" s="106" t="s">
        <v>876</v>
      </c>
      <c r="AX20" s="30">
        <v>43214.474062499998</v>
      </c>
      <c r="AY20" s="107">
        <v>-34.14188</v>
      </c>
      <c r="AZ20" s="107">
        <v>23.339358000000001</v>
      </c>
      <c r="BA20" s="32" t="s">
        <v>1113</v>
      </c>
      <c r="BB20" s="49" t="s">
        <v>1268</v>
      </c>
      <c r="BC20" s="7"/>
      <c r="BD20" s="7"/>
      <c r="BE20" s="7"/>
      <c r="BF20" s="7"/>
      <c r="BG20" s="7"/>
    </row>
    <row r="21" spans="1:59">
      <c r="A21" s="55" t="str">
        <f>HYPERLINK("tag_data/Quicklook/be180424-41Quicklook.jpg","be180424-41")</f>
        <v>be180424-41</v>
      </c>
      <c r="B21" s="26" t="s">
        <v>872</v>
      </c>
      <c r="C21" s="46" t="str">
        <f t="shared" si="5"/>
        <v>South Africa</v>
      </c>
      <c r="D21" s="64" t="s">
        <v>873</v>
      </c>
      <c r="E21" s="77" t="s">
        <v>879</v>
      </c>
      <c r="F21" s="85">
        <v>2</v>
      </c>
      <c r="G21" s="60" t="s">
        <v>874</v>
      </c>
      <c r="H21" s="31" t="s">
        <v>39</v>
      </c>
      <c r="I21" s="72" t="str">
        <f>HYPERLINK("tag_data/be180424-41 (South Africa)","Link")</f>
        <v>Link</v>
      </c>
      <c r="J21" s="46" t="str">
        <f>HYPERLINK("tag_data_raw/South Africa/2018/be180424-41","Link")</f>
        <v>Link</v>
      </c>
      <c r="K21" s="72" t="str">
        <f>HYPERLINK("tag_data/be180424-41 (South Africa)/Pics&amp;Vids","Link")</f>
        <v>Link</v>
      </c>
      <c r="L21" s="54" t="str">
        <f>HYPERLINK("location data/South Africa/2018/Pics&amp;Vids/04.24/GOPR0896.MP4","Link")</f>
        <v>Link</v>
      </c>
      <c r="M21" s="41" t="s">
        <v>263</v>
      </c>
      <c r="N21" s="73" t="str">
        <f t="shared" si="6"/>
        <v>Link</v>
      </c>
      <c r="O21" s="31" t="s">
        <v>991</v>
      </c>
      <c r="P21" s="31" t="s">
        <v>41</v>
      </c>
      <c r="Q21" s="31">
        <f>LEFT(RIGHT(A21,LEN(A21)-FIND("-",A21)),MIN(SEARCH({"a","b","c","d","e","f","g","h","i","j","k","l","m","n","o","p","q","r","s","t","u","v","w","x","y","z"},RIGHT(A21,LEN(A21)-FIND("-",A21))&amp;"abcdefghijklmnopqrstuvwxyz"))-1)+1-1</f>
        <v>41</v>
      </c>
      <c r="R21" s="32" t="s">
        <v>347</v>
      </c>
      <c r="S21" s="32" t="str">
        <f t="shared" si="0"/>
        <v>None</v>
      </c>
      <c r="T21" s="32" t="s">
        <v>566</v>
      </c>
      <c r="U21" s="17">
        <f t="shared" si="1"/>
        <v>0.10424768517987104</v>
      </c>
      <c r="V21" s="17">
        <f t="shared" si="4"/>
        <v>0.10424768517987104</v>
      </c>
      <c r="W21" s="56">
        <v>5.5636574074074074E-2</v>
      </c>
      <c r="X21" s="54" t="str">
        <f>HYPERLINK("tag_data/be180424-41 (South Africa)/be180424-41 Map.bmp","14")</f>
        <v>14</v>
      </c>
      <c r="Y21" s="42"/>
      <c r="Z21" s="31" t="s">
        <v>41</v>
      </c>
      <c r="AA21" s="31" t="s">
        <v>41</v>
      </c>
      <c r="AB21" s="31" t="s">
        <v>263</v>
      </c>
      <c r="AC21" s="31" t="s">
        <v>41</v>
      </c>
      <c r="AD21" s="31" t="s">
        <v>41</v>
      </c>
      <c r="AE21" s="31" t="s">
        <v>41</v>
      </c>
      <c r="AF21" s="31" t="s">
        <v>41</v>
      </c>
      <c r="AG21" s="31" t="s">
        <v>41</v>
      </c>
      <c r="AH21" s="31" t="s">
        <v>41</v>
      </c>
      <c r="AI21" s="31" t="s">
        <v>41</v>
      </c>
      <c r="AJ21" s="31" t="s">
        <v>41</v>
      </c>
      <c r="AK21" s="31" t="s">
        <v>41</v>
      </c>
      <c r="AL21" s="31" t="s">
        <v>41</v>
      </c>
      <c r="AM21" s="31" t="s">
        <v>41</v>
      </c>
      <c r="AN21" s="32" t="s">
        <v>1110</v>
      </c>
      <c r="AO21" s="32" t="s">
        <v>875</v>
      </c>
      <c r="AP21" s="200">
        <v>43214.557222222225</v>
      </c>
      <c r="AQ21" s="30">
        <v>43214.574652777781</v>
      </c>
      <c r="AR21" s="30">
        <v>43214.678900462961</v>
      </c>
      <c r="AS21" s="92" t="s">
        <v>651</v>
      </c>
      <c r="AT21" s="166">
        <v>-34.021368000000002</v>
      </c>
      <c r="AU21" s="166">
        <v>23.459851</v>
      </c>
      <c r="AV21" s="106" t="s">
        <v>876</v>
      </c>
      <c r="AW21" s="106" t="s">
        <v>876</v>
      </c>
      <c r="AX21" s="30">
        <v>43214.695567129631</v>
      </c>
      <c r="AY21" s="107">
        <v>-34.021312999999999</v>
      </c>
      <c r="AZ21" s="107">
        <v>23.444818999999999</v>
      </c>
      <c r="BA21" s="32" t="s">
        <v>1460</v>
      </c>
      <c r="BB21" s="49" t="s">
        <v>1269</v>
      </c>
      <c r="BC21" s="7"/>
      <c r="BD21" s="7"/>
      <c r="BE21" s="7"/>
      <c r="BF21" s="7"/>
      <c r="BG21" s="7"/>
    </row>
    <row r="22" spans="1:59">
      <c r="A22" s="55" t="str">
        <f>HYPERLINK("tag_data/Quicklook/be180427-42Quicklook.jpg","be180427-42")</f>
        <v>be180427-42</v>
      </c>
      <c r="B22" s="26" t="s">
        <v>872</v>
      </c>
      <c r="C22" s="46" t="str">
        <f t="shared" si="5"/>
        <v>South Africa</v>
      </c>
      <c r="D22" s="64" t="s">
        <v>873</v>
      </c>
      <c r="E22" s="77" t="s">
        <v>879</v>
      </c>
      <c r="F22" s="85">
        <v>2</v>
      </c>
      <c r="G22" s="60" t="s">
        <v>874</v>
      </c>
      <c r="H22" s="31" t="s">
        <v>39</v>
      </c>
      <c r="I22" s="72" t="str">
        <f>HYPERLINK("tag_data/be180427-42 (South Africa)","Link")</f>
        <v>Link</v>
      </c>
      <c r="J22" s="46" t="str">
        <f>HYPERLINK("tag_data_raw/South Africa/2018/be180427-42","Link")</f>
        <v>Link</v>
      </c>
      <c r="K22" s="72" t="str">
        <f>HYPERLINK("tag_data/be180427-42 (South Africa)/Pics&amp;Vids","Link")</f>
        <v>Link</v>
      </c>
      <c r="L22" s="54" t="str">
        <f>HYPERLINK("location data/South Africa/2018/Pics&amp;Vids/04.27/GOPR0898.MP4","Link")</f>
        <v>Link</v>
      </c>
      <c r="M22" s="72" t="str">
        <f>HYPERLINK("tag_data/be180427-42 (South Africa)/Pics&amp;Vids/drone","14.1 m")</f>
        <v>14.1 m</v>
      </c>
      <c r="N22" s="73" t="str">
        <f t="shared" si="6"/>
        <v>Link</v>
      </c>
      <c r="O22" s="31" t="s">
        <v>992</v>
      </c>
      <c r="P22" s="31" t="s">
        <v>41</v>
      </c>
      <c r="Q22" s="31">
        <f>LEFT(RIGHT(A22,LEN(A22)-FIND("-",A22)),MIN(SEARCH({"a","b","c","d","e","f","g","h","i","j","k","l","m","n","o","p","q","r","s","t","u","v","w","x","y","z"},RIGHT(A22,LEN(A22)-FIND("-",A22))&amp;"abcdefghijklmnopqrstuvwxyz"))-1)+1-1</f>
        <v>42</v>
      </c>
      <c r="R22" s="32" t="s">
        <v>347</v>
      </c>
      <c r="S22" s="32" t="str">
        <f t="shared" si="0"/>
        <v>None</v>
      </c>
      <c r="T22" s="32" t="s">
        <v>38</v>
      </c>
      <c r="U22" s="17">
        <f t="shared" si="1"/>
        <v>0.84143518518249039</v>
      </c>
      <c r="V22" s="17">
        <f t="shared" si="4"/>
        <v>0.84143518518249039</v>
      </c>
      <c r="W22" s="56">
        <v>0.29960648148148145</v>
      </c>
      <c r="X22" s="54" t="str">
        <f>HYPERLINK("tag_data/be180427-42 (South Africa)/be180427-42 Map.bmp","24")</f>
        <v>24</v>
      </c>
      <c r="Y22" s="42"/>
      <c r="Z22" s="31" t="s">
        <v>39</v>
      </c>
      <c r="AA22" s="31" t="s">
        <v>39</v>
      </c>
      <c r="AB22" s="31" t="s">
        <v>372</v>
      </c>
      <c r="AC22" s="31" t="s">
        <v>41</v>
      </c>
      <c r="AD22" s="31" t="s">
        <v>41</v>
      </c>
      <c r="AE22" s="31" t="s">
        <v>41</v>
      </c>
      <c r="AF22" s="31" t="s">
        <v>41</v>
      </c>
      <c r="AG22" s="31" t="s">
        <v>41</v>
      </c>
      <c r="AH22" s="31" t="s">
        <v>39</v>
      </c>
      <c r="AI22" s="31" t="s">
        <v>39</v>
      </c>
      <c r="AJ22" s="31" t="s">
        <v>39</v>
      </c>
      <c r="AK22" s="31" t="s">
        <v>41</v>
      </c>
      <c r="AL22" s="31" t="s">
        <v>41</v>
      </c>
      <c r="AM22" s="31" t="s">
        <v>41</v>
      </c>
      <c r="AN22" s="32" t="s">
        <v>1114</v>
      </c>
      <c r="AO22" s="32" t="s">
        <v>875</v>
      </c>
      <c r="AP22" s="30">
        <v>43217.466157407405</v>
      </c>
      <c r="AQ22" s="30">
        <v>43217.468414351853</v>
      </c>
      <c r="AR22" s="30">
        <v>43218.309849537036</v>
      </c>
      <c r="AS22" s="92" t="s">
        <v>651</v>
      </c>
      <c r="AT22" s="166">
        <v>-34.052219000000001</v>
      </c>
      <c r="AU22" s="166">
        <v>23.443190000000001</v>
      </c>
      <c r="AV22" s="106" t="s">
        <v>876</v>
      </c>
      <c r="AW22" s="106" t="s">
        <v>876</v>
      </c>
      <c r="AX22" s="30">
        <v>43218.529780092591</v>
      </c>
      <c r="AY22" s="107">
        <v>-34.059826999999999</v>
      </c>
      <c r="AZ22" s="107">
        <v>23.480117</v>
      </c>
      <c r="BA22" s="32" t="s">
        <v>1115</v>
      </c>
      <c r="BB22" s="49" t="s">
        <v>1270</v>
      </c>
      <c r="BC22" s="7"/>
      <c r="BD22" s="7"/>
      <c r="BE22" s="7"/>
      <c r="BF22" s="7"/>
      <c r="BG22" s="7"/>
    </row>
    <row r="23" spans="1:59">
      <c r="A23" s="55" t="str">
        <f>HYPERLINK("tag_data/Quicklook/bp150616-4Quicklook.jpg","bp150616-4")</f>
        <v>bp150616-4</v>
      </c>
      <c r="B23" s="26" t="str">
        <f t="shared" ref="B23:B38" si="7">LEFT(A23,2)</f>
        <v>bp</v>
      </c>
      <c r="C23" s="42" t="str">
        <f t="shared" ref="C23:C28" si="8">HYPERLINK("location data/Stellwagen/2015/","Stellwagen")</f>
        <v>Stellwagen</v>
      </c>
      <c r="D23" s="64" t="s">
        <v>558</v>
      </c>
      <c r="E23" s="61" t="s">
        <v>559</v>
      </c>
      <c r="F23" s="85">
        <v>-4</v>
      </c>
      <c r="G23" s="59" t="s">
        <v>460</v>
      </c>
      <c r="H23" s="31" t="s">
        <v>39</v>
      </c>
      <c r="I23" s="42" t="str">
        <f>HYPERLINK("tag_data/bp150616-4 (Stellwagen)","Link")</f>
        <v>Link</v>
      </c>
      <c r="J23" s="42" t="str">
        <f>HYPERLINK("tag_data_raw/Stellwagen/2015/bp150616-4","Link")</f>
        <v>Link</v>
      </c>
      <c r="K23" s="42" t="str">
        <f>HYPERLINK("tag_data/bp150616-4 (Stellwagen)/Pics&amp;Vids","Link")</f>
        <v>Link</v>
      </c>
      <c r="L23" s="41" t="s">
        <v>263</v>
      </c>
      <c r="M23" s="41" t="s">
        <v>263</v>
      </c>
      <c r="N23" s="42" t="str">
        <f t="shared" ref="N23:N28" si="9">HYPERLINK("location data/Stellwagen/2015/MetaData/Master_Tag_Log_2015_07_08th_v1.xlsx","Link")</f>
        <v>Link</v>
      </c>
      <c r="O23" s="31" t="s">
        <v>37</v>
      </c>
      <c r="P23" s="31" t="s">
        <v>266</v>
      </c>
      <c r="Q23" s="31">
        <v>4</v>
      </c>
      <c r="R23" s="32" t="s">
        <v>34</v>
      </c>
      <c r="S23" s="32" t="str">
        <f t="shared" si="0"/>
        <v>Cam Mic</v>
      </c>
      <c r="T23" s="32" t="s">
        <v>38</v>
      </c>
      <c r="U23" s="17">
        <f t="shared" si="1"/>
        <v>6.5277777757728472E-3</v>
      </c>
      <c r="V23" s="17">
        <f t="shared" si="4"/>
        <v>6.5277777757728472E-3</v>
      </c>
      <c r="W23" s="56">
        <f>V23</f>
        <v>6.5277777757728472E-3</v>
      </c>
      <c r="X23" s="31" t="s">
        <v>263</v>
      </c>
      <c r="Y23" s="31"/>
      <c r="Z23" s="31" t="s">
        <v>39</v>
      </c>
      <c r="AA23" s="31" t="s">
        <v>39</v>
      </c>
      <c r="AB23" s="31" t="s">
        <v>40</v>
      </c>
      <c r="AC23" s="31" t="s">
        <v>41</v>
      </c>
      <c r="AD23" s="31" t="s">
        <v>39</v>
      </c>
      <c r="AE23" s="31" t="s">
        <v>41</v>
      </c>
      <c r="AF23" s="31" t="s">
        <v>39</v>
      </c>
      <c r="AG23" s="31" t="s">
        <v>41</v>
      </c>
      <c r="AH23" s="33" t="s">
        <v>481</v>
      </c>
      <c r="AI23" s="31" t="s">
        <v>39</v>
      </c>
      <c r="AJ23" s="31" t="s">
        <v>39</v>
      </c>
      <c r="AK23" s="31" t="s">
        <v>41</v>
      </c>
      <c r="AL23" s="31" t="s">
        <v>41</v>
      </c>
      <c r="AM23" s="31" t="s">
        <v>41</v>
      </c>
      <c r="AN23" s="32" t="s">
        <v>284</v>
      </c>
      <c r="AO23" s="32" t="s">
        <v>43</v>
      </c>
      <c r="AP23" s="30">
        <v>42171.319224537037</v>
      </c>
      <c r="AQ23" s="30">
        <v>42171.561111111114</v>
      </c>
      <c r="AR23" s="92">
        <v>42171.56763888889</v>
      </c>
      <c r="AS23" s="92" t="s">
        <v>651</v>
      </c>
      <c r="AT23" s="107">
        <v>42.139850000000003</v>
      </c>
      <c r="AU23" s="107">
        <v>-70.202233300000003</v>
      </c>
      <c r="AV23" s="142" t="s">
        <v>299</v>
      </c>
      <c r="AW23" s="106" t="s">
        <v>268</v>
      </c>
      <c r="AX23" s="30">
        <v>42171.57880787037</v>
      </c>
      <c r="AY23" s="107">
        <v>42.142330000000001</v>
      </c>
      <c r="AZ23" s="107">
        <v>-70.182755</v>
      </c>
      <c r="BA23" s="32" t="s">
        <v>816</v>
      </c>
      <c r="BB23" s="49"/>
      <c r="BC23" s="7"/>
      <c r="BD23" s="7"/>
      <c r="BE23" s="7"/>
      <c r="BF23" s="7"/>
      <c r="BG23" s="7"/>
    </row>
    <row r="24" spans="1:59">
      <c r="A24" s="22" t="s">
        <v>47</v>
      </c>
      <c r="B24" s="26" t="str">
        <f t="shared" si="7"/>
        <v>bp</v>
      </c>
      <c r="C24" s="42" t="str">
        <f t="shared" si="8"/>
        <v>Stellwagen</v>
      </c>
      <c r="D24" s="64" t="s">
        <v>558</v>
      </c>
      <c r="E24" s="61" t="s">
        <v>559</v>
      </c>
      <c r="F24" s="85">
        <v>-4</v>
      </c>
      <c r="G24" s="59" t="s">
        <v>460</v>
      </c>
      <c r="H24" s="34" t="s">
        <v>41</v>
      </c>
      <c r="I24" s="46" t="str">
        <f>HYPERLINK("tag_data/bp150619-2a-c (Stellwagen- no prhs)","Link")</f>
        <v>Link</v>
      </c>
      <c r="J24" s="42" t="str">
        <f>HYPERLINK("tag_data_raw/Stellwagen/2015/bp150619-2","Link")</f>
        <v>Link</v>
      </c>
      <c r="K24" s="42" t="str">
        <f>HYPERLINK("tag_data/bp150619-2a-c (Stellwagen- no prhs)/Pics&amp;Vids/a","Link")</f>
        <v>Link</v>
      </c>
      <c r="L24" s="42" t="str">
        <f>HYPERLINK("location data/Stellwagen/2015/Pics&amp;Vids/Deploy Vids/150619 (fins)/GOPR0609.MP4","Link")</f>
        <v>Link</v>
      </c>
      <c r="M24" s="41" t="s">
        <v>263</v>
      </c>
      <c r="N24" s="42" t="str">
        <f t="shared" si="9"/>
        <v>Link</v>
      </c>
      <c r="O24" s="34" t="s">
        <v>46</v>
      </c>
      <c r="P24" s="31" t="s">
        <v>266</v>
      </c>
      <c r="Q24" s="34">
        <v>2</v>
      </c>
      <c r="R24" s="35" t="s">
        <v>34</v>
      </c>
      <c r="S24" s="32" t="str">
        <f t="shared" si="0"/>
        <v>Cam Mic</v>
      </c>
      <c r="T24" s="35" t="s">
        <v>50</v>
      </c>
      <c r="U24" s="23">
        <f t="shared" si="1"/>
        <v>4.398148157633841E-4</v>
      </c>
      <c r="V24" s="23">
        <f t="shared" si="4"/>
        <v>4.398148157633841E-4</v>
      </c>
      <c r="W24" s="56">
        <v>4.3981481481481481E-4</v>
      </c>
      <c r="X24" s="31" t="s">
        <v>263</v>
      </c>
      <c r="Y24" s="42" t="str">
        <f>HYPERLINK("/CATS/tag_data/bp150619-2a-c (Stellwagen- no prhs)/Stellwagen Sleigh Ride.txt","Link")</f>
        <v>Link</v>
      </c>
      <c r="Z24" s="34" t="s">
        <v>41</v>
      </c>
      <c r="AA24" s="34" t="s">
        <v>41</v>
      </c>
      <c r="AB24" s="34" t="s">
        <v>263</v>
      </c>
      <c r="AC24" s="31" t="s">
        <v>41</v>
      </c>
      <c r="AD24" s="34" t="s">
        <v>41</v>
      </c>
      <c r="AE24" s="34" t="s">
        <v>41</v>
      </c>
      <c r="AF24" s="34" t="s">
        <v>41</v>
      </c>
      <c r="AG24" s="34" t="s">
        <v>41</v>
      </c>
      <c r="AH24" s="34" t="s">
        <v>41</v>
      </c>
      <c r="AI24" s="34" t="s">
        <v>41</v>
      </c>
      <c r="AJ24" s="34" t="s">
        <v>41</v>
      </c>
      <c r="AK24" s="34" t="s">
        <v>39</v>
      </c>
      <c r="AL24" s="34" t="s">
        <v>41</v>
      </c>
      <c r="AM24" s="34" t="s">
        <v>41</v>
      </c>
      <c r="AN24" s="35" t="s">
        <v>283</v>
      </c>
      <c r="AO24" s="35" t="s">
        <v>891</v>
      </c>
      <c r="AP24" s="145">
        <v>42174.524618055555</v>
      </c>
      <c r="AQ24" s="145">
        <v>42174.57576388889</v>
      </c>
      <c r="AR24" s="146">
        <v>42174.576203703706</v>
      </c>
      <c r="AS24" s="92" t="s">
        <v>651</v>
      </c>
      <c r="AT24" s="144">
        <v>41.706699999999998</v>
      </c>
      <c r="AU24" s="144">
        <v>-69.688749999999999</v>
      </c>
      <c r="AV24" s="142" t="s">
        <v>299</v>
      </c>
      <c r="AW24" s="142" t="s">
        <v>299</v>
      </c>
      <c r="AX24" s="145">
        <v>42174.577199074076</v>
      </c>
      <c r="AY24" s="144">
        <v>41.705500000000001</v>
      </c>
      <c r="AZ24" s="144">
        <v>-69.688483329999997</v>
      </c>
      <c r="BA24" s="35" t="s">
        <v>51</v>
      </c>
      <c r="BB24" s="35"/>
      <c r="BC24" s="7"/>
      <c r="BD24" s="7"/>
      <c r="BE24" s="7"/>
      <c r="BF24" s="7"/>
      <c r="BG24" s="7"/>
    </row>
    <row r="25" spans="1:59">
      <c r="A25" s="7" t="s">
        <v>48</v>
      </c>
      <c r="B25" s="26" t="str">
        <f t="shared" si="7"/>
        <v>bp</v>
      </c>
      <c r="C25" s="42" t="str">
        <f t="shared" si="8"/>
        <v>Stellwagen</v>
      </c>
      <c r="D25" s="64" t="s">
        <v>558</v>
      </c>
      <c r="E25" s="61" t="s">
        <v>559</v>
      </c>
      <c r="F25" s="85">
        <v>-4</v>
      </c>
      <c r="G25" s="59" t="s">
        <v>460</v>
      </c>
      <c r="H25" s="31" t="s">
        <v>41</v>
      </c>
      <c r="I25" s="42" t="str">
        <f>HYPERLINK("tag_data/bp150619-2a-c (Stellwagen- no prhs)","Link")</f>
        <v>Link</v>
      </c>
      <c r="J25" s="42" t="str">
        <f>HYPERLINK("tag_data_raw/Stellwagen/2015/bp150619-2","Link")</f>
        <v>Link</v>
      </c>
      <c r="K25" s="41" t="s">
        <v>263</v>
      </c>
      <c r="L25" s="54" t="str">
        <f>HYPERLINK("location data/Stellwagen/2015/Pics&amp;Vids/Deploy Vids/150619 (fins)/GOPR0613.MP4","Link")</f>
        <v>Link</v>
      </c>
      <c r="M25" s="41" t="s">
        <v>263</v>
      </c>
      <c r="N25" s="42" t="str">
        <f t="shared" si="9"/>
        <v>Link</v>
      </c>
      <c r="O25" s="31" t="s">
        <v>45</v>
      </c>
      <c r="P25" s="31" t="s">
        <v>266</v>
      </c>
      <c r="Q25" s="31">
        <v>2</v>
      </c>
      <c r="R25" s="32" t="s">
        <v>34</v>
      </c>
      <c r="S25" s="32" t="str">
        <f t="shared" si="0"/>
        <v>Cam Mic</v>
      </c>
      <c r="T25" s="32" t="s">
        <v>38</v>
      </c>
      <c r="U25" s="17">
        <f t="shared" si="1"/>
        <v>5.2083333139307797E-4</v>
      </c>
      <c r="V25" s="17">
        <f t="shared" si="4"/>
        <v>5.2083333139307797E-4</v>
      </c>
      <c r="W25" s="56">
        <v>5.2083333333333333E-4</v>
      </c>
      <c r="X25" s="31" t="s">
        <v>263</v>
      </c>
      <c r="Y25" s="42" t="str">
        <f>HYPERLINK("/CATS/tag_data/bp150619-2a-c (Stellwagen- no prhs)/Stellwagen Sleigh Ride.txt","Link")</f>
        <v>Link</v>
      </c>
      <c r="Z25" s="31" t="s">
        <v>41</v>
      </c>
      <c r="AA25" s="31" t="s">
        <v>41</v>
      </c>
      <c r="AB25" s="31" t="s">
        <v>263</v>
      </c>
      <c r="AC25" s="31" t="s">
        <v>41</v>
      </c>
      <c r="AD25" s="31" t="s">
        <v>41</v>
      </c>
      <c r="AE25" s="31" t="s">
        <v>41</v>
      </c>
      <c r="AF25" s="31" t="s">
        <v>41</v>
      </c>
      <c r="AG25" s="31" t="s">
        <v>41</v>
      </c>
      <c r="AH25" s="31" t="s">
        <v>41</v>
      </c>
      <c r="AI25" s="31" t="s">
        <v>41</v>
      </c>
      <c r="AJ25" s="31" t="s">
        <v>41</v>
      </c>
      <c r="AK25" s="31" t="s">
        <v>41</v>
      </c>
      <c r="AL25" s="31" t="s">
        <v>41</v>
      </c>
      <c r="AM25" s="31" t="s">
        <v>41</v>
      </c>
      <c r="AN25" s="32" t="s">
        <v>283</v>
      </c>
      <c r="AO25" s="32" t="s">
        <v>891</v>
      </c>
      <c r="AP25" s="30">
        <v>42174.524618055555</v>
      </c>
      <c r="AQ25" s="30">
        <v>42174.595312500001</v>
      </c>
      <c r="AR25" s="92">
        <v>42174.595833333333</v>
      </c>
      <c r="AS25" s="92" t="s">
        <v>651</v>
      </c>
      <c r="AT25" s="144">
        <v>41.700416670000003</v>
      </c>
      <c r="AU25" s="144">
        <v>-69.674783329999997</v>
      </c>
      <c r="AV25" s="142" t="s">
        <v>299</v>
      </c>
      <c r="AW25" s="142" t="s">
        <v>299</v>
      </c>
      <c r="AX25" s="30">
        <v>42174.595833333333</v>
      </c>
      <c r="AY25" s="107">
        <v>41.700416670000003</v>
      </c>
      <c r="AZ25" s="107">
        <v>-69.674783329999997</v>
      </c>
      <c r="BA25" s="32" t="s">
        <v>818</v>
      </c>
      <c r="BB25" s="32"/>
      <c r="BC25" s="7"/>
      <c r="BD25" s="7"/>
      <c r="BE25" s="7"/>
      <c r="BF25" s="7"/>
      <c r="BG25" s="7"/>
    </row>
    <row r="26" spans="1:59">
      <c r="A26" s="55" t="str">
        <f>HYPERLINK("tag_data/Quicklook/bp150619-2cQuicklook.jpg","bp150619-2c")</f>
        <v>bp150619-2c</v>
      </c>
      <c r="B26" s="26" t="str">
        <f t="shared" si="7"/>
        <v>bp</v>
      </c>
      <c r="C26" s="42" t="str">
        <f t="shared" si="8"/>
        <v>Stellwagen</v>
      </c>
      <c r="D26" s="64" t="s">
        <v>558</v>
      </c>
      <c r="E26" s="61" t="s">
        <v>559</v>
      </c>
      <c r="F26" s="85">
        <v>-4</v>
      </c>
      <c r="G26" s="59" t="s">
        <v>460</v>
      </c>
      <c r="H26" s="31" t="s">
        <v>41</v>
      </c>
      <c r="I26" s="42" t="str">
        <f>HYPERLINK("tag_data/bp150619-2a-c (Stellwagen- no prhs)","Link")</f>
        <v>Link</v>
      </c>
      <c r="J26" s="42" t="str">
        <f>HYPERLINK("tag_data_raw/Stellwagen/2015/bp150619-2","Link")</f>
        <v>Link</v>
      </c>
      <c r="K26" s="42" t="str">
        <f>HYPERLINK("tag_data/bp150619-2a-c (Stellwagen- no prhs)/Pics&amp;Vids/c","Link")</f>
        <v>Link</v>
      </c>
      <c r="L26" s="46" t="str">
        <f>HYPERLINK("location data/Stellwagen/2015/Pics&amp;Vids/Deploy Vids/150619 (fins)/GOPR0628.MP4","Link")</f>
        <v>Link</v>
      </c>
      <c r="M26" s="41" t="s">
        <v>263</v>
      </c>
      <c r="N26" s="42" t="str">
        <f t="shared" si="9"/>
        <v>Link</v>
      </c>
      <c r="O26" s="31" t="s">
        <v>52</v>
      </c>
      <c r="P26" s="31" t="s">
        <v>266</v>
      </c>
      <c r="Q26" s="31">
        <v>2</v>
      </c>
      <c r="R26" s="32" t="s">
        <v>34</v>
      </c>
      <c r="S26" s="32" t="str">
        <f t="shared" si="0"/>
        <v>Cam Mic</v>
      </c>
      <c r="T26" s="32" t="s">
        <v>38</v>
      </c>
      <c r="U26" s="17">
        <f t="shared" si="1"/>
        <v>1.273148154723458E-4</v>
      </c>
      <c r="V26" s="17">
        <f t="shared" si="4"/>
        <v>1.273148154723458E-4</v>
      </c>
      <c r="W26" s="56">
        <f>V26</f>
        <v>1.273148154723458E-4</v>
      </c>
      <c r="X26" s="31" t="s">
        <v>263</v>
      </c>
      <c r="Y26" s="42" t="str">
        <f>HYPERLINK("/CATS/tag_data/bp150619-2a-c (Stellwagen- no prhs)/Stellwagen Sleigh Ride.txt","Link")</f>
        <v>Link</v>
      </c>
      <c r="Z26" s="31" t="s">
        <v>41</v>
      </c>
      <c r="AA26" s="31" t="s">
        <v>41</v>
      </c>
      <c r="AB26" s="31" t="s">
        <v>263</v>
      </c>
      <c r="AC26" s="31" t="s">
        <v>41</v>
      </c>
      <c r="AD26" s="31" t="s">
        <v>41</v>
      </c>
      <c r="AE26" s="31" t="s">
        <v>41</v>
      </c>
      <c r="AF26" s="31" t="s">
        <v>41</v>
      </c>
      <c r="AG26" s="31" t="s">
        <v>41</v>
      </c>
      <c r="AH26" s="31" t="s">
        <v>41</v>
      </c>
      <c r="AI26" s="31" t="s">
        <v>41</v>
      </c>
      <c r="AJ26" s="31" t="s">
        <v>41</v>
      </c>
      <c r="AK26" s="31" t="s">
        <v>41</v>
      </c>
      <c r="AL26" s="31" t="s">
        <v>41</v>
      </c>
      <c r="AM26" s="31" t="s">
        <v>41</v>
      </c>
      <c r="AN26" s="32" t="s">
        <v>282</v>
      </c>
      <c r="AO26" s="32" t="s">
        <v>891</v>
      </c>
      <c r="AP26" s="30">
        <v>42174.524618055555</v>
      </c>
      <c r="AQ26" s="30">
        <v>42174.690787037034</v>
      </c>
      <c r="AR26" s="92">
        <v>42174.69091435185</v>
      </c>
      <c r="AS26" s="92" t="s">
        <v>651</v>
      </c>
      <c r="AT26" s="144">
        <v>41.684883329999998</v>
      </c>
      <c r="AU26" s="144">
        <v>-69.665666669999993</v>
      </c>
      <c r="AV26" s="142" t="s">
        <v>299</v>
      </c>
      <c r="AW26" s="142" t="s">
        <v>299</v>
      </c>
      <c r="AX26" s="30">
        <v>42174.692361111112</v>
      </c>
      <c r="AY26" s="107">
        <v>41.684199999999997</v>
      </c>
      <c r="AZ26" s="107">
        <v>-69.664733330000004</v>
      </c>
      <c r="BA26" s="32" t="s">
        <v>817</v>
      </c>
      <c r="BB26" s="49"/>
      <c r="BC26" s="7"/>
      <c r="BD26" s="7"/>
      <c r="BE26" s="7"/>
      <c r="BF26" s="7"/>
      <c r="BG26" s="7"/>
    </row>
    <row r="27" spans="1:59">
      <c r="A27" s="55" t="str">
        <f>HYPERLINK("tag_data/Quicklook/bp150619-3aQuicklook.jpg","bp150619-3a")</f>
        <v>bp150619-3a</v>
      </c>
      <c r="B27" s="26" t="str">
        <f t="shared" si="7"/>
        <v>bp</v>
      </c>
      <c r="C27" s="42" t="str">
        <f t="shared" si="8"/>
        <v>Stellwagen</v>
      </c>
      <c r="D27" s="64" t="s">
        <v>558</v>
      </c>
      <c r="E27" s="61" t="s">
        <v>559</v>
      </c>
      <c r="F27" s="85">
        <v>-4</v>
      </c>
      <c r="G27" s="59" t="s">
        <v>460</v>
      </c>
      <c r="H27" s="31" t="s">
        <v>39</v>
      </c>
      <c r="I27" s="42" t="str">
        <f>HYPERLINK("tag_data/bp150619-3a (Stellwagen)","Link")</f>
        <v>Link</v>
      </c>
      <c r="J27" s="42" t="str">
        <f>HYPERLINK("tag_data_raw/Stellwagen/2015/bp150619-3","Link")</f>
        <v>Link</v>
      </c>
      <c r="K27" s="42" t="str">
        <f>HYPERLINK("tag_data/bp150619-3a (Stellwagen)/Pics&amp;Vids/a","Link")</f>
        <v>Link</v>
      </c>
      <c r="L27" s="41" t="s">
        <v>263</v>
      </c>
      <c r="M27" s="41" t="s">
        <v>263</v>
      </c>
      <c r="N27" s="42" t="str">
        <f t="shared" si="9"/>
        <v>Link</v>
      </c>
      <c r="O27" s="31" t="s">
        <v>46</v>
      </c>
      <c r="P27" s="31" t="s">
        <v>266</v>
      </c>
      <c r="Q27" s="31">
        <v>3</v>
      </c>
      <c r="R27" s="32" t="s">
        <v>34</v>
      </c>
      <c r="S27" s="32" t="str">
        <f t="shared" si="0"/>
        <v>Cam Mic</v>
      </c>
      <c r="T27" s="32" t="s">
        <v>38</v>
      </c>
      <c r="U27" s="17">
        <f t="shared" si="1"/>
        <v>7.6692708316841163E-3</v>
      </c>
      <c r="V27" s="17">
        <f t="shared" si="4"/>
        <v>7.6692708316841163E-3</v>
      </c>
      <c r="W27" s="56">
        <v>6.8634259259259256E-3</v>
      </c>
      <c r="X27" s="31" t="s">
        <v>263</v>
      </c>
      <c r="Y27" s="31"/>
      <c r="Z27" s="31" t="s">
        <v>39</v>
      </c>
      <c r="AA27" s="31" t="s">
        <v>39</v>
      </c>
      <c r="AB27" s="31" t="s">
        <v>40</v>
      </c>
      <c r="AC27" s="31" t="s">
        <v>41</v>
      </c>
      <c r="AD27" s="31" t="s">
        <v>39</v>
      </c>
      <c r="AE27" s="31" t="s">
        <v>41</v>
      </c>
      <c r="AF27" s="31" t="s">
        <v>41</v>
      </c>
      <c r="AG27" s="31" t="s">
        <v>41</v>
      </c>
      <c r="AH27" s="31" t="s">
        <v>41</v>
      </c>
      <c r="AI27" s="31" t="s">
        <v>39</v>
      </c>
      <c r="AJ27" s="31" t="s">
        <v>41</v>
      </c>
      <c r="AK27" s="31" t="s">
        <v>41</v>
      </c>
      <c r="AL27" s="31" t="s">
        <v>41</v>
      </c>
      <c r="AM27" s="31" t="s">
        <v>41</v>
      </c>
      <c r="AN27" s="32" t="s">
        <v>494</v>
      </c>
      <c r="AO27" s="32" t="s">
        <v>891</v>
      </c>
      <c r="AP27" s="30">
        <v>42174.602453703701</v>
      </c>
      <c r="AQ27" s="30">
        <v>42174.605040509261</v>
      </c>
      <c r="AR27" s="92">
        <v>42174.612709780093</v>
      </c>
      <c r="AS27" s="92" t="s">
        <v>651</v>
      </c>
      <c r="AT27" s="144">
        <v>41.697016669999996</v>
      </c>
      <c r="AU27" s="144">
        <v>-69.678600000000003</v>
      </c>
      <c r="AV27" s="142" t="s">
        <v>299</v>
      </c>
      <c r="AW27" s="142" t="s">
        <v>299</v>
      </c>
      <c r="AX27" s="30">
        <v>42174.618460648147</v>
      </c>
      <c r="AY27" s="107">
        <v>41.689549999999997</v>
      </c>
      <c r="AZ27" s="107">
        <v>-69.698466670000002</v>
      </c>
      <c r="BA27" s="32" t="s">
        <v>44</v>
      </c>
      <c r="BB27" s="49" t="s">
        <v>1271</v>
      </c>
      <c r="BC27" s="7"/>
      <c r="BD27" s="7"/>
      <c r="BE27" s="7"/>
      <c r="BF27" s="7"/>
      <c r="BG27" s="7"/>
    </row>
    <row r="28" spans="1:59">
      <c r="A28" s="55" t="str">
        <f>HYPERLINK("tag_data/Quicklook/bp150619-3bQuicklook.jpg","bp150619-3b")</f>
        <v>bp150619-3b</v>
      </c>
      <c r="B28" s="26" t="str">
        <f t="shared" si="7"/>
        <v>bp</v>
      </c>
      <c r="C28" s="42" t="str">
        <f t="shared" si="8"/>
        <v>Stellwagen</v>
      </c>
      <c r="D28" s="64" t="s">
        <v>558</v>
      </c>
      <c r="E28" s="61" t="s">
        <v>559</v>
      </c>
      <c r="F28" s="85">
        <v>-4</v>
      </c>
      <c r="G28" s="59" t="s">
        <v>460</v>
      </c>
      <c r="H28" s="31" t="s">
        <v>39</v>
      </c>
      <c r="I28" s="42" t="str">
        <f>HYPERLINK("tag_data/bp150619-3b (Stellwagen)","Link")</f>
        <v>Link</v>
      </c>
      <c r="J28" s="42" t="str">
        <f>HYPERLINK("tag_data_raw/Stellwagen/2015/bp150619-3","Link")</f>
        <v>Link</v>
      </c>
      <c r="K28" s="42" t="str">
        <f>HYPERLINK("tag_data/bp150619-3a (Stellwagen)/Pics&amp;Vids/a","Link")</f>
        <v>Link</v>
      </c>
      <c r="L28" s="42" t="str">
        <f>HYPERLINK("location data/Stellwagen/2015/Pics&amp;Vids/Deploy Vids/150619 (fins)/GOPR0624.MP4","Link")</f>
        <v>Link</v>
      </c>
      <c r="M28" s="41" t="s">
        <v>263</v>
      </c>
      <c r="N28" s="42" t="str">
        <f t="shared" si="9"/>
        <v>Link</v>
      </c>
      <c r="O28" s="31" t="s">
        <v>45</v>
      </c>
      <c r="P28" s="31" t="s">
        <v>266</v>
      </c>
      <c r="Q28" s="31">
        <v>3</v>
      </c>
      <c r="R28" s="32" t="s">
        <v>34</v>
      </c>
      <c r="S28" s="32" t="str">
        <f t="shared" si="0"/>
        <v>Cam Mic</v>
      </c>
      <c r="T28" s="32" t="s">
        <v>674</v>
      </c>
      <c r="U28" s="17">
        <f t="shared" si="1"/>
        <v>4.0277777734445408E-3</v>
      </c>
      <c r="V28" s="17">
        <f t="shared" si="4"/>
        <v>4.0277777734445408E-3</v>
      </c>
      <c r="W28" s="56">
        <v>3.5532407407407405E-3</v>
      </c>
      <c r="X28" s="31" t="s">
        <v>263</v>
      </c>
      <c r="Y28" s="31"/>
      <c r="Z28" s="31" t="s">
        <v>41</v>
      </c>
      <c r="AA28" s="31" t="s">
        <v>41</v>
      </c>
      <c r="AB28" s="31" t="s">
        <v>263</v>
      </c>
      <c r="AC28" s="31" t="s">
        <v>41</v>
      </c>
      <c r="AD28" s="31" t="s">
        <v>41</v>
      </c>
      <c r="AE28" s="31" t="s">
        <v>41</v>
      </c>
      <c r="AF28" s="31" t="s">
        <v>41</v>
      </c>
      <c r="AG28" s="31" t="s">
        <v>41</v>
      </c>
      <c r="AH28" s="31" t="s">
        <v>41</v>
      </c>
      <c r="AI28" s="31" t="s">
        <v>41</v>
      </c>
      <c r="AJ28" s="31" t="s">
        <v>41</v>
      </c>
      <c r="AK28" s="31" t="s">
        <v>39</v>
      </c>
      <c r="AL28" s="31" t="s">
        <v>41</v>
      </c>
      <c r="AM28" s="31" t="s">
        <v>41</v>
      </c>
      <c r="AN28" s="32" t="s">
        <v>115</v>
      </c>
      <c r="AO28" s="32" t="s">
        <v>892</v>
      </c>
      <c r="AP28" s="30">
        <v>42174.602453703701</v>
      </c>
      <c r="AQ28" s="30">
        <v>42174.644930555558</v>
      </c>
      <c r="AR28" s="92">
        <v>42174.648958333331</v>
      </c>
      <c r="AS28" s="92" t="s">
        <v>651</v>
      </c>
      <c r="AT28" s="144">
        <v>41.683133329999997</v>
      </c>
      <c r="AU28" s="144">
        <v>-69.682483329999997</v>
      </c>
      <c r="AV28" s="142" t="s">
        <v>299</v>
      </c>
      <c r="AW28" s="142" t="s">
        <v>299</v>
      </c>
      <c r="AX28" s="30">
        <v>42174.65519675926</v>
      </c>
      <c r="AY28" s="107">
        <v>41.685516669999998</v>
      </c>
      <c r="AZ28" s="107">
        <v>-69.686516670000003</v>
      </c>
      <c r="BA28" s="32" t="s">
        <v>819</v>
      </c>
      <c r="BB28" s="49" t="s">
        <v>1272</v>
      </c>
      <c r="BC28" s="7"/>
      <c r="BD28" s="7"/>
      <c r="BE28" s="7"/>
      <c r="BF28" s="7"/>
      <c r="BG28" s="7"/>
    </row>
    <row r="29" spans="1:59">
      <c r="A29" s="7" t="s">
        <v>211</v>
      </c>
      <c r="B29" s="26" t="str">
        <f t="shared" si="7"/>
        <v>bp</v>
      </c>
      <c r="C29" s="42" t="str">
        <f t="shared" ref="C29:C37" si="10">HYPERLINK("location data/Azores/2016/","Azores")</f>
        <v>Azores</v>
      </c>
      <c r="D29" s="64" t="s">
        <v>883</v>
      </c>
      <c r="E29" s="61" t="s">
        <v>884</v>
      </c>
      <c r="F29" s="85">
        <v>0</v>
      </c>
      <c r="G29" s="59" t="s">
        <v>882</v>
      </c>
      <c r="H29" s="31" t="s">
        <v>41</v>
      </c>
      <c r="I29" s="42" t="str">
        <f>HYPERLINK("tag_data/bp160609 through 0615 (Azores- no prhs)/bp160609-26a&amp;b","Link")</f>
        <v>Link</v>
      </c>
      <c r="J29" s="42" t="str">
        <f>HYPERLINK("tag_data_raw/Azores/2016/bp160609-26","Link")</f>
        <v>Link</v>
      </c>
      <c r="K29" s="42" t="str">
        <f>HYPERLINK("tag_data/bp160609-26a (Azores)/Pics&amp;Vids","Link")</f>
        <v>Link</v>
      </c>
      <c r="L29" s="42" t="str">
        <f>HYPERLINK("location data/Azores/2016/gopro/20160609/tag_2_deployment.MP4","Link")</f>
        <v>Link</v>
      </c>
      <c r="M29" s="41" t="s">
        <v>263</v>
      </c>
      <c r="N29" s="42" t="str">
        <f>HYPERLINK("location data/Azores/2016/land vadar/AZOR_01_160609_07_OBS.CSV","Link")</f>
        <v>Link</v>
      </c>
      <c r="O29" s="31" t="s">
        <v>410</v>
      </c>
      <c r="P29" s="31" t="s">
        <v>41</v>
      </c>
      <c r="Q29" s="31">
        <v>26</v>
      </c>
      <c r="R29" s="32" t="s">
        <v>316</v>
      </c>
      <c r="S29" s="32" t="str">
        <f t="shared" si="0"/>
        <v>Cam Mic</v>
      </c>
      <c r="T29" s="32" t="s">
        <v>38</v>
      </c>
      <c r="U29" s="17">
        <f t="shared" si="1"/>
        <v>5.7870370801538229E-4</v>
      </c>
      <c r="V29" s="17">
        <f t="shared" si="4"/>
        <v>5.7870370801538229E-4</v>
      </c>
      <c r="W29" s="56">
        <v>5.7870370370370378E-4</v>
      </c>
      <c r="X29" s="31">
        <v>0</v>
      </c>
      <c r="Y29" s="31"/>
      <c r="Z29" s="31" t="s">
        <v>41</v>
      </c>
      <c r="AA29" s="31" t="s">
        <v>41</v>
      </c>
      <c r="AB29" s="31" t="s">
        <v>263</v>
      </c>
      <c r="AC29" s="31" t="s">
        <v>41</v>
      </c>
      <c r="AD29" s="31" t="s">
        <v>41</v>
      </c>
      <c r="AE29" s="31" t="s">
        <v>41</v>
      </c>
      <c r="AF29" s="31" t="s">
        <v>41</v>
      </c>
      <c r="AG29" s="31" t="s">
        <v>41</v>
      </c>
      <c r="AH29" s="31" t="s">
        <v>41</v>
      </c>
      <c r="AI29" s="31" t="s">
        <v>39</v>
      </c>
      <c r="AJ29" s="31" t="s">
        <v>39</v>
      </c>
      <c r="AK29" s="31" t="s">
        <v>39</v>
      </c>
      <c r="AL29" s="31" t="s">
        <v>41</v>
      </c>
      <c r="AM29" s="31" t="s">
        <v>41</v>
      </c>
      <c r="AN29" s="32" t="s">
        <v>354</v>
      </c>
      <c r="AO29" s="32" t="s">
        <v>911</v>
      </c>
      <c r="AP29" s="30">
        <v>42530.380277777775</v>
      </c>
      <c r="AQ29" s="30">
        <v>42530.394907407404</v>
      </c>
      <c r="AR29" s="92">
        <v>42530.395486111112</v>
      </c>
      <c r="AS29" s="92" t="s">
        <v>651</v>
      </c>
      <c r="AT29" s="152">
        <v>38.639580000000002</v>
      </c>
      <c r="AU29" s="107">
        <v>-27.403089999999999</v>
      </c>
      <c r="AV29" s="131" t="s">
        <v>323</v>
      </c>
      <c r="AW29" s="106" t="s">
        <v>323</v>
      </c>
      <c r="AX29" s="30">
        <v>42530.397847222222</v>
      </c>
      <c r="AY29" s="152">
        <v>38.639159999999997</v>
      </c>
      <c r="AZ29" s="107">
        <v>-27.40166</v>
      </c>
      <c r="BA29" s="32" t="s">
        <v>355</v>
      </c>
      <c r="BB29" s="32"/>
      <c r="BC29" s="7"/>
      <c r="BD29" s="7"/>
      <c r="BE29" s="7"/>
      <c r="BF29" s="7"/>
      <c r="BG29" s="7"/>
    </row>
    <row r="30" spans="1:59">
      <c r="A30" s="7" t="s">
        <v>212</v>
      </c>
      <c r="B30" s="26" t="str">
        <f t="shared" si="7"/>
        <v>bp</v>
      </c>
      <c r="C30" s="42" t="str">
        <f t="shared" si="10"/>
        <v>Azores</v>
      </c>
      <c r="D30" s="64" t="s">
        <v>883</v>
      </c>
      <c r="E30" s="61" t="s">
        <v>884</v>
      </c>
      <c r="F30" s="85">
        <v>0</v>
      </c>
      <c r="G30" s="59" t="s">
        <v>882</v>
      </c>
      <c r="H30" s="31" t="s">
        <v>41</v>
      </c>
      <c r="I30" s="42" t="str">
        <f>HYPERLINK("tag_data/bp160609 through 0615 (Azores- no prhs)/bp160609-26a&amp;b","Link")</f>
        <v>Link</v>
      </c>
      <c r="J30" s="42" t="str">
        <f>HYPERLINK("tag_data_raw/Azores/2016/bp160609-26","Link")</f>
        <v>Link</v>
      </c>
      <c r="K30" s="42" t="str">
        <f>HYPERLINK("tag_data/bp160609-26b (Azores)/Pics&amp;Vids","Link")</f>
        <v>Link</v>
      </c>
      <c r="L30" s="42" t="str">
        <f>HYPERLINK("location data/Azores/2016/gopro/20160609/tag_3_deployment.MP4", "Link")</f>
        <v>Link</v>
      </c>
      <c r="M30" s="41" t="s">
        <v>263</v>
      </c>
      <c r="N30" s="42" t="str">
        <f>HYPERLINK("location data/Azores/2016/land vadar/AZOR_01_160609_07_OBS.CSV","Link")</f>
        <v>Link</v>
      </c>
      <c r="O30" s="31" t="s">
        <v>411</v>
      </c>
      <c r="P30" s="31" t="s">
        <v>41</v>
      </c>
      <c r="Q30" s="31">
        <v>26</v>
      </c>
      <c r="R30" s="32" t="s">
        <v>316</v>
      </c>
      <c r="S30" s="32" t="str">
        <f t="shared" si="0"/>
        <v>Cam Mic</v>
      </c>
      <c r="T30" s="32" t="s">
        <v>38</v>
      </c>
      <c r="U30" s="17">
        <f t="shared" si="1"/>
        <v>8.6805555474711582E-4</v>
      </c>
      <c r="V30" s="17">
        <f t="shared" si="4"/>
        <v>8.6805555474711582E-4</v>
      </c>
      <c r="W30" s="56">
        <v>8.6805555555555551E-4</v>
      </c>
      <c r="X30" s="31">
        <v>0</v>
      </c>
      <c r="Y30" s="31"/>
      <c r="Z30" s="31" t="s">
        <v>41</v>
      </c>
      <c r="AA30" s="31" t="s">
        <v>41</v>
      </c>
      <c r="AB30" s="31" t="s">
        <v>263</v>
      </c>
      <c r="AC30" s="31" t="s">
        <v>41</v>
      </c>
      <c r="AD30" s="31" t="s">
        <v>41</v>
      </c>
      <c r="AE30" s="31" t="s">
        <v>41</v>
      </c>
      <c r="AF30" s="31" t="s">
        <v>41</v>
      </c>
      <c r="AG30" s="31" t="s">
        <v>41</v>
      </c>
      <c r="AH30" s="31" t="s">
        <v>41</v>
      </c>
      <c r="AI30" s="31" t="s">
        <v>39</v>
      </c>
      <c r="AJ30" s="31" t="s">
        <v>41</v>
      </c>
      <c r="AK30" s="31" t="s">
        <v>41</v>
      </c>
      <c r="AL30" s="31" t="s">
        <v>41</v>
      </c>
      <c r="AM30" s="31" t="s">
        <v>41</v>
      </c>
      <c r="AN30" s="32" t="s">
        <v>354</v>
      </c>
      <c r="AO30" s="32" t="s">
        <v>911</v>
      </c>
      <c r="AP30" s="30">
        <v>42530.380277777775</v>
      </c>
      <c r="AQ30" s="30">
        <v>42530.407789351855</v>
      </c>
      <c r="AR30" s="92">
        <v>42530.40865740741</v>
      </c>
      <c r="AS30" s="92" t="s">
        <v>651</v>
      </c>
      <c r="AT30" s="152">
        <v>38.629640000000002</v>
      </c>
      <c r="AU30" s="152">
        <v>-27.399239999999999</v>
      </c>
      <c r="AV30" s="131" t="s">
        <v>323</v>
      </c>
      <c r="AW30" s="106" t="s">
        <v>323</v>
      </c>
      <c r="AX30" s="30">
        <v>42530.410451388889</v>
      </c>
      <c r="AY30" s="152">
        <v>38.630229999999997</v>
      </c>
      <c r="AZ30" s="107">
        <v>-27.401689999999999</v>
      </c>
      <c r="BA30" s="32" t="s">
        <v>356</v>
      </c>
      <c r="BB30" s="32"/>
      <c r="BC30" s="7"/>
      <c r="BD30" s="7"/>
      <c r="BE30" s="7"/>
      <c r="BF30" s="7"/>
      <c r="BG30" s="7"/>
    </row>
    <row r="31" spans="1:59">
      <c r="A31" s="55" t="str">
        <f>HYPERLINK("tag_data/Quicklook/bp160609-36Quicklook.jpg","bp160609-36")</f>
        <v>bp160609-36</v>
      </c>
      <c r="B31" s="26" t="str">
        <f t="shared" si="7"/>
        <v>bp</v>
      </c>
      <c r="C31" s="42" t="str">
        <f t="shared" si="10"/>
        <v>Azores</v>
      </c>
      <c r="D31" s="64" t="s">
        <v>883</v>
      </c>
      <c r="E31" s="61" t="s">
        <v>884</v>
      </c>
      <c r="F31" s="85">
        <v>0</v>
      </c>
      <c r="G31" s="59" t="s">
        <v>882</v>
      </c>
      <c r="H31" s="31" t="s">
        <v>39</v>
      </c>
      <c r="I31" s="42" t="str">
        <f>HYPERLINK("tag_data/bp160609-36 (Azores)","Link")</f>
        <v>Link</v>
      </c>
      <c r="J31" s="42" t="str">
        <f>HYPERLINK("tag_data_raw/Azores/2016/bp160609-36","Link")</f>
        <v>Link</v>
      </c>
      <c r="K31" s="42" t="str">
        <f>HYPERLINK("tag_data/bp160609-36 (Azores)/Pics&amp;Vids","Link")</f>
        <v>Link</v>
      </c>
      <c r="L31" s="42" t="str">
        <f>HYPERLINK("location data/Azores/2016/gopro/20160609/tag 01 deployment.MP4","Link")</f>
        <v>Link</v>
      </c>
      <c r="M31" s="41" t="s">
        <v>263</v>
      </c>
      <c r="N31" s="42" t="str">
        <f>HYPERLINK("location data/Azores/2016/land vadar/AZOR_01_160609_07_OBS.CSV","Link")</f>
        <v>Link</v>
      </c>
      <c r="O31" s="31" t="s">
        <v>45</v>
      </c>
      <c r="P31" s="31" t="s">
        <v>41</v>
      </c>
      <c r="Q31" s="31">
        <v>36</v>
      </c>
      <c r="R31" s="32" t="s">
        <v>306</v>
      </c>
      <c r="S31" s="32" t="str">
        <f t="shared" si="0"/>
        <v>Cam Mic</v>
      </c>
      <c r="T31" s="32" t="s">
        <v>533</v>
      </c>
      <c r="U31" s="17">
        <f t="shared" si="1"/>
        <v>0.32464583333057817</v>
      </c>
      <c r="V31" s="17">
        <f t="shared" si="4"/>
        <v>0.32464583333057817</v>
      </c>
      <c r="W31" s="56">
        <v>0.28347222222222224</v>
      </c>
      <c r="X31" s="42" t="str">
        <f>HYPERLINK("tag_data/bp160609-36 (Azores)/bp160609-36 Map.bmp","17")</f>
        <v>17</v>
      </c>
      <c r="Y31" s="31"/>
      <c r="Z31" s="31" t="s">
        <v>39</v>
      </c>
      <c r="AA31" s="31" t="s">
        <v>41</v>
      </c>
      <c r="AB31" s="31" t="s">
        <v>277</v>
      </c>
      <c r="AC31" s="31" t="s">
        <v>41</v>
      </c>
      <c r="AD31" s="31" t="s">
        <v>41</v>
      </c>
      <c r="AE31" s="31" t="s">
        <v>266</v>
      </c>
      <c r="AF31" s="31" t="s">
        <v>41</v>
      </c>
      <c r="AG31" s="31" t="s">
        <v>41</v>
      </c>
      <c r="AH31" s="31" t="s">
        <v>41</v>
      </c>
      <c r="AI31" s="31" t="s">
        <v>39</v>
      </c>
      <c r="AJ31" s="31" t="s">
        <v>39</v>
      </c>
      <c r="AK31" s="31" t="s">
        <v>41</v>
      </c>
      <c r="AL31" s="31" t="s">
        <v>41</v>
      </c>
      <c r="AM31" s="31" t="s">
        <v>41</v>
      </c>
      <c r="AN31" s="32" t="s">
        <v>830</v>
      </c>
      <c r="AO31" s="32" t="s">
        <v>911</v>
      </c>
      <c r="AP31" s="30">
        <v>42530.344780092593</v>
      </c>
      <c r="AQ31" s="30">
        <v>42530.351719675928</v>
      </c>
      <c r="AR31" s="92">
        <v>42530.676365509258</v>
      </c>
      <c r="AS31" s="92" t="s">
        <v>651</v>
      </c>
      <c r="AT31" s="156">
        <v>38.633150000000001</v>
      </c>
      <c r="AU31" s="144">
        <v>-27.40701</v>
      </c>
      <c r="AV31" s="131" t="s">
        <v>323</v>
      </c>
      <c r="AW31" s="106" t="s">
        <v>323</v>
      </c>
      <c r="AX31" s="30">
        <v>42530.803472222222</v>
      </c>
      <c r="AY31" s="144">
        <f>38+50/60+16.7/60/60</f>
        <v>38.837972222222227</v>
      </c>
      <c r="AZ31" s="144">
        <f>-27-30/60-39.7/60/60</f>
        <v>-27.511027777777777</v>
      </c>
      <c r="BA31" s="32" t="s">
        <v>885</v>
      </c>
      <c r="BB31" s="49" t="s">
        <v>192</v>
      </c>
      <c r="BC31" s="7"/>
      <c r="BD31" s="7"/>
      <c r="BE31" s="7"/>
      <c r="BF31" s="7"/>
      <c r="BG31" s="7"/>
    </row>
    <row r="32" spans="1:59">
      <c r="A32" s="7" t="s">
        <v>208</v>
      </c>
      <c r="B32" s="26" t="str">
        <f t="shared" si="7"/>
        <v>bp</v>
      </c>
      <c r="C32" s="42" t="str">
        <f t="shared" si="10"/>
        <v>Azores</v>
      </c>
      <c r="D32" s="64" t="s">
        <v>883</v>
      </c>
      <c r="E32" s="61" t="s">
        <v>884</v>
      </c>
      <c r="F32" s="85">
        <v>0</v>
      </c>
      <c r="G32" s="59" t="s">
        <v>882</v>
      </c>
      <c r="H32" s="31" t="s">
        <v>41</v>
      </c>
      <c r="I32" s="42" t="str">
        <f>HYPERLINK("tag_data/bp160609 through 0615 (Azores- no prhs)/bp160614-3a","Link")</f>
        <v>Link</v>
      </c>
      <c r="J32" s="42" t="str">
        <f>HYPERLINK("tag_data_raw/Azores/2016/bp160614-3","Link")</f>
        <v>Link</v>
      </c>
      <c r="K32" s="46" t="str">
        <f>HYPERLINK("tag_data/bp160609 through 0615 (Azores- no prhs)/bp160614-3a/Pics&amp;Vids","Link")</f>
        <v>Link</v>
      </c>
      <c r="L32" s="41" t="s">
        <v>263</v>
      </c>
      <c r="M32" s="41" t="s">
        <v>263</v>
      </c>
      <c r="N32" s="31" t="s">
        <v>263</v>
      </c>
      <c r="O32" s="31" t="s">
        <v>887</v>
      </c>
      <c r="P32" s="31" t="s">
        <v>41</v>
      </c>
      <c r="Q32" s="31">
        <v>3</v>
      </c>
      <c r="R32" s="32" t="s">
        <v>34</v>
      </c>
      <c r="S32" s="32" t="str">
        <f t="shared" si="0"/>
        <v>Cam Mic</v>
      </c>
      <c r="T32" s="32" t="s">
        <v>38</v>
      </c>
      <c r="U32" s="17">
        <f t="shared" si="1"/>
        <v>2.0833333837799728E-4</v>
      </c>
      <c r="V32" s="17">
        <f t="shared" si="4"/>
        <v>2.0833333837799728E-4</v>
      </c>
      <c r="W32" s="56">
        <f>V32</f>
        <v>2.0833333837799728E-4</v>
      </c>
      <c r="X32" s="31" t="s">
        <v>263</v>
      </c>
      <c r="Y32" s="31"/>
      <c r="Z32" s="31" t="s">
        <v>41</v>
      </c>
      <c r="AA32" s="31" t="s">
        <v>41</v>
      </c>
      <c r="AB32" s="31" t="s">
        <v>263</v>
      </c>
      <c r="AC32" s="31" t="s">
        <v>41</v>
      </c>
      <c r="AD32" s="31" t="s">
        <v>41</v>
      </c>
      <c r="AE32" s="31" t="s">
        <v>41</v>
      </c>
      <c r="AF32" s="31" t="s">
        <v>41</v>
      </c>
      <c r="AG32" s="31" t="s">
        <v>41</v>
      </c>
      <c r="AH32" s="31" t="s">
        <v>41</v>
      </c>
      <c r="AI32" s="31" t="s">
        <v>41</v>
      </c>
      <c r="AJ32" s="31" t="s">
        <v>41</v>
      </c>
      <c r="AK32" s="31" t="s">
        <v>41</v>
      </c>
      <c r="AL32" s="31" t="s">
        <v>41</v>
      </c>
      <c r="AM32" s="31" t="s">
        <v>41</v>
      </c>
      <c r="AN32" s="32" t="s">
        <v>357</v>
      </c>
      <c r="AO32" s="32" t="s">
        <v>911</v>
      </c>
      <c r="AP32" s="30">
        <v>42535.364999999998</v>
      </c>
      <c r="AQ32" s="30">
        <v>42535.379965277774</v>
      </c>
      <c r="AR32" s="92">
        <v>42535.380173611113</v>
      </c>
      <c r="AS32" s="92" t="s">
        <v>651</v>
      </c>
      <c r="AT32" s="107">
        <v>38.58813</v>
      </c>
      <c r="AU32" s="107">
        <v>-27.282150000000001</v>
      </c>
      <c r="AV32" s="131" t="s">
        <v>323</v>
      </c>
      <c r="AW32" s="106" t="s">
        <v>323</v>
      </c>
      <c r="AX32" s="30">
        <f>AR32+161/24/60/60</f>
        <v>42535.382037037038</v>
      </c>
      <c r="AY32" s="107">
        <v>38.58813</v>
      </c>
      <c r="AZ32" s="107">
        <v>-27.282150000000001</v>
      </c>
      <c r="BA32" s="32"/>
      <c r="BB32" s="32"/>
      <c r="BC32" s="7"/>
      <c r="BD32" s="7"/>
      <c r="BE32" s="7"/>
      <c r="BF32" s="7"/>
      <c r="BG32" s="7"/>
    </row>
    <row r="33" spans="1:59">
      <c r="A33" s="55" t="str">
        <f>HYPERLINK("tag_data/Quicklook/bp160614-3bQuicklook.jpg","bp160614-3b")</f>
        <v>bp160614-3b</v>
      </c>
      <c r="B33" s="26" t="str">
        <f t="shared" si="7"/>
        <v>bp</v>
      </c>
      <c r="C33" s="42" t="str">
        <f t="shared" si="10"/>
        <v>Azores</v>
      </c>
      <c r="D33" s="64" t="s">
        <v>883</v>
      </c>
      <c r="E33" s="61" t="s">
        <v>884</v>
      </c>
      <c r="F33" s="85">
        <v>0</v>
      </c>
      <c r="G33" s="59" t="s">
        <v>882</v>
      </c>
      <c r="H33" s="31" t="s">
        <v>39</v>
      </c>
      <c r="I33" s="42" t="str">
        <f>HYPERLINK("tag_data/bp160614-3b (Azores)","Link")</f>
        <v>Link</v>
      </c>
      <c r="J33" s="42" t="str">
        <f>HYPERLINK("tag_data_raw/Azores/2016/bp160614-3","Link")</f>
        <v>Link</v>
      </c>
      <c r="K33" s="42" t="str">
        <f>HYPERLINK("tag_data/bp160614-3b (Azores)/Pics&amp;Vids","Link")</f>
        <v>Link</v>
      </c>
      <c r="L33" s="46" t="str">
        <f>HYPERLINK("location data/Azores/2016/gopro/20160614/tag 2.MP4", "Link")</f>
        <v>Link</v>
      </c>
      <c r="M33" s="41" t="s">
        <v>263</v>
      </c>
      <c r="N33" s="31" t="s">
        <v>263</v>
      </c>
      <c r="O33" s="31" t="s">
        <v>886</v>
      </c>
      <c r="P33" s="31" t="s">
        <v>41</v>
      </c>
      <c r="Q33" s="31">
        <v>3</v>
      </c>
      <c r="R33" s="32" t="s">
        <v>34</v>
      </c>
      <c r="S33" s="32" t="str">
        <f t="shared" si="0"/>
        <v>Cam Mic</v>
      </c>
      <c r="T33" s="32" t="s">
        <v>38</v>
      </c>
      <c r="U33" s="17">
        <f t="shared" si="1"/>
        <v>2.6547453700914048E-2</v>
      </c>
      <c r="V33" s="17">
        <f t="shared" si="4"/>
        <v>2.6547453700914048E-2</v>
      </c>
      <c r="W33" s="56">
        <v>2.6458333333333334E-2</v>
      </c>
      <c r="X33" s="31" t="s">
        <v>263</v>
      </c>
      <c r="Y33" s="54" t="str">
        <f>HYPERLINK("tag_data/bp160614-3b (Azores)/Video notes.txt","Link")</f>
        <v>Link</v>
      </c>
      <c r="Z33" s="31" t="s">
        <v>39</v>
      </c>
      <c r="AA33" s="31" t="s">
        <v>39</v>
      </c>
      <c r="AB33" s="31" t="s">
        <v>277</v>
      </c>
      <c r="AC33" s="31" t="s">
        <v>41</v>
      </c>
      <c r="AD33" s="31" t="s">
        <v>39</v>
      </c>
      <c r="AE33" s="31" t="s">
        <v>41</v>
      </c>
      <c r="AF33" s="31" t="s">
        <v>41</v>
      </c>
      <c r="AG33" s="31" t="s">
        <v>41</v>
      </c>
      <c r="AH33" s="31" t="s">
        <v>39</v>
      </c>
      <c r="AI33" s="31" t="s">
        <v>39</v>
      </c>
      <c r="AJ33" s="31" t="s">
        <v>39</v>
      </c>
      <c r="AK33" s="31" t="s">
        <v>39</v>
      </c>
      <c r="AL33" s="31" t="s">
        <v>39</v>
      </c>
      <c r="AM33" s="31" t="s">
        <v>41</v>
      </c>
      <c r="AN33" s="32" t="s">
        <v>433</v>
      </c>
      <c r="AO33" s="32" t="s">
        <v>911</v>
      </c>
      <c r="AP33" s="30">
        <v>42535.364999999998</v>
      </c>
      <c r="AQ33" s="30">
        <v>42535.485962673614</v>
      </c>
      <c r="AR33" s="92">
        <v>42535.512510127315</v>
      </c>
      <c r="AS33" s="92" t="s">
        <v>651</v>
      </c>
      <c r="AT33" s="107">
        <v>38.606389999999998</v>
      </c>
      <c r="AU33" s="107">
        <v>-27.380479999999999</v>
      </c>
      <c r="AV33" s="131" t="s">
        <v>323</v>
      </c>
      <c r="AW33" s="106" t="s">
        <v>323</v>
      </c>
      <c r="AX33" s="30">
        <v>42535.521145833336</v>
      </c>
      <c r="AY33" s="107">
        <v>38.597479999999997</v>
      </c>
      <c r="AZ33" s="107">
        <v>-27.392990000000001</v>
      </c>
      <c r="BA33" s="32" t="s">
        <v>929</v>
      </c>
      <c r="BB33" s="49" t="s">
        <v>193</v>
      </c>
      <c r="BC33" s="7"/>
      <c r="BD33" s="7"/>
      <c r="BE33" s="7"/>
      <c r="BF33" s="7"/>
      <c r="BG33" s="7"/>
    </row>
    <row r="34" spans="1:59">
      <c r="A34" s="7" t="s">
        <v>209</v>
      </c>
      <c r="B34" s="26" t="str">
        <f t="shared" si="7"/>
        <v>bp</v>
      </c>
      <c r="C34" s="42" t="str">
        <f t="shared" si="10"/>
        <v>Azores</v>
      </c>
      <c r="D34" s="64" t="s">
        <v>883</v>
      </c>
      <c r="E34" s="61" t="s">
        <v>884</v>
      </c>
      <c r="F34" s="85">
        <v>0</v>
      </c>
      <c r="G34" s="59" t="s">
        <v>882</v>
      </c>
      <c r="H34" s="31" t="s">
        <v>41</v>
      </c>
      <c r="I34" s="42" t="str">
        <f>HYPERLINK("tag_data/bp160609 through 0615 (Azores- no prhs)/bp160615-3a&amp;b","Link")</f>
        <v>Link</v>
      </c>
      <c r="J34" s="42" t="str">
        <f>HYPERLINK("tag_data_raw/Azores/2016/bp160615-3","Link")</f>
        <v>Link</v>
      </c>
      <c r="K34" s="46" t="str">
        <f>HYPERLINK("tag_data/bp160609 through 0615 (Azores- no prhs)/bp160615-3a&amp;b/Pics&amp;Vids a","Link")</f>
        <v>Link</v>
      </c>
      <c r="L34" s="41" t="s">
        <v>263</v>
      </c>
      <c r="M34" s="41" t="s">
        <v>263</v>
      </c>
      <c r="N34" s="31" t="s">
        <v>263</v>
      </c>
      <c r="O34" s="31" t="s">
        <v>45</v>
      </c>
      <c r="P34" s="31" t="s">
        <v>41</v>
      </c>
      <c r="Q34" s="31">
        <v>3</v>
      </c>
      <c r="R34" s="32" t="s">
        <v>34</v>
      </c>
      <c r="S34" s="32" t="str">
        <f t="shared" si="0"/>
        <v>Cam Mic</v>
      </c>
      <c r="T34" s="32" t="s">
        <v>329</v>
      </c>
      <c r="U34" s="17">
        <f t="shared" si="1"/>
        <v>1.5046296175569296E-4</v>
      </c>
      <c r="V34" s="17">
        <f t="shared" si="4"/>
        <v>1.5046296175569296E-4</v>
      </c>
      <c r="W34" s="56">
        <f>V34</f>
        <v>1.5046296175569296E-4</v>
      </c>
      <c r="X34" s="31" t="s">
        <v>263</v>
      </c>
      <c r="Y34" s="31"/>
      <c r="Z34" s="31" t="s">
        <v>41</v>
      </c>
      <c r="AA34" s="31" t="s">
        <v>41</v>
      </c>
      <c r="AB34" s="31" t="s">
        <v>263</v>
      </c>
      <c r="AC34" s="31" t="s">
        <v>41</v>
      </c>
      <c r="AD34" s="31" t="s">
        <v>41</v>
      </c>
      <c r="AE34" s="31" t="s">
        <v>41</v>
      </c>
      <c r="AF34" s="31" t="s">
        <v>41</v>
      </c>
      <c r="AG34" s="31" t="s">
        <v>41</v>
      </c>
      <c r="AH34" s="31" t="s">
        <v>41</v>
      </c>
      <c r="AI34" s="31" t="s">
        <v>41</v>
      </c>
      <c r="AJ34" s="31" t="s">
        <v>41</v>
      </c>
      <c r="AK34" s="31" t="s">
        <v>41</v>
      </c>
      <c r="AL34" s="31" t="s">
        <v>41</v>
      </c>
      <c r="AM34" s="31" t="s">
        <v>41</v>
      </c>
      <c r="AN34" s="32" t="s">
        <v>358</v>
      </c>
      <c r="AO34" s="32" t="s">
        <v>911</v>
      </c>
      <c r="AP34" s="30">
        <v>42536.449282407404</v>
      </c>
      <c r="AQ34" s="30">
        <v>42536.472361111111</v>
      </c>
      <c r="AR34" s="92">
        <v>42536.472511574073</v>
      </c>
      <c r="AS34" s="92" t="s">
        <v>651</v>
      </c>
      <c r="AT34" s="147">
        <v>38.61345</v>
      </c>
      <c r="AU34" s="147">
        <v>-27.436199999999999</v>
      </c>
      <c r="AV34" s="131" t="s">
        <v>323</v>
      </c>
      <c r="AW34" s="106" t="s">
        <v>323</v>
      </c>
      <c r="AX34" s="30">
        <f>AR34+460/24/60/60</f>
        <v>42536.477835648147</v>
      </c>
      <c r="AY34" s="107">
        <v>38.613840000000003</v>
      </c>
      <c r="AZ34" s="107">
        <v>-27.435649999999999</v>
      </c>
      <c r="BA34" s="32"/>
      <c r="BB34" s="32"/>
      <c r="BC34" s="7"/>
      <c r="BD34" s="7"/>
      <c r="BE34" s="7"/>
      <c r="BF34" s="7"/>
      <c r="BG34" s="7"/>
    </row>
    <row r="35" spans="1:59">
      <c r="A35" s="7" t="s">
        <v>210</v>
      </c>
      <c r="B35" s="26" t="str">
        <f t="shared" si="7"/>
        <v>bp</v>
      </c>
      <c r="C35" s="42" t="str">
        <f t="shared" si="10"/>
        <v>Azores</v>
      </c>
      <c r="D35" s="64" t="s">
        <v>883</v>
      </c>
      <c r="E35" s="61" t="s">
        <v>884</v>
      </c>
      <c r="F35" s="85">
        <v>0</v>
      </c>
      <c r="G35" s="59" t="s">
        <v>882</v>
      </c>
      <c r="H35" s="31" t="s">
        <v>41</v>
      </c>
      <c r="I35" s="42" t="str">
        <f>HYPERLINK("tag_data/bp160609 through 0615 (Azores- no prhs)/bp160615-3a&amp;b","Link")</f>
        <v>Link</v>
      </c>
      <c r="J35" s="42" t="str">
        <f>HYPERLINK("tag_data_raw/Azores/2016/bp160615-3","Link")</f>
        <v>Link</v>
      </c>
      <c r="K35" s="46" t="str">
        <f>HYPERLINK("tag_data/bp160609 through 0615 (Azores- no prhs)/bp160615-3a&amp;b/Pics&amp;Vids b","Link")</f>
        <v>Link</v>
      </c>
      <c r="L35" s="42" t="str">
        <f>HYPERLINK("location data/Azores/2016/gopro/20160615/tag two.MP4","Link")</f>
        <v>Link</v>
      </c>
      <c r="M35" s="41" t="s">
        <v>263</v>
      </c>
      <c r="N35" s="31" t="s">
        <v>263</v>
      </c>
      <c r="O35" s="31" t="s">
        <v>45</v>
      </c>
      <c r="P35" s="31" t="s">
        <v>41</v>
      </c>
      <c r="Q35" s="31">
        <v>3</v>
      </c>
      <c r="R35" s="32" t="s">
        <v>34</v>
      </c>
      <c r="S35" s="32" t="str">
        <f t="shared" si="0"/>
        <v>Cam Mic</v>
      </c>
      <c r="T35" s="32" t="s">
        <v>359</v>
      </c>
      <c r="U35" s="17">
        <f t="shared" si="1"/>
        <v>2.4305555416503921E-4</v>
      </c>
      <c r="V35" s="17">
        <f t="shared" si="4"/>
        <v>2.4305555416503921E-4</v>
      </c>
      <c r="W35" s="56">
        <v>4.6296296296296294E-5</v>
      </c>
      <c r="X35" s="31" t="s">
        <v>263</v>
      </c>
      <c r="Y35" s="31"/>
      <c r="Z35" s="31" t="s">
        <v>41</v>
      </c>
      <c r="AA35" s="31" t="s">
        <v>41</v>
      </c>
      <c r="AB35" s="31" t="s">
        <v>263</v>
      </c>
      <c r="AC35" s="31" t="s">
        <v>41</v>
      </c>
      <c r="AD35" s="31" t="s">
        <v>41</v>
      </c>
      <c r="AE35" s="31" t="s">
        <v>41</v>
      </c>
      <c r="AF35" s="31" t="s">
        <v>41</v>
      </c>
      <c r="AG35" s="31" t="s">
        <v>41</v>
      </c>
      <c r="AH35" s="31" t="s">
        <v>41</v>
      </c>
      <c r="AI35" s="31" t="s">
        <v>41</v>
      </c>
      <c r="AJ35" s="31" t="s">
        <v>41</v>
      </c>
      <c r="AK35" s="31" t="s">
        <v>39</v>
      </c>
      <c r="AL35" s="31" t="s">
        <v>41</v>
      </c>
      <c r="AM35" s="31" t="s">
        <v>41</v>
      </c>
      <c r="AN35" s="32" t="s">
        <v>357</v>
      </c>
      <c r="AO35" s="32" t="s">
        <v>911</v>
      </c>
      <c r="AP35" s="30">
        <v>42536.449282407404</v>
      </c>
      <c r="AQ35" s="30">
        <v>42536.500324074077</v>
      </c>
      <c r="AR35" s="92">
        <v>42536.500567129631</v>
      </c>
      <c r="AS35" s="92" t="s">
        <v>651</v>
      </c>
      <c r="AT35" s="147">
        <v>38.619300000000003</v>
      </c>
      <c r="AU35" s="147">
        <v>-27.381540000000001</v>
      </c>
      <c r="AV35" s="131" t="s">
        <v>323</v>
      </c>
      <c r="AW35" s="106" t="s">
        <v>323</v>
      </c>
      <c r="AX35" s="30">
        <f>AR35+102/24/60/60</f>
        <v>42536.501747685186</v>
      </c>
      <c r="AY35" s="107">
        <v>38.619289999999999</v>
      </c>
      <c r="AZ35" s="107">
        <v>-27.381769999999999</v>
      </c>
      <c r="BA35" s="32"/>
      <c r="BB35" s="32"/>
      <c r="BC35" s="7"/>
      <c r="BD35" s="7"/>
      <c r="BE35" s="7"/>
      <c r="BF35" s="7"/>
      <c r="BG35" s="7"/>
    </row>
    <row r="36" spans="1:59">
      <c r="A36" s="55" t="str">
        <f>HYPERLINK("tag_data/Quicklook/bp160615-3cQuicklook.jpg","bp160615-3c")</f>
        <v>bp160615-3c</v>
      </c>
      <c r="B36" s="26" t="str">
        <f t="shared" si="7"/>
        <v>bp</v>
      </c>
      <c r="C36" s="42" t="str">
        <f t="shared" si="10"/>
        <v>Azores</v>
      </c>
      <c r="D36" s="64" t="s">
        <v>883</v>
      </c>
      <c r="E36" s="61" t="s">
        <v>884</v>
      </c>
      <c r="F36" s="85">
        <v>0</v>
      </c>
      <c r="G36" s="59" t="s">
        <v>882</v>
      </c>
      <c r="H36" s="31" t="s">
        <v>39</v>
      </c>
      <c r="I36" s="42" t="str">
        <f>HYPERLINK("tag_data/bp160615-3c (Azores)","Link")</f>
        <v>Link</v>
      </c>
      <c r="J36" s="42" t="str">
        <f>HYPERLINK("tag_data_raw/Azores/2016/bp160615-3","Link")</f>
        <v>Link</v>
      </c>
      <c r="K36" s="42" t="str">
        <f>HYPERLINK("tag_data/bp160615-3c (Azores)/Pics&amp;Vids","Link")</f>
        <v>Link</v>
      </c>
      <c r="L36" s="46" t="str">
        <f>HYPERLINK("location data/Azores/2016/gopro/20160615/tag three.MP4", "Link")</f>
        <v>Link</v>
      </c>
      <c r="M36" s="41" t="s">
        <v>263</v>
      </c>
      <c r="N36" s="31" t="s">
        <v>263</v>
      </c>
      <c r="O36" s="31" t="s">
        <v>45</v>
      </c>
      <c r="P36" s="31" t="s">
        <v>41</v>
      </c>
      <c r="Q36" s="31">
        <v>3</v>
      </c>
      <c r="R36" s="32" t="s">
        <v>34</v>
      </c>
      <c r="S36" s="32" t="str">
        <f t="shared" si="0"/>
        <v>Cam Mic</v>
      </c>
      <c r="T36" s="32" t="s">
        <v>38</v>
      </c>
      <c r="U36" s="17">
        <f t="shared" ref="U36:U52" si="11">AR36-AQ36</f>
        <v>6.0567129628907423E-2</v>
      </c>
      <c r="V36" s="17">
        <f t="shared" si="4"/>
        <v>6.0567129628907423E-2</v>
      </c>
      <c r="W36" s="56">
        <v>3.9259259259259258E-2</v>
      </c>
      <c r="X36" s="31" t="s">
        <v>263</v>
      </c>
      <c r="Y36" s="31"/>
      <c r="Z36" s="31" t="s">
        <v>39</v>
      </c>
      <c r="AA36" s="31" t="s">
        <v>39</v>
      </c>
      <c r="AB36" s="31" t="s">
        <v>277</v>
      </c>
      <c r="AC36" s="31" t="s">
        <v>41</v>
      </c>
      <c r="AD36" s="31" t="s">
        <v>39</v>
      </c>
      <c r="AE36" s="31" t="s">
        <v>41</v>
      </c>
      <c r="AF36" s="31" t="s">
        <v>41</v>
      </c>
      <c r="AG36" s="31" t="s">
        <v>41</v>
      </c>
      <c r="AH36" s="31" t="s">
        <v>41</v>
      </c>
      <c r="AI36" s="31" t="s">
        <v>39</v>
      </c>
      <c r="AJ36" s="31" t="s">
        <v>39</v>
      </c>
      <c r="AK36" s="31" t="s">
        <v>41</v>
      </c>
      <c r="AL36" s="31" t="s">
        <v>41</v>
      </c>
      <c r="AM36" s="31" t="s">
        <v>41</v>
      </c>
      <c r="AN36" s="32" t="s">
        <v>494</v>
      </c>
      <c r="AO36" s="32" t="s">
        <v>911</v>
      </c>
      <c r="AP36" s="30">
        <v>42536.528622685182</v>
      </c>
      <c r="AQ36" s="30">
        <v>42536.53570601852</v>
      </c>
      <c r="AR36" s="92">
        <v>42536.596273148149</v>
      </c>
      <c r="AS36" s="92" t="s">
        <v>651</v>
      </c>
      <c r="AT36" s="147">
        <v>38.610529999999997</v>
      </c>
      <c r="AU36" s="147">
        <v>-27.34046</v>
      </c>
      <c r="AV36" s="131" t="s">
        <v>323</v>
      </c>
      <c r="AW36" s="106" t="s">
        <v>323</v>
      </c>
      <c r="AX36" s="30">
        <v>42536.606944444444</v>
      </c>
      <c r="AY36" s="107">
        <v>38.567300000000003</v>
      </c>
      <c r="AZ36" s="107">
        <v>-27.298780000000001</v>
      </c>
      <c r="BA36" s="32" t="s">
        <v>930</v>
      </c>
      <c r="BB36" s="49" t="s">
        <v>1273</v>
      </c>
      <c r="BC36" s="7"/>
      <c r="BD36" s="7"/>
      <c r="BE36" s="7"/>
      <c r="BF36" s="7"/>
      <c r="BG36" s="7"/>
    </row>
    <row r="37" spans="1:59">
      <c r="A37" s="55" t="str">
        <f>HYPERLINK("tag_data/Quicklook/bp160618-3Quicklook.jpg","bp160618-3")</f>
        <v>bp160618-3</v>
      </c>
      <c r="B37" s="26" t="str">
        <f t="shared" si="7"/>
        <v>bp</v>
      </c>
      <c r="C37" s="42" t="str">
        <f t="shared" si="10"/>
        <v>Azores</v>
      </c>
      <c r="D37" s="64" t="s">
        <v>883</v>
      </c>
      <c r="E37" s="61" t="s">
        <v>884</v>
      </c>
      <c r="F37" s="85">
        <v>0</v>
      </c>
      <c r="G37" s="59" t="s">
        <v>882</v>
      </c>
      <c r="H37" s="31" t="s">
        <v>39</v>
      </c>
      <c r="I37" s="42" t="str">
        <f>HYPERLINK("tag_data/bp160618-3 (Azores)","Link")</f>
        <v>Link</v>
      </c>
      <c r="J37" s="42" t="str">
        <f>HYPERLINK("tag_data_raw/Azores/2016/bp160618-3","Link")</f>
        <v>Link</v>
      </c>
      <c r="K37" s="42" t="str">
        <f>HYPERLINK("tag_data/bp160618-3 (Azores)/Pics&amp;Vids","Link")</f>
        <v>Link</v>
      </c>
      <c r="L37" s="41" t="s">
        <v>263</v>
      </c>
      <c r="M37" s="41" t="s">
        <v>263</v>
      </c>
      <c r="N37" s="31" t="s">
        <v>263</v>
      </c>
      <c r="O37" s="31" t="s">
        <v>45</v>
      </c>
      <c r="P37" s="31" t="s">
        <v>41</v>
      </c>
      <c r="Q37" s="31">
        <v>3</v>
      </c>
      <c r="R37" s="32" t="s">
        <v>34</v>
      </c>
      <c r="S37" s="32" t="str">
        <f t="shared" si="0"/>
        <v>Cam Mic</v>
      </c>
      <c r="T37" s="32" t="s">
        <v>38</v>
      </c>
      <c r="U37" s="17">
        <f t="shared" si="11"/>
        <v>6.4652777778974269E-2</v>
      </c>
      <c r="V37" s="17">
        <f t="shared" si="4"/>
        <v>6.4652777778974269E-2</v>
      </c>
      <c r="W37" s="56">
        <v>6.4641203703703701E-2</v>
      </c>
      <c r="X37" s="31" t="s">
        <v>263</v>
      </c>
      <c r="Y37" s="31"/>
      <c r="Z37" s="31" t="s">
        <v>41</v>
      </c>
      <c r="AA37" s="31" t="s">
        <v>41</v>
      </c>
      <c r="AB37" s="31" t="s">
        <v>263</v>
      </c>
      <c r="AC37" s="31" t="s">
        <v>41</v>
      </c>
      <c r="AD37" s="31" t="s">
        <v>41</v>
      </c>
      <c r="AE37" s="31" t="s">
        <v>41</v>
      </c>
      <c r="AF37" s="31" t="s">
        <v>41</v>
      </c>
      <c r="AG37" s="31" t="s">
        <v>41</v>
      </c>
      <c r="AH37" s="31" t="s">
        <v>41</v>
      </c>
      <c r="AI37" s="31" t="s">
        <v>41</v>
      </c>
      <c r="AJ37" s="31" t="s">
        <v>41</v>
      </c>
      <c r="AK37" s="31" t="s">
        <v>41</v>
      </c>
      <c r="AL37" s="31" t="s">
        <v>41</v>
      </c>
      <c r="AM37" s="31" t="s">
        <v>41</v>
      </c>
      <c r="AN37" s="32" t="s">
        <v>830</v>
      </c>
      <c r="AO37" s="32" t="s">
        <v>911</v>
      </c>
      <c r="AP37" s="30">
        <v>42539.506493055553</v>
      </c>
      <c r="AQ37" s="30">
        <v>42539.508391203701</v>
      </c>
      <c r="AR37" s="92">
        <v>42539.57304398148</v>
      </c>
      <c r="AS37" s="92" t="s">
        <v>651</v>
      </c>
      <c r="AT37" s="147">
        <v>38.621490000000001</v>
      </c>
      <c r="AU37" s="147">
        <v>-27.390029999999999</v>
      </c>
      <c r="AV37" s="131" t="s">
        <v>323</v>
      </c>
      <c r="AW37" s="106" t="s">
        <v>323</v>
      </c>
      <c r="AX37" s="30">
        <v>42539.587511574071</v>
      </c>
      <c r="AY37" s="107">
        <v>38.627740000000003</v>
      </c>
      <c r="AZ37" s="107">
        <v>-27.443829999999998</v>
      </c>
      <c r="BA37" s="32" t="s">
        <v>931</v>
      </c>
      <c r="BB37" s="49" t="s">
        <v>194</v>
      </c>
      <c r="BC37" s="7"/>
      <c r="BD37" s="7"/>
      <c r="BE37" s="7"/>
      <c r="BF37" s="7"/>
      <c r="BG37" s="7"/>
    </row>
    <row r="38" spans="1:59">
      <c r="A38" s="55" t="str">
        <f>HYPERLINK("tag_data/Quicklook/bp160728-25Quicklook.jpg","bp160728-25")</f>
        <v>bp160728-25</v>
      </c>
      <c r="B38" s="26" t="str">
        <f t="shared" si="7"/>
        <v>bp</v>
      </c>
      <c r="C38" s="42" t="str">
        <f>HYPERLINK("location data/Monterey/2016/","Monterey")</f>
        <v>Monterey</v>
      </c>
      <c r="D38" s="64" t="s">
        <v>465</v>
      </c>
      <c r="E38" s="61" t="s">
        <v>466</v>
      </c>
      <c r="F38" s="85">
        <v>-7</v>
      </c>
      <c r="G38" s="60" t="s">
        <v>455</v>
      </c>
      <c r="H38" s="31" t="s">
        <v>39</v>
      </c>
      <c r="I38" s="42" t="str">
        <f>HYPERLINK("tag_data/bp160728-25 (Monterey)","Link")</f>
        <v>Link</v>
      </c>
      <c r="J38" s="42" t="str">
        <f>HYPERLINK("tag_data_raw/Monterey/2016/bp160728-25","Link")</f>
        <v>Link</v>
      </c>
      <c r="K38" s="46" t="str">
        <f>HYPERLINK("tag_data/bp160728-25 (Monterey)/Pics&amp;Vids","Link")</f>
        <v>Link</v>
      </c>
      <c r="L38" s="46" t="str">
        <f>HYPERLINK("tag_data/bp160728-25 (Monterey)/Pics&amp;Vids/20160728-JAF--0111.JPG","Pic")</f>
        <v>Pic</v>
      </c>
      <c r="M38" s="41" t="s">
        <v>263</v>
      </c>
      <c r="N38" s="42" t="str">
        <f>HYPERLINK("location data/Monterey/2016/Notes/July/20160728-MUS.mdb","Link")</f>
        <v>Link</v>
      </c>
      <c r="O38" s="31" t="s">
        <v>45</v>
      </c>
      <c r="P38" s="31" t="s">
        <v>41</v>
      </c>
      <c r="Q38" s="31">
        <v>25</v>
      </c>
      <c r="R38" s="32" t="s">
        <v>132</v>
      </c>
      <c r="S38" s="32" t="s">
        <v>1393</v>
      </c>
      <c r="T38" s="32" t="s">
        <v>263</v>
      </c>
      <c r="U38" s="17">
        <f t="shared" si="11"/>
        <v>0.14953819444781402</v>
      </c>
      <c r="V38" s="17">
        <f t="shared" si="4"/>
        <v>0.14953819444781402</v>
      </c>
      <c r="W38" s="56" t="s">
        <v>346</v>
      </c>
      <c r="X38" s="42" t="str">
        <f>HYPERLINK("tag_data/bp160728-25 (Monterey)/bp160728-25 Map.bmp","0")</f>
        <v>0</v>
      </c>
      <c r="Y38" s="31" t="s">
        <v>263</v>
      </c>
      <c r="Z38" s="31" t="s">
        <v>39</v>
      </c>
      <c r="AA38" s="31" t="s">
        <v>41</v>
      </c>
      <c r="AB38" s="31" t="s">
        <v>277</v>
      </c>
      <c r="AC38" s="31" t="s">
        <v>39</v>
      </c>
      <c r="AD38" s="31" t="s">
        <v>41</v>
      </c>
      <c r="AE38" s="31" t="s">
        <v>41</v>
      </c>
      <c r="AF38" s="31" t="s">
        <v>41</v>
      </c>
      <c r="AG38" s="31" t="s">
        <v>41</v>
      </c>
      <c r="AH38" s="31" t="s">
        <v>41</v>
      </c>
      <c r="AI38" s="31" t="s">
        <v>41</v>
      </c>
      <c r="AJ38" s="31" t="s">
        <v>41</v>
      </c>
      <c r="AK38" s="31" t="s">
        <v>41</v>
      </c>
      <c r="AL38" s="31" t="s">
        <v>41</v>
      </c>
      <c r="AM38" s="31" t="s">
        <v>41</v>
      </c>
      <c r="AN38" s="32" t="s">
        <v>494</v>
      </c>
      <c r="AO38" s="32" t="s">
        <v>463</v>
      </c>
      <c r="AP38" s="30">
        <v>42579.485115740739</v>
      </c>
      <c r="AQ38" s="30">
        <v>42579.48857523148</v>
      </c>
      <c r="AR38" s="92">
        <v>42579.638113425928</v>
      </c>
      <c r="AS38" s="92" t="s">
        <v>651</v>
      </c>
      <c r="AT38" s="147">
        <v>36.800975258999998</v>
      </c>
      <c r="AU38" s="147">
        <v>-121.97918699900001</v>
      </c>
      <c r="AV38" s="131" t="s">
        <v>312</v>
      </c>
      <c r="AW38" s="106" t="s">
        <v>312</v>
      </c>
      <c r="AX38" s="30">
        <v>42580.485706018517</v>
      </c>
      <c r="AY38" s="144">
        <f>36+44/60+27/60/60</f>
        <v>36.740833333333335</v>
      </c>
      <c r="AZ38" s="144">
        <f>-121-53/60-14/60/60</f>
        <v>-121.88722222222223</v>
      </c>
      <c r="BA38" s="32" t="s">
        <v>1038</v>
      </c>
      <c r="BB38" s="49" t="s">
        <v>1274</v>
      </c>
      <c r="BC38" s="7"/>
      <c r="BD38" s="7"/>
      <c r="BE38" s="7"/>
      <c r="BF38" s="7"/>
      <c r="BG38" s="7"/>
    </row>
    <row r="39" spans="1:59">
      <c r="A39" s="80" t="str">
        <f>HYPERLINK("tag_data/Quicklook/bp170907-41aQuicklook.jpg","bp170907-41a")</f>
        <v>bp170907-41a</v>
      </c>
      <c r="B39" s="26" t="s">
        <v>444</v>
      </c>
      <c r="C39" s="42" t="str">
        <f>HYPERLINK("location data/Greenland/2017","Greenland")</f>
        <v>Greenland</v>
      </c>
      <c r="D39" s="64" t="s">
        <v>514</v>
      </c>
      <c r="E39" s="61" t="s">
        <v>500</v>
      </c>
      <c r="F39" s="85">
        <v>-2</v>
      </c>
      <c r="G39" s="60" t="s">
        <v>524</v>
      </c>
      <c r="H39" s="71" t="s">
        <v>41</v>
      </c>
      <c r="I39" s="72" t="str">
        <f>HYPERLINK("tag_data/bp170907-41a (Greenland)","Link")</f>
        <v>Link</v>
      </c>
      <c r="J39" s="72" t="str">
        <f>HYPERLINK("tag_data_raw/Greenland/2017/bp170907-41","Link")</f>
        <v>Link</v>
      </c>
      <c r="K39" s="73" t="str">
        <f>HYPERLINK("tag_data/bp170907-41a (Greenland)/Pics&amp;Vids","Link")</f>
        <v>Link</v>
      </c>
      <c r="L39" s="46" t="str">
        <f>HYPERLINK("location data/Greenland/2017/Pics&amp;Vids/bp170907-41a.MP4","Link")</f>
        <v>Link</v>
      </c>
      <c r="M39" s="82" t="s">
        <v>263</v>
      </c>
      <c r="N39" s="46" t="str">
        <f>HYPERLINK("location data/Greenland/2017/","Link")</f>
        <v>Link</v>
      </c>
      <c r="O39" s="31" t="s">
        <v>45</v>
      </c>
      <c r="P39" s="31" t="s">
        <v>41</v>
      </c>
      <c r="Q39" s="31">
        <f>LEFT(RIGHT(A39,LEN(A39)-FIND("-",A39)),MIN(SEARCH({"a","b","c","d","e","f","g","h","i","j","k","l","m","n","o","p","q","r","s","t","u","v","w","x","y","z"},RIGHT(A39,LEN(A39)-FIND("-",A39))&amp;"abcdefghijklmnopqrstuvwxyz"))-1)+1-1</f>
        <v>41</v>
      </c>
      <c r="R39" s="32" t="s">
        <v>347</v>
      </c>
      <c r="S39" s="32" t="str">
        <f t="shared" ref="S39:S47" si="12">IF(OR(Q39&lt;38,Q39=50,Q39=51,AND(OR(Q39=46,Q39=47),AQ39&gt;43313)),"Cam Mic",IF(AND(Q39&lt;45,AQ39&lt;42958),"Dolphin Ear",IF(AND(Q39&gt;44,NOT(OR(Q39=46,Q39=47,Q39=50,Q39=51))),"HTI","None")))</f>
        <v>None</v>
      </c>
      <c r="T39" s="32" t="s">
        <v>38</v>
      </c>
      <c r="U39" s="17">
        <f t="shared" si="11"/>
        <v>1.9675925432238728E-4</v>
      </c>
      <c r="V39" s="17">
        <f t="shared" si="4"/>
        <v>1.9675925432238728E-4</v>
      </c>
      <c r="W39" s="56">
        <v>1.9675925432238728E-4</v>
      </c>
      <c r="X39" s="78">
        <v>0</v>
      </c>
      <c r="Y39" s="29" t="s">
        <v>263</v>
      </c>
      <c r="Z39" s="31" t="s">
        <v>41</v>
      </c>
      <c r="AA39" s="31" t="s">
        <v>41</v>
      </c>
      <c r="AB39" s="31" t="s">
        <v>263</v>
      </c>
      <c r="AC39" s="31" t="s">
        <v>41</v>
      </c>
      <c r="AD39" s="31" t="s">
        <v>41</v>
      </c>
      <c r="AE39" s="31" t="s">
        <v>41</v>
      </c>
      <c r="AF39" s="31" t="s">
        <v>41</v>
      </c>
      <c r="AG39" s="31" t="s">
        <v>41</v>
      </c>
      <c r="AH39" s="31" t="s">
        <v>41</v>
      </c>
      <c r="AI39" s="31" t="s">
        <v>41</v>
      </c>
      <c r="AJ39" s="31" t="s">
        <v>39</v>
      </c>
      <c r="AK39" s="31" t="s">
        <v>39</v>
      </c>
      <c r="AL39" s="31" t="s">
        <v>41</v>
      </c>
      <c r="AM39" s="31" t="s">
        <v>41</v>
      </c>
      <c r="AN39" s="32" t="s">
        <v>115</v>
      </c>
      <c r="AO39" s="32" t="s">
        <v>445</v>
      </c>
      <c r="AP39" s="30">
        <v>42985.466192129628</v>
      </c>
      <c r="AQ39" s="30">
        <v>42985.560763888891</v>
      </c>
      <c r="AR39" s="30">
        <v>42985.560960648145</v>
      </c>
      <c r="AS39" s="92" t="s">
        <v>651</v>
      </c>
      <c r="AT39" s="158">
        <v>65.430599999999998</v>
      </c>
      <c r="AU39" s="158">
        <v>-37.885800000000003</v>
      </c>
      <c r="AV39" s="142" t="s">
        <v>446</v>
      </c>
      <c r="AW39" s="104" t="s">
        <v>446</v>
      </c>
      <c r="AX39" s="120">
        <v>42985.562719907408</v>
      </c>
      <c r="AY39" s="158">
        <v>65.430599999999998</v>
      </c>
      <c r="AZ39" s="158">
        <v>-37.885800000000003</v>
      </c>
      <c r="BA39" s="32" t="s">
        <v>540</v>
      </c>
      <c r="BB39" s="32"/>
      <c r="BC39" s="7"/>
      <c r="BD39" s="7"/>
      <c r="BE39" s="7"/>
      <c r="BF39" s="7"/>
      <c r="BG39" s="7"/>
    </row>
    <row r="40" spans="1:59">
      <c r="A40" s="80" t="str">
        <f>HYPERLINK("tag_data/Quicklook/bp170907-41bQuicklook.jpg","bp170907-41b")</f>
        <v>bp170907-41b</v>
      </c>
      <c r="B40" s="26" t="s">
        <v>444</v>
      </c>
      <c r="C40" s="42" t="str">
        <f>HYPERLINK("location data/Greenland/2017","Greenland")</f>
        <v>Greenland</v>
      </c>
      <c r="D40" s="64" t="s">
        <v>514</v>
      </c>
      <c r="E40" s="61" t="s">
        <v>500</v>
      </c>
      <c r="F40" s="85">
        <v>-2</v>
      </c>
      <c r="G40" s="60" t="s">
        <v>524</v>
      </c>
      <c r="H40" s="71" t="s">
        <v>39</v>
      </c>
      <c r="I40" s="72" t="str">
        <f>HYPERLINK("tag_data/bp170907-41b (Greenland)","Link")</f>
        <v>Link</v>
      </c>
      <c r="J40" s="72" t="str">
        <f>HYPERLINK("tag_data_raw/Greenland/2017/bp170907-41","Link")</f>
        <v>Link</v>
      </c>
      <c r="K40" s="73" t="str">
        <f>HYPERLINK("tag_data/bp170907-41b (Greenland)/Pics&amp;Vids","Link")</f>
        <v>Link</v>
      </c>
      <c r="L40" s="46" t="str">
        <f>HYPERLINK("location data/Greenland/2017/Pics&amp;Vids/bp170907-41b.MP4","Link")</f>
        <v>Link</v>
      </c>
      <c r="M40" s="73" t="str">
        <f>HYPERLINK("tag_data/bp170907-41b (Greenland)/Pics&amp;Vids/drone","18.47 m")</f>
        <v>18.47 m</v>
      </c>
      <c r="N40" s="46" t="str">
        <f>HYPERLINK("location data/Greenland/2017/","Link")</f>
        <v>Link</v>
      </c>
      <c r="O40" s="31" t="s">
        <v>45</v>
      </c>
      <c r="P40" s="31" t="s">
        <v>41</v>
      </c>
      <c r="Q40" s="31">
        <f>LEFT(RIGHT(A40,LEN(A40)-FIND("-",A40)),MIN(SEARCH({"a","b","c","d","e","f","g","h","i","j","k","l","m","n","o","p","q","r","s","t","u","v","w","x","y","z"},RIGHT(A40,LEN(A40)-FIND("-",A40))&amp;"abcdefghijklmnopqrstuvwxyz"))-1)+1-1</f>
        <v>41</v>
      </c>
      <c r="R40" s="32" t="s">
        <v>347</v>
      </c>
      <c r="S40" s="32" t="str">
        <f t="shared" si="12"/>
        <v>None</v>
      </c>
      <c r="T40" s="32" t="s">
        <v>38</v>
      </c>
      <c r="U40" s="17">
        <f t="shared" si="11"/>
        <v>1.1953587962925667</v>
      </c>
      <c r="V40" s="17">
        <f t="shared" si="4"/>
        <v>1.1953587962925667</v>
      </c>
      <c r="W40" s="56">
        <v>6.2268518518518522E-2</v>
      </c>
      <c r="X40" s="72" t="str">
        <f>HYPERLINK("tag_data/bp170907-41b (Greenland)/bp170907-41b Map.bmp","58")</f>
        <v>58</v>
      </c>
      <c r="Y40" s="54"/>
      <c r="Z40" s="31" t="s">
        <v>39</v>
      </c>
      <c r="AA40" s="31" t="s">
        <v>41</v>
      </c>
      <c r="AB40" s="31" t="s">
        <v>277</v>
      </c>
      <c r="AC40" s="31" t="s">
        <v>41</v>
      </c>
      <c r="AD40" s="31" t="s">
        <v>39</v>
      </c>
      <c r="AE40" s="31" t="s">
        <v>266</v>
      </c>
      <c r="AF40" s="31" t="s">
        <v>41</v>
      </c>
      <c r="AG40" s="31" t="s">
        <v>41</v>
      </c>
      <c r="AH40" s="31" t="s">
        <v>41</v>
      </c>
      <c r="AI40" s="31" t="s">
        <v>39</v>
      </c>
      <c r="AJ40" s="31" t="s">
        <v>39</v>
      </c>
      <c r="AK40" s="31" t="s">
        <v>41</v>
      </c>
      <c r="AL40" s="31" t="s">
        <v>41</v>
      </c>
      <c r="AM40" s="31" t="s">
        <v>41</v>
      </c>
      <c r="AN40" s="32" t="s">
        <v>494</v>
      </c>
      <c r="AO40" s="32" t="s">
        <v>445</v>
      </c>
      <c r="AP40" s="30">
        <v>42985.466192129628</v>
      </c>
      <c r="AQ40" s="30">
        <v>42985.592881944445</v>
      </c>
      <c r="AR40" s="30">
        <v>42986.788240740738</v>
      </c>
      <c r="AS40" s="92" t="s">
        <v>651</v>
      </c>
      <c r="AT40" s="158">
        <f>65+25.135/60</f>
        <v>65.418916666666661</v>
      </c>
      <c r="AU40" s="158">
        <f>-37-51.907/60</f>
        <v>-37.865116666666665</v>
      </c>
      <c r="AV40" s="142" t="s">
        <v>446</v>
      </c>
      <c r="AW40" s="104" t="s">
        <v>446</v>
      </c>
      <c r="AX40" s="120">
        <v>42987.626388888886</v>
      </c>
      <c r="AY40" s="158">
        <f>65+18.25/60</f>
        <v>65.30416666666666</v>
      </c>
      <c r="AZ40" s="158">
        <f>-38-36.105/60</f>
        <v>-38.601750000000003</v>
      </c>
      <c r="BA40" s="32" t="s">
        <v>539</v>
      </c>
      <c r="BB40" s="32" t="s">
        <v>1275</v>
      </c>
      <c r="BC40" s="7"/>
      <c r="BD40" s="7"/>
      <c r="BE40" s="7"/>
      <c r="BF40" s="7"/>
      <c r="BG40" s="7"/>
    </row>
    <row r="41" spans="1:59">
      <c r="A41" s="55" t="str">
        <f>HYPERLINK("tag_data/Quicklook/bp180525-41aQuicklook.jpg","bp180525-41a")</f>
        <v>bp180525-41a</v>
      </c>
      <c r="B41" s="26" t="str">
        <f t="shared" ref="B41:B49" si="13">LEFT(A41,2)</f>
        <v>bp</v>
      </c>
      <c r="C41" s="46" t="str">
        <f t="shared" ref="C41:C50" si="14">HYPERLINK("location data/Azores/2018/","Azores")</f>
        <v>Azores</v>
      </c>
      <c r="D41" s="64" t="s">
        <v>883</v>
      </c>
      <c r="E41" s="61" t="s">
        <v>884</v>
      </c>
      <c r="F41" s="85">
        <v>0</v>
      </c>
      <c r="G41" s="59" t="s">
        <v>882</v>
      </c>
      <c r="H41" s="31" t="s">
        <v>39</v>
      </c>
      <c r="I41" s="46" t="str">
        <f>HYPERLINK("tag_data/bp180525-41a (Azores)","Link")</f>
        <v>Link</v>
      </c>
      <c r="J41" s="46" t="str">
        <f>HYPERLINK("tag_data_raw/Azores/2018/bp180525-41","Link")</f>
        <v>Link</v>
      </c>
      <c r="K41" s="46" t="str">
        <f>HYPERLINK("tag_data/bp180525-41a (Azores)/Pics&amp;Vids","Link")</f>
        <v>Link</v>
      </c>
      <c r="L41" s="41" t="s">
        <v>263</v>
      </c>
      <c r="M41" s="41" t="s">
        <v>263</v>
      </c>
      <c r="N41" s="54" t="str">
        <f t="shared" ref="N41:N50" si="15">HYPERLINK("location data/Azores/2018/Sightings tagged animals.xlsx","Link")</f>
        <v>Link</v>
      </c>
      <c r="O41" s="31" t="s">
        <v>45</v>
      </c>
      <c r="P41" s="31" t="s">
        <v>41</v>
      </c>
      <c r="Q41" s="31">
        <f>LEFT(RIGHT(A41,LEN(A41)-FIND("-",A41)),MIN(SEARCH({"a","b","c","d","e","f","g","h","i","j","k","l","m","n","o","p","q","r","s","t","u","v","w","x","y","z"},RIGHT(A41,LEN(A41)-FIND("-",A41))&amp;"abcdefghijklmnopqrstuvwxyz"))-1)+1-1</f>
        <v>41</v>
      </c>
      <c r="R41" s="32" t="str">
        <f t="shared" ref="R41:R52" si="16">IF(AND(Q41+1&gt;40,Q41+1&lt;=50),"Wireless","")</f>
        <v>Wireless</v>
      </c>
      <c r="S41" s="32" t="str">
        <f t="shared" si="12"/>
        <v>None</v>
      </c>
      <c r="T41" s="32" t="s">
        <v>38</v>
      </c>
      <c r="U41" s="17">
        <f t="shared" si="11"/>
        <v>1.3877314821002074E-2</v>
      </c>
      <c r="V41" s="17">
        <f t="shared" si="4"/>
        <v>1.3877314821002074E-2</v>
      </c>
      <c r="W41" s="56">
        <f>V41</f>
        <v>1.3877314821002074E-2</v>
      </c>
      <c r="X41" s="31">
        <v>0</v>
      </c>
      <c r="Y41" s="42"/>
      <c r="Z41" s="31" t="s">
        <v>41</v>
      </c>
      <c r="AA41" s="31" t="s">
        <v>41</v>
      </c>
      <c r="AB41" s="31" t="s">
        <v>263</v>
      </c>
      <c r="AC41" s="31" t="s">
        <v>41</v>
      </c>
      <c r="AD41" s="31" t="s">
        <v>41</v>
      </c>
      <c r="AE41" s="31" t="s">
        <v>41</v>
      </c>
      <c r="AF41" s="31" t="s">
        <v>41</v>
      </c>
      <c r="AG41" s="31" t="s">
        <v>41</v>
      </c>
      <c r="AH41" s="31" t="s">
        <v>41</v>
      </c>
      <c r="AI41" s="31" t="s">
        <v>39</v>
      </c>
      <c r="AJ41" s="31" t="s">
        <v>39</v>
      </c>
      <c r="AK41" s="31" t="s">
        <v>41</v>
      </c>
      <c r="AL41" s="31" t="s">
        <v>41</v>
      </c>
      <c r="AM41" s="31" t="s">
        <v>41</v>
      </c>
      <c r="AN41" s="32" t="s">
        <v>830</v>
      </c>
      <c r="AO41" s="32" t="s">
        <v>911</v>
      </c>
      <c r="AP41" s="30">
        <v>43245.356354166666</v>
      </c>
      <c r="AQ41" s="30">
        <v>43245.366770833331</v>
      </c>
      <c r="AR41" s="30">
        <v>43245.380648148152</v>
      </c>
      <c r="AS41" s="92" t="s">
        <v>651</v>
      </c>
      <c r="AT41" s="155">
        <v>38.627029828031603</v>
      </c>
      <c r="AU41" s="155">
        <v>-27.3205041339613</v>
      </c>
      <c r="AV41" s="153" t="s">
        <v>323</v>
      </c>
      <c r="AW41" s="106" t="s">
        <v>323</v>
      </c>
      <c r="AX41" s="30">
        <v>43245.383912037039</v>
      </c>
      <c r="AY41" s="107">
        <v>38.632309999999997</v>
      </c>
      <c r="AZ41" s="107">
        <v>-27.338950000000001</v>
      </c>
      <c r="BA41" s="32" t="s">
        <v>1098</v>
      </c>
      <c r="BB41" s="49" t="s">
        <v>1276</v>
      </c>
      <c r="BC41" s="7"/>
      <c r="BD41" s="7"/>
      <c r="BE41" s="7"/>
      <c r="BF41" s="7"/>
      <c r="BG41" s="7"/>
    </row>
    <row r="42" spans="1:59">
      <c r="A42" s="7" t="s">
        <v>924</v>
      </c>
      <c r="B42" s="26" t="str">
        <f t="shared" si="13"/>
        <v>bp</v>
      </c>
      <c r="C42" s="46" t="str">
        <f t="shared" si="14"/>
        <v>Azores</v>
      </c>
      <c r="D42" s="64" t="s">
        <v>883</v>
      </c>
      <c r="E42" s="61" t="s">
        <v>884</v>
      </c>
      <c r="F42" s="85">
        <v>0</v>
      </c>
      <c r="G42" s="59" t="s">
        <v>882</v>
      </c>
      <c r="H42" s="31" t="s">
        <v>41</v>
      </c>
      <c r="I42" s="46" t="str">
        <f>HYPERLINK("tag_data/bp180525-41,44,45 (Azores- no prh)/bp180525-41b","Link")</f>
        <v>Link</v>
      </c>
      <c r="J42" s="46" t="str">
        <f>HYPERLINK("tag_data_raw/Azores/2018/bp180525-41","Link")</f>
        <v>Link</v>
      </c>
      <c r="K42" s="46" t="str">
        <f>HYPERLINK("tag_data/bp180525-41,44,45 (Azores- no prh)/bp180525-41b/Pics&amp;Vids","Link")</f>
        <v>Link</v>
      </c>
      <c r="L42" s="54" t="str">
        <f>HYPERLINK("location data/Azores/2018/Vids/05.25/Tag 6 (0525-41b).MP4","Link")</f>
        <v>Link</v>
      </c>
      <c r="M42" s="46" t="str">
        <f>HYPERLINK("tag_data/bp180525-41,44,45 (Azores- no prh)/bp180525-41b/Pics&amp;Vids/drone","?? m")</f>
        <v>?? m</v>
      </c>
      <c r="N42" s="54" t="str">
        <f t="shared" si="15"/>
        <v>Link</v>
      </c>
      <c r="O42" s="31" t="s">
        <v>45</v>
      </c>
      <c r="P42" s="31" t="s">
        <v>41</v>
      </c>
      <c r="Q42" s="31">
        <f>LEFT(RIGHT(A42,LEN(A42)-FIND("-",A42)),MIN(SEARCH({"a","b","c","d","e","f","g","h","i","j","k","l","m","n","o","p","q","r","s","t","u","v","w","x","y","z"},RIGHT(A42,LEN(A42)-FIND("-",A42))&amp;"abcdefghijklmnopqrstuvwxyz"))-1)+1-1</f>
        <v>41</v>
      </c>
      <c r="R42" s="32" t="str">
        <f t="shared" si="16"/>
        <v>Wireless</v>
      </c>
      <c r="S42" s="32" t="str">
        <f t="shared" si="12"/>
        <v>None</v>
      </c>
      <c r="T42" s="32" t="s">
        <v>38</v>
      </c>
      <c r="U42" s="17">
        <f t="shared" si="11"/>
        <v>1.273148154723458E-4</v>
      </c>
      <c r="V42" s="17">
        <f t="shared" si="4"/>
        <v>1.273148154723458E-4</v>
      </c>
      <c r="W42" s="56">
        <f>V42</f>
        <v>1.273148154723458E-4</v>
      </c>
      <c r="X42" s="31" t="s">
        <v>263</v>
      </c>
      <c r="Y42" s="31" t="s">
        <v>263</v>
      </c>
      <c r="Z42" s="31" t="s">
        <v>41</v>
      </c>
      <c r="AA42" s="31" t="s">
        <v>41</v>
      </c>
      <c r="AB42" s="31" t="s">
        <v>263</v>
      </c>
      <c r="AC42" s="31" t="s">
        <v>41</v>
      </c>
      <c r="AD42" s="31" t="s">
        <v>41</v>
      </c>
      <c r="AE42" s="31" t="s">
        <v>41</v>
      </c>
      <c r="AF42" s="31" t="s">
        <v>41</v>
      </c>
      <c r="AG42" s="31" t="s">
        <v>41</v>
      </c>
      <c r="AH42" s="31" t="s">
        <v>41</v>
      </c>
      <c r="AI42" s="31" t="s">
        <v>41</v>
      </c>
      <c r="AJ42" s="31" t="s">
        <v>41</v>
      </c>
      <c r="AK42" s="31" t="s">
        <v>41</v>
      </c>
      <c r="AL42" s="31" t="s">
        <v>41</v>
      </c>
      <c r="AM42" s="31" t="s">
        <v>41</v>
      </c>
      <c r="AN42" s="32" t="s">
        <v>743</v>
      </c>
      <c r="AO42" s="32" t="s">
        <v>911</v>
      </c>
      <c r="AP42" s="30">
        <v>43245.695601851854</v>
      </c>
      <c r="AQ42" s="30">
        <v>43245.699594907404</v>
      </c>
      <c r="AR42" s="30">
        <v>43245.69972222222</v>
      </c>
      <c r="AS42" s="92" t="s">
        <v>651</v>
      </c>
      <c r="AT42" s="107">
        <v>38.521419999999999</v>
      </c>
      <c r="AU42" s="107">
        <v>-27.2182</v>
      </c>
      <c r="AV42" s="153" t="s">
        <v>323</v>
      </c>
      <c r="AW42" s="106" t="s">
        <v>323</v>
      </c>
      <c r="AX42" s="30">
        <v>43245.700555555559</v>
      </c>
      <c r="AY42" s="107">
        <v>38.521419999999999</v>
      </c>
      <c r="AZ42" s="107">
        <v>-27.2182</v>
      </c>
      <c r="BA42" s="32" t="s">
        <v>945</v>
      </c>
      <c r="BB42" s="32"/>
      <c r="BC42" s="7"/>
      <c r="BD42" s="7"/>
      <c r="BE42" s="7"/>
      <c r="BF42" s="7"/>
      <c r="BG42" s="7"/>
    </row>
    <row r="43" spans="1:59">
      <c r="A43" s="7" t="s">
        <v>925</v>
      </c>
      <c r="B43" s="26" t="str">
        <f t="shared" si="13"/>
        <v>bp</v>
      </c>
      <c r="C43" s="46" t="str">
        <f t="shared" si="14"/>
        <v>Azores</v>
      </c>
      <c r="D43" s="64" t="s">
        <v>883</v>
      </c>
      <c r="E43" s="61" t="s">
        <v>884</v>
      </c>
      <c r="F43" s="85">
        <v>0</v>
      </c>
      <c r="G43" s="59" t="s">
        <v>882</v>
      </c>
      <c r="H43" s="31" t="s">
        <v>41</v>
      </c>
      <c r="I43" s="46" t="str">
        <f>HYPERLINK("tag_data/bp180525-41,44,45 (Azores- no prh)/bp180525-44a","Link")</f>
        <v>Link</v>
      </c>
      <c r="J43" s="46" t="str">
        <f>HYPERLINK("tag_data_raw/Azores/2018/bp180525-44/a","Link")</f>
        <v>Link</v>
      </c>
      <c r="K43" s="46" t="str">
        <f>HYPERLINK("tag_data/bp180525-41,44,45 (Azores- no prh)/bp180525-44a/Pics&amp;Vids","Link")</f>
        <v>Link</v>
      </c>
      <c r="L43" s="54" t="str">
        <f>HYPERLINK("location data/Azores/2018/Vids/05.25/Tag 4 (0525-44a).MP4","Link")</f>
        <v>Link</v>
      </c>
      <c r="M43" s="41" t="s">
        <v>263</v>
      </c>
      <c r="N43" s="54" t="str">
        <f t="shared" si="15"/>
        <v>Link</v>
      </c>
      <c r="O43" s="31" t="s">
        <v>45</v>
      </c>
      <c r="P43" s="31" t="s">
        <v>41</v>
      </c>
      <c r="Q43" s="31">
        <f>LEFT(RIGHT(A43,LEN(A43)-FIND("-",A43)),MIN(SEARCH({"a","b","c","d","e","f","g","h","i","j","k","l","m","n","o","p","q","r","s","t","u","v","w","x","y","z"},RIGHT(A43,LEN(A43)-FIND("-",A43))&amp;"abcdefghijklmnopqrstuvwxyz"))-1)+1-1</f>
        <v>44</v>
      </c>
      <c r="R43" s="32" t="str">
        <f t="shared" si="16"/>
        <v>Wireless</v>
      </c>
      <c r="S43" s="32" t="str">
        <f t="shared" si="12"/>
        <v>None</v>
      </c>
      <c r="T43" s="32" t="s">
        <v>38</v>
      </c>
      <c r="U43" s="17">
        <f t="shared" si="11"/>
        <v>2.0833333110203966E-4</v>
      </c>
      <c r="V43" s="17">
        <f t="shared" si="4"/>
        <v>2.0833333110203966E-4</v>
      </c>
      <c r="W43" s="56">
        <f>V43</f>
        <v>2.0833333110203966E-4</v>
      </c>
      <c r="X43" s="31" t="s">
        <v>263</v>
      </c>
      <c r="Y43" s="31" t="s">
        <v>263</v>
      </c>
      <c r="Z43" s="31" t="s">
        <v>41</v>
      </c>
      <c r="AA43" s="31" t="s">
        <v>41</v>
      </c>
      <c r="AB43" s="31" t="s">
        <v>263</v>
      </c>
      <c r="AC43" s="31" t="s">
        <v>41</v>
      </c>
      <c r="AD43" s="31" t="s">
        <v>41</v>
      </c>
      <c r="AE43" s="31" t="s">
        <v>41</v>
      </c>
      <c r="AF43" s="31" t="s">
        <v>41</v>
      </c>
      <c r="AG43" s="31" t="s">
        <v>41</v>
      </c>
      <c r="AH43" s="31" t="s">
        <v>41</v>
      </c>
      <c r="AI43" s="31" t="s">
        <v>41</v>
      </c>
      <c r="AJ43" s="31" t="s">
        <v>41</v>
      </c>
      <c r="AK43" s="31" t="s">
        <v>41</v>
      </c>
      <c r="AL43" s="31" t="s">
        <v>41</v>
      </c>
      <c r="AM43" s="31" t="s">
        <v>41</v>
      </c>
      <c r="AN43" s="32" t="s">
        <v>743</v>
      </c>
      <c r="AO43" s="32" t="s">
        <v>911</v>
      </c>
      <c r="AP43" s="30">
        <v>43245.611631944441</v>
      </c>
      <c r="AQ43" s="30">
        <v>43245.621712962966</v>
      </c>
      <c r="AR43" s="30">
        <v>43245.621921296297</v>
      </c>
      <c r="AS43" s="92" t="s">
        <v>651</v>
      </c>
      <c r="AT43" s="155">
        <v>38.48545</v>
      </c>
      <c r="AU43" s="155">
        <v>-27.22129</v>
      </c>
      <c r="AV43" s="153" t="s">
        <v>323</v>
      </c>
      <c r="AW43" s="106" t="s">
        <v>323</v>
      </c>
      <c r="AX43" s="30">
        <v>43245.626828703702</v>
      </c>
      <c r="AY43" s="107">
        <v>38.48516</v>
      </c>
      <c r="AZ43" s="107">
        <v>-27.221800000000002</v>
      </c>
      <c r="BA43" s="32" t="s">
        <v>946</v>
      </c>
      <c r="BB43" s="32"/>
      <c r="BC43" s="7"/>
      <c r="BD43" s="7"/>
      <c r="BE43" s="7"/>
      <c r="BF43" s="7"/>
      <c r="BG43" s="7"/>
    </row>
    <row r="44" spans="1:59" s="39" customFormat="1">
      <c r="A44" s="55" t="str">
        <f>HYPERLINK("tag_data/Quicklook/bp180525-44bQuicklook.jpg","bp180525-44b")</f>
        <v>bp180525-44b</v>
      </c>
      <c r="B44" s="26" t="str">
        <f t="shared" si="13"/>
        <v>bp</v>
      </c>
      <c r="C44" s="46" t="str">
        <f t="shared" si="14"/>
        <v>Azores</v>
      </c>
      <c r="D44" s="64" t="s">
        <v>883</v>
      </c>
      <c r="E44" s="61" t="s">
        <v>884</v>
      </c>
      <c r="F44" s="85">
        <v>0</v>
      </c>
      <c r="G44" s="59" t="s">
        <v>882</v>
      </c>
      <c r="H44" s="31" t="s">
        <v>39</v>
      </c>
      <c r="I44" s="46" t="str">
        <f>HYPERLINK("tag_data/bp180525-44b (Azores)","Link")</f>
        <v>Link</v>
      </c>
      <c r="J44" s="46" t="str">
        <f>HYPERLINK("tag_data_raw/Azores/2018/bp180525-44/b","Link")</f>
        <v>Link</v>
      </c>
      <c r="K44" s="46" t="str">
        <f>HYPERLINK("tag_data/bp180525-44b (Azores)/Pics&amp;Vids","Link")</f>
        <v>Link</v>
      </c>
      <c r="L44" s="54" t="str">
        <f>HYPERLINK("location data/Azores/2018/Vids/05.25/Tag 5 (0525-44b).MP4","Link")</f>
        <v>Link</v>
      </c>
      <c r="M44" s="46" t="str">
        <f>HYPERLINK("tag_data/bp180525-41,44,45 (Azores- no prh)/bp180525-44b/Pics&amp;Vids/drone","20.74 m")</f>
        <v>20.74 m</v>
      </c>
      <c r="N44" s="54" t="str">
        <f t="shared" si="15"/>
        <v>Link</v>
      </c>
      <c r="O44" s="31" t="s">
        <v>45</v>
      </c>
      <c r="P44" s="31" t="s">
        <v>41</v>
      </c>
      <c r="Q44" s="31">
        <f>LEFT(RIGHT(A44,LEN(A44)-FIND("-",A44)),MIN(SEARCH({"a","b","c","d","e","f","g","h","i","j","k","l","m","n","o","p","q","r","s","t","u","v","w","x","y","z"},RIGHT(A44,LEN(A44)-FIND("-",A44))&amp;"abcdefghijklmnopqrstuvwxyz"))-1)+1-1</f>
        <v>44</v>
      </c>
      <c r="R44" s="32" t="str">
        <f t="shared" si="16"/>
        <v>Wireless</v>
      </c>
      <c r="S44" s="32" t="str">
        <f t="shared" si="12"/>
        <v>None</v>
      </c>
      <c r="T44" s="32" t="s">
        <v>38</v>
      </c>
      <c r="U44" s="17">
        <f t="shared" si="11"/>
        <v>2.4131944446708076E-2</v>
      </c>
      <c r="V44" s="17">
        <f t="shared" si="4"/>
        <v>2.4131944446708076E-2</v>
      </c>
      <c r="W44" s="56">
        <v>2.3958333333333331E-2</v>
      </c>
      <c r="X44" s="46" t="str">
        <f>HYPERLINK("tag_data/bp180525-44b (Azores)/bp180525-44b Map.bmp","0")</f>
        <v>0</v>
      </c>
      <c r="Y44" s="42"/>
      <c r="Z44" s="31" t="s">
        <v>41</v>
      </c>
      <c r="AA44" s="31" t="s">
        <v>41</v>
      </c>
      <c r="AB44" s="31" t="s">
        <v>263</v>
      </c>
      <c r="AC44" s="31" t="s">
        <v>41</v>
      </c>
      <c r="AD44" s="31" t="s">
        <v>41</v>
      </c>
      <c r="AE44" s="31" t="s">
        <v>41</v>
      </c>
      <c r="AF44" s="31" t="s">
        <v>39</v>
      </c>
      <c r="AG44" s="31" t="s">
        <v>41</v>
      </c>
      <c r="AH44" s="31" t="s">
        <v>41</v>
      </c>
      <c r="AI44" s="31" t="s">
        <v>39</v>
      </c>
      <c r="AJ44" s="31" t="s">
        <v>39</v>
      </c>
      <c r="AK44" s="31" t="s">
        <v>41</v>
      </c>
      <c r="AL44" s="31" t="s">
        <v>41</v>
      </c>
      <c r="AM44" s="31" t="s">
        <v>41</v>
      </c>
      <c r="AN44" s="32" t="s">
        <v>830</v>
      </c>
      <c r="AO44" s="32" t="s">
        <v>911</v>
      </c>
      <c r="AP44" s="30">
        <v>43245.637187499997</v>
      </c>
      <c r="AQ44" s="30">
        <v>43245.648680555554</v>
      </c>
      <c r="AR44" s="30">
        <v>43245.672812500001</v>
      </c>
      <c r="AS44" s="92" t="s">
        <v>651</v>
      </c>
      <c r="AT44" s="155">
        <v>38.549861176999997</v>
      </c>
      <c r="AU44" s="155">
        <v>-27.227045806</v>
      </c>
      <c r="AV44" s="153" t="s">
        <v>323</v>
      </c>
      <c r="AW44" s="106" t="s">
        <v>323</v>
      </c>
      <c r="AX44" s="30">
        <v>43245.716341446758</v>
      </c>
      <c r="AY44" s="107">
        <v>38.541332869000001</v>
      </c>
      <c r="AZ44" s="107">
        <v>-27.213354157000001</v>
      </c>
      <c r="BA44" s="32" t="s">
        <v>948</v>
      </c>
      <c r="BB44" s="49"/>
      <c r="BC44" s="7"/>
      <c r="BD44" s="7"/>
      <c r="BE44" s="7"/>
      <c r="BF44" s="7"/>
      <c r="BG44" s="7"/>
    </row>
    <row r="45" spans="1:59">
      <c r="A45" s="7" t="s">
        <v>926</v>
      </c>
      <c r="B45" s="26" t="str">
        <f t="shared" si="13"/>
        <v>bp</v>
      </c>
      <c r="C45" s="46" t="str">
        <f t="shared" si="14"/>
        <v>Azores</v>
      </c>
      <c r="D45" s="64" t="s">
        <v>883</v>
      </c>
      <c r="E45" s="61" t="s">
        <v>884</v>
      </c>
      <c r="F45" s="85">
        <v>0</v>
      </c>
      <c r="G45" s="59" t="s">
        <v>882</v>
      </c>
      <c r="H45" s="31" t="s">
        <v>41</v>
      </c>
      <c r="I45" s="46" t="str">
        <f>HYPERLINK("tag_data/bp180525-41,44,45 (Azores- no prh)/bp180525-45","Link")</f>
        <v>Link</v>
      </c>
      <c r="J45" s="46" t="str">
        <f>HYPERLINK("tag_data_raw/Azores/2018/bp180525-45","Link")</f>
        <v>Link</v>
      </c>
      <c r="K45" s="46" t="str">
        <f>HYPERLINK("tag_data/bp180525-41,44,45 (Azores- no prh)/bp180525-45/Pics&amp;Vids","Link")</f>
        <v>Link</v>
      </c>
      <c r="L45" s="54" t="str">
        <f>HYPERLINK("location data/Azores/2018/Vids/05.25/Tag 2 (0525-45).MP4","Link")</f>
        <v>Link</v>
      </c>
      <c r="M45" s="41" t="s">
        <v>263</v>
      </c>
      <c r="N45" s="54" t="str">
        <f t="shared" si="15"/>
        <v>Link</v>
      </c>
      <c r="O45" s="31" t="s">
        <v>45</v>
      </c>
      <c r="P45" s="31" t="s">
        <v>41</v>
      </c>
      <c r="Q45" s="31">
        <f>LEFT(RIGHT(A45,LEN(A45)-FIND("-",A45)),MIN(SEARCH({"a","b","c","d","e","f","g","h","i","j","k","l","m","n","o","p","q","r","s","t","u","v","w","x","y","z"},RIGHT(A45,LEN(A45)-FIND("-",A45))&amp;"abcdefghijklmnopqrstuvwxyz"))-1)+1-1</f>
        <v>45</v>
      </c>
      <c r="R45" s="32" t="str">
        <f t="shared" si="16"/>
        <v>Wireless</v>
      </c>
      <c r="S45" s="32" t="str">
        <f t="shared" si="12"/>
        <v>HTI</v>
      </c>
      <c r="T45" s="32" t="s">
        <v>38</v>
      </c>
      <c r="U45" s="17">
        <f t="shared" si="11"/>
        <v>2.7777777722803876E-4</v>
      </c>
      <c r="V45" s="17">
        <f t="shared" si="4"/>
        <v>2.7777777722803876E-4</v>
      </c>
      <c r="W45" s="56">
        <f>V45</f>
        <v>2.7777777722803876E-4</v>
      </c>
      <c r="X45" s="31" t="s">
        <v>263</v>
      </c>
      <c r="Y45" s="31" t="s">
        <v>263</v>
      </c>
      <c r="Z45" s="31" t="s">
        <v>41</v>
      </c>
      <c r="AA45" s="31" t="s">
        <v>41</v>
      </c>
      <c r="AB45" s="31" t="s">
        <v>263</v>
      </c>
      <c r="AC45" s="31" t="s">
        <v>41</v>
      </c>
      <c r="AD45" s="31" t="s">
        <v>41</v>
      </c>
      <c r="AE45" s="31" t="s">
        <v>41</v>
      </c>
      <c r="AF45" s="31" t="s">
        <v>41</v>
      </c>
      <c r="AG45" s="31" t="s">
        <v>41</v>
      </c>
      <c r="AH45" s="31" t="s">
        <v>41</v>
      </c>
      <c r="AI45" s="31" t="s">
        <v>41</v>
      </c>
      <c r="AJ45" s="31" t="s">
        <v>41</v>
      </c>
      <c r="AK45" s="31" t="s">
        <v>41</v>
      </c>
      <c r="AL45" s="31" t="s">
        <v>41</v>
      </c>
      <c r="AM45" s="31" t="s">
        <v>41</v>
      </c>
      <c r="AN45" s="32" t="s">
        <v>743</v>
      </c>
      <c r="AO45" s="32" t="s">
        <v>911</v>
      </c>
      <c r="AP45" s="30">
        <v>43245.367337962962</v>
      </c>
      <c r="AQ45" s="30">
        <v>43245.380046296297</v>
      </c>
      <c r="AR45" s="30">
        <v>43245.380324074074</v>
      </c>
      <c r="AS45" s="92" t="s">
        <v>651</v>
      </c>
      <c r="AT45" s="155">
        <v>38.63167</v>
      </c>
      <c r="AU45" s="155">
        <v>-27.334050000000001</v>
      </c>
      <c r="AV45" s="153" t="s">
        <v>323</v>
      </c>
      <c r="AW45" s="106" t="s">
        <v>323</v>
      </c>
      <c r="AX45" s="30">
        <v>43245.383912037039</v>
      </c>
      <c r="AY45" s="107">
        <v>38.632309999999997</v>
      </c>
      <c r="AZ45" s="107">
        <v>-27.338950000000001</v>
      </c>
      <c r="BA45" s="32" t="s">
        <v>947</v>
      </c>
      <c r="BB45" s="32"/>
      <c r="BC45" s="7"/>
      <c r="BD45" s="7"/>
      <c r="BE45" s="7"/>
      <c r="BF45" s="7"/>
      <c r="BG45" s="7"/>
    </row>
    <row r="46" spans="1:59">
      <c r="A46" s="55" t="str">
        <f>HYPERLINK("tag_data/Quicklook/bp180526-42Quicklook.jpg","bp180526-42")</f>
        <v>bp180526-42</v>
      </c>
      <c r="B46" s="26" t="str">
        <f t="shared" si="13"/>
        <v>bp</v>
      </c>
      <c r="C46" s="46" t="str">
        <f t="shared" si="14"/>
        <v>Azores</v>
      </c>
      <c r="D46" s="64" t="s">
        <v>883</v>
      </c>
      <c r="E46" s="61" t="s">
        <v>884</v>
      </c>
      <c r="F46" s="85">
        <v>0</v>
      </c>
      <c r="G46" s="59" t="s">
        <v>882</v>
      </c>
      <c r="H46" s="31" t="s">
        <v>39</v>
      </c>
      <c r="I46" s="46" t="str">
        <f>HYPERLINK("tag_data/bp180526-42 (Azores)","Link")</f>
        <v>Link</v>
      </c>
      <c r="J46" s="46" t="str">
        <f>HYPERLINK("tag_data_raw/Azores/2018/bp180526-42","Link")</f>
        <v>Link</v>
      </c>
      <c r="K46" s="46" t="str">
        <f>HYPERLINK("tag_data/bp180526-42 (Azores)/Pics&amp;Vids","Link")</f>
        <v>Link</v>
      </c>
      <c r="L46" s="54" t="str">
        <f>HYPERLINK("location data/Azores/2018/Vids/05.26/Tag 2 (bp26-42).MP4","Link")</f>
        <v>Link</v>
      </c>
      <c r="M46" s="46" t="str">
        <f>HYPERLINK("tag_data/bp180526-42 (Azores)/Pics&amp;Vids/drone","17.72 m")</f>
        <v>17.72 m</v>
      </c>
      <c r="N46" s="54" t="str">
        <f t="shared" si="15"/>
        <v>Link</v>
      </c>
      <c r="O46" s="31" t="s">
        <v>45</v>
      </c>
      <c r="P46" s="31" t="s">
        <v>41</v>
      </c>
      <c r="Q46" s="31">
        <f>LEFT(RIGHT(A46,LEN(A46)-FIND("-",A46)),MIN(SEARCH({"a","b","c","d","e","f","g","h","i","j","k","l","m","n","o","p","q","r","s","t","u","v","w","x","y","z"},RIGHT(A46,LEN(A46)-FIND("-",A46))&amp;"abcdefghijklmnopqrstuvwxyz"))-1)+1-1</f>
        <v>42</v>
      </c>
      <c r="R46" s="32" t="str">
        <f t="shared" si="16"/>
        <v>Wireless</v>
      </c>
      <c r="S46" s="32" t="str">
        <f t="shared" si="12"/>
        <v>None</v>
      </c>
      <c r="T46" s="32" t="s">
        <v>38</v>
      </c>
      <c r="U46" s="17">
        <f t="shared" si="11"/>
        <v>0.29341435185051523</v>
      </c>
      <c r="V46" s="17">
        <f t="shared" si="4"/>
        <v>0.29341435185051523</v>
      </c>
      <c r="W46" s="56">
        <v>0.2026273148148148</v>
      </c>
      <c r="X46" s="31">
        <v>0</v>
      </c>
      <c r="Y46" s="42"/>
      <c r="Z46" s="31" t="s">
        <v>41</v>
      </c>
      <c r="AA46" s="31" t="s">
        <v>41</v>
      </c>
      <c r="AB46" s="31" t="s">
        <v>263</v>
      </c>
      <c r="AC46" s="31" t="s">
        <v>41</v>
      </c>
      <c r="AD46" s="31" t="s">
        <v>41</v>
      </c>
      <c r="AE46" s="31" t="s">
        <v>41</v>
      </c>
      <c r="AF46" s="31" t="s">
        <v>39</v>
      </c>
      <c r="AG46" s="31" t="s">
        <v>41</v>
      </c>
      <c r="AH46" s="31" t="s">
        <v>41</v>
      </c>
      <c r="AI46" s="31" t="s">
        <v>39</v>
      </c>
      <c r="AJ46" s="31" t="s">
        <v>39</v>
      </c>
      <c r="AK46" s="31" t="s">
        <v>41</v>
      </c>
      <c r="AL46" s="31" t="s">
        <v>39</v>
      </c>
      <c r="AM46" s="33" t="s">
        <v>934</v>
      </c>
      <c r="AN46" s="32" t="s">
        <v>932</v>
      </c>
      <c r="AO46" s="32" t="s">
        <v>911</v>
      </c>
      <c r="AP46" s="30">
        <v>43246.472337962965</v>
      </c>
      <c r="AQ46" s="30">
        <v>43246.492002314815</v>
      </c>
      <c r="AR46" s="30">
        <v>43246.785416666666</v>
      </c>
      <c r="AS46" s="92" t="s">
        <v>651</v>
      </c>
      <c r="AT46" s="155">
        <v>38.593420000000002</v>
      </c>
      <c r="AU46" s="155">
        <v>-27.474920000000001</v>
      </c>
      <c r="AV46" s="153" t="s">
        <v>323</v>
      </c>
      <c r="AW46" s="153" t="s">
        <v>323</v>
      </c>
      <c r="AX46" s="30">
        <v>43247.479988425926</v>
      </c>
      <c r="AY46" s="107">
        <v>38.518799999999999</v>
      </c>
      <c r="AZ46" s="107">
        <v>-27.169119999999999</v>
      </c>
      <c r="BA46" s="32" t="s">
        <v>935</v>
      </c>
      <c r="BB46" s="49"/>
      <c r="BC46" s="7"/>
      <c r="BD46" s="7"/>
      <c r="BE46" s="7"/>
      <c r="BF46" s="7"/>
      <c r="BG46" s="7"/>
    </row>
    <row r="47" spans="1:59">
      <c r="A47" s="55" t="str">
        <f>HYPERLINK("tag_data/Quicklook/bp180526-44Quicklook.jpg","bp180526-44")</f>
        <v>bp180526-44</v>
      </c>
      <c r="B47" s="26" t="str">
        <f t="shared" si="13"/>
        <v>bp</v>
      </c>
      <c r="C47" s="46" t="str">
        <f t="shared" si="14"/>
        <v>Azores</v>
      </c>
      <c r="D47" s="64" t="s">
        <v>883</v>
      </c>
      <c r="E47" s="61" t="s">
        <v>884</v>
      </c>
      <c r="F47" s="85">
        <v>0</v>
      </c>
      <c r="G47" s="59" t="s">
        <v>882</v>
      </c>
      <c r="H47" s="31" t="s">
        <v>39</v>
      </c>
      <c r="I47" s="46" t="str">
        <f>HYPERLINK("tag_data/bp180526-44 (Azores)","Link")</f>
        <v>Link</v>
      </c>
      <c r="J47" s="46" t="str">
        <f>HYPERLINK("tag_data_raw/Azores/2018/bp180526-44","Link")</f>
        <v>Link</v>
      </c>
      <c r="K47" s="46" t="str">
        <f>HYPERLINK("tag_data/bp180526-44 (Azores)/Pics&amp;Vids","Link")</f>
        <v>Link</v>
      </c>
      <c r="L47" s="54" t="str">
        <f>HYPERLINK("location data/Azores/2018/Vids/05.26/Tag 3 (bp26-44).MP4","Link")</f>
        <v>Link</v>
      </c>
      <c r="M47" s="46" t="str">
        <f>HYPERLINK("tag_data/bp180526-44 (Azores)/Pics&amp;Vids/drone","18.15 m")</f>
        <v>18.15 m</v>
      </c>
      <c r="N47" s="54" t="str">
        <f t="shared" si="15"/>
        <v>Link</v>
      </c>
      <c r="O47" s="31" t="s">
        <v>45</v>
      </c>
      <c r="P47" s="31" t="s">
        <v>41</v>
      </c>
      <c r="Q47" s="31">
        <f>LEFT(RIGHT(A47,LEN(A47)-FIND("-",A47)),MIN(SEARCH({"a","b","c","d","e","f","g","h","i","j","k","l","m","n","o","p","q","r","s","t","u","v","w","x","y","z"},RIGHT(A47,LEN(A47)-FIND("-",A47))&amp;"abcdefghijklmnopqrstuvwxyz"))-1)+1-1</f>
        <v>44</v>
      </c>
      <c r="R47" s="32" t="str">
        <f t="shared" si="16"/>
        <v>Wireless</v>
      </c>
      <c r="S47" s="32" t="str">
        <f t="shared" si="12"/>
        <v>None</v>
      </c>
      <c r="T47" s="32" t="s">
        <v>38</v>
      </c>
      <c r="U47" s="17">
        <f t="shared" si="11"/>
        <v>0.31401620370161254</v>
      </c>
      <c r="V47" s="17">
        <f t="shared" si="4"/>
        <v>0.31401620370161254</v>
      </c>
      <c r="W47" s="56">
        <v>0.2439351851851852</v>
      </c>
      <c r="X47" s="46" t="str">
        <f>HYPERLINK("tag_data/bp180526-44 (Azores)/bp180526-44 Map.bmp","14")</f>
        <v>14</v>
      </c>
      <c r="Y47" s="42"/>
      <c r="Z47" s="31" t="s">
        <v>39</v>
      </c>
      <c r="AA47" s="31" t="s">
        <v>41</v>
      </c>
      <c r="AB47" s="31" t="s">
        <v>277</v>
      </c>
      <c r="AC47" s="31" t="s">
        <v>41</v>
      </c>
      <c r="AD47" s="31" t="s">
        <v>41</v>
      </c>
      <c r="AE47" s="31" t="s">
        <v>41</v>
      </c>
      <c r="AF47" s="31" t="s">
        <v>39</v>
      </c>
      <c r="AG47" s="31" t="s">
        <v>41</v>
      </c>
      <c r="AH47" s="31" t="s">
        <v>41</v>
      </c>
      <c r="AI47" s="31" t="s">
        <v>39</v>
      </c>
      <c r="AJ47" s="31" t="s">
        <v>39</v>
      </c>
      <c r="AK47" s="31" t="s">
        <v>41</v>
      </c>
      <c r="AL47" s="31" t="s">
        <v>39</v>
      </c>
      <c r="AM47" s="33" t="s">
        <v>936</v>
      </c>
      <c r="AN47" s="32" t="s">
        <v>937</v>
      </c>
      <c r="AO47" s="32" t="s">
        <v>911</v>
      </c>
      <c r="AP47" s="30">
        <v>43246.492881944447</v>
      </c>
      <c r="AQ47" s="30">
        <v>43246.498564814814</v>
      </c>
      <c r="AR47" s="30">
        <v>43246.812581018516</v>
      </c>
      <c r="AS47" s="92" t="s">
        <v>651</v>
      </c>
      <c r="AT47" s="155">
        <v>38.593217129000003</v>
      </c>
      <c r="AU47" s="155">
        <v>-27.470955038</v>
      </c>
      <c r="AV47" s="153" t="s">
        <v>323</v>
      </c>
      <c r="AW47" s="153" t="s">
        <v>323</v>
      </c>
      <c r="AX47" s="30">
        <v>43247.423321759263</v>
      </c>
      <c r="AY47" s="107">
        <v>38.48874</v>
      </c>
      <c r="AZ47" s="107">
        <v>-27.379010000000001</v>
      </c>
      <c r="BA47" s="32" t="s">
        <v>938</v>
      </c>
      <c r="BB47" s="49" t="s">
        <v>1277</v>
      </c>
      <c r="BC47" s="7"/>
      <c r="BD47" s="7"/>
      <c r="BE47" s="7"/>
      <c r="BF47" s="7"/>
      <c r="BG47" s="7"/>
    </row>
    <row r="48" spans="1:59">
      <c r="A48" s="55" t="str">
        <f>HYPERLINK("tag_data/Quicklook/bp180526-45Quicklook.jpg","bp180526-45")</f>
        <v>bp180526-45</v>
      </c>
      <c r="B48" s="26" t="str">
        <f t="shared" si="13"/>
        <v>bp</v>
      </c>
      <c r="C48" s="46" t="str">
        <f t="shared" si="14"/>
        <v>Azores</v>
      </c>
      <c r="D48" s="64" t="s">
        <v>883</v>
      </c>
      <c r="E48" s="61" t="s">
        <v>884</v>
      </c>
      <c r="F48" s="85">
        <v>0</v>
      </c>
      <c r="G48" s="59" t="s">
        <v>882</v>
      </c>
      <c r="H48" s="31" t="s">
        <v>39</v>
      </c>
      <c r="I48" s="46" t="str">
        <f>HYPERLINK("tag_data/bp180526-45 (Azores)","Link")</f>
        <v>Link</v>
      </c>
      <c r="J48" s="46" t="str">
        <f>HYPERLINK("tag_data_raw/Azores/2018/bp180526-45","Link")</f>
        <v>Link</v>
      </c>
      <c r="K48" s="46" t="str">
        <f>HYPERLINK("tag_data/bp180526-45 (Azores)/Pics&amp;Vids","Link")</f>
        <v>Link</v>
      </c>
      <c r="L48" s="54" t="str">
        <f>HYPERLINK("location data/Azores/2018/Vids/05.26/tag deployment I.MP4","Link")</f>
        <v>Link</v>
      </c>
      <c r="M48" s="46" t="str">
        <f>HYPERLINK("tag_data/bp180526-45 (Azores)/Pics&amp;Vids/drone","19.58 m")</f>
        <v>19.58 m</v>
      </c>
      <c r="N48" s="54" t="str">
        <f t="shared" si="15"/>
        <v>Link</v>
      </c>
      <c r="O48" s="31" t="s">
        <v>45</v>
      </c>
      <c r="P48" s="31" t="s">
        <v>41</v>
      </c>
      <c r="Q48" s="31">
        <f>LEFT(RIGHT(A48,LEN(A48)-FIND("-",A48)),MIN(SEARCH({"a","b","c","d","e","f","g","h","i","j","k","l","m","n","o","p","q","r","s","t","u","v","w","x","y","z"},RIGHT(A48,LEN(A48)-FIND("-",A48))&amp;"abcdefghijklmnopqrstuvwxyz"))-1)+1-1</f>
        <v>45</v>
      </c>
      <c r="R48" s="32" t="str">
        <f t="shared" si="16"/>
        <v>Wireless</v>
      </c>
      <c r="S48" s="32" t="str">
        <f t="shared" ref="S48:S72" si="17">IF(OR(Q48&lt;39,Q48=50,Q48=51,AND(OR(Q48=46,Q48=47),AQ48&gt;43313)),"Cam Mic",IF(AND(Q48&lt;45,AQ48&lt;42958),"Dolphin Ear",IF(AND(Q48&gt;44,NOT(OR(Q48=46,Q48=47,Q48=50,Q48=51))),"HTI","None")))</f>
        <v>HTI</v>
      </c>
      <c r="T48" s="32" t="s">
        <v>38</v>
      </c>
      <c r="U48" s="17">
        <f t="shared" si="11"/>
        <v>0.32288194444117835</v>
      </c>
      <c r="V48" s="17">
        <f t="shared" si="4"/>
        <v>0.32288194444117835</v>
      </c>
      <c r="W48" s="56">
        <v>0.23876157407407406</v>
      </c>
      <c r="X48" s="46" t="str">
        <f>HYPERLINK("tag_data/bp180526-45 (Azores)/bp180526-45 Map.bmp","0")</f>
        <v>0</v>
      </c>
      <c r="Y48" s="42"/>
      <c r="Z48" s="31" t="s">
        <v>41</v>
      </c>
      <c r="AA48" s="31" t="s">
        <v>41</v>
      </c>
      <c r="AB48" s="31" t="s">
        <v>263</v>
      </c>
      <c r="AC48" s="31" t="s">
        <v>41</v>
      </c>
      <c r="AD48" s="31" t="s">
        <v>41</v>
      </c>
      <c r="AE48" s="31" t="s">
        <v>266</v>
      </c>
      <c r="AF48" s="31" t="s">
        <v>39</v>
      </c>
      <c r="AG48" s="31" t="s">
        <v>41</v>
      </c>
      <c r="AH48" s="31" t="s">
        <v>41</v>
      </c>
      <c r="AI48" s="31" t="s">
        <v>39</v>
      </c>
      <c r="AJ48" s="31" t="s">
        <v>39</v>
      </c>
      <c r="AK48" s="31" t="s">
        <v>41</v>
      </c>
      <c r="AL48" s="31" t="s">
        <v>41</v>
      </c>
      <c r="AM48" s="33" t="s">
        <v>936</v>
      </c>
      <c r="AN48" s="32" t="s">
        <v>937</v>
      </c>
      <c r="AO48" s="32" t="s">
        <v>911</v>
      </c>
      <c r="AP48" s="30">
        <v>43246.348865740743</v>
      </c>
      <c r="AQ48" s="30">
        <v>43246.429571759261</v>
      </c>
      <c r="AR48" s="30">
        <v>43246.752453703702</v>
      </c>
      <c r="AS48" s="92" t="s">
        <v>651</v>
      </c>
      <c r="AT48" s="155">
        <v>38.60371</v>
      </c>
      <c r="AU48" s="155">
        <v>-27.34412</v>
      </c>
      <c r="AV48" s="153" t="s">
        <v>323</v>
      </c>
      <c r="AW48" s="153" t="s">
        <v>323</v>
      </c>
      <c r="AX48" s="30">
        <v>43247.376157407409</v>
      </c>
      <c r="AY48" s="107">
        <v>38.61497</v>
      </c>
      <c r="AZ48" s="107">
        <v>-27.642510000000001</v>
      </c>
      <c r="BA48" s="32" t="s">
        <v>939</v>
      </c>
      <c r="BB48" s="49"/>
      <c r="BC48" s="7"/>
      <c r="BD48" s="7"/>
      <c r="BE48" s="44"/>
      <c r="BF48" s="44"/>
      <c r="BG48" s="44"/>
    </row>
    <row r="49" spans="1:59">
      <c r="A49" s="55" t="str">
        <f>HYPERLINK("tag_data/Quicklook/bp180528-47Quicklook.jpg","bp180528-47")</f>
        <v>bp180528-47</v>
      </c>
      <c r="B49" s="26" t="str">
        <f t="shared" si="13"/>
        <v>bp</v>
      </c>
      <c r="C49" s="46" t="str">
        <f t="shared" si="14"/>
        <v>Azores</v>
      </c>
      <c r="D49" s="64" t="s">
        <v>883</v>
      </c>
      <c r="E49" s="61" t="s">
        <v>884</v>
      </c>
      <c r="F49" s="85">
        <v>0</v>
      </c>
      <c r="G49" s="59" t="s">
        <v>882</v>
      </c>
      <c r="H49" s="31" t="s">
        <v>39</v>
      </c>
      <c r="I49" s="46" t="str">
        <f>HYPERLINK("tag_data/bp180528-47 (Azores)","Link")</f>
        <v>Link</v>
      </c>
      <c r="J49" s="46" t="str">
        <f>HYPERLINK("tag_data_raw/Azores/2018/bp180528-47","Link")</f>
        <v>Link</v>
      </c>
      <c r="K49" s="46" t="str">
        <f>HYPERLINK("tag_data/bp180528-47 (Azores)/Pics&amp;Vids","Link")</f>
        <v>Link</v>
      </c>
      <c r="L49" s="54" t="str">
        <f>HYPERLINK("location data/Azores/2018/Vids/05.28/Tag 1 (bp28-47).MP4","Link")</f>
        <v>Link</v>
      </c>
      <c r="M49" s="46" t="str">
        <f>HYPERLINK("tag_data/bp180528-47 (Azores)/Pics&amp;Vids/drone","16.67 m")</f>
        <v>16.67 m</v>
      </c>
      <c r="N49" s="54" t="str">
        <f t="shared" si="15"/>
        <v>Link</v>
      </c>
      <c r="O49" s="31" t="s">
        <v>45</v>
      </c>
      <c r="P49" s="31" t="s">
        <v>41</v>
      </c>
      <c r="Q49" s="31">
        <f>LEFT(RIGHT(A49,LEN(A49)-FIND("-",A49)),MIN(SEARCH({"a","b","c","d","e","f","g","h","i","j","k","l","m","n","o","p","q","r","s","t","u","v","w","x","y","z"},RIGHT(A49,LEN(A49)-FIND("-",A49))&amp;"abcdefghijklmnopqrstuvwxyz"))-1)+1-1</f>
        <v>47</v>
      </c>
      <c r="R49" s="32" t="str">
        <f t="shared" si="16"/>
        <v>Wireless</v>
      </c>
      <c r="S49" s="32" t="str">
        <f t="shared" si="17"/>
        <v>None</v>
      </c>
      <c r="T49" s="32" t="s">
        <v>38</v>
      </c>
      <c r="U49" s="17">
        <f t="shared" si="11"/>
        <v>1.9027777772862464E-2</v>
      </c>
      <c r="V49" s="17">
        <f t="shared" si="4"/>
        <v>1.9027777772862464E-2</v>
      </c>
      <c r="W49" s="56">
        <v>1.7164351851851851E-2</v>
      </c>
      <c r="X49" s="46" t="str">
        <f>HYPERLINK("tag_data/bp180528-47 (Azores)/bp180528-47 Map.bmp","10")</f>
        <v>10</v>
      </c>
      <c r="Y49" s="42"/>
      <c r="Z49" s="31" t="s">
        <v>39</v>
      </c>
      <c r="AA49" s="31" t="s">
        <v>39</v>
      </c>
      <c r="AB49" s="31" t="s">
        <v>277</v>
      </c>
      <c r="AC49" s="31" t="s">
        <v>41</v>
      </c>
      <c r="AD49" s="31" t="s">
        <v>39</v>
      </c>
      <c r="AE49" s="31" t="s">
        <v>41</v>
      </c>
      <c r="AF49" s="31" t="s">
        <v>41</v>
      </c>
      <c r="AG49" s="31" t="s">
        <v>41</v>
      </c>
      <c r="AH49" s="31" t="s">
        <v>39</v>
      </c>
      <c r="AI49" s="31" t="s">
        <v>39</v>
      </c>
      <c r="AJ49" s="31" t="s">
        <v>39</v>
      </c>
      <c r="AK49" s="31" t="s">
        <v>39</v>
      </c>
      <c r="AL49" s="31" t="s">
        <v>41</v>
      </c>
      <c r="AM49" s="31" t="s">
        <v>41</v>
      </c>
      <c r="AN49" s="32" t="s">
        <v>940</v>
      </c>
      <c r="AO49" s="32" t="s">
        <v>911</v>
      </c>
      <c r="AP49" s="30">
        <v>43248.355590277781</v>
      </c>
      <c r="AQ49" s="30">
        <v>43248.374641203707</v>
      </c>
      <c r="AR49" s="30">
        <v>43248.39366898148</v>
      </c>
      <c r="AS49" s="92" t="s">
        <v>651</v>
      </c>
      <c r="AT49" s="155">
        <v>38.513779999999997</v>
      </c>
      <c r="AU49" s="155">
        <v>-27.157620000000001</v>
      </c>
      <c r="AV49" s="153" t="s">
        <v>323</v>
      </c>
      <c r="AW49" s="153" t="s">
        <v>323</v>
      </c>
      <c r="AX49" s="30">
        <v>43248.406875000001</v>
      </c>
      <c r="AY49" s="107">
        <v>38.514879999999998</v>
      </c>
      <c r="AZ49" s="107">
        <v>-27.157620000000001</v>
      </c>
      <c r="BA49" s="32" t="s">
        <v>941</v>
      </c>
      <c r="BB49" s="49"/>
      <c r="BC49" s="7"/>
      <c r="BD49" s="7"/>
      <c r="BE49" s="7"/>
      <c r="BF49" s="7"/>
      <c r="BG49" s="7"/>
    </row>
    <row r="50" spans="1:59">
      <c r="A50" s="55" t="str">
        <f>HYPERLINK("tag_data/Quicklook/bp180602-44Quicklook.jpg","bp180602-44")</f>
        <v>bp180602-44</v>
      </c>
      <c r="B50" s="26" t="s">
        <v>444</v>
      </c>
      <c r="C50" s="46" t="str">
        <f t="shared" si="14"/>
        <v>Azores</v>
      </c>
      <c r="D50" s="64" t="s">
        <v>883</v>
      </c>
      <c r="E50" s="61" t="s">
        <v>884</v>
      </c>
      <c r="F50" s="85">
        <v>0</v>
      </c>
      <c r="G50" s="59" t="s">
        <v>882</v>
      </c>
      <c r="H50" s="31" t="s">
        <v>39</v>
      </c>
      <c r="I50" s="46" t="str">
        <f>HYPERLINK("tag_data/bp180602-44 (Azores)","Link")</f>
        <v>Link</v>
      </c>
      <c r="J50" s="46" t="str">
        <f>HYPERLINK("tag_data_raw/Azores/2018/bp180602-44","Link")</f>
        <v>Link</v>
      </c>
      <c r="K50" s="46" t="str">
        <f>HYPERLINK("tag_data/bp180602-44 (Azores)/Pics&amp;Vids","Link")</f>
        <v>Link</v>
      </c>
      <c r="L50" s="54" t="str">
        <f>HYPERLINK("location data/Azores/2018/Vids/06.02/Tag 1 (bp02-44).MP4","Link")</f>
        <v>Link</v>
      </c>
      <c r="M50" s="46" t="str">
        <f>HYPERLINK("tag_data/bp180602-44 (Azores)/Pics&amp;Vids/drone","15.28 m")</f>
        <v>15.28 m</v>
      </c>
      <c r="N50" s="54" t="str">
        <f t="shared" si="15"/>
        <v>Link</v>
      </c>
      <c r="O50" s="31" t="s">
        <v>45</v>
      </c>
      <c r="P50" s="31" t="s">
        <v>41</v>
      </c>
      <c r="Q50" s="31">
        <f>LEFT(RIGHT(A50,LEN(A50)-FIND("-",A50)),MIN(SEARCH({"a","b","c","d","e","f","g","h","i","j","k","l","m","n","o","p","q","r","s","t","u","v","w","x","y","z"},RIGHT(A50,LEN(A50)-FIND("-",A50))&amp;"abcdefghijklmnopqrstuvwxyz"))-1)+1-1</f>
        <v>44</v>
      </c>
      <c r="R50" s="32" t="str">
        <f t="shared" si="16"/>
        <v>Wireless</v>
      </c>
      <c r="S50" s="32" t="str">
        <f t="shared" si="17"/>
        <v>None</v>
      </c>
      <c r="T50" s="32" t="s">
        <v>38</v>
      </c>
      <c r="U50" s="17">
        <f t="shared" si="11"/>
        <v>6.8020833328773733E-2</v>
      </c>
      <c r="V50" s="17">
        <f t="shared" si="4"/>
        <v>6.8020833328773733E-2</v>
      </c>
      <c r="W50" s="56">
        <v>6.7233796296296292E-2</v>
      </c>
      <c r="X50" s="46" t="str">
        <f>HYPERLINK("tag_data/bp180602-44 (Azores)/bp180602-44 Map.bmp","0")</f>
        <v>0</v>
      </c>
      <c r="Y50" s="42"/>
      <c r="Z50" s="31" t="s">
        <v>39</v>
      </c>
      <c r="AA50" s="31" t="s">
        <v>39</v>
      </c>
      <c r="AB50" s="31" t="s">
        <v>277</v>
      </c>
      <c r="AC50" s="31" t="s">
        <v>41</v>
      </c>
      <c r="AD50" s="31" t="s">
        <v>41</v>
      </c>
      <c r="AE50" s="31" t="s">
        <v>41</v>
      </c>
      <c r="AF50" s="31" t="s">
        <v>41</v>
      </c>
      <c r="AG50" s="31" t="s">
        <v>41</v>
      </c>
      <c r="AH50" s="31" t="s">
        <v>41</v>
      </c>
      <c r="AI50" s="31" t="s">
        <v>39</v>
      </c>
      <c r="AJ50" s="31" t="s">
        <v>39</v>
      </c>
      <c r="AK50" s="31" t="s">
        <v>41</v>
      </c>
      <c r="AL50" s="31" t="s">
        <v>41</v>
      </c>
      <c r="AM50" s="33" t="s">
        <v>936</v>
      </c>
      <c r="AN50" s="32" t="s">
        <v>942</v>
      </c>
      <c r="AO50" s="32" t="s">
        <v>911</v>
      </c>
      <c r="AP50" s="30">
        <v>43253.367245370369</v>
      </c>
      <c r="AQ50" s="30">
        <v>43253.370868055557</v>
      </c>
      <c r="AR50" s="30">
        <v>43253.438888888886</v>
      </c>
      <c r="AS50" s="92" t="s">
        <v>651</v>
      </c>
      <c r="AT50" s="155">
        <v>38.516744226442398</v>
      </c>
      <c r="AU50" s="155">
        <v>-27.090162531405401</v>
      </c>
      <c r="AV50" s="153" t="s">
        <v>323</v>
      </c>
      <c r="AW50" s="106" t="s">
        <v>323</v>
      </c>
      <c r="AX50" s="30">
        <v>43253.446469907409</v>
      </c>
      <c r="AY50" s="107">
        <v>38.468609999999998</v>
      </c>
      <c r="AZ50" s="107">
        <v>-27.13618</v>
      </c>
      <c r="BA50" s="32" t="s">
        <v>943</v>
      </c>
      <c r="BB50" s="49" t="s">
        <v>1278</v>
      </c>
      <c r="BC50" s="7"/>
      <c r="BD50" s="7"/>
      <c r="BE50" s="7"/>
      <c r="BF50" s="7"/>
      <c r="BG50" s="7"/>
    </row>
    <row r="51" spans="1:59">
      <c r="A51" s="55" t="str">
        <f>HYPERLINK("tag_data/Quicklook/bp180828-44Quicklook.jpg","bp180828-44")</f>
        <v>bp180828-44</v>
      </c>
      <c r="B51" s="26" t="str">
        <f t="shared" ref="B51:B76" si="18">LEFT(A51,2)</f>
        <v>bp</v>
      </c>
      <c r="C51" s="46" t="str">
        <f>HYPERLINK("location data/IOS_Scaling/2018","Monterey")</f>
        <v>Monterey</v>
      </c>
      <c r="D51" s="64" t="s">
        <v>849</v>
      </c>
      <c r="E51" s="69" t="s">
        <v>1154</v>
      </c>
      <c r="F51" s="85">
        <v>-7</v>
      </c>
      <c r="G51" s="60" t="s">
        <v>456</v>
      </c>
      <c r="H51" s="31" t="s">
        <v>39</v>
      </c>
      <c r="I51" s="72" t="str">
        <f>HYPERLINK("tag_data/bp180828-44 (IOS_Monterey)","Link")</f>
        <v>Link</v>
      </c>
      <c r="J51" s="46" t="str">
        <f>HYPERLINK("tag_data_raw/IOS_Scaling/2018/bp180828-44","Link")</f>
        <v>Link</v>
      </c>
      <c r="K51" s="72" t="str">
        <f>HYPERLINK("tag_data/bp180828-44 (IOS_Monterey)/Pics&amp;Vids","Link")</f>
        <v>Link</v>
      </c>
      <c r="L51" s="54" t="str">
        <f>HYPERLINK("location data\IOS_Scaling\2018\Pics&amp;Vids\08.28\Musculus Videos\GOPR0484.MP4","Link")</f>
        <v>Link</v>
      </c>
      <c r="M51" s="72" t="str">
        <f>HYPERLINK("tag_data/bp180828-44 (IOS_Monterey)/Pics&amp;Vids/drone","19.33 m")</f>
        <v>19.33 m</v>
      </c>
      <c r="N51" s="54" t="str">
        <f>HYPERLINK("location data\IOS_Scaling\2018\CRC Mobile Data Compiler-2018 CCES WC IOS Jul-Oct.mdb","Link")</f>
        <v>Link</v>
      </c>
      <c r="O51" s="31" t="s">
        <v>45</v>
      </c>
      <c r="P51" s="33" t="s">
        <v>1121</v>
      </c>
      <c r="Q51" s="31">
        <f>LEFT(RIGHT(A51,LEN(A51)-FIND("-",A51)),MIN(SEARCH({"a","b","c","d","e","f","g","h","i","j","k","l","m","n","o","p","q","r","s","t","u","v","w","x","y","z"},RIGHT(A51,LEN(A51)-FIND("-",A51))&amp;"abcdefghijklmnopqrstuvwxyz"))-1)+1-1</f>
        <v>44</v>
      </c>
      <c r="R51" s="32" t="str">
        <f t="shared" si="16"/>
        <v>Wireless</v>
      </c>
      <c r="S51" s="32" t="str">
        <f t="shared" si="17"/>
        <v>None</v>
      </c>
      <c r="T51" s="32" t="s">
        <v>650</v>
      </c>
      <c r="U51" s="17">
        <f t="shared" si="11"/>
        <v>0.17353009259386454</v>
      </c>
      <c r="V51" s="17">
        <f t="shared" si="4"/>
        <v>0.17353009259386454</v>
      </c>
      <c r="W51" s="56">
        <v>0.17309027777777777</v>
      </c>
      <c r="X51" s="54" t="str">
        <f>HYPERLINK("tag_data/bp180828-44 (IOS_Monterey)/bp180828-44 Map.bmp","3")</f>
        <v>3</v>
      </c>
      <c r="Y51" s="42"/>
      <c r="Z51" s="31" t="s">
        <v>39</v>
      </c>
      <c r="AA51" s="31" t="s">
        <v>41</v>
      </c>
      <c r="AB51" s="31" t="s">
        <v>277</v>
      </c>
      <c r="AC51" s="31" t="s">
        <v>39</v>
      </c>
      <c r="AD51" s="31" t="s">
        <v>41</v>
      </c>
      <c r="AE51" s="31" t="s">
        <v>41</v>
      </c>
      <c r="AF51" s="31" t="s">
        <v>41</v>
      </c>
      <c r="AG51" s="31" t="s">
        <v>41</v>
      </c>
      <c r="AH51" s="31" t="s">
        <v>41</v>
      </c>
      <c r="AI51" s="31" t="s">
        <v>39</v>
      </c>
      <c r="AJ51" s="31" t="s">
        <v>39</v>
      </c>
      <c r="AK51" s="31" t="s">
        <v>41</v>
      </c>
      <c r="AL51" s="31" t="s">
        <v>41</v>
      </c>
      <c r="AM51" s="31" t="s">
        <v>41</v>
      </c>
      <c r="AN51" s="32" t="s">
        <v>1238</v>
      </c>
      <c r="AO51" s="32" t="s">
        <v>1122</v>
      </c>
      <c r="AP51" s="30">
        <v>43339.658587962964</v>
      </c>
      <c r="AQ51" s="30">
        <v>43340.416724537034</v>
      </c>
      <c r="AR51" s="30">
        <v>43340.590254629627</v>
      </c>
      <c r="AS51" s="92" t="s">
        <v>651</v>
      </c>
      <c r="AT51" s="155">
        <v>36.413499999999999</v>
      </c>
      <c r="AU51" s="155">
        <v>-121.98216666666667</v>
      </c>
      <c r="AV51" s="153" t="s">
        <v>313</v>
      </c>
      <c r="AW51" s="106" t="s">
        <v>313</v>
      </c>
      <c r="AX51" s="30">
        <v>43341.387499999997</v>
      </c>
      <c r="AY51" s="107">
        <v>36.382666666666665</v>
      </c>
      <c r="AZ51" s="107">
        <v>-122.08916666666667</v>
      </c>
      <c r="BA51" s="32" t="s">
        <v>1237</v>
      </c>
      <c r="BB51" s="49" t="s">
        <v>1358</v>
      </c>
      <c r="BC51" s="7"/>
      <c r="BD51" s="7"/>
      <c r="BE51" s="7"/>
      <c r="BF51" s="7"/>
      <c r="BG51" s="7"/>
    </row>
    <row r="52" spans="1:59" s="21" customFormat="1">
      <c r="A52" s="55" t="str">
        <f>HYPERLINK("tag_data/Quicklook/bp180829-45Quicklook.jpg","bp180829-45")</f>
        <v>bp180829-45</v>
      </c>
      <c r="B52" s="26" t="str">
        <f t="shared" si="18"/>
        <v>bp</v>
      </c>
      <c r="C52" s="42" t="str">
        <f>HYPERLINK("location data/IOS_Scaling/2018","Monterey")</f>
        <v>Monterey</v>
      </c>
      <c r="D52" s="64" t="s">
        <v>849</v>
      </c>
      <c r="E52" s="69" t="s">
        <v>1154</v>
      </c>
      <c r="F52" s="85">
        <v>-7</v>
      </c>
      <c r="G52" s="60" t="s">
        <v>456</v>
      </c>
      <c r="H52" s="31" t="s">
        <v>39</v>
      </c>
      <c r="I52" s="72" t="str">
        <f>HYPERLINK("tag_data/bp180829-45 (IOS_Monterey)","Link")</f>
        <v>Link</v>
      </c>
      <c r="J52" s="46" t="str">
        <f>HYPERLINK("tag_data_raw/IOS_Scaling/2018/bp180829-45","Link")</f>
        <v>Link</v>
      </c>
      <c r="K52" s="72" t="str">
        <f>HYPERLINK("tag_data/bp180829-45 (IOS_Monterey)/Pics&amp;Vids","Link")</f>
        <v>Link</v>
      </c>
      <c r="L52" s="82" t="s">
        <v>263</v>
      </c>
      <c r="M52" s="82" t="s">
        <v>263</v>
      </c>
      <c r="N52" s="54" t="str">
        <f>HYPERLINK("location data\IOS_Scaling\2018\CRC Mobile Data Compiler-2018 CCES WC IOS Jul-Oct.mdb","Link")</f>
        <v>Link</v>
      </c>
      <c r="O52" s="31" t="s">
        <v>45</v>
      </c>
      <c r="P52" s="31" t="s">
        <v>41</v>
      </c>
      <c r="Q52" s="31">
        <f>LEFT(RIGHT(A52,LEN(A52)-FIND("-",A52)),MIN(SEARCH({"a","b","c","d","e","f","g","h","i","j","k","l","m","n","o","p","q","r","s","t","u","v","w","x","y","z"},RIGHT(A52,LEN(A52)-FIND("-",A52))&amp;"abcdefghijklmnopqrstuvwxyz"))-1)+1-1</f>
        <v>45</v>
      </c>
      <c r="R52" s="32" t="str">
        <f t="shared" si="16"/>
        <v>Wireless</v>
      </c>
      <c r="S52" s="32" t="str">
        <f t="shared" si="17"/>
        <v>HTI</v>
      </c>
      <c r="T52" s="32" t="s">
        <v>866</v>
      </c>
      <c r="U52" s="17">
        <f t="shared" si="11"/>
        <v>0.13430555555532919</v>
      </c>
      <c r="V52" s="17">
        <f t="shared" si="4"/>
        <v>0.13430555555532919</v>
      </c>
      <c r="W52" s="56">
        <v>0.10365740740740741</v>
      </c>
      <c r="X52" s="31">
        <v>0</v>
      </c>
      <c r="Y52" s="42"/>
      <c r="Z52" s="31" t="s">
        <v>39</v>
      </c>
      <c r="AA52" s="31" t="s">
        <v>39</v>
      </c>
      <c r="AB52" s="31" t="s">
        <v>277</v>
      </c>
      <c r="AC52" s="31" t="s">
        <v>39</v>
      </c>
      <c r="AD52" s="31" t="s">
        <v>41</v>
      </c>
      <c r="AE52" s="31" t="s">
        <v>266</v>
      </c>
      <c r="AF52" s="31" t="s">
        <v>39</v>
      </c>
      <c r="AG52" s="31" t="s">
        <v>41</v>
      </c>
      <c r="AH52" s="31" t="s">
        <v>41</v>
      </c>
      <c r="AI52" s="31" t="s">
        <v>39</v>
      </c>
      <c r="AJ52" s="31" t="s">
        <v>39</v>
      </c>
      <c r="AK52" s="31" t="s">
        <v>39</v>
      </c>
      <c r="AL52" s="31" t="s">
        <v>41</v>
      </c>
      <c r="AM52" s="31" t="s">
        <v>41</v>
      </c>
      <c r="AN52" s="32" t="s">
        <v>1437</v>
      </c>
      <c r="AO52" s="32" t="s">
        <v>1155</v>
      </c>
      <c r="AP52" s="30">
        <v>43341.363634259258</v>
      </c>
      <c r="AQ52" s="30">
        <v>43341.50476851852</v>
      </c>
      <c r="AR52" s="30">
        <v>43341.639074074075</v>
      </c>
      <c r="AS52" s="92" t="s">
        <v>651</v>
      </c>
      <c r="AT52" s="155">
        <v>36.847166666666666</v>
      </c>
      <c r="AU52" s="155">
        <v>-122.19033333333333</v>
      </c>
      <c r="AV52" s="153" t="s">
        <v>339</v>
      </c>
      <c r="AW52" s="106" t="s">
        <v>313</v>
      </c>
      <c r="AX52" s="30">
        <v>43345.645138888889</v>
      </c>
      <c r="AY52" s="107">
        <v>36.458666666666666</v>
      </c>
      <c r="AZ52" s="107">
        <v>-122.30216666666666</v>
      </c>
      <c r="BA52" s="32" t="s">
        <v>1436</v>
      </c>
      <c r="BB52" s="32"/>
      <c r="BC52" s="7"/>
      <c r="BD52" s="7"/>
      <c r="BE52" s="32"/>
      <c r="BF52" s="32"/>
      <c r="BG52" s="32"/>
    </row>
    <row r="53" spans="1:59" s="21" customFormat="1">
      <c r="A53" s="55" t="str">
        <f>HYPERLINK("tag_data/Quicklook/bp180830-53Quicklook.jpg","bp180830-53")</f>
        <v>bp180830-53</v>
      </c>
      <c r="B53" s="26" t="str">
        <f t="shared" si="18"/>
        <v>bp</v>
      </c>
      <c r="C53" s="42" t="str">
        <f>HYPERLINK("location data/IOS_Scaling/2018","Monterey")</f>
        <v>Monterey</v>
      </c>
      <c r="D53" s="64" t="s">
        <v>849</v>
      </c>
      <c r="E53" s="69" t="s">
        <v>1154</v>
      </c>
      <c r="F53" s="85">
        <v>-7</v>
      </c>
      <c r="G53" s="60" t="s">
        <v>456</v>
      </c>
      <c r="H53" s="31" t="s">
        <v>39</v>
      </c>
      <c r="I53" s="72" t="str">
        <f>HYPERLINK("tag_data/bp180830-53 (IOS_Monterey)","Link")</f>
        <v>Link</v>
      </c>
      <c r="J53" s="46" t="str">
        <f>HYPERLINK("tag_data_raw/IOS_Scaling/2018/bp180830-53","Link")</f>
        <v>Link</v>
      </c>
      <c r="K53" s="72" t="str">
        <f>HYPERLINK("tag_data/bp180830-53 (IOS_Monterey)/Pics&amp;Vids","Link")</f>
        <v>Link</v>
      </c>
      <c r="L53" s="54" t="str">
        <f>HYPERLINK("location data/IOS_Scaling/2018/Pics&amp;Vids/08.30/Musculus Videos/GP010515 (53 depl 2).MP4","Link")</f>
        <v>Link</v>
      </c>
      <c r="M53" s="72" t="str">
        <f>HYPERLINK("tag_data/bp180830-53 (IOS_Monterey)/Pics&amp;Vids/drone","15.81 m")</f>
        <v>15.81 m</v>
      </c>
      <c r="N53" s="54" t="str">
        <f>HYPERLINK("location data\IOS_Scaling\2018\CRC Mobile Data Compiler-2018 CCES WC IOS Jul-Oct.mdb","Link")</f>
        <v>Link</v>
      </c>
      <c r="O53" s="31" t="s">
        <v>45</v>
      </c>
      <c r="P53" s="33" t="s">
        <v>1123</v>
      </c>
      <c r="Q53" s="31">
        <f>LEFT(RIGHT(A53,LEN(A53)-FIND("-",A53)),MIN(SEARCH({"a","b","c","d","e","f","g","h","i","j","k","l","m","n","o","p","q","r","s","t","u","v","w","x","y","z"},RIGHT(A53,LEN(A53)-FIND("-",A53))&amp;"abcdefghijklmnopqrstuvwxyz"))-1)+1-1</f>
        <v>53</v>
      </c>
      <c r="R53" s="32" t="s">
        <v>347</v>
      </c>
      <c r="S53" s="32" t="str">
        <f t="shared" si="17"/>
        <v>HTI</v>
      </c>
      <c r="T53" s="32" t="s">
        <v>795</v>
      </c>
      <c r="U53" s="17">
        <v>1.0407870370370371E-2</v>
      </c>
      <c r="V53" s="17">
        <v>1.0407870370370371E-2</v>
      </c>
      <c r="W53" s="56">
        <v>5.7754629629629623E-3</v>
      </c>
      <c r="X53" s="31">
        <v>0</v>
      </c>
      <c r="Y53" s="42"/>
      <c r="Z53" s="31" t="s">
        <v>39</v>
      </c>
      <c r="AA53" s="31" t="s">
        <v>41</v>
      </c>
      <c r="AB53" s="31" t="s">
        <v>277</v>
      </c>
      <c r="AC53" s="31" t="s">
        <v>41</v>
      </c>
      <c r="AD53" s="31" t="s">
        <v>41</v>
      </c>
      <c r="AE53" s="31" t="s">
        <v>41</v>
      </c>
      <c r="AF53" s="31" t="s">
        <v>41</v>
      </c>
      <c r="AG53" s="31" t="s">
        <v>41</v>
      </c>
      <c r="AH53" s="31" t="s">
        <v>41</v>
      </c>
      <c r="AI53" s="31" t="s">
        <v>41</v>
      </c>
      <c r="AJ53" s="31" t="s">
        <v>39</v>
      </c>
      <c r="AK53" s="31" t="s">
        <v>41</v>
      </c>
      <c r="AL53" s="31" t="s">
        <v>39</v>
      </c>
      <c r="AM53" s="31" t="s">
        <v>41</v>
      </c>
      <c r="AN53" s="32" t="s">
        <v>1215</v>
      </c>
      <c r="AO53" s="32" t="s">
        <v>1217</v>
      </c>
      <c r="AP53" s="30">
        <v>43342.391226851854</v>
      </c>
      <c r="AQ53" s="30">
        <v>43342.397303240738</v>
      </c>
      <c r="AR53" s="30">
        <v>43342.427928240744</v>
      </c>
      <c r="AS53" s="92" t="s">
        <v>651</v>
      </c>
      <c r="AT53" s="155">
        <f>36+29.19/60</f>
        <v>36.486499999999999</v>
      </c>
      <c r="AU53" s="155">
        <f>-122-0.28/60</f>
        <v>-122.00466666666667</v>
      </c>
      <c r="AV53" s="153" t="s">
        <v>313</v>
      </c>
      <c r="AW53" s="106" t="s">
        <v>313</v>
      </c>
      <c r="AX53" s="30">
        <v>43342.434224537035</v>
      </c>
      <c r="AY53" s="107">
        <v>36.485166666666665</v>
      </c>
      <c r="AZ53" s="107">
        <v>-122.00366666666666</v>
      </c>
      <c r="BA53" s="32" t="s">
        <v>1216</v>
      </c>
      <c r="BB53" s="49" t="s">
        <v>1359</v>
      </c>
      <c r="BC53" s="7"/>
      <c r="BD53" s="7"/>
      <c r="BE53" s="32"/>
      <c r="BF53" s="32"/>
      <c r="BG53" s="32"/>
    </row>
    <row r="54" spans="1:59">
      <c r="A54" s="7" t="s">
        <v>256</v>
      </c>
      <c r="B54" s="26" t="str">
        <f t="shared" si="18"/>
        <v>bw</v>
      </c>
      <c r="C54" s="42" t="str">
        <f>HYPERLINK("location data/Monterey/2014_1/","Cordell Bank")</f>
        <v>Cordell Bank</v>
      </c>
      <c r="D54" s="64" t="s">
        <v>465</v>
      </c>
      <c r="E54" s="61" t="s">
        <v>466</v>
      </c>
      <c r="F54" s="85">
        <v>-7</v>
      </c>
      <c r="G54" s="60" t="s">
        <v>457</v>
      </c>
      <c r="H54" s="31" t="s">
        <v>41</v>
      </c>
      <c r="I54" s="46" t="str">
        <f>HYPERLINK("tag_data/bw140722-2a-d (Cordell Bank)","Link")</f>
        <v>Link</v>
      </c>
      <c r="J54" s="42" t="str">
        <f>HYPERLINK("tag_data_raw/Monterey/2014_1/bw140722-2","Link")</f>
        <v>Link</v>
      </c>
      <c r="K54" s="54" t="str">
        <f>HYPERLINK("location data/Monterey/2014_1/pics &amp; videos/7.22","Link")</f>
        <v>Link</v>
      </c>
      <c r="L54" s="54" t="str">
        <f>HYPERLINK("location data/Monterey/2014_1/pics &amp; videos/7.22/22.07.14 deployment attempt 1.mp4","Link")</f>
        <v>Link</v>
      </c>
      <c r="M54" s="41" t="s">
        <v>263</v>
      </c>
      <c r="N54" s="46" t="str">
        <f>HYPERLINK("location data/Monterey/2014_1/20140722-ZIP.mdb","Link")</f>
        <v>Link</v>
      </c>
      <c r="O54" s="31" t="s">
        <v>405</v>
      </c>
      <c r="P54" s="31" t="s">
        <v>41</v>
      </c>
      <c r="Q54" s="31">
        <v>2</v>
      </c>
      <c r="R54" s="32" t="s">
        <v>34</v>
      </c>
      <c r="S54" s="32" t="str">
        <f t="shared" si="17"/>
        <v>Cam Mic</v>
      </c>
      <c r="T54" s="32" t="s">
        <v>401</v>
      </c>
      <c r="U54" s="17">
        <f>AR54-AQ54</f>
        <v>1.2152777781011537E-3</v>
      </c>
      <c r="V54" s="17">
        <f>MIN(AR54,AS54)-MAX(AP54,AQ54)</f>
        <v>1.2152777781011537E-3</v>
      </c>
      <c r="W54" s="56">
        <v>3.3564814814814812E-4</v>
      </c>
      <c r="X54" s="31" t="s">
        <v>263</v>
      </c>
      <c r="Y54" s="54" t="str">
        <f>HYPERLINK("tag_data/bw140722-2a-d (Cordell Bank)/Video Audits.docx","Link")</f>
        <v>Link</v>
      </c>
      <c r="Z54" s="31" t="s">
        <v>41</v>
      </c>
      <c r="AA54" s="31" t="s">
        <v>41</v>
      </c>
      <c r="AB54" s="31" t="s">
        <v>277</v>
      </c>
      <c r="AC54" s="31" t="s">
        <v>41</v>
      </c>
      <c r="AD54" s="31" t="s">
        <v>41</v>
      </c>
      <c r="AE54" s="31" t="s">
        <v>41</v>
      </c>
      <c r="AF54" s="31" t="s">
        <v>41</v>
      </c>
      <c r="AG54" s="31" t="s">
        <v>41</v>
      </c>
      <c r="AH54" s="31" t="s">
        <v>41</v>
      </c>
      <c r="AI54" s="31" t="s">
        <v>39</v>
      </c>
      <c r="AJ54" s="31" t="s">
        <v>39</v>
      </c>
      <c r="AK54" s="31" t="s">
        <v>41</v>
      </c>
      <c r="AL54" s="31" t="s">
        <v>41</v>
      </c>
      <c r="AM54" s="31" t="s">
        <v>394</v>
      </c>
      <c r="AN54" s="32" t="s">
        <v>393</v>
      </c>
      <c r="AO54" s="32" t="s">
        <v>392</v>
      </c>
      <c r="AP54" s="30">
        <v>41842.473923611113</v>
      </c>
      <c r="AQ54" s="30">
        <v>41842.498611111114</v>
      </c>
      <c r="AR54" s="30">
        <v>41842.499826388892</v>
      </c>
      <c r="AS54" s="92" t="s">
        <v>651</v>
      </c>
      <c r="AT54" s="107">
        <v>38.119</v>
      </c>
      <c r="AU54" s="107">
        <v>-123.3742</v>
      </c>
      <c r="AV54" s="142" t="s">
        <v>339</v>
      </c>
      <c r="AW54" s="106" t="s">
        <v>339</v>
      </c>
      <c r="AX54" s="30">
        <v>41842.506099537037</v>
      </c>
      <c r="AY54" s="107">
        <v>38.120399999999997</v>
      </c>
      <c r="AZ54" s="107">
        <v>-123.374</v>
      </c>
      <c r="BA54" s="32" t="s">
        <v>396</v>
      </c>
      <c r="BB54" s="32"/>
      <c r="BC54" s="7"/>
      <c r="BD54" s="7"/>
      <c r="BE54" s="7"/>
      <c r="BF54" s="7"/>
      <c r="BG54" s="7"/>
    </row>
    <row r="55" spans="1:59">
      <c r="A55" s="7" t="s">
        <v>257</v>
      </c>
      <c r="B55" s="26" t="str">
        <f t="shared" si="18"/>
        <v>bw</v>
      </c>
      <c r="C55" s="42" t="str">
        <f>HYPERLINK("location data/Monterey/2014_1/","Cordell Bank")</f>
        <v>Cordell Bank</v>
      </c>
      <c r="D55" s="64" t="s">
        <v>465</v>
      </c>
      <c r="E55" s="61" t="s">
        <v>466</v>
      </c>
      <c r="F55" s="85">
        <v>-7</v>
      </c>
      <c r="G55" s="60" t="s">
        <v>457</v>
      </c>
      <c r="H55" s="31" t="s">
        <v>41</v>
      </c>
      <c r="I55" s="46" t="str">
        <f>HYPERLINK("tag_data/bw140722-2a-d (Cordell Bank)","Link")</f>
        <v>Link</v>
      </c>
      <c r="J55" s="42" t="str">
        <f>HYPERLINK("tag_data_raw/Monterey/2014_1/bw140722-2","Link")</f>
        <v>Link</v>
      </c>
      <c r="K55" s="54" t="str">
        <f>HYPERLINK("location data/Monterey/2014_1/pics &amp; videos/7.22","Link")</f>
        <v>Link</v>
      </c>
      <c r="L55" s="54" t="str">
        <f>HYPERLINK("location data/Monterey/2014_1/pics &amp; videos/7.22/22.07.14 deployment attempt 2_FILE0181.MP4","Link")</f>
        <v>Link</v>
      </c>
      <c r="M55" s="41" t="s">
        <v>263</v>
      </c>
      <c r="N55" s="46" t="str">
        <f>HYPERLINK("location data/Monterey/2014_1/20140722-ZIP.mdb","Link")</f>
        <v>Link</v>
      </c>
      <c r="O55" s="31" t="s">
        <v>45</v>
      </c>
      <c r="P55" s="31" t="s">
        <v>41</v>
      </c>
      <c r="Q55" s="31">
        <v>2</v>
      </c>
      <c r="R55" s="32" t="s">
        <v>34</v>
      </c>
      <c r="S55" s="32" t="str">
        <f t="shared" si="17"/>
        <v>Cam Mic</v>
      </c>
      <c r="T55" s="32" t="s">
        <v>401</v>
      </c>
      <c r="U55" s="17">
        <f>AR55-AQ55</f>
        <v>4.6296296204673126E-4</v>
      </c>
      <c r="V55" s="17">
        <f>MIN(AR55,AS55)-MAX(AP55,AQ55)</f>
        <v>4.6296296204673126E-4</v>
      </c>
      <c r="W55" s="56">
        <v>4.6296296296296294E-5</v>
      </c>
      <c r="X55" s="31" t="s">
        <v>263</v>
      </c>
      <c r="Y55" s="54" t="str">
        <f>HYPERLINK("tag_data/bw140722-2a-d (Cordell Bank)/Video Audits.docx","Link")</f>
        <v>Link</v>
      </c>
      <c r="Z55" s="31" t="s">
        <v>41</v>
      </c>
      <c r="AA55" s="31" t="s">
        <v>41</v>
      </c>
      <c r="AB55" s="31" t="s">
        <v>277</v>
      </c>
      <c r="AC55" s="31" t="s">
        <v>41</v>
      </c>
      <c r="AD55" s="31" t="s">
        <v>41</v>
      </c>
      <c r="AE55" s="31" t="s">
        <v>41</v>
      </c>
      <c r="AF55" s="31" t="s">
        <v>41</v>
      </c>
      <c r="AG55" s="31" t="s">
        <v>41</v>
      </c>
      <c r="AH55" s="31" t="s">
        <v>41</v>
      </c>
      <c r="AI55" s="31" t="s">
        <v>41</v>
      </c>
      <c r="AJ55" s="31" t="s">
        <v>41</v>
      </c>
      <c r="AK55" s="31" t="s">
        <v>39</v>
      </c>
      <c r="AL55" s="31" t="s">
        <v>41</v>
      </c>
      <c r="AM55" s="31" t="s">
        <v>41</v>
      </c>
      <c r="AN55" s="32" t="s">
        <v>399</v>
      </c>
      <c r="AO55" s="32" t="s">
        <v>392</v>
      </c>
      <c r="AP55" s="30">
        <v>41842.473923611113</v>
      </c>
      <c r="AQ55" s="30">
        <v>41842.511307870373</v>
      </c>
      <c r="AR55" s="30">
        <v>41842.511770833335</v>
      </c>
      <c r="AS55" s="92" t="s">
        <v>651</v>
      </c>
      <c r="AT55" s="107">
        <v>38.124200000000002</v>
      </c>
      <c r="AU55" s="107">
        <v>-123.3772</v>
      </c>
      <c r="AV55" s="142" t="s">
        <v>339</v>
      </c>
      <c r="AW55" s="106" t="s">
        <v>339</v>
      </c>
      <c r="AX55" s="30">
        <v>41842.512499999997</v>
      </c>
      <c r="AY55" s="107">
        <v>38.124200000000002</v>
      </c>
      <c r="AZ55" s="107">
        <v>-123.3772</v>
      </c>
      <c r="BA55" s="32" t="s">
        <v>395</v>
      </c>
      <c r="BB55" s="32"/>
      <c r="BC55" s="7"/>
      <c r="BD55" s="7"/>
      <c r="BE55" s="7"/>
      <c r="BF55" s="7"/>
      <c r="BG55" s="7"/>
    </row>
    <row r="56" spans="1:59">
      <c r="A56" s="7" t="s">
        <v>258</v>
      </c>
      <c r="B56" s="26" t="str">
        <f t="shared" si="18"/>
        <v>bw</v>
      </c>
      <c r="C56" s="42" t="str">
        <f>HYPERLINK("location data/Monterey/2014_1/","Cordell Bank")</f>
        <v>Cordell Bank</v>
      </c>
      <c r="D56" s="64" t="s">
        <v>465</v>
      </c>
      <c r="E56" s="61" t="s">
        <v>466</v>
      </c>
      <c r="F56" s="85">
        <v>-7</v>
      </c>
      <c r="G56" s="60" t="s">
        <v>457</v>
      </c>
      <c r="H56" s="31" t="s">
        <v>41</v>
      </c>
      <c r="I56" s="46" t="str">
        <f>HYPERLINK("tag_data/bw140722-2a-d (Cordell Bank)","Link")</f>
        <v>Link</v>
      </c>
      <c r="J56" s="42" t="str">
        <f>HYPERLINK("tag_data_raw/Monterey/2014_1/bw140722-2","Link")</f>
        <v>Link</v>
      </c>
      <c r="K56" s="54" t="str">
        <f>HYPERLINK("location data/Monterey/2014_1/pics &amp; videos/7.22","Link")</f>
        <v>Link</v>
      </c>
      <c r="L56" s="54" t="str">
        <f>HYPERLINK("location data/Monterey/2014_1/pics &amp; videos/7.22/22.07.14 deployment attempt 3_FILE0182.MP4","Link")</f>
        <v>Link</v>
      </c>
      <c r="M56" s="41" t="s">
        <v>263</v>
      </c>
      <c r="N56" s="46" t="str">
        <f>HYPERLINK("location data/Monterey/2014_1/20140722-ZIP.mdb","Link")</f>
        <v>Link</v>
      </c>
      <c r="O56" s="31" t="s">
        <v>404</v>
      </c>
      <c r="P56" s="31" t="s">
        <v>41</v>
      </c>
      <c r="Q56" s="31">
        <v>2</v>
      </c>
      <c r="R56" s="32" t="s">
        <v>34</v>
      </c>
      <c r="S56" s="32" t="str">
        <f t="shared" si="17"/>
        <v>Cam Mic</v>
      </c>
      <c r="T56" s="32" t="s">
        <v>401</v>
      </c>
      <c r="U56" s="17">
        <f>AR56-AQ56</f>
        <v>3.7037036963738501E-4</v>
      </c>
      <c r="V56" s="17">
        <f>MIN(AR56,AS56)-MAX(AP56,AQ56)</f>
        <v>3.7037036963738501E-4</v>
      </c>
      <c r="W56" s="56">
        <v>2.3148148148148146E-4</v>
      </c>
      <c r="X56" s="31" t="s">
        <v>263</v>
      </c>
      <c r="Y56" s="54" t="str">
        <f>HYPERLINK("tag_data/bw140722-2a-d (Cordell Bank)/Video Audits.docx","Link")</f>
        <v>Link</v>
      </c>
      <c r="Z56" s="31" t="s">
        <v>41</v>
      </c>
      <c r="AA56" s="31" t="s">
        <v>41</v>
      </c>
      <c r="AB56" s="31" t="s">
        <v>277</v>
      </c>
      <c r="AC56" s="31" t="s">
        <v>41</v>
      </c>
      <c r="AD56" s="31" t="s">
        <v>41</v>
      </c>
      <c r="AE56" s="31" t="s">
        <v>41</v>
      </c>
      <c r="AF56" s="31" t="s">
        <v>41</v>
      </c>
      <c r="AG56" s="31" t="s">
        <v>41</v>
      </c>
      <c r="AH56" s="31" t="s">
        <v>41</v>
      </c>
      <c r="AI56" s="31" t="s">
        <v>39</v>
      </c>
      <c r="AJ56" s="31" t="s">
        <v>39</v>
      </c>
      <c r="AK56" s="31" t="s">
        <v>39</v>
      </c>
      <c r="AL56" s="31" t="s">
        <v>41</v>
      </c>
      <c r="AM56" s="31" t="s">
        <v>394</v>
      </c>
      <c r="AN56" s="33" t="s">
        <v>398</v>
      </c>
      <c r="AO56" s="32" t="s">
        <v>392</v>
      </c>
      <c r="AP56" s="30">
        <v>41842.473923611113</v>
      </c>
      <c r="AQ56" s="30">
        <v>41842.525972222225</v>
      </c>
      <c r="AR56" s="30">
        <v>41842.526342592595</v>
      </c>
      <c r="AS56" s="92" t="s">
        <v>651</v>
      </c>
      <c r="AT56" s="107">
        <v>38.122500000000002</v>
      </c>
      <c r="AU56" s="107">
        <v>-123.3819</v>
      </c>
      <c r="AV56" s="142" t="s">
        <v>339</v>
      </c>
      <c r="AW56" s="106" t="s">
        <v>339</v>
      </c>
      <c r="AX56" s="30">
        <v>41842.530011574076</v>
      </c>
      <c r="AY56" s="106">
        <v>38.122399999999999</v>
      </c>
      <c r="AZ56" s="106">
        <v>-123.3817</v>
      </c>
      <c r="BA56" s="32" t="s">
        <v>397</v>
      </c>
      <c r="BB56" s="32"/>
      <c r="BC56" s="7"/>
      <c r="BD56" s="7"/>
      <c r="BE56" s="7"/>
      <c r="BF56" s="7"/>
      <c r="BG56" s="7"/>
    </row>
    <row r="57" spans="1:59">
      <c r="A57" s="7" t="s">
        <v>259</v>
      </c>
      <c r="B57" s="26" t="str">
        <f t="shared" si="18"/>
        <v>bw</v>
      </c>
      <c r="C57" s="42" t="str">
        <f>HYPERLINK("location data/Monterey/2014_1/","Cordell Bank")</f>
        <v>Cordell Bank</v>
      </c>
      <c r="D57" s="64" t="s">
        <v>465</v>
      </c>
      <c r="E57" s="61" t="s">
        <v>466</v>
      </c>
      <c r="F57" s="85">
        <v>-7</v>
      </c>
      <c r="G57" s="60" t="s">
        <v>457</v>
      </c>
      <c r="H57" s="31" t="s">
        <v>41</v>
      </c>
      <c r="I57" s="46" t="str">
        <f>HYPERLINK("tag_data/bw140722-2a-d (Cordell Bank)","Link")</f>
        <v>Link</v>
      </c>
      <c r="J57" s="42" t="str">
        <f>HYPERLINK("tag_data_raw/Monterey/2014_1/bw140722-2","Link")</f>
        <v>Link</v>
      </c>
      <c r="K57" s="54" t="str">
        <f>HYPERLINK("location data/Monterey/2014_1/pics &amp; videos/7.22","Link")</f>
        <v>Link</v>
      </c>
      <c r="L57" s="82" t="s">
        <v>263</v>
      </c>
      <c r="M57" s="82" t="s">
        <v>263</v>
      </c>
      <c r="N57" s="46" t="str">
        <f>HYPERLINK("location data/Monterey/2014_1/20140722-ZIP.mdb","Link")</f>
        <v>Link</v>
      </c>
      <c r="O57" s="31" t="s">
        <v>45</v>
      </c>
      <c r="P57" s="31" t="s">
        <v>41</v>
      </c>
      <c r="Q57" s="31">
        <v>2</v>
      </c>
      <c r="R57" s="32" t="s">
        <v>34</v>
      </c>
      <c r="S57" s="32" t="str">
        <f t="shared" si="17"/>
        <v>Cam Mic</v>
      </c>
      <c r="T57" s="32" t="s">
        <v>401</v>
      </c>
      <c r="U57" s="17">
        <f>AR57-AQ57</f>
        <v>3.2407407707069069E-4</v>
      </c>
      <c r="V57" s="17">
        <f>MIN(AR57,AS57)-MAX(AP57,AQ57)</f>
        <v>3.2407407707069069E-4</v>
      </c>
      <c r="W57" s="56">
        <v>3.4722222222222222E-5</v>
      </c>
      <c r="X57" s="31" t="s">
        <v>263</v>
      </c>
      <c r="Y57" s="54" t="str">
        <f>HYPERLINK("tag_data/bw140722-2a-d (Cordell Bank)/Video Audits.docx","Link")</f>
        <v>Link</v>
      </c>
      <c r="Z57" s="31" t="s">
        <v>41</v>
      </c>
      <c r="AA57" s="31" t="s">
        <v>41</v>
      </c>
      <c r="AB57" s="31" t="s">
        <v>277</v>
      </c>
      <c r="AC57" s="31" t="s">
        <v>41</v>
      </c>
      <c r="AD57" s="31" t="s">
        <v>41</v>
      </c>
      <c r="AE57" s="31" t="s">
        <v>41</v>
      </c>
      <c r="AF57" s="31" t="s">
        <v>41</v>
      </c>
      <c r="AG57" s="31" t="s">
        <v>41</v>
      </c>
      <c r="AH57" s="31" t="s">
        <v>41</v>
      </c>
      <c r="AI57" s="31" t="s">
        <v>41</v>
      </c>
      <c r="AJ57" s="31" t="s">
        <v>41</v>
      </c>
      <c r="AK57" s="31" t="s">
        <v>39</v>
      </c>
      <c r="AL57" s="31" t="s">
        <v>41</v>
      </c>
      <c r="AM57" s="31" t="s">
        <v>41</v>
      </c>
      <c r="AN57" s="32" t="s">
        <v>399</v>
      </c>
      <c r="AO57" s="32" t="s">
        <v>392</v>
      </c>
      <c r="AP57" s="30">
        <v>41842.473923611113</v>
      </c>
      <c r="AQ57" s="30">
        <v>41842.532175925924</v>
      </c>
      <c r="AR57" s="30">
        <v>41842.532500000001</v>
      </c>
      <c r="AS57" s="92" t="s">
        <v>651</v>
      </c>
      <c r="AT57" s="107">
        <v>38.121099999999998</v>
      </c>
      <c r="AU57" s="107">
        <v>-123.37730000000001</v>
      </c>
      <c r="AV57" s="142" t="s">
        <v>339</v>
      </c>
      <c r="AW57" s="106" t="s">
        <v>339</v>
      </c>
      <c r="AX57" s="30">
        <v>41842.534722222219</v>
      </c>
      <c r="AY57" s="107">
        <v>38.121099999999998</v>
      </c>
      <c r="AZ57" s="107">
        <v>-123.37730000000001</v>
      </c>
      <c r="BA57" s="32" t="s">
        <v>400</v>
      </c>
      <c r="BB57" s="32"/>
      <c r="BC57" s="7"/>
      <c r="BD57" s="7"/>
      <c r="BE57" s="7"/>
      <c r="BF57" s="7"/>
      <c r="BG57" s="7"/>
    </row>
    <row r="58" spans="1:59">
      <c r="A58" s="55" t="str">
        <f>HYPERLINK("tag_data/Quicklook/bw140722-2eQuicklook.jpg","bw140722-2e")</f>
        <v>bw140722-2e</v>
      </c>
      <c r="B58" s="26" t="str">
        <f t="shared" si="18"/>
        <v>bw</v>
      </c>
      <c r="C58" s="42" t="str">
        <f>HYPERLINK("location data/Monterey/2014_1/","Cordell Bank")</f>
        <v>Cordell Bank</v>
      </c>
      <c r="D58" s="64" t="s">
        <v>465</v>
      </c>
      <c r="E58" s="61" t="s">
        <v>466</v>
      </c>
      <c r="F58" s="85">
        <v>-7</v>
      </c>
      <c r="G58" s="60" t="s">
        <v>457</v>
      </c>
      <c r="H58" s="31" t="s">
        <v>39</v>
      </c>
      <c r="I58" s="46" t="str">
        <f>HYPERLINK("tag_data/bw140722-2e (Cordell Bank)","Link")</f>
        <v>Link</v>
      </c>
      <c r="J58" s="42" t="str">
        <f>HYPERLINK("tag_data_raw/Monterey/2014_1/bw140722-2","Link")</f>
        <v>Link</v>
      </c>
      <c r="K58" s="54" t="str">
        <f>HYPERLINK("tag_data/bw140722-2e (Cordell Bank)/Pics&amp;Vids","Link")</f>
        <v>Link</v>
      </c>
      <c r="L58" s="54" t="str">
        <f>HYPERLINK("location data/Monterey/2014_1/pics &amp; videos/7.22/22.07.14 deployment success.mp4","Link")</f>
        <v>Link</v>
      </c>
      <c r="M58" s="41" t="s">
        <v>263</v>
      </c>
      <c r="N58" s="46" t="str">
        <f>HYPERLINK("location data/Monterey/2014_1/20140722-ZIP.mdb","Link")</f>
        <v>Link</v>
      </c>
      <c r="O58" s="31" t="s">
        <v>45</v>
      </c>
      <c r="P58" s="31" t="s">
        <v>41</v>
      </c>
      <c r="Q58" s="31">
        <v>2</v>
      </c>
      <c r="R58" s="32" t="s">
        <v>34</v>
      </c>
      <c r="S58" s="32" t="str">
        <f t="shared" si="17"/>
        <v>Cam Mic</v>
      </c>
      <c r="T58" s="32" t="s">
        <v>402</v>
      </c>
      <c r="U58" s="17">
        <f>AR58-AQ58</f>
        <v>3.4571759264508728E-2</v>
      </c>
      <c r="V58" s="17">
        <f>MIN(AR58,AS58)-MAX(AP58,AQ58)</f>
        <v>3.4571759264508728E-2</v>
      </c>
      <c r="W58" s="56">
        <v>1.9467592592592595E-2</v>
      </c>
      <c r="X58" s="31" t="s">
        <v>263</v>
      </c>
      <c r="Y58" s="54" t="str">
        <f>HYPERLINK("tag_data/bw140722-2e (Cordell Bank)/Video Audits.docx","Link")</f>
        <v>Link</v>
      </c>
      <c r="Z58" s="31" t="s">
        <v>39</v>
      </c>
      <c r="AA58" s="31" t="s">
        <v>39</v>
      </c>
      <c r="AB58" s="31" t="s">
        <v>277</v>
      </c>
      <c r="AC58" s="31" t="s">
        <v>41</v>
      </c>
      <c r="AD58" s="31" t="s">
        <v>39</v>
      </c>
      <c r="AE58" s="31" t="s">
        <v>41</v>
      </c>
      <c r="AF58" s="31" t="s">
        <v>41</v>
      </c>
      <c r="AG58" s="31" t="s">
        <v>41</v>
      </c>
      <c r="AH58" s="31" t="s">
        <v>39</v>
      </c>
      <c r="AI58" s="31" t="s">
        <v>39</v>
      </c>
      <c r="AJ58" s="31" t="s">
        <v>39</v>
      </c>
      <c r="AK58" s="31" t="s">
        <v>41</v>
      </c>
      <c r="AL58" s="31" t="s">
        <v>41</v>
      </c>
      <c r="AM58" s="31" t="s">
        <v>407</v>
      </c>
      <c r="AN58" s="32" t="s">
        <v>408</v>
      </c>
      <c r="AO58" s="32" t="s">
        <v>392</v>
      </c>
      <c r="AP58" s="30">
        <v>41842.473923611113</v>
      </c>
      <c r="AQ58" s="30">
        <v>41842.62290509259</v>
      </c>
      <c r="AR58" s="30">
        <v>41842.657476851855</v>
      </c>
      <c r="AS58" s="92" t="s">
        <v>651</v>
      </c>
      <c r="AT58" s="107">
        <v>38.064799999999998</v>
      </c>
      <c r="AU58" s="107">
        <v>-123.3614</v>
      </c>
      <c r="AV58" s="142" t="s">
        <v>339</v>
      </c>
      <c r="AW58" s="106" t="s">
        <v>339</v>
      </c>
      <c r="AX58" s="30">
        <v>41842.670173611114</v>
      </c>
      <c r="AY58" s="107">
        <v>38.064500000000002</v>
      </c>
      <c r="AZ58" s="107">
        <v>-123.3544</v>
      </c>
      <c r="BA58" s="32" t="s">
        <v>409</v>
      </c>
      <c r="BB58" s="49" t="s">
        <v>195</v>
      </c>
      <c r="BC58" s="7"/>
      <c r="BD58" s="7"/>
      <c r="BE58" s="7"/>
      <c r="BF58" s="7"/>
      <c r="BG58" s="7"/>
    </row>
    <row r="59" spans="1:59">
      <c r="A59" s="55" t="str">
        <f>HYPERLINK("tag_data/Quicklook/bw140806-2Quicklook.jpg","bw140806-2")</f>
        <v>bw140806-2</v>
      </c>
      <c r="B59" s="26" t="str">
        <f t="shared" si="18"/>
        <v>bw</v>
      </c>
      <c r="C59" s="46" t="str">
        <f>HYPERLINK("location data/SoCal/2014_BRS_Palos Verdes/","SoCal")</f>
        <v>SoCal</v>
      </c>
      <c r="D59" s="65" t="s">
        <v>467</v>
      </c>
      <c r="E59" s="62" t="s">
        <v>468</v>
      </c>
      <c r="F59" s="85">
        <v>-7</v>
      </c>
      <c r="G59" s="60" t="s">
        <v>458</v>
      </c>
      <c r="H59" s="31" t="s">
        <v>39</v>
      </c>
      <c r="I59" s="46" t="str">
        <f>HYPERLINK("tag_data/bw140806-2 (Palos Verdes)","Link")</f>
        <v>Link</v>
      </c>
      <c r="J59" s="42" t="str">
        <f>HYPERLINK("tag_data_raw/SoCal/2014_BRS_Palos Verdes/bw140806-2","Link")</f>
        <v>Link</v>
      </c>
      <c r="K59" s="42" t="str">
        <f>HYPERLINK("tag_data/bw140806-2 (Palos Verdes)/Pics&amp;Vids","Link")</f>
        <v>Link</v>
      </c>
      <c r="L59" s="46" t="str">
        <f>HYPERLINK("location data/SoCal/2014_BRS_Palos Verdes/Pics and Videos/20140806-ZIP-BM-dualDeploy-GOPR0074.MP4", "Link")</f>
        <v>Link</v>
      </c>
      <c r="M59" s="41" t="s">
        <v>263</v>
      </c>
      <c r="N59" s="54" t="str">
        <f>HYPERLINK("location data/SoCal/2014_BRS_Palos Verdes/20140806-ZIP.mdb","Link")</f>
        <v>Link</v>
      </c>
      <c r="O59" s="31" t="s">
        <v>45</v>
      </c>
      <c r="P59" s="31" t="s">
        <v>39</v>
      </c>
      <c r="Q59" s="31">
        <v>2</v>
      </c>
      <c r="R59" s="32" t="s">
        <v>34</v>
      </c>
      <c r="S59" s="32" t="str">
        <f t="shared" si="17"/>
        <v>Cam Mic</v>
      </c>
      <c r="T59" s="32" t="s">
        <v>402</v>
      </c>
      <c r="U59" s="17">
        <v>0.14825231481481482</v>
      </c>
      <c r="V59" s="17">
        <v>0.14825231481481482</v>
      </c>
      <c r="W59" s="56">
        <v>0.12179398148148148</v>
      </c>
      <c r="X59" s="31" t="s">
        <v>263</v>
      </c>
      <c r="Y59" s="54" t="str">
        <f>HYPERLINK("tag_data/bw140806-2 (Palos Verdes)/Remora Log bw140806-2.docx","Link")</f>
        <v>Link</v>
      </c>
      <c r="Z59" s="31" t="s">
        <v>39</v>
      </c>
      <c r="AA59" s="31" t="s">
        <v>39</v>
      </c>
      <c r="AB59" s="31" t="s">
        <v>277</v>
      </c>
      <c r="AC59" s="31" t="s">
        <v>39</v>
      </c>
      <c r="AD59" s="31" t="s">
        <v>39</v>
      </c>
      <c r="AE59" s="31" t="s">
        <v>41</v>
      </c>
      <c r="AF59" s="31" t="s">
        <v>41</v>
      </c>
      <c r="AG59" s="31" t="s">
        <v>41</v>
      </c>
      <c r="AH59" s="31" t="s">
        <v>41</v>
      </c>
      <c r="AI59" s="31" t="s">
        <v>39</v>
      </c>
      <c r="AJ59" s="31" t="s">
        <v>39</v>
      </c>
      <c r="AK59" s="31" t="s">
        <v>41</v>
      </c>
      <c r="AL59" s="31" t="s">
        <v>41</v>
      </c>
      <c r="AM59" s="31" t="s">
        <v>370</v>
      </c>
      <c r="AN59" s="32" t="s">
        <v>430</v>
      </c>
      <c r="AO59" s="32" t="s">
        <v>369</v>
      </c>
      <c r="AP59" s="30">
        <v>41857.35528935185</v>
      </c>
      <c r="AQ59" s="30">
        <v>41857.357418981483</v>
      </c>
      <c r="AR59" s="30">
        <v>41857.540092592593</v>
      </c>
      <c r="AS59" s="92" t="s">
        <v>651</v>
      </c>
      <c r="AT59" s="107">
        <v>33.627400000000002</v>
      </c>
      <c r="AU59" s="107">
        <v>-118.2978</v>
      </c>
      <c r="AV59" s="142" t="s">
        <v>339</v>
      </c>
      <c r="AW59" s="106" t="s">
        <v>339</v>
      </c>
      <c r="AX59" s="30">
        <v>41857.551782407405</v>
      </c>
      <c r="AY59" s="107">
        <v>33.653500000000001</v>
      </c>
      <c r="AZ59" s="107">
        <v>-118.3173</v>
      </c>
      <c r="BA59" s="32" t="s">
        <v>429</v>
      </c>
      <c r="BB59" s="49"/>
      <c r="BC59" s="7"/>
      <c r="BD59" s="7"/>
      <c r="BE59" s="7"/>
      <c r="BF59" s="7"/>
      <c r="BG59" s="7"/>
    </row>
    <row r="60" spans="1:59">
      <c r="A60" s="55" t="str">
        <f>HYPERLINK("tag_data/Quicklook/bw140819-3aQuicklook.jpg","bw140819-3a")</f>
        <v>bw140819-3a</v>
      </c>
      <c r="B60" s="26" t="str">
        <f t="shared" si="18"/>
        <v>bw</v>
      </c>
      <c r="C60" s="42" t="str">
        <f t="shared" ref="C60:C66" si="19">HYPERLINK("location data/SoCal/2014_BBC_San Diego/","San Diego")</f>
        <v>San Diego</v>
      </c>
      <c r="D60" s="64" t="s">
        <v>470</v>
      </c>
      <c r="E60" s="77" t="s">
        <v>512</v>
      </c>
      <c r="F60" s="85">
        <v>-7</v>
      </c>
      <c r="G60" s="60" t="s">
        <v>457</v>
      </c>
      <c r="H60" s="31" t="s">
        <v>39</v>
      </c>
      <c r="I60" s="42" t="str">
        <f>HYPERLINK("tag_data/bw140819-3a (San Diego)","Link")</f>
        <v>Link</v>
      </c>
      <c r="J60" s="42" t="str">
        <f>HYPERLINK("tag_data_raw/SoCal/2014_BBC_San Diego/bw140819-3","Link")</f>
        <v>Link</v>
      </c>
      <c r="K60" s="54" t="str">
        <f>HYPERLINK("tag_data/bw140819-3a (San Diego)/Pics&amp;Vids","Link")</f>
        <v>Link</v>
      </c>
      <c r="L60" s="54" t="str">
        <f>HYPERLINK("location data/SoCal/2014_BBC_San Diego/Pics and Videos/8.19/GoPro/2014-8-19 BM Zip Jeff-1.MP4","Link")</f>
        <v>Link</v>
      </c>
      <c r="M60" s="41" t="s">
        <v>263</v>
      </c>
      <c r="N60" s="42" t="str">
        <f>HYPERLINK("location data/SoCal/2014_BBC_San Diego/20140819-ZIP.mdb","Link")</f>
        <v>Link</v>
      </c>
      <c r="O60" s="31" t="s">
        <v>45</v>
      </c>
      <c r="P60" s="31" t="s">
        <v>41</v>
      </c>
      <c r="Q60" s="31">
        <v>3</v>
      </c>
      <c r="R60" s="32" t="s">
        <v>34</v>
      </c>
      <c r="S60" s="32" t="str">
        <f t="shared" si="17"/>
        <v>Cam Mic</v>
      </c>
      <c r="T60" s="32" t="s">
        <v>63</v>
      </c>
      <c r="U60" s="17">
        <f t="shared" ref="U60:U91" si="20">AR60-AQ60</f>
        <v>6.0069444443797693E-3</v>
      </c>
      <c r="V60" s="17">
        <f t="shared" ref="V60:V103" si="21">MIN(AR60,AS60)-MAX(AP60,AQ60)</f>
        <v>6.0069444443797693E-3</v>
      </c>
      <c r="W60" s="56">
        <v>2.4074074074074076E-3</v>
      </c>
      <c r="X60" s="31" t="s">
        <v>263</v>
      </c>
      <c r="Y60" s="54"/>
      <c r="Z60" s="31" t="s">
        <v>41</v>
      </c>
      <c r="AA60" s="31" t="s">
        <v>41</v>
      </c>
      <c r="AB60" s="31" t="s">
        <v>263</v>
      </c>
      <c r="AC60" s="31" t="s">
        <v>41</v>
      </c>
      <c r="AD60" s="31" t="s">
        <v>41</v>
      </c>
      <c r="AE60" s="31" t="s">
        <v>41</v>
      </c>
      <c r="AF60" s="31" t="s">
        <v>41</v>
      </c>
      <c r="AG60" s="31" t="s">
        <v>41</v>
      </c>
      <c r="AH60" s="31" t="s">
        <v>41</v>
      </c>
      <c r="AI60" s="31" t="s">
        <v>39</v>
      </c>
      <c r="AJ60" s="31" t="s">
        <v>39</v>
      </c>
      <c r="AK60" s="31" t="s">
        <v>41</v>
      </c>
      <c r="AL60" s="31" t="s">
        <v>41</v>
      </c>
      <c r="AM60" s="31" t="s">
        <v>370</v>
      </c>
      <c r="AN60" s="32" t="s">
        <v>432</v>
      </c>
      <c r="AO60" s="32" t="s">
        <v>434</v>
      </c>
      <c r="AP60" s="30">
        <v>41870.371157407404</v>
      </c>
      <c r="AQ60" s="30">
        <v>41870.402708333335</v>
      </c>
      <c r="AR60" s="30">
        <v>41870.408715277779</v>
      </c>
      <c r="AS60" s="92" t="s">
        <v>651</v>
      </c>
      <c r="AT60" s="51">
        <v>32.672199999999997</v>
      </c>
      <c r="AU60" s="51">
        <v>-117.45950000000001</v>
      </c>
      <c r="AV60" s="106" t="s">
        <v>339</v>
      </c>
      <c r="AW60" s="106" t="s">
        <v>339</v>
      </c>
      <c r="AX60" s="30">
        <v>41870.422118055554</v>
      </c>
      <c r="AY60" s="107">
        <v>32.678400000000003</v>
      </c>
      <c r="AZ60" s="107">
        <v>-117.4674</v>
      </c>
      <c r="BA60" s="32" t="s">
        <v>435</v>
      </c>
      <c r="BB60" s="49" t="s">
        <v>197</v>
      </c>
      <c r="BC60" s="7"/>
      <c r="BD60" s="7"/>
      <c r="BE60" s="7"/>
      <c r="BF60" s="7"/>
      <c r="BG60" s="7"/>
    </row>
    <row r="61" spans="1:59">
      <c r="A61" s="55" t="str">
        <f>HYPERLINK("tag_data/Quicklook/bw140819-3bQuicklook.jpg","bw140819-3b")</f>
        <v>bw140819-3b</v>
      </c>
      <c r="B61" s="26" t="str">
        <f t="shared" si="18"/>
        <v>bw</v>
      </c>
      <c r="C61" s="42" t="str">
        <f t="shared" si="19"/>
        <v>San Diego</v>
      </c>
      <c r="D61" s="64" t="s">
        <v>470</v>
      </c>
      <c r="E61" s="77" t="s">
        <v>512</v>
      </c>
      <c r="F61" s="85">
        <v>-7</v>
      </c>
      <c r="G61" s="60" t="s">
        <v>457</v>
      </c>
      <c r="H61" s="31" t="s">
        <v>39</v>
      </c>
      <c r="I61" s="42" t="str">
        <f>HYPERLINK("tag_data/bw140819-3b (San Diego)","Link")</f>
        <v>Link</v>
      </c>
      <c r="J61" s="42" t="str">
        <f>HYPERLINK("tag_data_raw/SoCal/2014_BBC_San Diego/bw140819-3","Link")</f>
        <v>Link</v>
      </c>
      <c r="K61" s="54" t="str">
        <f>HYPERLINK("tag_data/bw140819-3b (San Diego)/Pics&amp;Vids","Link")</f>
        <v>Link</v>
      </c>
      <c r="L61" s="54" t="str">
        <f>HYPERLINK("location data/SoCal/2014_BBC_San Diego/Pics and Videos/8.19/GoPro/2014-8-19 BM Zip Dave-4.MP4","Link")</f>
        <v>Link</v>
      </c>
      <c r="M61" s="41" t="s">
        <v>263</v>
      </c>
      <c r="N61" s="42" t="str">
        <f>HYPERLINK("location data/SoCal/2014_BBC_San Diego/20140819-ZIP.mdb","Link")</f>
        <v>Link</v>
      </c>
      <c r="O61" s="31" t="s">
        <v>45</v>
      </c>
      <c r="P61" s="31" t="s">
        <v>41</v>
      </c>
      <c r="Q61" s="31">
        <v>3</v>
      </c>
      <c r="R61" s="32" t="s">
        <v>34</v>
      </c>
      <c r="S61" s="32" t="str">
        <f t="shared" si="17"/>
        <v>Cam Mic</v>
      </c>
      <c r="T61" s="32" t="s">
        <v>402</v>
      </c>
      <c r="U61" s="17">
        <f t="shared" si="20"/>
        <v>1.152777778042946E-2</v>
      </c>
      <c r="V61" s="17">
        <f t="shared" si="21"/>
        <v>1.152777778042946E-2</v>
      </c>
      <c r="W61" s="56">
        <v>1.1805555555555556E-3</v>
      </c>
      <c r="X61" s="31" t="s">
        <v>263</v>
      </c>
      <c r="Y61" s="54" t="str">
        <f>HYPERLINK("tag_data/bw140819-3b (San Diego)/Video Audits.docx","Link")</f>
        <v>Link</v>
      </c>
      <c r="Z61" s="31" t="s">
        <v>39</v>
      </c>
      <c r="AA61" s="31" t="s">
        <v>39</v>
      </c>
      <c r="AB61" s="31" t="s">
        <v>277</v>
      </c>
      <c r="AC61" s="31" t="s">
        <v>41</v>
      </c>
      <c r="AD61" s="31" t="s">
        <v>39</v>
      </c>
      <c r="AE61" s="31" t="s">
        <v>41</v>
      </c>
      <c r="AF61" s="31" t="s">
        <v>41</v>
      </c>
      <c r="AG61" s="31" t="s">
        <v>41</v>
      </c>
      <c r="AH61" s="31" t="s">
        <v>39</v>
      </c>
      <c r="AI61" s="31" t="s">
        <v>39</v>
      </c>
      <c r="AJ61" s="31" t="s">
        <v>39</v>
      </c>
      <c r="AK61" s="31" t="s">
        <v>41</v>
      </c>
      <c r="AL61" s="31" t="s">
        <v>41</v>
      </c>
      <c r="AM61" s="31" t="s">
        <v>431</v>
      </c>
      <c r="AN61" s="32" t="s">
        <v>433</v>
      </c>
      <c r="AO61" s="32" t="s">
        <v>434</v>
      </c>
      <c r="AP61" s="30">
        <v>41870.371157407404</v>
      </c>
      <c r="AQ61" s="30">
        <v>41870.683287037034</v>
      </c>
      <c r="AR61" s="30">
        <v>41870.694814814815</v>
      </c>
      <c r="AS61" s="92" t="s">
        <v>651</v>
      </c>
      <c r="AT61" s="51">
        <v>32.572699999999998</v>
      </c>
      <c r="AU61" s="51">
        <v>-117.3925</v>
      </c>
      <c r="AV61" s="106" t="s">
        <v>339</v>
      </c>
      <c r="AW61" s="106" t="s">
        <v>339</v>
      </c>
      <c r="AX61" s="30">
        <v>41870.699386574073</v>
      </c>
      <c r="AY61" s="107">
        <v>32.571300000000001</v>
      </c>
      <c r="AZ61" s="107">
        <v>-117.3913</v>
      </c>
      <c r="BA61" s="32" t="s">
        <v>436</v>
      </c>
      <c r="BB61" s="49" t="s">
        <v>197</v>
      </c>
      <c r="BC61" s="7"/>
      <c r="BD61" s="7"/>
      <c r="BE61" s="7"/>
      <c r="BF61" s="7"/>
      <c r="BG61" s="7"/>
    </row>
    <row r="62" spans="1:59">
      <c r="A62" s="55" t="str">
        <f>HYPERLINK("tag_data/Quicklook/bw140820-3aQuicklook.jpg","bw140820-3a")</f>
        <v>bw140820-3a</v>
      </c>
      <c r="B62" s="26" t="str">
        <f t="shared" si="18"/>
        <v>bw</v>
      </c>
      <c r="C62" s="42" t="str">
        <f t="shared" si="19"/>
        <v>San Diego</v>
      </c>
      <c r="D62" s="64" t="s">
        <v>470</v>
      </c>
      <c r="E62" s="77" t="s">
        <v>512</v>
      </c>
      <c r="F62" s="85">
        <v>-7</v>
      </c>
      <c r="G62" s="60" t="s">
        <v>457</v>
      </c>
      <c r="H62" s="31" t="s">
        <v>39</v>
      </c>
      <c r="I62" s="42" t="str">
        <f>HYPERLINK("tag_data/bw140820-3a (San Diego)","Link")</f>
        <v>Link</v>
      </c>
      <c r="J62" s="42" t="str">
        <f>HYPERLINK("tag_data_raw/SoCal/2014_BBC_San Diego/bw140820-3","Link")</f>
        <v>Link</v>
      </c>
      <c r="K62" s="54" t="str">
        <f>HYPERLINK("tag_data/bw140820-3a (San Diego)/Pics&amp;Vids","Link")</f>
        <v>Link</v>
      </c>
      <c r="L62" s="54" t="str">
        <f>HYPERLINK("location data/SoCal/2014_BBC_San Diego/Pics and Videos/8.20/Go Pro/2014-8-20 BM Zip John C -5.MP4","Link")</f>
        <v>Link</v>
      </c>
      <c r="M62" s="41" t="s">
        <v>263</v>
      </c>
      <c r="N62" s="42" t="str">
        <f>HYPERLINK("location data/SoCal/2014_BBC_San Diego/20140820-ZIP.mdb","Link")</f>
        <v>Link</v>
      </c>
      <c r="O62" s="31" t="s">
        <v>45</v>
      </c>
      <c r="P62" s="31" t="s">
        <v>39</v>
      </c>
      <c r="Q62" s="31">
        <v>3</v>
      </c>
      <c r="R62" s="32" t="s">
        <v>34</v>
      </c>
      <c r="S62" s="32" t="str">
        <f t="shared" si="17"/>
        <v>Cam Mic</v>
      </c>
      <c r="T62" s="32" t="s">
        <v>441</v>
      </c>
      <c r="U62" s="17">
        <f t="shared" si="20"/>
        <v>4.2245370423188433E-3</v>
      </c>
      <c r="V62" s="17">
        <f t="shared" si="21"/>
        <v>4.2245370423188433E-3</v>
      </c>
      <c r="W62" s="56">
        <f>V62</f>
        <v>4.2245370423188433E-3</v>
      </c>
      <c r="X62" s="31" t="s">
        <v>263</v>
      </c>
      <c r="Y62" s="54" t="str">
        <f>HYPERLINK("tag_data/bw140820-3a (San Diego)/RemoraLogs bw140820-3.docx","Link")</f>
        <v>Link</v>
      </c>
      <c r="Z62" s="31" t="s">
        <v>41</v>
      </c>
      <c r="AA62" s="31" t="s">
        <v>41</v>
      </c>
      <c r="AB62" s="31" t="s">
        <v>277</v>
      </c>
      <c r="AC62" s="31" t="s">
        <v>41</v>
      </c>
      <c r="AD62" s="31" t="s">
        <v>39</v>
      </c>
      <c r="AE62" s="31" t="s">
        <v>41</v>
      </c>
      <c r="AF62" s="31" t="s">
        <v>41</v>
      </c>
      <c r="AG62" s="31" t="s">
        <v>41</v>
      </c>
      <c r="AH62" s="31" t="s">
        <v>41</v>
      </c>
      <c r="AI62" s="31" t="s">
        <v>41</v>
      </c>
      <c r="AJ62" s="31" t="s">
        <v>39</v>
      </c>
      <c r="AK62" s="31" t="s">
        <v>41</v>
      </c>
      <c r="AL62" s="31" t="s">
        <v>41</v>
      </c>
      <c r="AM62" s="31" t="s">
        <v>370</v>
      </c>
      <c r="AN62" s="32" t="s">
        <v>442</v>
      </c>
      <c r="AO62" s="32" t="s">
        <v>434</v>
      </c>
      <c r="AP62" s="30">
        <v>41871.479548611111</v>
      </c>
      <c r="AQ62" s="30">
        <v>41871.492673611108</v>
      </c>
      <c r="AR62" s="30">
        <v>41871.496898148151</v>
      </c>
      <c r="AS62" s="92" t="s">
        <v>651</v>
      </c>
      <c r="AT62" s="51">
        <v>32.579799999999999</v>
      </c>
      <c r="AU62" s="51">
        <v>-117.39149999999999</v>
      </c>
      <c r="AV62" s="106" t="s">
        <v>339</v>
      </c>
      <c r="AW62" s="106" t="s">
        <v>339</v>
      </c>
      <c r="AX62" s="30">
        <v>41871.500532407408</v>
      </c>
      <c r="AY62" s="107">
        <v>32.580500000000001</v>
      </c>
      <c r="AZ62" s="107">
        <v>-117.3922</v>
      </c>
      <c r="BA62" s="32" t="s">
        <v>438</v>
      </c>
      <c r="BB62" s="49"/>
      <c r="BC62" s="7"/>
      <c r="BD62" s="7"/>
      <c r="BE62" s="7"/>
      <c r="BF62" s="7"/>
      <c r="BG62" s="7"/>
    </row>
    <row r="63" spans="1:59">
      <c r="A63" s="55" t="str">
        <f>HYPERLINK("tag_data/Quicklook/bw140820-3bQuicklook.jpg","bw140820-3b")</f>
        <v>bw140820-3b</v>
      </c>
      <c r="B63" s="26" t="str">
        <f t="shared" si="18"/>
        <v>bw</v>
      </c>
      <c r="C63" s="42" t="str">
        <f t="shared" si="19"/>
        <v>San Diego</v>
      </c>
      <c r="D63" s="64" t="s">
        <v>470</v>
      </c>
      <c r="E63" s="77" t="s">
        <v>512</v>
      </c>
      <c r="F63" s="85">
        <v>-7</v>
      </c>
      <c r="G63" s="60" t="s">
        <v>457</v>
      </c>
      <c r="H63" s="31" t="s">
        <v>39</v>
      </c>
      <c r="I63" s="42" t="str">
        <f>HYPERLINK("tag_data/bw140820-3b (San Diego)","Link")</f>
        <v>Link</v>
      </c>
      <c r="J63" s="42" t="str">
        <f>HYPERLINK("tag_data_raw/SoCal/2014_BBC_San Diego/bw140820-3","Link")</f>
        <v>Link</v>
      </c>
      <c r="K63" s="54" t="str">
        <f>HYPERLINK("tag_data/bw140820-3b (San Diego)/Pics&amp;Vids","Link")</f>
        <v>Link</v>
      </c>
      <c r="L63" s="54" t="str">
        <f>HYPERLINK("location data/SoCal/2014_BBC_San Diego/Pics and Videos/8.20/Go Pro/2014-8-20 BM Zip Dave-3.mp4","Link")</f>
        <v>Link</v>
      </c>
      <c r="M63" s="41" t="s">
        <v>263</v>
      </c>
      <c r="N63" s="42" t="str">
        <f>HYPERLINK("location data/SoCal/2014_BBC_San Diego/20140820-ZIP.mdb","Link")</f>
        <v>Link</v>
      </c>
      <c r="O63" s="31" t="s">
        <v>45</v>
      </c>
      <c r="P63" s="31" t="s">
        <v>41</v>
      </c>
      <c r="Q63" s="31">
        <v>3</v>
      </c>
      <c r="R63" s="32" t="s">
        <v>34</v>
      </c>
      <c r="S63" s="32" t="str">
        <f t="shared" si="17"/>
        <v>Cam Mic</v>
      </c>
      <c r="T63" s="32" t="s">
        <v>440</v>
      </c>
      <c r="U63" s="17">
        <f t="shared" si="20"/>
        <v>4.2291666672099382E-2</v>
      </c>
      <c r="V63" s="17">
        <f t="shared" si="21"/>
        <v>4.2291666672099382E-2</v>
      </c>
      <c r="W63" s="56">
        <v>4.2280092592592598E-2</v>
      </c>
      <c r="X63" s="31" t="s">
        <v>263</v>
      </c>
      <c r="Y63" s="54" t="str">
        <f>HYPERLINK("tag_data/bw140820-3b (San Diego)/RemoraLogs bw140820-3.docx","Link")</f>
        <v>Link</v>
      </c>
      <c r="Z63" s="31" t="s">
        <v>39</v>
      </c>
      <c r="AA63" s="31" t="s">
        <v>39</v>
      </c>
      <c r="AB63" s="31" t="s">
        <v>277</v>
      </c>
      <c r="AC63" s="31" t="s">
        <v>41</v>
      </c>
      <c r="AD63" s="31" t="s">
        <v>39</v>
      </c>
      <c r="AE63" s="31" t="s">
        <v>41</v>
      </c>
      <c r="AF63" s="31" t="s">
        <v>41</v>
      </c>
      <c r="AG63" s="31" t="s">
        <v>41</v>
      </c>
      <c r="AH63" s="31" t="s">
        <v>39</v>
      </c>
      <c r="AI63" s="31" t="s">
        <v>39</v>
      </c>
      <c r="AJ63" s="31" t="s">
        <v>39</v>
      </c>
      <c r="AK63" s="31" t="s">
        <v>41</v>
      </c>
      <c r="AL63" s="31" t="s">
        <v>41</v>
      </c>
      <c r="AM63" s="31" t="s">
        <v>370</v>
      </c>
      <c r="AN63" s="32" t="s">
        <v>443</v>
      </c>
      <c r="AO63" s="32" t="s">
        <v>434</v>
      </c>
      <c r="AP63" s="30">
        <v>41871.479548611111</v>
      </c>
      <c r="AQ63" s="30">
        <v>41871.624212962961</v>
      </c>
      <c r="AR63" s="30">
        <v>41871.666504629633</v>
      </c>
      <c r="AS63" s="92" t="s">
        <v>651</v>
      </c>
      <c r="AT63" s="51">
        <v>32.586199999999998</v>
      </c>
      <c r="AU63" s="51">
        <v>-117.3871</v>
      </c>
      <c r="AV63" s="106" t="s">
        <v>339</v>
      </c>
      <c r="AW63" s="106" t="s">
        <v>339</v>
      </c>
      <c r="AX63" s="30">
        <v>41871.710486111115</v>
      </c>
      <c r="AY63" s="107">
        <v>32.584299999999999</v>
      </c>
      <c r="AZ63" s="107">
        <v>-117.375</v>
      </c>
      <c r="BA63" s="32" t="s">
        <v>439</v>
      </c>
      <c r="BB63" s="49" t="s">
        <v>198</v>
      </c>
      <c r="BC63" s="7"/>
      <c r="BD63" s="7"/>
      <c r="BE63" s="7"/>
      <c r="BF63" s="7"/>
      <c r="BG63" s="7"/>
    </row>
    <row r="64" spans="1:59">
      <c r="A64" s="55" t="str">
        <f>HYPERLINK("tag_data/Quicklook/bw140820-4aQuicklook.jpg","bw140820-4a")</f>
        <v>bw140820-4a</v>
      </c>
      <c r="B64" s="26" t="str">
        <f t="shared" si="18"/>
        <v>bw</v>
      </c>
      <c r="C64" s="42" t="str">
        <f t="shared" si="19"/>
        <v>San Diego</v>
      </c>
      <c r="D64" s="64" t="s">
        <v>470</v>
      </c>
      <c r="E64" s="77" t="s">
        <v>512</v>
      </c>
      <c r="F64" s="85">
        <v>-7</v>
      </c>
      <c r="G64" s="60" t="s">
        <v>457</v>
      </c>
      <c r="H64" s="31" t="s">
        <v>39</v>
      </c>
      <c r="I64" s="42" t="str">
        <f>HYPERLINK("tag_data/bw140820-4a (San Diego)","Link")</f>
        <v>Link</v>
      </c>
      <c r="J64" s="42" t="str">
        <f>HYPERLINK("tag_data_raw/SoCal/2014_BBC_San Diego/bw140820-4","Link")</f>
        <v>Link</v>
      </c>
      <c r="K64" s="54" t="str">
        <f>HYPERLINK("tag_data/bw140820-4a (San Diego)/Pics&amp;Vids","Link")</f>
        <v>Link</v>
      </c>
      <c r="L64" s="54" t="str">
        <f>HYPERLINK("location data/SoCal/2014_BBC_San Diego/Pics and Videos/8.20/Go Pro/2014-8-20 BM Zip John C -1.MP4","Link")</f>
        <v>Link</v>
      </c>
      <c r="M64" s="41" t="s">
        <v>263</v>
      </c>
      <c r="N64" s="42" t="str">
        <f>HYPERLINK("location data/SoCal/2014_BBC_San Diego/20140820-ZIP.mdb","Link")</f>
        <v>Link</v>
      </c>
      <c r="O64" s="31" t="s">
        <v>45</v>
      </c>
      <c r="P64" s="31" t="s">
        <v>41</v>
      </c>
      <c r="Q64" s="31">
        <v>4</v>
      </c>
      <c r="R64" s="32" t="s">
        <v>34</v>
      </c>
      <c r="S64" s="32" t="str">
        <f t="shared" si="17"/>
        <v>Cam Mic</v>
      </c>
      <c r="T64" s="32" t="s">
        <v>805</v>
      </c>
      <c r="U64" s="17">
        <f t="shared" si="20"/>
        <v>2.6504629640839994E-3</v>
      </c>
      <c r="V64" s="17">
        <f t="shared" si="21"/>
        <v>2.6504629640839994E-3</v>
      </c>
      <c r="W64" s="56">
        <v>2.615740740740741E-3</v>
      </c>
      <c r="X64" s="31" t="s">
        <v>263</v>
      </c>
      <c r="Y64" s="54" t="str">
        <f>HYPERLINK("tag_data/bw140820-4a (San Diego)/Video Audits.docx","Link")</f>
        <v>Link</v>
      </c>
      <c r="Z64" s="31" t="s">
        <v>39</v>
      </c>
      <c r="AA64" s="31" t="s">
        <v>39</v>
      </c>
      <c r="AB64" s="31" t="s">
        <v>277</v>
      </c>
      <c r="AC64" s="31" t="s">
        <v>41</v>
      </c>
      <c r="AD64" s="31" t="s">
        <v>39</v>
      </c>
      <c r="AE64" s="31" t="s">
        <v>41</v>
      </c>
      <c r="AF64" s="31" t="s">
        <v>41</v>
      </c>
      <c r="AG64" s="31" t="s">
        <v>41</v>
      </c>
      <c r="AH64" s="31" t="s">
        <v>41</v>
      </c>
      <c r="AI64" s="31" t="s">
        <v>39</v>
      </c>
      <c r="AJ64" s="31" t="s">
        <v>39</v>
      </c>
      <c r="AK64" s="31" t="s">
        <v>39</v>
      </c>
      <c r="AL64" s="31" t="s">
        <v>41</v>
      </c>
      <c r="AM64" s="31" t="s">
        <v>41</v>
      </c>
      <c r="AN64" s="32" t="s">
        <v>803</v>
      </c>
      <c r="AO64" s="32" t="s">
        <v>434</v>
      </c>
      <c r="AP64" s="30">
        <v>41871.399826388886</v>
      </c>
      <c r="AQ64" s="30">
        <v>41871.403280381943</v>
      </c>
      <c r="AR64" s="30">
        <v>41871.405930844907</v>
      </c>
      <c r="AS64" s="92" t="s">
        <v>651</v>
      </c>
      <c r="AT64" s="51">
        <v>32.561700000000002</v>
      </c>
      <c r="AU64" s="51">
        <v>-117.3793</v>
      </c>
      <c r="AV64" s="106" t="s">
        <v>339</v>
      </c>
      <c r="AW64" s="106" t="s">
        <v>339</v>
      </c>
      <c r="AX64" s="30">
        <v>41871.408831018518</v>
      </c>
      <c r="AY64" s="107">
        <v>32.564700000000002</v>
      </c>
      <c r="AZ64" s="107">
        <v>-117.37779999999999</v>
      </c>
      <c r="BA64" s="32" t="s">
        <v>804</v>
      </c>
      <c r="BB64" s="49" t="s">
        <v>198</v>
      </c>
      <c r="BC64" s="7"/>
      <c r="BD64" s="7"/>
      <c r="BE64" s="7"/>
      <c r="BF64" s="7"/>
      <c r="BG64" s="7"/>
    </row>
    <row r="65" spans="1:59">
      <c r="A65" s="55" t="str">
        <f>HYPERLINK("tag_data/Quicklook/bw140820-4bQuicklook.jpg","bw140820-4b")</f>
        <v>bw140820-4b</v>
      </c>
      <c r="B65" s="26" t="str">
        <f t="shared" si="18"/>
        <v>bw</v>
      </c>
      <c r="C65" s="42" t="str">
        <f t="shared" si="19"/>
        <v>San Diego</v>
      </c>
      <c r="D65" s="64" t="s">
        <v>470</v>
      </c>
      <c r="E65" s="77" t="s">
        <v>512</v>
      </c>
      <c r="F65" s="85">
        <v>-7</v>
      </c>
      <c r="G65" s="60" t="s">
        <v>457</v>
      </c>
      <c r="H65" s="31" t="s">
        <v>39</v>
      </c>
      <c r="I65" s="42" t="str">
        <f>HYPERLINK("tag_data/bw140820-4b (San Diego)","Link")</f>
        <v>Link</v>
      </c>
      <c r="J65" s="42" t="str">
        <f>HYPERLINK("tag_data_raw/SoCal/2014_BBC_San Diego/bw140820-4","Link")</f>
        <v>Link</v>
      </c>
      <c r="K65" s="54" t="str">
        <f>HYPERLINK("tag_data/bw140820-4b (San Diego)/Pics&amp;Vids","Link")</f>
        <v>Link</v>
      </c>
      <c r="L65" s="54" t="str">
        <f>HYPERLINK("location data/SoCal/2014_BBC_San Diego/Pics and Videos/8.20/Go Pro/2014-8-20 BM Zip John C -2.MP4","Link")</f>
        <v>Link</v>
      </c>
      <c r="M65" s="41" t="s">
        <v>263</v>
      </c>
      <c r="N65" s="42" t="str">
        <f>HYPERLINK("location data/SoCal/2014_BBC_San Diego/20140820-ZIP.mdb","Link")</f>
        <v>Link</v>
      </c>
      <c r="O65" s="31" t="s">
        <v>45</v>
      </c>
      <c r="P65" s="31" t="s">
        <v>41</v>
      </c>
      <c r="Q65" s="31">
        <v>4</v>
      </c>
      <c r="R65" s="32" t="s">
        <v>34</v>
      </c>
      <c r="S65" s="32" t="str">
        <f t="shared" si="17"/>
        <v>Cam Mic</v>
      </c>
      <c r="T65" s="32" t="s">
        <v>807</v>
      </c>
      <c r="U65" s="17">
        <f t="shared" si="20"/>
        <v>5.6151620374293998E-3</v>
      </c>
      <c r="V65" s="17">
        <f t="shared" si="21"/>
        <v>5.6151620374293998E-3</v>
      </c>
      <c r="W65" s="56">
        <v>5.6134259259259271E-3</v>
      </c>
      <c r="X65" s="31" t="s">
        <v>263</v>
      </c>
      <c r="Y65" s="54" t="str">
        <f>HYPERLINK("tag_data/bw140820-4b (San Diego)/Video Audits.docx","Link")</f>
        <v>Link</v>
      </c>
      <c r="Z65" s="31" t="s">
        <v>39</v>
      </c>
      <c r="AA65" s="31" t="s">
        <v>39</v>
      </c>
      <c r="AB65" s="31" t="s">
        <v>277</v>
      </c>
      <c r="AC65" s="31" t="s">
        <v>41</v>
      </c>
      <c r="AD65" s="31" t="s">
        <v>39</v>
      </c>
      <c r="AE65" s="31" t="s">
        <v>41</v>
      </c>
      <c r="AF65" s="31" t="s">
        <v>41</v>
      </c>
      <c r="AG65" s="31" t="s">
        <v>41</v>
      </c>
      <c r="AH65" s="31" t="s">
        <v>39</v>
      </c>
      <c r="AI65" s="31" t="s">
        <v>39</v>
      </c>
      <c r="AJ65" s="31" t="s">
        <v>39</v>
      </c>
      <c r="AK65" s="31" t="s">
        <v>41</v>
      </c>
      <c r="AL65" s="31" t="s">
        <v>41</v>
      </c>
      <c r="AM65" s="31" t="s">
        <v>41</v>
      </c>
      <c r="AN65" s="32" t="s">
        <v>807</v>
      </c>
      <c r="AO65" s="32" t="s">
        <v>434</v>
      </c>
      <c r="AP65" s="30">
        <v>41871.399826388886</v>
      </c>
      <c r="AQ65" s="30">
        <v>41871.446694733793</v>
      </c>
      <c r="AR65" s="30">
        <v>41871.452309895831</v>
      </c>
      <c r="AS65" s="92" t="s">
        <v>651</v>
      </c>
      <c r="AT65" s="51">
        <v>32.577500000000001</v>
      </c>
      <c r="AU65" s="51">
        <v>-117.38849999999999</v>
      </c>
      <c r="AV65" s="106" t="s">
        <v>339</v>
      </c>
      <c r="AW65" s="106" t="s">
        <v>339</v>
      </c>
      <c r="AX65" s="30">
        <v>41871.511319444442</v>
      </c>
      <c r="AY65" s="107">
        <v>32.581200000000003</v>
      </c>
      <c r="AZ65" s="107">
        <v>-117.3901</v>
      </c>
      <c r="BA65" s="32" t="s">
        <v>806</v>
      </c>
      <c r="BB65" s="49" t="s">
        <v>198</v>
      </c>
      <c r="BC65" s="7"/>
      <c r="BD65" s="7"/>
      <c r="BE65" s="7"/>
      <c r="BF65" s="7"/>
      <c r="BG65" s="7"/>
    </row>
    <row r="66" spans="1:59">
      <c r="A66" s="7" t="s">
        <v>170</v>
      </c>
      <c r="B66" s="26" t="str">
        <f t="shared" si="18"/>
        <v>bw</v>
      </c>
      <c r="C66" s="42" t="str">
        <f t="shared" si="19"/>
        <v>San Diego</v>
      </c>
      <c r="D66" s="64" t="s">
        <v>470</v>
      </c>
      <c r="E66" s="77" t="s">
        <v>512</v>
      </c>
      <c r="F66" s="85">
        <v>-7</v>
      </c>
      <c r="G66" s="60" t="s">
        <v>457</v>
      </c>
      <c r="H66" s="31" t="s">
        <v>41</v>
      </c>
      <c r="I66" s="42" t="str">
        <f>HYPERLINK("tag_data/bw140821-4 (San Diego- no prh)","Link")</f>
        <v>Link</v>
      </c>
      <c r="J66" s="42" t="str">
        <f>HYPERLINK("tag_data_raw/SoCal/2014_BBC_San Diego/bw140821-4 (no prh)","Link")</f>
        <v>Link</v>
      </c>
      <c r="K66" s="54" t="str">
        <f>HYPERLINK("tag_data/bw140821-4 (San Diego- no prh)/Pics&amp;Vids","Link")</f>
        <v>Link</v>
      </c>
      <c r="L66" s="54" t="str">
        <f>HYPERLINK("location data/SoCal/2014_BBC_San Diego/Pics and Videos/8.21/GoPro/2014-8-21 BM Zip John C -1.MP4","Link")</f>
        <v>Link</v>
      </c>
      <c r="M66" s="41" t="s">
        <v>263</v>
      </c>
      <c r="N66" s="31" t="s">
        <v>263</v>
      </c>
      <c r="O66" s="31" t="s">
        <v>45</v>
      </c>
      <c r="P66" s="31" t="s">
        <v>41</v>
      </c>
      <c r="Q66" s="31">
        <v>4</v>
      </c>
      <c r="R66" s="32" t="s">
        <v>34</v>
      </c>
      <c r="S66" s="32" t="str">
        <f t="shared" si="17"/>
        <v>Cam Mic</v>
      </c>
      <c r="T66" s="32" t="s">
        <v>809</v>
      </c>
      <c r="U66" s="17">
        <f t="shared" si="20"/>
        <v>2.0833333110203966E-4</v>
      </c>
      <c r="V66" s="17">
        <f t="shared" si="21"/>
        <v>2.0833333110203966E-4</v>
      </c>
      <c r="W66" s="56">
        <v>2.0833333110203966E-4</v>
      </c>
      <c r="X66" s="31" t="s">
        <v>263</v>
      </c>
      <c r="Y66" s="31"/>
      <c r="Z66" s="31" t="s">
        <v>41</v>
      </c>
      <c r="AA66" s="31" t="s">
        <v>41</v>
      </c>
      <c r="AB66" s="31" t="s">
        <v>263</v>
      </c>
      <c r="AC66" s="31" t="s">
        <v>41</v>
      </c>
      <c r="AD66" s="31" t="s">
        <v>41</v>
      </c>
      <c r="AE66" s="31" t="s">
        <v>41</v>
      </c>
      <c r="AF66" s="31" t="s">
        <v>41</v>
      </c>
      <c r="AG66" s="31" t="s">
        <v>41</v>
      </c>
      <c r="AH66" s="31" t="s">
        <v>41</v>
      </c>
      <c r="AI66" s="31" t="s">
        <v>41</v>
      </c>
      <c r="AJ66" s="31" t="s">
        <v>39</v>
      </c>
      <c r="AK66" s="31" t="s">
        <v>39</v>
      </c>
      <c r="AL66" s="31" t="s">
        <v>41</v>
      </c>
      <c r="AM66" s="31" t="s">
        <v>41</v>
      </c>
      <c r="AN66" s="32" t="s">
        <v>810</v>
      </c>
      <c r="AO66" s="32" t="s">
        <v>434</v>
      </c>
      <c r="AP66" s="30">
        <v>41872.328321759262</v>
      </c>
      <c r="AQ66" s="30">
        <v>41872.475763888891</v>
      </c>
      <c r="AR66" s="30">
        <v>41872.475972222222</v>
      </c>
      <c r="AS66" s="92" t="s">
        <v>651</v>
      </c>
      <c r="AT66" s="144">
        <v>32.575200000000002</v>
      </c>
      <c r="AU66" s="144">
        <v>-117.3913</v>
      </c>
      <c r="AV66" s="106" t="s">
        <v>339</v>
      </c>
      <c r="AW66" s="106" t="s">
        <v>339</v>
      </c>
      <c r="AX66" s="30">
        <v>41872.436805555553</v>
      </c>
      <c r="AY66" s="107">
        <v>32.574800000000003</v>
      </c>
      <c r="AZ66" s="107">
        <v>-117.3907</v>
      </c>
      <c r="BA66" s="32" t="s">
        <v>808</v>
      </c>
      <c r="BB66" s="32"/>
      <c r="BC66" s="7"/>
      <c r="BD66" s="7"/>
      <c r="BE66" s="7"/>
      <c r="BF66" s="7"/>
      <c r="BG66" s="7"/>
    </row>
    <row r="67" spans="1:59">
      <c r="A67" s="55" t="str">
        <f>HYPERLINK("tag_data/Quicklook/bw150823-6Quicklook.jpg","bw150823-6")</f>
        <v>bw150823-6</v>
      </c>
      <c r="B67" s="26" t="str">
        <f t="shared" si="18"/>
        <v>bw</v>
      </c>
      <c r="C67" s="46" t="str">
        <f>HYPERLINK("location data/SoCal/2015_BRS/","SoCal")</f>
        <v>SoCal</v>
      </c>
      <c r="D67" s="64" t="s">
        <v>467</v>
      </c>
      <c r="E67" s="62" t="s">
        <v>468</v>
      </c>
      <c r="F67" s="85">
        <v>-7</v>
      </c>
      <c r="G67" s="60" t="s">
        <v>458</v>
      </c>
      <c r="H67" s="31" t="s">
        <v>39</v>
      </c>
      <c r="I67" s="42" t="str">
        <f>HYPERLINK("tag_data/bw150823-6 (Channel Islands)","Link")</f>
        <v>Link</v>
      </c>
      <c r="J67" s="42" t="str">
        <f>HYPERLINK("tag_data_raw/SoCal/2015_BRS/bw150823-6","Link")</f>
        <v>Link</v>
      </c>
      <c r="K67" s="46" t="str">
        <f>HYPERLINK("tag_data/bw150823-6 (Channel Islands)/Pics&amp;Vids","Link")</f>
        <v>Link</v>
      </c>
      <c r="L67" s="54" t="str">
        <f>HYPERLINK("location data/SoCal/2015_BRS/Pics/GoPro/GOPR1718.MP4","Link")</f>
        <v>Link</v>
      </c>
      <c r="M67" s="41" t="s">
        <v>263</v>
      </c>
      <c r="N67" s="42" t="str">
        <f>HYPERLINK("location data/SoCal/2015_BRS/Metadata/20150823-ZIP.mdb","Link")</f>
        <v>Link</v>
      </c>
      <c r="O67" s="31" t="s">
        <v>45</v>
      </c>
      <c r="P67" s="31" t="s">
        <v>41</v>
      </c>
      <c r="Q67" s="31">
        <v>6</v>
      </c>
      <c r="R67" s="32" t="s">
        <v>133</v>
      </c>
      <c r="S67" s="32" t="str">
        <f t="shared" si="17"/>
        <v>Cam Mic</v>
      </c>
      <c r="T67" s="32" t="s">
        <v>821</v>
      </c>
      <c r="U67" s="17">
        <f t="shared" si="20"/>
        <v>0.76347222222830169</v>
      </c>
      <c r="V67" s="17">
        <f t="shared" si="21"/>
        <v>0.76347222222830169</v>
      </c>
      <c r="W67" s="56">
        <v>0.24709490740740739</v>
      </c>
      <c r="X67" s="42" t="str">
        <f>HYPERLINK("tag_data/bw150823-6 (Channel Islands)/bw150823-6 Map.bmp","9")</f>
        <v>9</v>
      </c>
      <c r="Y67" s="31"/>
      <c r="Z67" s="31" t="s">
        <v>39</v>
      </c>
      <c r="AA67" s="31" t="s">
        <v>39</v>
      </c>
      <c r="AB67" s="31" t="s">
        <v>277</v>
      </c>
      <c r="AC67" s="31" t="s">
        <v>41</v>
      </c>
      <c r="AD67" s="31" t="s">
        <v>39</v>
      </c>
      <c r="AE67" s="31" t="s">
        <v>41</v>
      </c>
      <c r="AF67" s="31" t="s">
        <v>41</v>
      </c>
      <c r="AG67" s="31" t="s">
        <v>41</v>
      </c>
      <c r="AH67" s="31" t="s">
        <v>359</v>
      </c>
      <c r="AI67" s="31" t="s">
        <v>41</v>
      </c>
      <c r="AJ67" s="31" t="s">
        <v>39</v>
      </c>
      <c r="AK67" s="31" t="s">
        <v>41</v>
      </c>
      <c r="AL67" s="31" t="s">
        <v>41</v>
      </c>
      <c r="AM67" s="31" t="s">
        <v>41</v>
      </c>
      <c r="AN67" s="32" t="s">
        <v>822</v>
      </c>
      <c r="AO67" s="32" t="s">
        <v>823</v>
      </c>
      <c r="AP67" s="30">
        <v>42239.569120370368</v>
      </c>
      <c r="AQ67" s="30">
        <v>42239.584930555553</v>
      </c>
      <c r="AR67" s="92">
        <v>42240.348402777781</v>
      </c>
      <c r="AS67" s="92" t="s">
        <v>651</v>
      </c>
      <c r="AT67" s="144">
        <v>33.470700000000001</v>
      </c>
      <c r="AU67" s="144">
        <v>-118.86239999999999</v>
      </c>
      <c r="AV67" s="142" t="s">
        <v>339</v>
      </c>
      <c r="AW67" s="106" t="s">
        <v>313</v>
      </c>
      <c r="AX67" s="30">
        <v>42240.379155092596</v>
      </c>
      <c r="AY67" s="107">
        <v>33.357678815</v>
      </c>
      <c r="AZ67" s="107">
        <v>-118.727532596</v>
      </c>
      <c r="BA67" s="32" t="s">
        <v>824</v>
      </c>
      <c r="BB67" s="49" t="s">
        <v>196</v>
      </c>
      <c r="BC67" s="7"/>
      <c r="BD67" s="7"/>
      <c r="BE67" s="7"/>
      <c r="BF67" s="7"/>
      <c r="BG67" s="7"/>
    </row>
    <row r="68" spans="1:59">
      <c r="A68" s="55" t="str">
        <f>HYPERLINK("tag_data/Quicklook/bw160222-12Quicklook.jpg","bw160222-12")</f>
        <v>bw160222-12</v>
      </c>
      <c r="B68" s="26" t="str">
        <f t="shared" si="18"/>
        <v>bw</v>
      </c>
      <c r="C68" s="42" t="str">
        <f>HYPERLINK("location data/Chile/2016/","Chile")</f>
        <v>Chile</v>
      </c>
      <c r="D68" s="64" t="s">
        <v>515</v>
      </c>
      <c r="E68" s="61" t="s">
        <v>516</v>
      </c>
      <c r="F68" s="85">
        <v>-3</v>
      </c>
      <c r="G68" s="59" t="s">
        <v>525</v>
      </c>
      <c r="H68" s="31" t="s">
        <v>424</v>
      </c>
      <c r="I68" s="42" t="str">
        <f>HYPERLINK("tag_data/bw160222-12 (Chile)","Link")</f>
        <v>Link</v>
      </c>
      <c r="J68" s="42" t="str">
        <f>HYPERLINK("tag_data_raw/Chile/2016/bw160222-12","Link")</f>
        <v>Link</v>
      </c>
      <c r="K68" s="41" t="s">
        <v>263</v>
      </c>
      <c r="L68" s="41" t="s">
        <v>263</v>
      </c>
      <c r="M68" s="41" t="s">
        <v>263</v>
      </c>
      <c r="N68" s="42" t="str">
        <f>HYPERLINK("location data/Chile/2016/Logger2016_Chile/Chile_16.mdb","Link")</f>
        <v>Link</v>
      </c>
      <c r="O68" s="31" t="s">
        <v>963</v>
      </c>
      <c r="P68" s="111" t="s">
        <v>966</v>
      </c>
      <c r="Q68" s="31">
        <v>12</v>
      </c>
      <c r="R68" s="32" t="s">
        <v>133</v>
      </c>
      <c r="S68" s="32" t="str">
        <f t="shared" si="17"/>
        <v>Cam Mic</v>
      </c>
      <c r="T68" s="32" t="s">
        <v>973</v>
      </c>
      <c r="U68" s="17">
        <f t="shared" si="20"/>
        <v>0.52590138888626825</v>
      </c>
      <c r="V68" s="17">
        <f t="shared" si="21"/>
        <v>0.52590138888626825</v>
      </c>
      <c r="W68" s="56">
        <v>8.9074074074074083E-2</v>
      </c>
      <c r="X68" s="31">
        <v>0</v>
      </c>
      <c r="Y68" s="31"/>
      <c r="Z68" s="31" t="s">
        <v>39</v>
      </c>
      <c r="AA68" s="31" t="s">
        <v>41</v>
      </c>
      <c r="AB68" s="31" t="s">
        <v>277</v>
      </c>
      <c r="AC68" s="31" t="s">
        <v>39</v>
      </c>
      <c r="AD68" s="31" t="s">
        <v>41</v>
      </c>
      <c r="AE68" s="31" t="s">
        <v>41</v>
      </c>
      <c r="AF68" s="31" t="s">
        <v>41</v>
      </c>
      <c r="AG68" s="31" t="s">
        <v>41</v>
      </c>
      <c r="AH68" s="31" t="s">
        <v>41</v>
      </c>
      <c r="AI68" s="31" t="s">
        <v>39</v>
      </c>
      <c r="AJ68" s="31" t="s">
        <v>41</v>
      </c>
      <c r="AK68" s="31" t="s">
        <v>39</v>
      </c>
      <c r="AL68" s="31" t="s">
        <v>41</v>
      </c>
      <c r="AM68" s="31" t="s">
        <v>41</v>
      </c>
      <c r="AN68" s="32" t="s">
        <v>972</v>
      </c>
      <c r="AO68" s="32" t="s">
        <v>962</v>
      </c>
      <c r="AP68" s="30">
        <v>42422.479826157411</v>
      </c>
      <c r="AQ68" s="30">
        <v>42422.495208333334</v>
      </c>
      <c r="AR68" s="30">
        <v>42423.02110972222</v>
      </c>
      <c r="AS68" s="92" t="s">
        <v>651</v>
      </c>
      <c r="AT68" s="144">
        <v>-42.852150000000002</v>
      </c>
      <c r="AU68" s="144">
        <v>-72.870500000000007</v>
      </c>
      <c r="AV68" s="142" t="s">
        <v>961</v>
      </c>
      <c r="AW68" s="142" t="s">
        <v>961</v>
      </c>
      <c r="AX68" s="30">
        <v>42423.339583333334</v>
      </c>
      <c r="AY68" s="107">
        <v>-42.569049999999997</v>
      </c>
      <c r="AZ68" s="107">
        <v>-72.885670000000005</v>
      </c>
      <c r="BA68" s="32" t="s">
        <v>971</v>
      </c>
      <c r="BB68" s="49" t="s">
        <v>199</v>
      </c>
      <c r="BC68" s="7"/>
      <c r="BD68" s="7"/>
      <c r="BE68" s="7"/>
      <c r="BF68" s="7"/>
      <c r="BG68" s="7"/>
    </row>
    <row r="69" spans="1:59">
      <c r="A69" s="55" t="str">
        <f>HYPERLINK("tag_data/Quicklook/bw160224-8Quicklook.jpg","bw160224-8")</f>
        <v>bw160224-8</v>
      </c>
      <c r="B69" s="26" t="str">
        <f t="shared" si="18"/>
        <v>bw</v>
      </c>
      <c r="C69" s="42" t="str">
        <f>HYPERLINK("location data/Chile/2016/","Chile")</f>
        <v>Chile</v>
      </c>
      <c r="D69" s="64" t="s">
        <v>515</v>
      </c>
      <c r="E69" s="61" t="s">
        <v>516</v>
      </c>
      <c r="F69" s="85">
        <v>-3</v>
      </c>
      <c r="G69" s="59" t="s">
        <v>525</v>
      </c>
      <c r="H69" s="31" t="s">
        <v>39</v>
      </c>
      <c r="I69" s="42" t="str">
        <f>HYPERLINK("tag_data/bw160224-8 (Chile)","Link")</f>
        <v>Link</v>
      </c>
      <c r="J69" s="42" t="str">
        <f>HYPERLINK("tag_data_raw/Chile/2016/bw160224-8","Link")</f>
        <v>Link</v>
      </c>
      <c r="K69" s="41" t="s">
        <v>263</v>
      </c>
      <c r="L69" s="41" t="s">
        <v>263</v>
      </c>
      <c r="M69" s="41" t="s">
        <v>263</v>
      </c>
      <c r="N69" s="42" t="str">
        <f>HYPERLINK("location data/Chile/2016/Logger2016_Chile/Chile_16.mdb","Link")</f>
        <v>Link</v>
      </c>
      <c r="O69" s="31" t="s">
        <v>964</v>
      </c>
      <c r="P69" s="111" t="s">
        <v>967</v>
      </c>
      <c r="Q69" s="31">
        <v>8</v>
      </c>
      <c r="R69" s="32" t="s">
        <v>133</v>
      </c>
      <c r="S69" s="32" t="str">
        <f t="shared" si="17"/>
        <v>Cam Mic</v>
      </c>
      <c r="T69" s="32" t="s">
        <v>973</v>
      </c>
      <c r="U69" s="17">
        <f t="shared" si="20"/>
        <v>1.08363425925927</v>
      </c>
      <c r="V69" s="17">
        <f t="shared" si="21"/>
        <v>1.08363425925927</v>
      </c>
      <c r="W69" s="56">
        <v>0.24275462962962965</v>
      </c>
      <c r="X69" s="31">
        <v>0</v>
      </c>
      <c r="Y69" s="31"/>
      <c r="Z69" s="31" t="s">
        <v>39</v>
      </c>
      <c r="AA69" s="31" t="s">
        <v>39</v>
      </c>
      <c r="AB69" s="31" t="s">
        <v>277</v>
      </c>
      <c r="AC69" s="31" t="s">
        <v>39</v>
      </c>
      <c r="AD69" s="31" t="s">
        <v>39</v>
      </c>
      <c r="AE69" s="31" t="s">
        <v>41</v>
      </c>
      <c r="AF69" s="31" t="s">
        <v>41</v>
      </c>
      <c r="AG69" s="31" t="s">
        <v>41</v>
      </c>
      <c r="AH69" s="31" t="s">
        <v>41</v>
      </c>
      <c r="AI69" s="31" t="s">
        <v>39</v>
      </c>
      <c r="AJ69" s="31" t="s">
        <v>41</v>
      </c>
      <c r="AK69" s="31" t="s">
        <v>41</v>
      </c>
      <c r="AL69" s="31" t="s">
        <v>41</v>
      </c>
      <c r="AM69" s="31" t="s">
        <v>41</v>
      </c>
      <c r="AN69" s="32" t="s">
        <v>940</v>
      </c>
      <c r="AO69" s="32" t="s">
        <v>962</v>
      </c>
      <c r="AP69" s="30">
        <v>42424.450798611113</v>
      </c>
      <c r="AQ69" s="30">
        <v>42424.455069444448</v>
      </c>
      <c r="AR69" s="30">
        <v>42425.538703703707</v>
      </c>
      <c r="AS69" s="92" t="s">
        <v>651</v>
      </c>
      <c r="AT69" s="144">
        <v>-42.622909999999997</v>
      </c>
      <c r="AU69" s="144">
        <v>-72.90034</v>
      </c>
      <c r="AV69" s="142" t="s">
        <v>961</v>
      </c>
      <c r="AW69" s="142" t="s">
        <v>961</v>
      </c>
      <c r="AX69" s="30">
        <v>42425.556250000001</v>
      </c>
      <c r="AY69" s="107">
        <v>-42.724049999999998</v>
      </c>
      <c r="AZ69" s="107">
        <v>-72.894810000000007</v>
      </c>
      <c r="BA69" s="32" t="s">
        <v>1015</v>
      </c>
      <c r="BB69" s="49" t="s">
        <v>1279</v>
      </c>
      <c r="BC69" s="7"/>
      <c r="BD69" s="7"/>
      <c r="BE69" s="7"/>
      <c r="BF69" s="7"/>
      <c r="BG69" s="7"/>
    </row>
    <row r="70" spans="1:59">
      <c r="A70" s="55" t="str">
        <f>HYPERLINK("tag_data/Quicklook/bw160228-12Quicklook.jpg","bw160228-12")</f>
        <v>bw160228-12</v>
      </c>
      <c r="B70" s="26" t="str">
        <f t="shared" si="18"/>
        <v>bw</v>
      </c>
      <c r="C70" s="42" t="str">
        <f>HYPERLINK("location data/Chile/2016/","Chile")</f>
        <v>Chile</v>
      </c>
      <c r="D70" s="64" t="s">
        <v>515</v>
      </c>
      <c r="E70" s="61" t="s">
        <v>516</v>
      </c>
      <c r="F70" s="85">
        <v>-3</v>
      </c>
      <c r="G70" s="59" t="s">
        <v>525</v>
      </c>
      <c r="H70" s="31" t="s">
        <v>39</v>
      </c>
      <c r="I70" s="42" t="str">
        <f>HYPERLINK("tag_data/bw160228-12 (Chile)","Link")</f>
        <v>Link</v>
      </c>
      <c r="J70" s="42" t="str">
        <f>HYPERLINK("tag_data_raw/Chile/2016/bw160228-12","Link")</f>
        <v>Link</v>
      </c>
      <c r="K70" s="41" t="s">
        <v>263</v>
      </c>
      <c r="L70" s="41" t="s">
        <v>263</v>
      </c>
      <c r="M70" s="41" t="s">
        <v>263</v>
      </c>
      <c r="N70" s="42" t="str">
        <f>HYPERLINK("location data/Chile/2016/Logger2016_Chile/Chile_16.mdb","Link")</f>
        <v>Link</v>
      </c>
      <c r="O70" s="31" t="s">
        <v>965</v>
      </c>
      <c r="P70" s="111" t="s">
        <v>968</v>
      </c>
      <c r="Q70" s="31">
        <v>12</v>
      </c>
      <c r="R70" s="32" t="s">
        <v>133</v>
      </c>
      <c r="S70" s="32" t="str">
        <f t="shared" si="17"/>
        <v>Cam Mic</v>
      </c>
      <c r="T70" s="32" t="s">
        <v>983</v>
      </c>
      <c r="U70" s="17">
        <f t="shared" si="20"/>
        <v>4.0300925931660458E-2</v>
      </c>
      <c r="V70" s="17">
        <f t="shared" si="21"/>
        <v>4.0300925931660458E-2</v>
      </c>
      <c r="W70" s="56">
        <v>4.027777777777778E-2</v>
      </c>
      <c r="X70" s="31">
        <v>0</v>
      </c>
      <c r="Y70" s="31"/>
      <c r="Z70" s="31" t="s">
        <v>39</v>
      </c>
      <c r="AA70" s="31" t="s">
        <v>41</v>
      </c>
      <c r="AB70" s="31" t="s">
        <v>277</v>
      </c>
      <c r="AC70" s="31" t="s">
        <v>39</v>
      </c>
      <c r="AD70" s="31" t="s">
        <v>41</v>
      </c>
      <c r="AE70" s="31" t="s">
        <v>266</v>
      </c>
      <c r="AF70" s="31" t="s">
        <v>39</v>
      </c>
      <c r="AG70" s="31" t="s">
        <v>41</v>
      </c>
      <c r="AH70" s="31" t="s">
        <v>41</v>
      </c>
      <c r="AI70" s="31" t="s">
        <v>39</v>
      </c>
      <c r="AJ70" s="31" t="s">
        <v>41</v>
      </c>
      <c r="AK70" s="31" t="s">
        <v>41</v>
      </c>
      <c r="AL70" s="31" t="s">
        <v>41</v>
      </c>
      <c r="AM70" s="31" t="s">
        <v>41</v>
      </c>
      <c r="AN70" s="32" t="s">
        <v>982</v>
      </c>
      <c r="AO70" s="32" t="s">
        <v>962</v>
      </c>
      <c r="AP70" s="30">
        <v>42428.692650462966</v>
      </c>
      <c r="AQ70" s="30">
        <v>42428.696076388886</v>
      </c>
      <c r="AR70" s="30">
        <v>42428.736377314817</v>
      </c>
      <c r="AS70" s="92" t="s">
        <v>651</v>
      </c>
      <c r="AT70" s="144">
        <v>-43.023240000000001</v>
      </c>
      <c r="AU70" s="144">
        <v>-72.916030000000006</v>
      </c>
      <c r="AV70" s="142" t="s">
        <v>961</v>
      </c>
      <c r="AW70" s="142" t="s">
        <v>961</v>
      </c>
      <c r="AX70" s="30">
        <v>42428.756944444445</v>
      </c>
      <c r="AY70" s="107">
        <v>-42.97625</v>
      </c>
      <c r="AZ70" s="107">
        <v>-72.907679999999999</v>
      </c>
      <c r="BA70" s="32" t="s">
        <v>981</v>
      </c>
      <c r="BB70" s="49" t="s">
        <v>1280</v>
      </c>
      <c r="BC70" s="7"/>
      <c r="BD70" s="7"/>
      <c r="BE70" s="7"/>
      <c r="BF70" s="7"/>
      <c r="BG70" s="7"/>
    </row>
    <row r="71" spans="1:59">
      <c r="A71" s="55" t="str">
        <f>HYPERLINK("tag_data/Quicklook/bw160229-8Quicklook.jpg","bw160229-8")</f>
        <v>bw160229-8</v>
      </c>
      <c r="B71" s="26" t="str">
        <f t="shared" si="18"/>
        <v>bw</v>
      </c>
      <c r="C71" s="42" t="str">
        <f>HYPERLINK("location data/Chile/2016/","Chile")</f>
        <v>Chile</v>
      </c>
      <c r="D71" s="64" t="s">
        <v>515</v>
      </c>
      <c r="E71" s="61" t="s">
        <v>516</v>
      </c>
      <c r="F71" s="85">
        <v>-3</v>
      </c>
      <c r="G71" s="59" t="s">
        <v>525</v>
      </c>
      <c r="H71" s="31" t="s">
        <v>39</v>
      </c>
      <c r="I71" s="42" t="str">
        <f>HYPERLINK("tag_data/bw160229-8 (Chile)","Link")</f>
        <v>Link</v>
      </c>
      <c r="J71" s="42" t="str">
        <f>HYPERLINK("tag_data_raw/Chile/2016/bw160229-8","Link")</f>
        <v>Link</v>
      </c>
      <c r="K71" s="41" t="s">
        <v>263</v>
      </c>
      <c r="L71" s="41" t="s">
        <v>263</v>
      </c>
      <c r="M71" s="41" t="s">
        <v>263</v>
      </c>
      <c r="N71" s="42" t="str">
        <f>HYPERLINK("location data/Chile/2016/Logger2016_Chile/Chile_16.mdb","Link")</f>
        <v>Link</v>
      </c>
      <c r="O71" s="31" t="s">
        <v>965</v>
      </c>
      <c r="P71" s="111" t="s">
        <v>968</v>
      </c>
      <c r="Q71" s="31">
        <v>8</v>
      </c>
      <c r="R71" s="32" t="s">
        <v>133</v>
      </c>
      <c r="S71" s="32" t="str">
        <f t="shared" si="17"/>
        <v>Cam Mic</v>
      </c>
      <c r="T71" s="32" t="s">
        <v>1004</v>
      </c>
      <c r="U71" s="17">
        <f t="shared" si="20"/>
        <v>0.20196759259124519</v>
      </c>
      <c r="V71" s="17">
        <f t="shared" si="21"/>
        <v>0.20196759259124519</v>
      </c>
      <c r="W71" s="56">
        <v>0.20190972222222223</v>
      </c>
      <c r="X71" s="31">
        <v>0</v>
      </c>
      <c r="Y71" s="31"/>
      <c r="Z71" s="31" t="s">
        <v>39</v>
      </c>
      <c r="AA71" s="31" t="s">
        <v>41</v>
      </c>
      <c r="AB71" s="31" t="s">
        <v>277</v>
      </c>
      <c r="AC71" s="31" t="s">
        <v>39</v>
      </c>
      <c r="AD71" s="31" t="s">
        <v>41</v>
      </c>
      <c r="AE71" s="31" t="s">
        <v>41</v>
      </c>
      <c r="AF71" s="31" t="s">
        <v>41</v>
      </c>
      <c r="AG71" s="31" t="s">
        <v>41</v>
      </c>
      <c r="AH71" s="31" t="s">
        <v>41</v>
      </c>
      <c r="AI71" s="31" t="s">
        <v>39</v>
      </c>
      <c r="AJ71" s="31" t="s">
        <v>41</v>
      </c>
      <c r="AK71" s="31" t="s">
        <v>41</v>
      </c>
      <c r="AL71" s="31" t="s">
        <v>39</v>
      </c>
      <c r="AM71" s="31" t="s">
        <v>41</v>
      </c>
      <c r="AN71" s="32" t="s">
        <v>1003</v>
      </c>
      <c r="AO71" s="32" t="s">
        <v>962</v>
      </c>
      <c r="AP71" s="30">
        <v>42429.429027777776</v>
      </c>
      <c r="AQ71" s="30">
        <v>42429.454467592594</v>
      </c>
      <c r="AR71" s="30">
        <v>42429.656435185185</v>
      </c>
      <c r="AS71" s="92" t="s">
        <v>651</v>
      </c>
      <c r="AT71" s="144">
        <v>-43.087069999999997</v>
      </c>
      <c r="AU71" s="144">
        <v>-72.975560000000002</v>
      </c>
      <c r="AV71" s="142" t="s">
        <v>961</v>
      </c>
      <c r="AW71" s="142" t="s">
        <v>961</v>
      </c>
      <c r="AX71" s="30">
        <v>42429.818749999999</v>
      </c>
      <c r="AY71" s="107">
        <v>-43.022399999999998</v>
      </c>
      <c r="AZ71" s="107">
        <v>-72.98124</v>
      </c>
      <c r="BA71" s="32" t="s">
        <v>1014</v>
      </c>
      <c r="BB71" s="49" t="s">
        <v>200</v>
      </c>
      <c r="BC71" s="7"/>
      <c r="BD71" s="7"/>
      <c r="BE71" s="7"/>
      <c r="BF71" s="7"/>
      <c r="BG71" s="7"/>
    </row>
    <row r="72" spans="1:59">
      <c r="A72" s="55" t="str">
        <f>HYPERLINK("tag_data/Quicklook/bw160725-3Quicklook.jpg","bw160725-3")</f>
        <v>bw160725-3</v>
      </c>
      <c r="B72" s="26" t="str">
        <f t="shared" si="18"/>
        <v>bw</v>
      </c>
      <c r="C72" s="42" t="str">
        <f>HYPERLINK("location data/Monterey/2016/","Monterey")</f>
        <v>Monterey</v>
      </c>
      <c r="D72" s="64" t="s">
        <v>465</v>
      </c>
      <c r="E72" s="61" t="s">
        <v>466</v>
      </c>
      <c r="F72" s="85">
        <v>-7</v>
      </c>
      <c r="G72" s="60" t="s">
        <v>455</v>
      </c>
      <c r="H72" s="31" t="s">
        <v>39</v>
      </c>
      <c r="I72" s="42" t="str">
        <f>HYPERLINK("tag_data/bw160725-3 (Monterey)","Link")</f>
        <v>Link</v>
      </c>
      <c r="J72" s="42" t="str">
        <f>HYPERLINK("tag_data_raw/Monterey/2016/bw160725-3","Link")</f>
        <v>Link</v>
      </c>
      <c r="K72" s="42" t="str">
        <f>HYPERLINK("tag_data/bw160725-3 (Monterey)/Pics&amp;Vids","Link")</f>
        <v>Link</v>
      </c>
      <c r="L72" s="41" t="s">
        <v>263</v>
      </c>
      <c r="M72" s="41" t="s">
        <v>263</v>
      </c>
      <c r="N72" s="42" t="str">
        <f>HYPERLINK("location data/Monterey/2016/Notes/July/20160725-MUS.mdb","Link")</f>
        <v>Link</v>
      </c>
      <c r="O72" s="31" t="s">
        <v>45</v>
      </c>
      <c r="P72" s="31" t="s">
        <v>41</v>
      </c>
      <c r="Q72" s="31">
        <v>3</v>
      </c>
      <c r="R72" s="32" t="s">
        <v>34</v>
      </c>
      <c r="S72" s="32" t="str">
        <f t="shared" si="17"/>
        <v>Cam Mic</v>
      </c>
      <c r="T72" s="32" t="s">
        <v>371</v>
      </c>
      <c r="U72" s="17">
        <f t="shared" si="20"/>
        <v>4.2905092588625848E-2</v>
      </c>
      <c r="V72" s="17">
        <f t="shared" si="21"/>
        <v>4.2905092588625848E-2</v>
      </c>
      <c r="W72" s="56">
        <v>3.2743055555555553E-2</v>
      </c>
      <c r="X72" s="31" t="s">
        <v>263</v>
      </c>
      <c r="Y72" s="31"/>
      <c r="Z72" s="31" t="s">
        <v>39</v>
      </c>
      <c r="AA72" s="31" t="s">
        <v>41</v>
      </c>
      <c r="AB72" s="31" t="s">
        <v>277</v>
      </c>
      <c r="AC72" s="33" t="s">
        <v>1078</v>
      </c>
      <c r="AD72" s="31" t="s">
        <v>41</v>
      </c>
      <c r="AE72" s="31" t="s">
        <v>41</v>
      </c>
      <c r="AF72" s="31" t="s">
        <v>41</v>
      </c>
      <c r="AG72" s="31" t="s">
        <v>41</v>
      </c>
      <c r="AH72" s="31" t="s">
        <v>41</v>
      </c>
      <c r="AI72" s="31" t="s">
        <v>39</v>
      </c>
      <c r="AJ72" s="31" t="s">
        <v>39</v>
      </c>
      <c r="AK72" s="31" t="s">
        <v>39</v>
      </c>
      <c r="AL72" s="31" t="s">
        <v>41</v>
      </c>
      <c r="AM72" s="31" t="s">
        <v>41</v>
      </c>
      <c r="AN72" s="32" t="s">
        <v>371</v>
      </c>
      <c r="AO72" s="32" t="s">
        <v>463</v>
      </c>
      <c r="AP72" s="30">
        <v>42576.388611111113</v>
      </c>
      <c r="AQ72" s="30">
        <v>42576.415405092594</v>
      </c>
      <c r="AR72" s="92">
        <v>42576.458310185182</v>
      </c>
      <c r="AS72" s="92" t="s">
        <v>651</v>
      </c>
      <c r="AT72" s="107">
        <v>36.847368618473404</v>
      </c>
      <c r="AU72" s="107">
        <v>-121.9472379517</v>
      </c>
      <c r="AV72" s="142" t="s">
        <v>312</v>
      </c>
      <c r="AW72" s="106" t="s">
        <v>312</v>
      </c>
      <c r="AX72" s="30">
        <v>42576.468055555553</v>
      </c>
      <c r="AY72" s="107">
        <v>36.810605172067802</v>
      </c>
      <c r="AZ72" s="107">
        <v>-121.968698557466</v>
      </c>
      <c r="BA72" s="32" t="s">
        <v>1036</v>
      </c>
      <c r="BB72" s="49" t="s">
        <v>201</v>
      </c>
      <c r="BC72" s="7"/>
      <c r="BD72" s="7"/>
      <c r="BE72" s="7"/>
      <c r="BF72" s="7"/>
      <c r="BG72" s="7"/>
    </row>
    <row r="73" spans="1:59">
      <c r="A73" s="55" t="str">
        <f>HYPERLINK("tag_data/Quicklook/bw160726-10Quicklook.jpg","bw160726-10")</f>
        <v>bw160726-10</v>
      </c>
      <c r="B73" s="26" t="str">
        <f t="shared" si="18"/>
        <v>bw</v>
      </c>
      <c r="C73" s="42" t="str">
        <f>HYPERLINK("location data/Monterey/2016/","Monterey")</f>
        <v>Monterey</v>
      </c>
      <c r="D73" s="64" t="s">
        <v>465</v>
      </c>
      <c r="E73" s="61" t="s">
        <v>466</v>
      </c>
      <c r="F73" s="85">
        <v>-7</v>
      </c>
      <c r="G73" s="60" t="s">
        <v>455</v>
      </c>
      <c r="H73" s="31" t="s">
        <v>39</v>
      </c>
      <c r="I73" s="42" t="str">
        <f>HYPERLINK("tag_data/bw160726-10 (Monterey)","Link")</f>
        <v>Link</v>
      </c>
      <c r="J73" s="42" t="str">
        <f>HYPERLINK("tag_data_raw/Monterey/2016/bw160726-10","Link")</f>
        <v>Link</v>
      </c>
      <c r="K73" s="42" t="str">
        <f>HYPERLINK("tag_data/bw160726-10 (Monterey)/Pics&amp;Vids","Link")</f>
        <v>Link</v>
      </c>
      <c r="L73" s="54" t="str">
        <f>HYPERLINK("location data/Monterey/2016/Pics and Videos/07.26/20160726-MUS-Bm deployment-GOPR0035.MP4","Link")</f>
        <v>Link</v>
      </c>
      <c r="M73" s="41" t="s">
        <v>263</v>
      </c>
      <c r="N73" s="42" t="str">
        <f>HYPERLINK("location data/Monterey/2016/Notes/July/20160726-MUS.mdb","Link")</f>
        <v>Link</v>
      </c>
      <c r="O73" s="31" t="s">
        <v>45</v>
      </c>
      <c r="P73" s="31" t="s">
        <v>41</v>
      </c>
      <c r="Q73" s="31">
        <v>10</v>
      </c>
      <c r="R73" s="32" t="s">
        <v>133</v>
      </c>
      <c r="S73" s="32" t="s">
        <v>1393</v>
      </c>
      <c r="T73" s="32" t="s">
        <v>973</v>
      </c>
      <c r="U73" s="17">
        <f t="shared" si="20"/>
        <v>7.8587962343590334E-4</v>
      </c>
      <c r="V73" s="17">
        <f t="shared" si="21"/>
        <v>7.8587962343590334E-4</v>
      </c>
      <c r="W73" s="56">
        <f>V73</f>
        <v>7.8587962343590334E-4</v>
      </c>
      <c r="X73" s="42" t="str">
        <f>HYPERLINK("tag_data/bw160726-10 (Monterey)/bw160726-10 Map.bmp","0")</f>
        <v>0</v>
      </c>
      <c r="Y73" s="31"/>
      <c r="Z73" s="31" t="s">
        <v>41</v>
      </c>
      <c r="AA73" s="31" t="s">
        <v>41</v>
      </c>
      <c r="AB73" s="31" t="s">
        <v>263</v>
      </c>
      <c r="AC73" s="31" t="s">
        <v>39</v>
      </c>
      <c r="AD73" s="31" t="s">
        <v>41</v>
      </c>
      <c r="AE73" s="31" t="s">
        <v>41</v>
      </c>
      <c r="AF73" s="31" t="s">
        <v>41</v>
      </c>
      <c r="AG73" s="31" t="s">
        <v>41</v>
      </c>
      <c r="AH73" s="31" t="s">
        <v>41</v>
      </c>
      <c r="AI73" s="31" t="s">
        <v>39</v>
      </c>
      <c r="AJ73" s="31" t="s">
        <v>39</v>
      </c>
      <c r="AK73" s="31" t="s">
        <v>39</v>
      </c>
      <c r="AL73" s="31" t="s">
        <v>41</v>
      </c>
      <c r="AM73" s="31" t="s">
        <v>41</v>
      </c>
      <c r="AN73" s="32" t="s">
        <v>1032</v>
      </c>
      <c r="AO73" s="32" t="s">
        <v>463</v>
      </c>
      <c r="AP73" s="30">
        <v>42577.374456018515</v>
      </c>
      <c r="AQ73" s="30">
        <v>42577.426805555559</v>
      </c>
      <c r="AR73" s="92">
        <v>42577.427591435182</v>
      </c>
      <c r="AS73" s="92" t="s">
        <v>651</v>
      </c>
      <c r="AT73" s="107">
        <v>36.866199999999999</v>
      </c>
      <c r="AU73" s="107">
        <v>-121.9618</v>
      </c>
      <c r="AV73" s="106" t="s">
        <v>313</v>
      </c>
      <c r="AW73" s="106" t="s">
        <v>313</v>
      </c>
      <c r="AX73" s="30">
        <v>42577.433333333334</v>
      </c>
      <c r="AY73" s="107">
        <v>36.866799999999998</v>
      </c>
      <c r="AZ73" s="107">
        <v>-121.9611</v>
      </c>
      <c r="BA73" s="32" t="s">
        <v>1031</v>
      </c>
      <c r="BB73" s="49" t="s">
        <v>202</v>
      </c>
      <c r="BC73" s="7"/>
      <c r="BD73" s="7"/>
      <c r="BE73" s="7"/>
      <c r="BF73" s="7"/>
      <c r="BG73" s="7"/>
    </row>
    <row r="74" spans="1:59" s="21" customFormat="1">
      <c r="A74" s="55" t="str">
        <f>HYPERLINK("tag_data/Quicklook/bw160727-10Quicklook.jpg","bw160727-10")</f>
        <v>bw160727-10</v>
      </c>
      <c r="B74" s="26" t="str">
        <f t="shared" si="18"/>
        <v>bw</v>
      </c>
      <c r="C74" s="42" t="str">
        <f>HYPERLINK("location data/Monterey/2016/","Monterey")</f>
        <v>Monterey</v>
      </c>
      <c r="D74" s="64" t="s">
        <v>465</v>
      </c>
      <c r="E74" s="61" t="s">
        <v>466</v>
      </c>
      <c r="F74" s="85">
        <v>-7</v>
      </c>
      <c r="G74" s="60" t="s">
        <v>455</v>
      </c>
      <c r="H74" s="31" t="s">
        <v>39</v>
      </c>
      <c r="I74" s="42" t="str">
        <f>HYPERLINK("tag_data/bw160727-10 (Monterey)","Link")</f>
        <v>Link</v>
      </c>
      <c r="J74" s="42" t="str">
        <f>HYPERLINK("tag_data_raw/Monterey/2016/bw160727-10","Link")</f>
        <v>Link</v>
      </c>
      <c r="K74" s="42" t="str">
        <f>HYPERLINK("tag_data/bw160727-10 (Monterey)/Pics&amp;Vids","Link")</f>
        <v>Link</v>
      </c>
      <c r="L74" s="54" t="str">
        <f>HYPERLINK("location data/Monterey/2016/Pics and Videos/07.27/BW deployment.MP4","Link")</f>
        <v>Link</v>
      </c>
      <c r="M74" s="41" t="s">
        <v>263</v>
      </c>
      <c r="N74" s="42" t="str">
        <f>HYPERLINK("location data/Monterey/2016/Notes/July/20160727-MUS.mdb","Link")</f>
        <v>Link</v>
      </c>
      <c r="O74" s="31" t="s">
        <v>45</v>
      </c>
      <c r="P74" s="31" t="s">
        <v>41</v>
      </c>
      <c r="Q74" s="31">
        <v>10</v>
      </c>
      <c r="R74" s="32" t="s">
        <v>133</v>
      </c>
      <c r="S74" s="32" t="s">
        <v>1393</v>
      </c>
      <c r="T74" s="32" t="s">
        <v>296</v>
      </c>
      <c r="U74" s="17">
        <f t="shared" si="20"/>
        <v>0.349016203705105</v>
      </c>
      <c r="V74" s="17">
        <f t="shared" si="21"/>
        <v>0.349016203705105</v>
      </c>
      <c r="W74" s="56">
        <v>0.21697916666666664</v>
      </c>
      <c r="X74" s="42" t="str">
        <f>HYPERLINK("tag_data/bw160727-10 (Monterey)/bw160727-10 Map.bmp","94")</f>
        <v>94</v>
      </c>
      <c r="Y74" s="31"/>
      <c r="Z74" s="31" t="s">
        <v>39</v>
      </c>
      <c r="AA74" s="31" t="s">
        <v>39</v>
      </c>
      <c r="AB74" s="31" t="s">
        <v>277</v>
      </c>
      <c r="AC74" s="31" t="s">
        <v>39</v>
      </c>
      <c r="AD74" s="31" t="s">
        <v>39</v>
      </c>
      <c r="AE74" s="31" t="s">
        <v>41</v>
      </c>
      <c r="AF74" s="31" t="s">
        <v>41</v>
      </c>
      <c r="AG74" s="31" t="s">
        <v>41</v>
      </c>
      <c r="AH74" s="31" t="s">
        <v>39</v>
      </c>
      <c r="AI74" s="31" t="s">
        <v>39</v>
      </c>
      <c r="AJ74" s="31" t="s">
        <v>39</v>
      </c>
      <c r="AK74" s="31" t="s">
        <v>39</v>
      </c>
      <c r="AL74" s="31" t="s">
        <v>41</v>
      </c>
      <c r="AM74" s="31" t="s">
        <v>41</v>
      </c>
      <c r="AN74" s="32" t="s">
        <v>462</v>
      </c>
      <c r="AO74" s="32" t="s">
        <v>463</v>
      </c>
      <c r="AP74" s="30">
        <v>42578.439560185187</v>
      </c>
      <c r="AQ74" s="30">
        <v>42578.445810185185</v>
      </c>
      <c r="AR74" s="30">
        <v>42578.79482638889</v>
      </c>
      <c r="AS74" s="92" t="s">
        <v>651</v>
      </c>
      <c r="AT74" s="107">
        <v>36.851199999999999</v>
      </c>
      <c r="AU74" s="107">
        <v>-121.9597</v>
      </c>
      <c r="AV74" s="106" t="s">
        <v>313</v>
      </c>
      <c r="AW74" s="106" t="s">
        <v>313</v>
      </c>
      <c r="AX74" s="30">
        <v>42579.352164351854</v>
      </c>
      <c r="AY74" s="107">
        <v>36.787199999999999</v>
      </c>
      <c r="AZ74" s="107">
        <v>-121.9284</v>
      </c>
      <c r="BA74" s="32" t="s">
        <v>1462</v>
      </c>
      <c r="BB74" s="49" t="s">
        <v>203</v>
      </c>
      <c r="BC74" s="7"/>
      <c r="BD74" s="7"/>
      <c r="BE74" s="32"/>
      <c r="BF74" s="32"/>
      <c r="BG74" s="32"/>
    </row>
    <row r="75" spans="1:59">
      <c r="A75" s="7" t="s">
        <v>171</v>
      </c>
      <c r="B75" s="26" t="str">
        <f t="shared" si="18"/>
        <v>bw</v>
      </c>
      <c r="C75" s="42" t="str">
        <f>HYPERLINK("location data/Monterey/2016/","Monterey")</f>
        <v>Monterey</v>
      </c>
      <c r="D75" s="64" t="s">
        <v>465</v>
      </c>
      <c r="E75" s="61" t="s">
        <v>466</v>
      </c>
      <c r="F75" s="85">
        <v>-7</v>
      </c>
      <c r="G75" s="60" t="s">
        <v>455</v>
      </c>
      <c r="H75" s="31" t="s">
        <v>41</v>
      </c>
      <c r="I75" s="42" t="str">
        <f>HYPERLINK("tag_data/bw160728-36a (Monterey- no prh)","Link")</f>
        <v>Link</v>
      </c>
      <c r="J75" s="42" t="str">
        <f>HYPERLINK("tag_data_raw/Monterey/2016/bw160728-36","Link")</f>
        <v>Link</v>
      </c>
      <c r="K75" s="41" t="s">
        <v>263</v>
      </c>
      <c r="L75" s="54" t="str">
        <f>HYPERLINK("location data/Monterey/2016/Pics and Videos/07.28/20160728-MUS-Bm contactno attach-GOPR0057.MP4","Link")</f>
        <v>Link</v>
      </c>
      <c r="M75" s="41" t="s">
        <v>263</v>
      </c>
      <c r="N75" s="42" t="str">
        <f>HYPERLINK("location data/Monterey/2016/Notes/July/20160728-MUS.mdb","Link")</f>
        <v>Link</v>
      </c>
      <c r="O75" s="31" t="s">
        <v>45</v>
      </c>
      <c r="P75" s="31" t="s">
        <v>41</v>
      </c>
      <c r="Q75" s="31">
        <v>36</v>
      </c>
      <c r="R75" s="32" t="s">
        <v>306</v>
      </c>
      <c r="S75" s="32" t="str">
        <f>IF(OR(Q75&lt;39,Q75=50,Q75=51,AND(OR(Q75=46,Q75=47),AQ75&gt;43313)),"Cam Mic",IF(AND(Q75&lt;45,AQ75&lt;42958),"Dolphin Ear",IF(AND(Q75&gt;44,NOT(OR(Q75=46,Q75=47,Q75=50,Q75=51))),"HTI","None")))</f>
        <v>Cam Mic</v>
      </c>
      <c r="T75" s="32" t="s">
        <v>295</v>
      </c>
      <c r="U75" s="17">
        <f t="shared" si="20"/>
        <v>3.4722223062999547E-5</v>
      </c>
      <c r="V75" s="17">
        <f t="shared" si="21"/>
        <v>3.4722223062999547E-5</v>
      </c>
      <c r="W75" s="56">
        <f>V75</f>
        <v>3.4722223062999547E-5</v>
      </c>
      <c r="X75" s="31">
        <v>0</v>
      </c>
      <c r="Y75" s="31"/>
      <c r="Z75" s="31" t="s">
        <v>41</v>
      </c>
      <c r="AA75" s="31" t="s">
        <v>41</v>
      </c>
      <c r="AB75" s="31" t="s">
        <v>263</v>
      </c>
      <c r="AC75" s="31" t="s">
        <v>41</v>
      </c>
      <c r="AD75" s="31" t="s">
        <v>41</v>
      </c>
      <c r="AE75" s="31" t="s">
        <v>41</v>
      </c>
      <c r="AF75" s="31" t="s">
        <v>41</v>
      </c>
      <c r="AG75" s="31" t="s">
        <v>41</v>
      </c>
      <c r="AH75" s="31" t="s">
        <v>41</v>
      </c>
      <c r="AI75" s="31" t="s">
        <v>41</v>
      </c>
      <c r="AJ75" s="31" t="s">
        <v>41</v>
      </c>
      <c r="AK75" s="31" t="s">
        <v>41</v>
      </c>
      <c r="AL75" s="31" t="s">
        <v>41</v>
      </c>
      <c r="AM75" s="31" t="s">
        <v>1033</v>
      </c>
      <c r="AN75" s="32" t="s">
        <v>1033</v>
      </c>
      <c r="AO75" s="32" t="s">
        <v>463</v>
      </c>
      <c r="AP75" s="30">
        <f>AP76</f>
        <v>42579.405960648146</v>
      </c>
      <c r="AQ75" s="30">
        <v>42579.441053240742</v>
      </c>
      <c r="AR75" s="30">
        <f>AQ75+3/24/60/60</f>
        <v>42579.441087962965</v>
      </c>
      <c r="AS75" s="92" t="s">
        <v>651</v>
      </c>
      <c r="AT75" s="107">
        <v>36.793300000000002</v>
      </c>
      <c r="AU75" s="107">
        <v>-121.9823</v>
      </c>
      <c r="AV75" s="106" t="s">
        <v>313</v>
      </c>
      <c r="AW75" s="106" t="s">
        <v>313</v>
      </c>
      <c r="AX75" s="30">
        <v>42579.442824074074</v>
      </c>
      <c r="AY75" s="107">
        <v>36.793300000000002</v>
      </c>
      <c r="AZ75" s="107">
        <v>-121.9823</v>
      </c>
      <c r="BA75" s="32" t="s">
        <v>1034</v>
      </c>
      <c r="BB75" s="32"/>
      <c r="BC75" s="7"/>
      <c r="BD75" s="7"/>
      <c r="BE75" s="7"/>
      <c r="BF75" s="7"/>
      <c r="BG75" s="7"/>
    </row>
    <row r="76" spans="1:59">
      <c r="A76" s="55" t="str">
        <f>HYPERLINK("tag_data/Quicklook/bw160728-36bQuicklook.jpg","bw160728-36b")</f>
        <v>bw160728-36b</v>
      </c>
      <c r="B76" s="26" t="str">
        <f t="shared" si="18"/>
        <v>bw</v>
      </c>
      <c r="C76" s="42" t="str">
        <f>HYPERLINK("location data/Monterey/2016/","Monterey")</f>
        <v>Monterey</v>
      </c>
      <c r="D76" s="64" t="s">
        <v>465</v>
      </c>
      <c r="E76" s="61" t="s">
        <v>466</v>
      </c>
      <c r="F76" s="85">
        <v>-7</v>
      </c>
      <c r="G76" s="60" t="s">
        <v>455</v>
      </c>
      <c r="H76" s="31" t="s">
        <v>39</v>
      </c>
      <c r="I76" s="42" t="str">
        <f>HYPERLINK("tag_data/bw160728-36b (Monterey)","Link")</f>
        <v>Link</v>
      </c>
      <c r="J76" s="42" t="str">
        <f>HYPERLINK("tag_data_raw/Monterey/2016/bw160728-36","Link")</f>
        <v>Link</v>
      </c>
      <c r="K76" s="46" t="str">
        <f>HYPERLINK("tag_data/bw160728-36b (Monterey)/Pics&amp;Vids","Link")</f>
        <v>Link</v>
      </c>
      <c r="L76" s="54" t="str">
        <f>HYPERLINK("location data/Monterey/2016/Pics and Videos/07.28/20160728-MUS-Bm Deployment-GOPR0049.MP4","Link")</f>
        <v>Link</v>
      </c>
      <c r="M76" s="41" t="s">
        <v>263</v>
      </c>
      <c r="N76" s="42" t="str">
        <f>HYPERLINK("location data/Monterey/2016/Notes/July/20160728-MUS.mdb","Link")</f>
        <v>Link</v>
      </c>
      <c r="O76" s="31" t="s">
        <v>45</v>
      </c>
      <c r="P76" s="31" t="s">
        <v>41</v>
      </c>
      <c r="Q76" s="31">
        <v>36</v>
      </c>
      <c r="R76" s="32" t="s">
        <v>306</v>
      </c>
      <c r="S76" s="32" t="str">
        <f>IF(OR(Q76&lt;39,Q76=50,Q76=51,AND(OR(Q76=46,Q76=47),AQ76&gt;43313)),"Cam Mic",IF(AND(Q76&lt;45,AQ76&lt;42958),"Dolphin Ear",IF(AND(Q76&gt;44,NOT(OR(Q76=46,Q76=47,Q76=50,Q76=51))),"HTI","None")))</f>
        <v>Cam Mic</v>
      </c>
      <c r="T76" s="32" t="s">
        <v>674</v>
      </c>
      <c r="U76" s="17">
        <f t="shared" si="20"/>
        <v>2.6320138887967914E-2</v>
      </c>
      <c r="V76" s="17">
        <f t="shared" si="21"/>
        <v>2.6320138887967914E-2</v>
      </c>
      <c r="W76" s="56">
        <v>2.071759259259259E-2</v>
      </c>
      <c r="X76" s="42" t="str">
        <f>HYPERLINK("tag_data/bw160728-36b (Monterey)/bw160728-36b Map.bmp","5")</f>
        <v>5</v>
      </c>
      <c r="Y76" s="31"/>
      <c r="Z76" s="31" t="s">
        <v>39</v>
      </c>
      <c r="AA76" s="31" t="s">
        <v>41</v>
      </c>
      <c r="AB76" s="31" t="s">
        <v>277</v>
      </c>
      <c r="AC76" s="33" t="s">
        <v>1078</v>
      </c>
      <c r="AD76" s="31" t="s">
        <v>41</v>
      </c>
      <c r="AE76" s="31" t="s">
        <v>41</v>
      </c>
      <c r="AF76" s="31" t="s">
        <v>41</v>
      </c>
      <c r="AG76" s="31" t="s">
        <v>41</v>
      </c>
      <c r="AH76" s="31" t="s">
        <v>41</v>
      </c>
      <c r="AI76" s="31" t="s">
        <v>39</v>
      </c>
      <c r="AJ76" s="31" t="s">
        <v>41</v>
      </c>
      <c r="AK76" s="31" t="s">
        <v>39</v>
      </c>
      <c r="AL76" s="31" t="s">
        <v>41</v>
      </c>
      <c r="AM76" s="31" t="s">
        <v>1035</v>
      </c>
      <c r="AN76" s="32" t="s">
        <v>876</v>
      </c>
      <c r="AO76" s="32" t="s">
        <v>463</v>
      </c>
      <c r="AP76" s="30">
        <v>42579.405960648146</v>
      </c>
      <c r="AQ76" s="30">
        <v>42579.45518449074</v>
      </c>
      <c r="AR76" s="92">
        <v>42579.481504629628</v>
      </c>
      <c r="AS76" s="92" t="s">
        <v>651</v>
      </c>
      <c r="AT76" s="107">
        <v>36.796100000000003</v>
      </c>
      <c r="AU76" s="107">
        <v>-121.9816</v>
      </c>
      <c r="AV76" s="106" t="s">
        <v>313</v>
      </c>
      <c r="AW76" s="106" t="s">
        <v>312</v>
      </c>
      <c r="AX76" s="30">
        <v>42579.513495370367</v>
      </c>
      <c r="AY76" s="107">
        <v>36.811790987000002</v>
      </c>
      <c r="AZ76" s="107">
        <v>-122.01103948399999</v>
      </c>
      <c r="BA76" s="32" t="s">
        <v>1037</v>
      </c>
      <c r="BB76" s="49" t="s">
        <v>1281</v>
      </c>
      <c r="BC76" s="7"/>
      <c r="BD76" s="7"/>
      <c r="BE76" s="7"/>
      <c r="BF76" s="7"/>
      <c r="BG76" s="7"/>
    </row>
    <row r="77" spans="1:59">
      <c r="A77" s="55" t="str">
        <f>HYPERLINK("tag_data/Quicklook/bw170619-36Quicklook.jpg","bw170619-36")</f>
        <v>bw170619-36</v>
      </c>
      <c r="B77" s="26" t="s">
        <v>338</v>
      </c>
      <c r="C77" s="46" t="str">
        <f>HYPERLINK("location data/SoCal/2017_BBC","SoCal")</f>
        <v>SoCal</v>
      </c>
      <c r="D77" s="65" t="s">
        <v>470</v>
      </c>
      <c r="E77" s="89" t="s">
        <v>599</v>
      </c>
      <c r="F77" s="86">
        <v>-7</v>
      </c>
      <c r="G77" s="60" t="s">
        <v>457</v>
      </c>
      <c r="H77" s="31" t="s">
        <v>424</v>
      </c>
      <c r="I77" s="46" t="str">
        <f>HYPERLINK("tag_data/bw170619-36 (SoCal_BBC)","Link")</f>
        <v>Link</v>
      </c>
      <c r="J77" s="46" t="str">
        <f>HYPERLINK("tag_data_raw/SoCal/2017_BBC/bw170619-36","Link")</f>
        <v>Link</v>
      </c>
      <c r="K77" s="46" t="str">
        <f>HYPERLINK("tag_data/bw170619-36 (SoCal_BBC)/Pics&amp;Vids","Link")</f>
        <v>Link</v>
      </c>
      <c r="L77" s="54" t="str">
        <f>HYPERLINK("location data/SoCal/2017_BBC/20170619-ZIP-Tag36-GOPR0280.MP4","Link")</f>
        <v>Link</v>
      </c>
      <c r="M77" s="41" t="s">
        <v>263</v>
      </c>
      <c r="N77" s="54" t="str">
        <f>HYPERLINK("location data/SoCal/2017_BBC/20170619-ZIP.mdb","Link")</f>
        <v>Link</v>
      </c>
      <c r="O77" s="31" t="s">
        <v>45</v>
      </c>
      <c r="P77" s="31" t="s">
        <v>266</v>
      </c>
      <c r="Q77" s="31">
        <v>36</v>
      </c>
      <c r="R77" s="32" t="s">
        <v>306</v>
      </c>
      <c r="S77" s="32" t="s">
        <v>1393</v>
      </c>
      <c r="T77" s="32" t="s">
        <v>263</v>
      </c>
      <c r="U77" s="17">
        <f t="shared" si="20"/>
        <v>1.5009490740776528</v>
      </c>
      <c r="V77" s="17">
        <f t="shared" si="21"/>
        <v>0.51674768518569181</v>
      </c>
      <c r="W77" s="56" t="s">
        <v>346</v>
      </c>
      <c r="X77" s="46" t="str">
        <f>HYPERLINK("tag_data/bw170619-36 (SoCal_BBC)/bw170619-36 Map.bmp","250")</f>
        <v>250</v>
      </c>
      <c r="Y77" s="31" t="s">
        <v>263</v>
      </c>
      <c r="Z77" s="31" t="s">
        <v>39</v>
      </c>
      <c r="AA77" s="31" t="s">
        <v>41</v>
      </c>
      <c r="AB77" s="31" t="s">
        <v>277</v>
      </c>
      <c r="AC77" s="31" t="s">
        <v>41</v>
      </c>
      <c r="AD77" s="31" t="s">
        <v>41</v>
      </c>
      <c r="AE77" s="31" t="s">
        <v>41</v>
      </c>
      <c r="AF77" s="31" t="s">
        <v>41</v>
      </c>
      <c r="AG77" s="31" t="s">
        <v>41</v>
      </c>
      <c r="AH77" s="31" t="s">
        <v>41</v>
      </c>
      <c r="AI77" s="31" t="s">
        <v>41</v>
      </c>
      <c r="AJ77" s="31" t="s">
        <v>41</v>
      </c>
      <c r="AK77" s="31" t="s">
        <v>41</v>
      </c>
      <c r="AL77" s="31" t="s">
        <v>41</v>
      </c>
      <c r="AM77" s="31" t="s">
        <v>41</v>
      </c>
      <c r="AN77" s="32" t="s">
        <v>363</v>
      </c>
      <c r="AO77" s="32" t="s">
        <v>364</v>
      </c>
      <c r="AP77" s="30">
        <v>42905.440289351849</v>
      </c>
      <c r="AQ77" s="30">
        <v>42905.499050925922</v>
      </c>
      <c r="AR77" s="30">
        <v>42907</v>
      </c>
      <c r="AS77" s="92">
        <v>42906.015798611108</v>
      </c>
      <c r="AT77" s="154">
        <f>37+7/60+29.2/60/60</f>
        <v>37.12477777777778</v>
      </c>
      <c r="AU77" s="155">
        <f>-119-51/60-4.7/60/60</f>
        <v>-119.85130555555556</v>
      </c>
      <c r="AV77" s="142" t="s">
        <v>339</v>
      </c>
      <c r="AW77" s="142" t="s">
        <v>339</v>
      </c>
      <c r="AX77" s="120">
        <v>42907.361643518518</v>
      </c>
      <c r="AY77" s="155">
        <v>34.215499999999999</v>
      </c>
      <c r="AZ77" s="155">
        <v>-119.75</v>
      </c>
      <c r="BA77" s="32" t="s">
        <v>633</v>
      </c>
      <c r="BB77" s="49" t="s">
        <v>362</v>
      </c>
      <c r="BC77" s="7"/>
      <c r="BD77" s="7"/>
      <c r="BE77" s="7"/>
      <c r="BF77" s="7"/>
      <c r="BG77" s="7"/>
    </row>
    <row r="78" spans="1:59">
      <c r="A78" s="55" t="str">
        <f>HYPERLINK("tag_data/Quicklook/bw170619-38aQuicklook.jpg","bw170619-38a")</f>
        <v>bw170619-38a</v>
      </c>
      <c r="B78" s="26" t="s">
        <v>338</v>
      </c>
      <c r="C78" s="46" t="str">
        <f>HYPERLINK("location data/SoCal/2017_BBC","SoCal")</f>
        <v>SoCal</v>
      </c>
      <c r="D78" s="65" t="s">
        <v>470</v>
      </c>
      <c r="E78" s="89" t="s">
        <v>599</v>
      </c>
      <c r="F78" s="86">
        <v>-7</v>
      </c>
      <c r="G78" s="60" t="s">
        <v>457</v>
      </c>
      <c r="H78" s="31" t="s">
        <v>39</v>
      </c>
      <c r="I78" s="46" t="str">
        <f>HYPERLINK("tag_data/bw170619-38a (SoCal_BBC)","Link")</f>
        <v>Link</v>
      </c>
      <c r="J78" s="46" t="str">
        <f>HYPERLINK("tag_data_raw/SoCal/2017_BBC/bw170619-38","Link")</f>
        <v>Link</v>
      </c>
      <c r="K78" s="46" t="str">
        <f>HYPERLINK("tag_data/bw170619-38a (SoCal_BBC)/Pics&amp;Vids","Link")</f>
        <v>Link</v>
      </c>
      <c r="L78" s="54" t="str">
        <f>HYPERLINK("location data/SoCal/2017_BBC/20170619-ZIP-ShortDeploy-FILE0014.MP4","Link")</f>
        <v>Link</v>
      </c>
      <c r="M78" s="41" t="s">
        <v>263</v>
      </c>
      <c r="N78" s="54" t="str">
        <f>HYPERLINK("location data/SoCal/2017_BBC/20170619-ZIP.mdb","Link")</f>
        <v>Link</v>
      </c>
      <c r="O78" s="31" t="s">
        <v>45</v>
      </c>
      <c r="P78" s="31" t="s">
        <v>266</v>
      </c>
      <c r="Q78" s="31">
        <f>LEFT(RIGHT(A78,LEN(A78)-FIND("-",A78)),MIN(SEARCH({"a","b","c","d","e","f","g","h","i","j","k","l","m","n","o","p","q","r","s","t","u","v","w","x","y","z"},RIGHT(A78,LEN(A78)-FIND("-",A78))&amp;"abcdefghijklmnopqrstuvwxyz"))-1)+1-1</f>
        <v>38</v>
      </c>
      <c r="R78" s="32" t="s">
        <v>306</v>
      </c>
      <c r="S78" s="32" t="str">
        <f t="shared" ref="S78:S83" si="22">IF(OR(Q78&lt;39,Q78=50,Q78=51,AND(OR(Q78=46,Q78=47),AQ78&gt;43313)),"Cam Mic",IF(AND(Q78&lt;45,AQ78&lt;42958),"Dolphin Ear",IF(AND(Q78&gt;44,NOT(OR(Q78=46,Q78=47,Q78=50,Q78=51))),"HTI","None")))</f>
        <v>Cam Mic</v>
      </c>
      <c r="T78" s="32" t="s">
        <v>639</v>
      </c>
      <c r="U78" s="17">
        <f t="shared" si="20"/>
        <v>3.0439814800047316E-3</v>
      </c>
      <c r="V78" s="17">
        <f t="shared" si="21"/>
        <v>3.0439814800047316E-3</v>
      </c>
      <c r="W78" s="56">
        <f>V78</f>
        <v>3.0439814800047316E-3</v>
      </c>
      <c r="X78" s="31">
        <v>0</v>
      </c>
      <c r="Y78" s="31"/>
      <c r="Z78" s="31" t="s">
        <v>41</v>
      </c>
      <c r="AA78" s="31" t="s">
        <v>41</v>
      </c>
      <c r="AB78" s="31" t="s">
        <v>263</v>
      </c>
      <c r="AC78" s="31" t="s">
        <v>41</v>
      </c>
      <c r="AD78" s="31" t="s">
        <v>41</v>
      </c>
      <c r="AE78" s="31" t="s">
        <v>41</v>
      </c>
      <c r="AF78" s="31" t="s">
        <v>41</v>
      </c>
      <c r="AG78" s="31" t="s">
        <v>41</v>
      </c>
      <c r="AH78" s="31" t="s">
        <v>41</v>
      </c>
      <c r="AI78" s="31" t="s">
        <v>41</v>
      </c>
      <c r="AJ78" s="31" t="s">
        <v>41</v>
      </c>
      <c r="AK78" s="31" t="s">
        <v>39</v>
      </c>
      <c r="AL78" s="31" t="s">
        <v>41</v>
      </c>
      <c r="AM78" s="31" t="s">
        <v>41</v>
      </c>
      <c r="AN78" s="32" t="s">
        <v>636</v>
      </c>
      <c r="AO78" s="32" t="s">
        <v>364</v>
      </c>
      <c r="AP78" s="30">
        <v>42905.504699074074</v>
      </c>
      <c r="AQ78" s="30">
        <v>42905.616805555554</v>
      </c>
      <c r="AR78" s="30">
        <v>42905.619849537034</v>
      </c>
      <c r="AS78" s="92" t="s">
        <v>651</v>
      </c>
      <c r="AT78" s="154">
        <v>34.1325</v>
      </c>
      <c r="AU78" s="155">
        <v>-119.6621</v>
      </c>
      <c r="AV78" s="142" t="s">
        <v>339</v>
      </c>
      <c r="AW78" s="104" t="s">
        <v>313</v>
      </c>
      <c r="AX78" s="120">
        <v>42905.624722222223</v>
      </c>
      <c r="AY78" s="155">
        <v>34.134999999999998</v>
      </c>
      <c r="AZ78" s="155">
        <v>-119.6691</v>
      </c>
      <c r="BA78" s="32" t="s">
        <v>635</v>
      </c>
      <c r="BB78" s="49" t="s">
        <v>634</v>
      </c>
      <c r="BC78" s="7"/>
      <c r="BD78" s="7"/>
      <c r="BE78" s="7"/>
      <c r="BF78" s="7"/>
      <c r="BG78" s="7"/>
    </row>
    <row r="79" spans="1:59">
      <c r="A79" s="55" t="str">
        <f>HYPERLINK("tag_data/Quicklook/bw170619-38cQuicklook.jpg","bw170619-38c")</f>
        <v>bw170619-38c</v>
      </c>
      <c r="B79" s="26" t="s">
        <v>338</v>
      </c>
      <c r="C79" s="46" t="str">
        <f>HYPERLINK("location data/SoCal/2017_BBC","SoCal")</f>
        <v>SoCal</v>
      </c>
      <c r="D79" s="65" t="s">
        <v>470</v>
      </c>
      <c r="E79" s="89" t="s">
        <v>599</v>
      </c>
      <c r="F79" s="86">
        <v>-7</v>
      </c>
      <c r="G79" s="60" t="s">
        <v>457</v>
      </c>
      <c r="H79" s="31" t="s">
        <v>39</v>
      </c>
      <c r="I79" s="46" t="str">
        <f>HYPERLINK("tag_data/bw170619-38c (SoCal_BBC)","Link")</f>
        <v>Link</v>
      </c>
      <c r="J79" s="46" t="str">
        <f>HYPERLINK("tag_data_raw/SoCal/2017_BBC/bw170619-38","Link")</f>
        <v>Link</v>
      </c>
      <c r="K79" s="46" t="str">
        <f>HYPERLINK("tag_data/bw170619-38c (SoCal_BBC)/Pics&amp;Vids","Link")</f>
        <v>Link</v>
      </c>
      <c r="L79" s="54" t="str">
        <f>HYPERLINK("location data/SoCal/2017_BBC/20170619-ZIP-Tag38-GOPR0288.MP4","Link")</f>
        <v>Link</v>
      </c>
      <c r="M79" s="41" t="s">
        <v>263</v>
      </c>
      <c r="N79" s="54" t="str">
        <f>HYPERLINK("location data/SoCal/2017_BBC/20170619-ZIP.mdb","Link")</f>
        <v>Link</v>
      </c>
      <c r="O79" s="31" t="s">
        <v>45</v>
      </c>
      <c r="P79" s="31" t="s">
        <v>266</v>
      </c>
      <c r="Q79" s="31">
        <f>LEFT(RIGHT(A79,LEN(A79)-FIND("-",A79)),MIN(SEARCH({"a","b","c","d","e","f","g","h","i","j","k","l","m","n","o","p","q","r","s","t","u","v","w","x","y","z"},RIGHT(A79,LEN(A79)-FIND("-",A79))&amp;"abcdefghijklmnopqrstuvwxyz"))-1)+1-1</f>
        <v>38</v>
      </c>
      <c r="R79" s="32" t="s">
        <v>306</v>
      </c>
      <c r="S79" s="32" t="str">
        <f t="shared" si="22"/>
        <v>Cam Mic</v>
      </c>
      <c r="T79" s="32" t="s">
        <v>533</v>
      </c>
      <c r="U79" s="17">
        <f t="shared" si="20"/>
        <v>0.10925925925403135</v>
      </c>
      <c r="V79" s="17">
        <f t="shared" si="21"/>
        <v>0.10925925925403135</v>
      </c>
      <c r="W79" s="56">
        <v>2.7592592592592596E-2</v>
      </c>
      <c r="X79" s="46" t="str">
        <f>HYPERLINK("tag_data/bw170619-38c (SoCal_BBC)/bw170619-38c Map.bmp","1")</f>
        <v>1</v>
      </c>
      <c r="Y79" s="31"/>
      <c r="Z79" s="31" t="s">
        <v>39</v>
      </c>
      <c r="AA79" s="31" t="s">
        <v>41</v>
      </c>
      <c r="AB79" s="31" t="s">
        <v>277</v>
      </c>
      <c r="AC79" s="31" t="s">
        <v>41</v>
      </c>
      <c r="AD79" s="31" t="s">
        <v>41</v>
      </c>
      <c r="AE79" s="31" t="s">
        <v>266</v>
      </c>
      <c r="AF79" s="31" t="s">
        <v>41</v>
      </c>
      <c r="AG79" s="31" t="s">
        <v>41</v>
      </c>
      <c r="AH79" s="31" t="s">
        <v>41</v>
      </c>
      <c r="AI79" s="31" t="s">
        <v>41</v>
      </c>
      <c r="AJ79" s="31" t="s">
        <v>41</v>
      </c>
      <c r="AK79" s="31" t="s">
        <v>41</v>
      </c>
      <c r="AL79" s="31" t="s">
        <v>41</v>
      </c>
      <c r="AM79" s="31" t="s">
        <v>41</v>
      </c>
      <c r="AN79" s="32" t="s">
        <v>637</v>
      </c>
      <c r="AO79" s="32" t="s">
        <v>364</v>
      </c>
      <c r="AP79" s="30">
        <v>42905.504699074074</v>
      </c>
      <c r="AQ79" s="30">
        <v>42905.640231481484</v>
      </c>
      <c r="AR79" s="30">
        <v>42905.749490740738</v>
      </c>
      <c r="AS79" s="92" t="s">
        <v>651</v>
      </c>
      <c r="AT79" s="154">
        <v>34.131700000000002</v>
      </c>
      <c r="AU79" s="155">
        <v>-119.6602</v>
      </c>
      <c r="AV79" s="142" t="s">
        <v>339</v>
      </c>
      <c r="AW79" s="104" t="s">
        <v>313</v>
      </c>
      <c r="AX79" s="120">
        <v>42906.587962962964</v>
      </c>
      <c r="AY79" s="155">
        <v>34.0839</v>
      </c>
      <c r="AZ79" s="155">
        <v>-119.553</v>
      </c>
      <c r="BA79" s="32" t="s">
        <v>638</v>
      </c>
      <c r="BB79" s="49" t="s">
        <v>600</v>
      </c>
      <c r="BC79" s="7"/>
      <c r="BD79" s="7"/>
      <c r="BE79" s="7"/>
      <c r="BF79" s="7"/>
      <c r="BG79" s="7"/>
    </row>
    <row r="80" spans="1:59">
      <c r="A80" s="55" t="str">
        <f>HYPERLINK("tag_data/Quicklook/bw170813-41Quicklook.jpg","bw170813-41")</f>
        <v>bw170813-41</v>
      </c>
      <c r="B80" s="26" t="s">
        <v>338</v>
      </c>
      <c r="C80" s="46" t="str">
        <f t="shared" ref="C80:C97" si="23">HYPERLINK("location data/IOS_Scaling/2017","Monterey")</f>
        <v>Monterey</v>
      </c>
      <c r="D80" s="64" t="s">
        <v>849</v>
      </c>
      <c r="E80" s="69" t="s">
        <v>1154</v>
      </c>
      <c r="F80" s="85">
        <v>-7</v>
      </c>
      <c r="G80" s="60" t="s">
        <v>456</v>
      </c>
      <c r="H80" s="31" t="s">
        <v>39</v>
      </c>
      <c r="I80" s="46" t="str">
        <f>HYPERLINK("tag_data/bw170813-41 (IOS_Monterey)","Link")</f>
        <v>Link</v>
      </c>
      <c r="J80" s="46" t="str">
        <f>HYPERLINK("tag_data_raw/IOS_Scaling/2017/bw170813-41","Link")</f>
        <v>Link</v>
      </c>
      <c r="K80" s="54" t="str">
        <f>HYPERLINK("tag_data/bw170813-41 (IOS_Monterey)/Pics&amp;Vids","Link")</f>
        <v>Link</v>
      </c>
      <c r="L80" s="46" t="str">
        <f>HYPERLINK("location data/IOS_Scaling/2017/Pics&amp;Vids/08.13/Ziphiid Videos/20170813-ZIP-Depl-41.mp4","Link")</f>
        <v>Link</v>
      </c>
      <c r="M80" s="63" t="s">
        <v>263</v>
      </c>
      <c r="N80" s="46" t="str">
        <f t="shared" ref="N80:N97" si="24">HYPERLINK("location data/IOS_Scaling/2017/Stanford-IOS-CompiledMobile Data-7-18Aug2017.mdb","Link")</f>
        <v>Link</v>
      </c>
      <c r="O80" s="31" t="s">
        <v>45</v>
      </c>
      <c r="P80" s="31" t="s">
        <v>39</v>
      </c>
      <c r="Q80" s="31">
        <v>41</v>
      </c>
      <c r="R80" s="32" t="s">
        <v>347</v>
      </c>
      <c r="S80" s="32" t="str">
        <f t="shared" si="22"/>
        <v>None</v>
      </c>
      <c r="T80" s="32" t="s">
        <v>38</v>
      </c>
      <c r="U80" s="17">
        <f t="shared" si="20"/>
        <v>0.66100694444321562</v>
      </c>
      <c r="V80" s="17">
        <f t="shared" si="21"/>
        <v>0.66100694444321562</v>
      </c>
      <c r="W80" s="56">
        <v>0.29204861111111108</v>
      </c>
      <c r="X80" s="54" t="str">
        <f>HYPERLINK("tag_data/bw170813-41 (IOS_Monterey)/bw170813-41 Map.bmp","290")</f>
        <v>290</v>
      </c>
      <c r="Y80" s="54" t="str">
        <f>HYPERLINK("tag_data/bw170813-41 (IOS_Monterey)/bw170813-41 (IOS_Monterey).boris","Boris")</f>
        <v>Boris</v>
      </c>
      <c r="Z80" s="31" t="s">
        <v>39</v>
      </c>
      <c r="AA80" s="31" t="s">
        <v>39</v>
      </c>
      <c r="AB80" s="31" t="s">
        <v>277</v>
      </c>
      <c r="AC80" s="31" t="s">
        <v>39</v>
      </c>
      <c r="AD80" s="31" t="s">
        <v>39</v>
      </c>
      <c r="AE80" s="31" t="s">
        <v>41</v>
      </c>
      <c r="AF80" s="31" t="s">
        <v>39</v>
      </c>
      <c r="AG80" s="31" t="s">
        <v>41</v>
      </c>
      <c r="AH80" s="31" t="s">
        <v>41</v>
      </c>
      <c r="AI80" s="31" t="s">
        <v>39</v>
      </c>
      <c r="AJ80" s="31" t="s">
        <v>39</v>
      </c>
      <c r="AK80" s="31" t="s">
        <v>41</v>
      </c>
      <c r="AL80" s="31" t="s">
        <v>41</v>
      </c>
      <c r="AM80" s="31" t="s">
        <v>41</v>
      </c>
      <c r="AN80" s="32" t="s">
        <v>473</v>
      </c>
      <c r="AO80" s="32" t="s">
        <v>360</v>
      </c>
      <c r="AP80" s="30">
        <v>42960.349293981482</v>
      </c>
      <c r="AQ80" s="30">
        <v>42960.434699074074</v>
      </c>
      <c r="AR80" s="30">
        <v>42961.095706018517</v>
      </c>
      <c r="AS80" s="92" t="s">
        <v>651</v>
      </c>
      <c r="AT80" s="155">
        <v>36.807699999999997</v>
      </c>
      <c r="AU80" s="155">
        <v>-122.0774</v>
      </c>
      <c r="AV80" s="142" t="s">
        <v>339</v>
      </c>
      <c r="AW80" s="104" t="s">
        <v>313</v>
      </c>
      <c r="AX80" s="120">
        <v>42961.357615740744</v>
      </c>
      <c r="AY80" s="155">
        <v>36.866500000000002</v>
      </c>
      <c r="AZ80" s="155">
        <v>-122.17489999999999</v>
      </c>
      <c r="BA80" s="32" t="s">
        <v>498</v>
      </c>
      <c r="BB80" s="49" t="s">
        <v>1282</v>
      </c>
      <c r="BC80" s="7"/>
      <c r="BD80" s="7"/>
      <c r="BE80" s="7"/>
      <c r="BF80" s="7"/>
      <c r="BG80" s="7"/>
    </row>
    <row r="81" spans="1:59">
      <c r="A81" s="55" t="str">
        <f>HYPERLINK("tag_data/Quicklook/bw170813-42Quicklook.jpg","bw170813-42")</f>
        <v>bw170813-42</v>
      </c>
      <c r="B81" s="26" t="s">
        <v>338</v>
      </c>
      <c r="C81" s="46" t="str">
        <f t="shared" si="23"/>
        <v>Monterey</v>
      </c>
      <c r="D81" s="64" t="s">
        <v>849</v>
      </c>
      <c r="E81" s="69" t="s">
        <v>1154</v>
      </c>
      <c r="F81" s="85">
        <v>-7</v>
      </c>
      <c r="G81" s="60" t="s">
        <v>456</v>
      </c>
      <c r="H81" s="31" t="s">
        <v>39</v>
      </c>
      <c r="I81" s="46" t="str">
        <f>HYPERLINK("tag_data/bw170813-42 (IOS_Monterey)","Link")</f>
        <v>Link</v>
      </c>
      <c r="J81" s="46" t="str">
        <f>HYPERLINK("tag_data_raw/IOS_Scaling/2017/bw170813-42","Link")</f>
        <v>Link</v>
      </c>
      <c r="K81" s="54" t="str">
        <f>HYPERLINK("tag_data/bw170813-42 (IOS_Monterey)/Pics&amp;Vids","Link")</f>
        <v>Link</v>
      </c>
      <c r="L81" s="46" t="str">
        <f>HYPERLINK("location data/IOS_Scaling/2017/Pics&amp;Vids/08.13/Ziphiid Videos/20170813-ZIP-Depl-42.mp4","Link")</f>
        <v>Link</v>
      </c>
      <c r="M81" s="63" t="s">
        <v>263</v>
      </c>
      <c r="N81" s="46" t="str">
        <f t="shared" si="24"/>
        <v>Link</v>
      </c>
      <c r="O81" s="31" t="s">
        <v>45</v>
      </c>
      <c r="P81" s="31" t="s">
        <v>39</v>
      </c>
      <c r="Q81" s="31">
        <v>42</v>
      </c>
      <c r="R81" s="32" t="s">
        <v>347</v>
      </c>
      <c r="S81" s="32" t="str">
        <f t="shared" si="22"/>
        <v>None</v>
      </c>
      <c r="T81" s="32" t="s">
        <v>471</v>
      </c>
      <c r="U81" s="17">
        <f t="shared" si="20"/>
        <v>0.26483796296088258</v>
      </c>
      <c r="V81" s="17">
        <f t="shared" si="21"/>
        <v>0.26483796296088258</v>
      </c>
      <c r="W81" s="56">
        <v>0.18736111111111112</v>
      </c>
      <c r="X81" s="31">
        <v>0</v>
      </c>
      <c r="Y81" s="54" t="str">
        <f>HYPERLINK("tag_data/bw170813-42 (IOS_Monterey)/bw170813-42 (IOS_Monterey).boris","Boris")</f>
        <v>Boris</v>
      </c>
      <c r="Z81" s="31" t="s">
        <v>39</v>
      </c>
      <c r="AA81" s="31" t="s">
        <v>39</v>
      </c>
      <c r="AB81" s="31" t="s">
        <v>277</v>
      </c>
      <c r="AC81" s="31" t="s">
        <v>39</v>
      </c>
      <c r="AD81" s="31" t="s">
        <v>39</v>
      </c>
      <c r="AE81" s="31" t="s">
        <v>41</v>
      </c>
      <c r="AF81" s="31" t="s">
        <v>39</v>
      </c>
      <c r="AG81" s="31" t="s">
        <v>41</v>
      </c>
      <c r="AH81" s="31" t="s">
        <v>39</v>
      </c>
      <c r="AI81" s="31" t="s">
        <v>39</v>
      </c>
      <c r="AJ81" s="31" t="s">
        <v>39</v>
      </c>
      <c r="AK81" s="31" t="s">
        <v>41</v>
      </c>
      <c r="AL81" s="31" t="s">
        <v>41</v>
      </c>
      <c r="AM81" s="31" t="s">
        <v>41</v>
      </c>
      <c r="AN81" s="32" t="s">
        <v>472</v>
      </c>
      <c r="AO81" s="32" t="s">
        <v>360</v>
      </c>
      <c r="AP81" s="30">
        <v>42960.435787037037</v>
      </c>
      <c r="AQ81" s="30">
        <v>42960.442291666666</v>
      </c>
      <c r="AR81" s="30">
        <v>42960.707129629627</v>
      </c>
      <c r="AS81" s="92" t="s">
        <v>651</v>
      </c>
      <c r="AT81" s="155">
        <v>36.804499999999997</v>
      </c>
      <c r="AU81" s="155">
        <v>-122.0715</v>
      </c>
      <c r="AV81" s="142" t="s">
        <v>339</v>
      </c>
      <c r="AW81" s="104" t="s">
        <v>313</v>
      </c>
      <c r="AX81" s="120">
        <v>42961.322812500002</v>
      </c>
      <c r="AY81" s="155">
        <v>36.755299999999998</v>
      </c>
      <c r="AZ81" s="155">
        <v>-122.06019999999999</v>
      </c>
      <c r="BA81" s="32" t="s">
        <v>483</v>
      </c>
      <c r="BB81" s="49" t="s">
        <v>1283</v>
      </c>
      <c r="BC81" s="7"/>
      <c r="BD81" s="7"/>
      <c r="BE81" s="7"/>
      <c r="BF81" s="7"/>
      <c r="BG81" s="7"/>
    </row>
    <row r="82" spans="1:59">
      <c r="A82" s="55" t="str">
        <f>HYPERLINK("tag_data/Quicklook/bw170813-44Quicklook.jpg","bw170813-44")</f>
        <v>bw170813-44</v>
      </c>
      <c r="B82" s="26" t="s">
        <v>338</v>
      </c>
      <c r="C82" s="46" t="str">
        <f t="shared" si="23"/>
        <v>Monterey</v>
      </c>
      <c r="D82" s="64" t="s">
        <v>849</v>
      </c>
      <c r="E82" s="69" t="s">
        <v>1154</v>
      </c>
      <c r="F82" s="85">
        <v>-7</v>
      </c>
      <c r="G82" s="60" t="s">
        <v>456</v>
      </c>
      <c r="H82" s="31" t="s">
        <v>39</v>
      </c>
      <c r="I82" s="46" t="str">
        <f>HYPERLINK("tag_data/bw170813-44 (IOS_Monterey)","Link")</f>
        <v>Link</v>
      </c>
      <c r="J82" s="46" t="str">
        <f>HYPERLINK("tag_data_raw/IOS_Scaling/2017/bw170813-44","Link")</f>
        <v>Link</v>
      </c>
      <c r="K82" s="54" t="str">
        <f>HYPERLINK("tag_data/bw170813-44 (IOS_Monterey)/Pics&amp;Vids","Link")</f>
        <v>Link</v>
      </c>
      <c r="L82" s="76" t="s">
        <v>263</v>
      </c>
      <c r="M82" s="54" t="str">
        <f>HYPERLINK("tag_data/bw170813-44 (IOS_Monterey)/Pics&amp;Vids/drone","22.59 m")</f>
        <v>22.59 m</v>
      </c>
      <c r="N82" s="46" t="str">
        <f t="shared" si="24"/>
        <v>Link</v>
      </c>
      <c r="O82" s="31" t="s">
        <v>45</v>
      </c>
      <c r="P82" s="31" t="s">
        <v>41</v>
      </c>
      <c r="Q82" s="31">
        <v>44</v>
      </c>
      <c r="R82" s="32" t="s">
        <v>347</v>
      </c>
      <c r="S82" s="32" t="str">
        <f t="shared" si="22"/>
        <v>None</v>
      </c>
      <c r="T82" s="32" t="s">
        <v>38</v>
      </c>
      <c r="U82" s="17">
        <f t="shared" si="20"/>
        <v>1.7874999999985448</v>
      </c>
      <c r="V82" s="17">
        <f t="shared" si="21"/>
        <v>1.560335648151522</v>
      </c>
      <c r="W82" s="56">
        <v>1.4756944444444446E-2</v>
      </c>
      <c r="X82" s="54" t="str">
        <f>HYPERLINK("tag_data/bw170813-44 (IOS_Monterey)/bw170813-44 Map.bmp","812")</f>
        <v>812</v>
      </c>
      <c r="Y82" s="54"/>
      <c r="Z82" s="31" t="s">
        <v>39</v>
      </c>
      <c r="AA82" s="31" t="s">
        <v>39</v>
      </c>
      <c r="AB82" s="31" t="s">
        <v>277</v>
      </c>
      <c r="AC82" s="31" t="s">
        <v>39</v>
      </c>
      <c r="AD82" s="31" t="s">
        <v>41</v>
      </c>
      <c r="AE82" s="31" t="s">
        <v>41</v>
      </c>
      <c r="AF82" s="31" t="s">
        <v>41</v>
      </c>
      <c r="AG82" s="31" t="s">
        <v>41</v>
      </c>
      <c r="AH82" s="31" t="s">
        <v>41</v>
      </c>
      <c r="AI82" s="31" t="s">
        <v>39</v>
      </c>
      <c r="AJ82" s="31" t="s">
        <v>39</v>
      </c>
      <c r="AK82" s="31" t="s">
        <v>41</v>
      </c>
      <c r="AL82" s="31" t="s">
        <v>41</v>
      </c>
      <c r="AM82" s="31" t="s">
        <v>41</v>
      </c>
      <c r="AN82" s="32" t="s">
        <v>499</v>
      </c>
      <c r="AO82" s="32" t="s">
        <v>361</v>
      </c>
      <c r="AP82" s="30">
        <v>42960.357835648145</v>
      </c>
      <c r="AQ82" s="30">
        <v>42960.37222222222</v>
      </c>
      <c r="AR82" s="30">
        <v>42962.159722222219</v>
      </c>
      <c r="AS82" s="92">
        <v>42961.932557870372</v>
      </c>
      <c r="AT82" s="154">
        <v>36.771700000000003</v>
      </c>
      <c r="AU82" s="154">
        <v>-122.0059</v>
      </c>
      <c r="AV82" s="153" t="s">
        <v>313</v>
      </c>
      <c r="AW82" s="104" t="s">
        <v>313</v>
      </c>
      <c r="AX82" s="120">
        <v>42962.357407407406</v>
      </c>
      <c r="AY82" s="155">
        <v>36.525199999999998</v>
      </c>
      <c r="AZ82" s="155">
        <v>-122.0346</v>
      </c>
      <c r="BA82" s="32" t="s">
        <v>501</v>
      </c>
      <c r="BB82" s="49" t="s">
        <v>504</v>
      </c>
      <c r="BC82" s="7"/>
      <c r="BD82" s="7"/>
      <c r="BE82" s="7"/>
      <c r="BF82" s="7"/>
      <c r="BG82" s="7"/>
    </row>
    <row r="83" spans="1:59">
      <c r="A83" s="55" t="str">
        <f>HYPERLINK("tag_data/Quicklook/bw170814-30Quicklook.jpg","bw170814-30")</f>
        <v>bw170814-30</v>
      </c>
      <c r="B83" s="26" t="s">
        <v>338</v>
      </c>
      <c r="C83" s="46" t="str">
        <f t="shared" si="23"/>
        <v>Monterey</v>
      </c>
      <c r="D83" s="64" t="s">
        <v>849</v>
      </c>
      <c r="E83" s="69" t="s">
        <v>1154</v>
      </c>
      <c r="F83" s="85">
        <v>-7</v>
      </c>
      <c r="G83" s="60" t="s">
        <v>456</v>
      </c>
      <c r="H83" s="31" t="s">
        <v>39</v>
      </c>
      <c r="I83" s="46" t="str">
        <f>HYPERLINK("tag_data/bw170814-30 (IOS_Monterey)","Link")</f>
        <v>Link</v>
      </c>
      <c r="J83" s="46" t="str">
        <f>HYPERLINK("tag_data_raw/IOS_Scaling/2017/bw170814-30","Link")</f>
        <v>Link</v>
      </c>
      <c r="K83" s="54" t="str">
        <f>HYPERLINK("tag_data/bw170814-30 (IOS_Monterey)/Pics&amp;Vids","Link")</f>
        <v>Link</v>
      </c>
      <c r="L83" s="76" t="s">
        <v>263</v>
      </c>
      <c r="M83" s="41" t="s">
        <v>263</v>
      </c>
      <c r="N83" s="46" t="str">
        <f t="shared" si="24"/>
        <v>Link</v>
      </c>
      <c r="O83" s="31" t="s">
        <v>45</v>
      </c>
      <c r="P83" s="31" t="s">
        <v>41</v>
      </c>
      <c r="Q83" s="31">
        <v>30</v>
      </c>
      <c r="R83" s="32" t="s">
        <v>306</v>
      </c>
      <c r="S83" s="32" t="str">
        <f t="shared" si="22"/>
        <v>Cam Mic</v>
      </c>
      <c r="T83" s="32" t="s">
        <v>333</v>
      </c>
      <c r="U83" s="17">
        <f t="shared" si="20"/>
        <v>0.11905092593224254</v>
      </c>
      <c r="V83" s="17">
        <f t="shared" si="21"/>
        <v>0.11905092593224254</v>
      </c>
      <c r="W83" s="56">
        <v>6.1666666666666668E-2</v>
      </c>
      <c r="X83" s="31">
        <v>0</v>
      </c>
      <c r="Y83" s="54" t="str">
        <f>HYPERLINK("tag_data_raw/IOS_Scaling/2017/bw170814-30/bw170814-30.xlsx","Link")</f>
        <v>Link</v>
      </c>
      <c r="Z83" s="31" t="s">
        <v>39</v>
      </c>
      <c r="AA83" s="31" t="s">
        <v>39</v>
      </c>
      <c r="AB83" s="31" t="s">
        <v>277</v>
      </c>
      <c r="AC83" s="31" t="s">
        <v>39</v>
      </c>
      <c r="AD83" s="31" t="s">
        <v>41</v>
      </c>
      <c r="AE83" s="31" t="s">
        <v>266</v>
      </c>
      <c r="AF83" s="31" t="s">
        <v>41</v>
      </c>
      <c r="AG83" s="31" t="s">
        <v>41</v>
      </c>
      <c r="AH83" s="31" t="s">
        <v>39</v>
      </c>
      <c r="AI83" s="31" t="s">
        <v>39</v>
      </c>
      <c r="AJ83" s="31" t="s">
        <v>39</v>
      </c>
      <c r="AK83" s="31" t="s">
        <v>41</v>
      </c>
      <c r="AL83" s="31" t="s">
        <v>41</v>
      </c>
      <c r="AM83" s="31" t="s">
        <v>476</v>
      </c>
      <c r="AN83" s="32" t="s">
        <v>502</v>
      </c>
      <c r="AO83" s="32" t="s">
        <v>463</v>
      </c>
      <c r="AP83" s="30">
        <v>42961.314872685187</v>
      </c>
      <c r="AQ83" s="30">
        <v>42961.323969907404</v>
      </c>
      <c r="AR83" s="30">
        <v>42961.443020833336</v>
      </c>
      <c r="AS83" s="92" t="s">
        <v>651</v>
      </c>
      <c r="AT83" s="155">
        <v>36.807499999999997</v>
      </c>
      <c r="AU83" s="155">
        <v>-122.0346</v>
      </c>
      <c r="AV83" s="142" t="s">
        <v>339</v>
      </c>
      <c r="AW83" s="104" t="s">
        <v>313</v>
      </c>
      <c r="AX83" s="120">
        <v>42962.311909722222</v>
      </c>
      <c r="AY83" s="155">
        <v>36.750100000000003</v>
      </c>
      <c r="AZ83" s="155">
        <v>-121.9182</v>
      </c>
      <c r="BA83" s="32" t="s">
        <v>503</v>
      </c>
      <c r="BB83" s="49"/>
      <c r="BC83" s="7"/>
      <c r="BD83" s="7"/>
      <c r="BE83" s="7"/>
      <c r="BF83" s="7"/>
      <c r="BG83" s="7"/>
    </row>
    <row r="84" spans="1:59">
      <c r="A84" s="55" t="str">
        <f>HYPERLINK("tag_data/Quicklook/bw170814-31Quicklook.jpg","bw170814-31")</f>
        <v>bw170814-31</v>
      </c>
      <c r="B84" s="26" t="s">
        <v>338</v>
      </c>
      <c r="C84" s="46" t="str">
        <f t="shared" si="23"/>
        <v>Monterey</v>
      </c>
      <c r="D84" s="64" t="s">
        <v>849</v>
      </c>
      <c r="E84" s="69" t="s">
        <v>1154</v>
      </c>
      <c r="F84" s="85">
        <v>-7</v>
      </c>
      <c r="G84" s="60" t="s">
        <v>456</v>
      </c>
      <c r="H84" s="31" t="s">
        <v>39</v>
      </c>
      <c r="I84" s="46" t="str">
        <f>HYPERLINK("tag_data/bw170814-31 (IOS_Monterey)","Link")</f>
        <v>Link</v>
      </c>
      <c r="J84" s="46" t="str">
        <f>HYPERLINK("tag_data_raw/IOS_Scaling/2017/bw170814-31","Link")</f>
        <v>Link</v>
      </c>
      <c r="K84" s="54" t="str">
        <f>HYPERLINK("tag_data/bw170814-31 (IOS_Monterey)/Pics&amp;Vids","Link")</f>
        <v>Link</v>
      </c>
      <c r="L84" s="46" t="str">
        <f>HYPERLINK("location data/IOS_Scaling/2017/Pics&amp;Vids/08.14/Ziphiid Videos/20170814-ZIP-Tag31-Deploy-GOPR0405.MP4","Link")</f>
        <v>Link</v>
      </c>
      <c r="M84" s="54" t="str">
        <f>HYPERLINK("tag_data/bw170815-42 (IOS_Monterey)/Pics&amp;Vids/drone","22.21 m")</f>
        <v>22.21 m</v>
      </c>
      <c r="N84" s="46" t="str">
        <f t="shared" si="24"/>
        <v>Link</v>
      </c>
      <c r="O84" s="31" t="s">
        <v>492</v>
      </c>
      <c r="P84" s="31" t="s">
        <v>39</v>
      </c>
      <c r="Q84" s="31">
        <v>31</v>
      </c>
      <c r="R84" s="32" t="s">
        <v>548</v>
      </c>
      <c r="S84" s="32" t="s">
        <v>1393</v>
      </c>
      <c r="T84" s="32" t="s">
        <v>263</v>
      </c>
      <c r="U84" s="17">
        <f t="shared" si="20"/>
        <v>1.3354513888916699</v>
      </c>
      <c r="V84" s="17">
        <f t="shared" si="21"/>
        <v>0.34148148148233304</v>
      </c>
      <c r="W84" s="56" t="s">
        <v>346</v>
      </c>
      <c r="X84" s="31"/>
      <c r="Y84" s="31" t="s">
        <v>263</v>
      </c>
      <c r="Z84" s="31" t="s">
        <v>39</v>
      </c>
      <c r="AA84" s="31" t="s">
        <v>41</v>
      </c>
      <c r="AB84" s="31" t="s">
        <v>277</v>
      </c>
      <c r="AC84" s="31" t="s">
        <v>39</v>
      </c>
      <c r="AD84" s="71" t="s">
        <v>41</v>
      </c>
      <c r="AE84" s="71" t="s">
        <v>266</v>
      </c>
      <c r="AF84" s="71" t="s">
        <v>41</v>
      </c>
      <c r="AG84" s="71" t="s">
        <v>41</v>
      </c>
      <c r="AH84" s="71" t="s">
        <v>41</v>
      </c>
      <c r="AI84" s="71" t="s">
        <v>41</v>
      </c>
      <c r="AJ84" s="71" t="s">
        <v>41</v>
      </c>
      <c r="AK84" s="71" t="s">
        <v>41</v>
      </c>
      <c r="AL84" s="71" t="s">
        <v>41</v>
      </c>
      <c r="AM84" s="31" t="s">
        <v>41</v>
      </c>
      <c r="AN84" s="32" t="s">
        <v>494</v>
      </c>
      <c r="AO84" s="32" t="s">
        <v>344</v>
      </c>
      <c r="AP84" s="30">
        <v>42961.333090277774</v>
      </c>
      <c r="AQ84" s="30">
        <v>42961.435381944444</v>
      </c>
      <c r="AR84" s="30">
        <v>42962.770833333336</v>
      </c>
      <c r="AS84" s="92">
        <v>42961.776863425926</v>
      </c>
      <c r="AT84" s="155">
        <v>36.871400000000001</v>
      </c>
      <c r="AU84" s="155">
        <v>-122.1936</v>
      </c>
      <c r="AV84" s="142" t="s">
        <v>339</v>
      </c>
      <c r="AW84" s="104" t="s">
        <v>313</v>
      </c>
      <c r="AX84" s="120">
        <v>42963.336261574077</v>
      </c>
      <c r="AY84" s="157">
        <v>36.758699999999997</v>
      </c>
      <c r="AZ84" s="157">
        <v>-122.0607</v>
      </c>
      <c r="BA84" s="32" t="s">
        <v>565</v>
      </c>
      <c r="BB84" s="49" t="s">
        <v>1284</v>
      </c>
      <c r="BC84" s="7"/>
      <c r="BD84" s="7"/>
      <c r="BE84" s="7"/>
      <c r="BF84" s="7"/>
      <c r="BG84" s="7"/>
    </row>
    <row r="85" spans="1:59">
      <c r="A85" s="55" t="str">
        <f>HYPERLINK("tag_data/Quicklook/bw170814-40Quicklook.jpg","bw170814-40")</f>
        <v>bw170814-40</v>
      </c>
      <c r="B85" s="26" t="s">
        <v>338</v>
      </c>
      <c r="C85" s="46" t="str">
        <f t="shared" si="23"/>
        <v>Monterey</v>
      </c>
      <c r="D85" s="64" t="s">
        <v>849</v>
      </c>
      <c r="E85" s="69" t="s">
        <v>1154</v>
      </c>
      <c r="F85" s="85">
        <v>-7</v>
      </c>
      <c r="G85" s="60" t="s">
        <v>456</v>
      </c>
      <c r="H85" s="31" t="s">
        <v>39</v>
      </c>
      <c r="I85" s="46" t="str">
        <f>HYPERLINK("tag_data/bw170814-40 (IOS_Monterey)","Link")</f>
        <v>Link</v>
      </c>
      <c r="J85" s="46" t="str">
        <f>HYPERLINK("tag_data_raw/IOS_Scaling/2017/bw170814-40","Link")</f>
        <v>Link</v>
      </c>
      <c r="K85" s="54" t="str">
        <f>HYPERLINK("tag_data/bw170814-40 (IOS_Monterey)/Pics&amp;Vids","Link")</f>
        <v>Link</v>
      </c>
      <c r="L85" s="46" t="str">
        <f>HYPERLINK("location data/IOS_Scaling/2017/Pics&amp;Vids/08.14/Musculus Videos/Will/170814 Musculus First Deployment-Tag40.MP4","Link")</f>
        <v>Link</v>
      </c>
      <c r="M85" s="204" t="str">
        <f>HYPERLINK("tag_data/bw170814-40 (IOS_Monterey)/Pics&amp;Vids/drone","22.53 m")</f>
        <v>22.53 m</v>
      </c>
      <c r="N85" s="46" t="str">
        <f t="shared" si="24"/>
        <v>Link</v>
      </c>
      <c r="O85" s="31" t="s">
        <v>45</v>
      </c>
      <c r="P85" s="31" t="s">
        <v>41</v>
      </c>
      <c r="Q85" s="31">
        <v>40</v>
      </c>
      <c r="R85" s="32" t="s">
        <v>347</v>
      </c>
      <c r="S85" s="32" t="str">
        <f>IF(OR(Q85&lt;39,Q85=50,Q85=51,AND(OR(Q85=46,Q85=47),AQ85&gt;43313)),"Cam Mic",IF(AND(Q85&lt;45,AQ85&lt;42958),"Dolphin Ear",IF(AND(Q85&gt;44,NOT(OR(Q85=46,Q85=47,Q85=50,Q85=51))),"HTI","None")))</f>
        <v>None</v>
      </c>
      <c r="T85" s="32" t="s">
        <v>487</v>
      </c>
      <c r="U85" s="17">
        <f t="shared" si="20"/>
        <v>1.4468981481477385</v>
      </c>
      <c r="V85" s="17">
        <f t="shared" si="21"/>
        <v>1.2748032407398568</v>
      </c>
      <c r="W85" s="56">
        <v>0.36978009259259265</v>
      </c>
      <c r="X85" s="31" t="s">
        <v>517</v>
      </c>
      <c r="Y85" s="73" t="str">
        <f>HYPERLINK("tag_data/bw170814-40 (IOS_Monterey)/bw170814-40 (IOS_Monterey).boris","Boris")</f>
        <v>Boris</v>
      </c>
      <c r="Z85" s="31" t="s">
        <v>39</v>
      </c>
      <c r="AA85" s="31" t="s">
        <v>39</v>
      </c>
      <c r="AB85" s="31" t="s">
        <v>277</v>
      </c>
      <c r="AC85" s="31" t="s">
        <v>39</v>
      </c>
      <c r="AD85" s="71" t="s">
        <v>39</v>
      </c>
      <c r="AE85" s="71" t="s">
        <v>266</v>
      </c>
      <c r="AF85" s="71" t="s">
        <v>39</v>
      </c>
      <c r="AG85" s="71" t="s">
        <v>41</v>
      </c>
      <c r="AH85" s="90" t="s">
        <v>481</v>
      </c>
      <c r="AI85" s="71" t="s">
        <v>39</v>
      </c>
      <c r="AJ85" s="71" t="s">
        <v>41</v>
      </c>
      <c r="AK85" s="71" t="s">
        <v>41</v>
      </c>
      <c r="AL85" s="71" t="s">
        <v>41</v>
      </c>
      <c r="AM85" s="31" t="s">
        <v>41</v>
      </c>
      <c r="AN85" s="32" t="s">
        <v>473</v>
      </c>
      <c r="AO85" s="32" t="s">
        <v>344</v>
      </c>
      <c r="AP85" s="30">
        <v>42961.364652777775</v>
      </c>
      <c r="AQ85" s="30">
        <v>42961.376018518517</v>
      </c>
      <c r="AR85" s="30">
        <v>42962.822916666664</v>
      </c>
      <c r="AS85" s="92">
        <v>42962.650821759256</v>
      </c>
      <c r="AT85" s="155">
        <v>36.863900000000001</v>
      </c>
      <c r="AU85" s="155">
        <v>-122.1931</v>
      </c>
      <c r="AV85" s="142" t="s">
        <v>313</v>
      </c>
      <c r="AW85" s="104" t="s">
        <v>313</v>
      </c>
      <c r="AX85" s="120">
        <v>42963.367222222223</v>
      </c>
      <c r="AY85" s="157">
        <v>36.741100000000003</v>
      </c>
      <c r="AZ85" s="157">
        <v>-122.1846</v>
      </c>
      <c r="BA85" s="32" t="s">
        <v>485</v>
      </c>
      <c r="BB85" s="49" t="s">
        <v>484</v>
      </c>
      <c r="BC85" s="7"/>
      <c r="BD85" s="7"/>
      <c r="BE85" s="7"/>
      <c r="BF85" s="7"/>
      <c r="BG85" s="7"/>
    </row>
    <row r="86" spans="1:59">
      <c r="A86" s="55" t="str">
        <f>HYPERLINK("tag_data/Quicklook/bw170814-50Quicklook.jpg","bw170814-50")</f>
        <v>bw170814-50</v>
      </c>
      <c r="B86" s="68" t="s">
        <v>338</v>
      </c>
      <c r="C86" s="46" t="str">
        <f t="shared" si="23"/>
        <v>Monterey</v>
      </c>
      <c r="D86" s="64" t="s">
        <v>849</v>
      </c>
      <c r="E86" s="69" t="s">
        <v>1154</v>
      </c>
      <c r="F86" s="87">
        <v>-7</v>
      </c>
      <c r="G86" s="70" t="s">
        <v>456</v>
      </c>
      <c r="H86" s="71" t="s">
        <v>39</v>
      </c>
      <c r="I86" s="72" t="str">
        <f>HYPERLINK("tag_data/bw170814-50 (IOS_Monterey)","Link")</f>
        <v>Link</v>
      </c>
      <c r="J86" s="72" t="str">
        <f>HYPERLINK("tag_data_raw/IOS_Scaling/2017/bw170814-50","Link")</f>
        <v>Link</v>
      </c>
      <c r="K86" s="73" t="str">
        <f>HYPERLINK("tag_data/bw170814-50 (IOS_Monterey)/Pics&amp;Vids","Link")</f>
        <v>Link</v>
      </c>
      <c r="L86" s="76" t="s">
        <v>263</v>
      </c>
      <c r="M86" s="73" t="str">
        <f>HYPERLINK("tag_data/bw170814-50 (IOS_Monterey)/Pics&amp;Vids/drone","22.75 m")</f>
        <v>22.75 m</v>
      </c>
      <c r="N86" s="46" t="str">
        <f t="shared" si="24"/>
        <v>Link</v>
      </c>
      <c r="O86" s="71" t="s">
        <v>45</v>
      </c>
      <c r="P86" s="71" t="s">
        <v>41</v>
      </c>
      <c r="Q86" s="71">
        <v>50</v>
      </c>
      <c r="R86" s="38" t="s">
        <v>475</v>
      </c>
      <c r="S86" s="32" t="str">
        <f>IF(OR(Q86&lt;39,Q86=50,Q86=51,AND(OR(Q86=46,Q86=47),AQ86&gt;43313)),"Cam Mic",IF(AND(Q86&lt;45,AQ86&lt;42958),"Dolphin Ear",IF(AND(Q86&gt;44,NOT(OR(Q86=46,Q86=47,Q86=50,Q86=51))),"HTI","None")))</f>
        <v>Cam Mic</v>
      </c>
      <c r="T86" s="38" t="s">
        <v>474</v>
      </c>
      <c r="U86" s="74">
        <f t="shared" si="20"/>
        <v>0.32239583333284827</v>
      </c>
      <c r="V86" s="74">
        <f t="shared" si="21"/>
        <v>0.32239583333284827</v>
      </c>
      <c r="W86" s="75">
        <v>0.13476851851851851</v>
      </c>
      <c r="X86" s="72" t="str">
        <f>HYPERLINK("/tag_data/bw170814-50 (IOS_Monterey)/bw170814-50 Map.bmp","96")</f>
        <v>96</v>
      </c>
      <c r="Y86" s="73" t="str">
        <f>HYPERLINK("tag_data/bw170814-50 (IOS_Monterey)/bw170814-50 (IOS_Monterey).boris","Boris")</f>
        <v>Boris</v>
      </c>
      <c r="Z86" s="71" t="s">
        <v>39</v>
      </c>
      <c r="AA86" s="71" t="s">
        <v>39</v>
      </c>
      <c r="AB86" s="71" t="s">
        <v>277</v>
      </c>
      <c r="AC86" s="31" t="s">
        <v>39</v>
      </c>
      <c r="AD86" s="71" t="s">
        <v>41</v>
      </c>
      <c r="AE86" s="71" t="s">
        <v>266</v>
      </c>
      <c r="AF86" s="71" t="s">
        <v>39</v>
      </c>
      <c r="AG86" s="71" t="s">
        <v>41</v>
      </c>
      <c r="AH86" s="90" t="s">
        <v>481</v>
      </c>
      <c r="AI86" s="71" t="s">
        <v>39</v>
      </c>
      <c r="AJ86" s="71" t="s">
        <v>39</v>
      </c>
      <c r="AK86" s="71" t="s">
        <v>39</v>
      </c>
      <c r="AL86" s="71" t="s">
        <v>41</v>
      </c>
      <c r="AM86" s="71" t="s">
        <v>476</v>
      </c>
      <c r="AN86" s="38" t="s">
        <v>473</v>
      </c>
      <c r="AO86" s="38" t="s">
        <v>344</v>
      </c>
      <c r="AP86" s="30">
        <v>42961.377534722225</v>
      </c>
      <c r="AQ86" s="30">
        <v>42961.467511574076</v>
      </c>
      <c r="AR86" s="30">
        <v>42961.789907407408</v>
      </c>
      <c r="AS86" s="92" t="s">
        <v>651</v>
      </c>
      <c r="AT86" s="158">
        <v>36.880899999999997</v>
      </c>
      <c r="AU86" s="158">
        <v>-122.21080000000001</v>
      </c>
      <c r="AV86" s="142" t="s">
        <v>313</v>
      </c>
      <c r="AW86" s="104" t="s">
        <v>313</v>
      </c>
      <c r="AX86" s="120">
        <v>42962.441111111111</v>
      </c>
      <c r="AY86" s="158">
        <v>36.936100000000003</v>
      </c>
      <c r="AZ86" s="158">
        <v>-122.30670000000001</v>
      </c>
      <c r="BA86" s="38" t="s">
        <v>486</v>
      </c>
      <c r="BB86" s="49"/>
      <c r="BC86" s="67"/>
      <c r="BD86" s="67"/>
      <c r="BE86" s="7"/>
      <c r="BF86" s="7"/>
      <c r="BG86" s="7"/>
    </row>
    <row r="87" spans="1:59">
      <c r="A87" s="55" t="str">
        <f>HYPERLINK("tag_data/Quicklook/bw170814-51Quicklook.jpg","bw170814-51")</f>
        <v>bw170814-51</v>
      </c>
      <c r="B87" s="26" t="s">
        <v>338</v>
      </c>
      <c r="C87" s="46" t="str">
        <f t="shared" si="23"/>
        <v>Monterey</v>
      </c>
      <c r="D87" s="64" t="s">
        <v>849</v>
      </c>
      <c r="E87" s="69" t="s">
        <v>1154</v>
      </c>
      <c r="F87" s="85">
        <v>-7</v>
      </c>
      <c r="G87" s="60" t="s">
        <v>456</v>
      </c>
      <c r="H87" s="31" t="s">
        <v>39</v>
      </c>
      <c r="I87" s="46" t="str">
        <f>HYPERLINK("tag_data/bw170814-51 (IOS_Monterey)","Link")</f>
        <v>Link</v>
      </c>
      <c r="J87" s="46" t="str">
        <f>HYPERLINK("tag_data_raw/IOS_Scaling/2017/bw170814-51","Link")</f>
        <v>Link</v>
      </c>
      <c r="K87" s="54" t="str">
        <f>HYPERLINK("tag_data/bw170814-51 (IOS_Monterey)/Pics&amp;Vids","Link")</f>
        <v>Link</v>
      </c>
      <c r="L87" s="46" t="str">
        <f>HYPERLINK("location data/IOS_Scaling/2017/Pics&amp;Vids/08.14/Ziphiid Videos/20170814-ZIP-Tag51-Deploy-GOPR0404.MP4","Link")</f>
        <v>Link</v>
      </c>
      <c r="M87" s="73" t="str">
        <f>HYPERLINK("tag_data/bw170814-51 (IOS_Monterey)/Pics&amp;Vids/drone","20.70 m")</f>
        <v>20.70 m</v>
      </c>
      <c r="N87" s="46" t="str">
        <f t="shared" si="24"/>
        <v>Link</v>
      </c>
      <c r="O87" s="31" t="s">
        <v>45</v>
      </c>
      <c r="P87" s="31" t="s">
        <v>39</v>
      </c>
      <c r="Q87" s="31">
        <v>51</v>
      </c>
      <c r="R87" s="32" t="s">
        <v>475</v>
      </c>
      <c r="S87" s="32" t="str">
        <f>IF(OR(Q87&lt;39,Q87=50,Q87=51,AND(OR(Q87=46,Q87=47),AQ87&gt;43313)),"Cam Mic",IF(AND(Q87&lt;45,AQ87&lt;42958),"Dolphin Ear",IF(AND(Q87&gt;44,NOT(OR(Q87=46,Q87=47,Q87=50,Q87=51))),"HTI","None")))</f>
        <v>Cam Mic</v>
      </c>
      <c r="T87" s="32" t="s">
        <v>478</v>
      </c>
      <c r="U87" s="17">
        <f t="shared" si="20"/>
        <v>1.1290393518575002</v>
      </c>
      <c r="V87" s="17">
        <f t="shared" si="21"/>
        <v>0.89542824074305827</v>
      </c>
      <c r="W87" s="56">
        <v>0.16938657407407409</v>
      </c>
      <c r="X87" s="31" t="s">
        <v>517</v>
      </c>
      <c r="Y87" s="73" t="str">
        <f>HYPERLINK("tag_data/bw170814-51 (IOS_Monterey)/bw170814-51 (IOS_Monterey).boris","Boris")</f>
        <v>Boris</v>
      </c>
      <c r="Z87" s="31" t="s">
        <v>39</v>
      </c>
      <c r="AA87" s="31" t="s">
        <v>39</v>
      </c>
      <c r="AB87" s="31" t="s">
        <v>277</v>
      </c>
      <c r="AC87" s="31" t="s">
        <v>39</v>
      </c>
      <c r="AD87" s="31" t="s">
        <v>41</v>
      </c>
      <c r="AE87" s="31" t="s">
        <v>39</v>
      </c>
      <c r="AF87" s="31" t="s">
        <v>39</v>
      </c>
      <c r="AG87" s="31" t="s">
        <v>41</v>
      </c>
      <c r="AH87" s="31" t="s">
        <v>41</v>
      </c>
      <c r="AI87" s="31" t="s">
        <v>41</v>
      </c>
      <c r="AJ87" s="31" t="s">
        <v>39</v>
      </c>
      <c r="AK87" s="31" t="s">
        <v>41</v>
      </c>
      <c r="AL87" s="31" t="s">
        <v>39</v>
      </c>
      <c r="AM87" s="31" t="s">
        <v>603</v>
      </c>
      <c r="AN87" s="32" t="s">
        <v>479</v>
      </c>
      <c r="AO87" s="32" t="s">
        <v>344</v>
      </c>
      <c r="AP87" s="30">
        <v>42961.327037037037</v>
      </c>
      <c r="AQ87" s="30">
        <v>42961.329293981478</v>
      </c>
      <c r="AR87" s="30">
        <v>42962.458333333336</v>
      </c>
      <c r="AS87" s="92">
        <v>42962.224722222221</v>
      </c>
      <c r="AT87" s="158">
        <v>36.807000000000002</v>
      </c>
      <c r="AU87" s="158">
        <v>-122.03789999999999</v>
      </c>
      <c r="AV87" s="142" t="s">
        <v>339</v>
      </c>
      <c r="AW87" s="104" t="s">
        <v>313</v>
      </c>
      <c r="AX87" s="120">
        <v>75833.576238425929</v>
      </c>
      <c r="AY87" s="157">
        <v>36.793700000000001</v>
      </c>
      <c r="AZ87" s="157">
        <v>-122.07380000000001</v>
      </c>
      <c r="BA87" s="32" t="s">
        <v>602</v>
      </c>
      <c r="BB87" s="49" t="s">
        <v>1285</v>
      </c>
      <c r="BC87" s="7"/>
      <c r="BD87" s="7"/>
      <c r="BE87" s="7"/>
      <c r="BF87" s="7"/>
      <c r="BG87" s="7"/>
    </row>
    <row r="88" spans="1:59">
      <c r="A88" s="55" t="str">
        <f>HYPERLINK("tag_data/Quicklook/bw170815-21Quicklook.jpg","bw170815-21")</f>
        <v>bw170815-21</v>
      </c>
      <c r="B88" s="68" t="s">
        <v>338</v>
      </c>
      <c r="C88" s="46" t="str">
        <f t="shared" si="23"/>
        <v>Monterey</v>
      </c>
      <c r="D88" s="64" t="s">
        <v>849</v>
      </c>
      <c r="E88" s="69" t="s">
        <v>1154</v>
      </c>
      <c r="F88" s="87">
        <v>-7</v>
      </c>
      <c r="G88" s="70" t="s">
        <v>456</v>
      </c>
      <c r="H88" s="71" t="s">
        <v>39</v>
      </c>
      <c r="I88" s="72" t="str">
        <f>HYPERLINK("tag_data/bw170815-21 (IOS_Monterey)","Link")</f>
        <v>Link</v>
      </c>
      <c r="J88" s="72" t="str">
        <f>HYPERLINK("tag_data_raw/IOS_Scaling/2017/bw170815-21","Link")</f>
        <v>Link</v>
      </c>
      <c r="K88" s="73" t="str">
        <f>HYPERLINK("tag_data/bw170815-21 (IOS_Monterey)/Pics&amp;Vids","Link")</f>
        <v>Link</v>
      </c>
      <c r="L88" s="46" t="str">
        <f>HYPERLINK("location data/IOS_Scaling/2017/Pics&amp;Vids/08.15/Ziphiid Videos/20170815-ZIP-Tag21deploy-GOPR0426.MP4","Link")</f>
        <v>Link</v>
      </c>
      <c r="M88" s="73" t="str">
        <f>HYPERLINK("tag_data/bw170815-21 (IOS_Monterey)/Pics&amp;Vids/drone","22.55 m")</f>
        <v>22.55 m</v>
      </c>
      <c r="N88" s="46" t="str">
        <f t="shared" si="24"/>
        <v>Link</v>
      </c>
      <c r="O88" s="71" t="s">
        <v>45</v>
      </c>
      <c r="P88" s="71" t="s">
        <v>41</v>
      </c>
      <c r="Q88" s="71">
        <v>21</v>
      </c>
      <c r="R88" s="38" t="s">
        <v>264</v>
      </c>
      <c r="S88" s="32" t="s">
        <v>1393</v>
      </c>
      <c r="T88" s="38" t="s">
        <v>263</v>
      </c>
      <c r="U88" s="74">
        <f t="shared" si="20"/>
        <v>0.12402777777606389</v>
      </c>
      <c r="V88" s="74">
        <f t="shared" si="21"/>
        <v>0.12402777777606389</v>
      </c>
      <c r="W88" s="75" t="s">
        <v>346</v>
      </c>
      <c r="X88" s="72" t="str">
        <f>HYPERLINK("/tag_data/bw170815-21 (IOS_Monterey)/bw170815-21 Map.bmp","121")</f>
        <v>121</v>
      </c>
      <c r="Y88" s="71" t="s">
        <v>263</v>
      </c>
      <c r="Z88" s="71" t="s">
        <v>39</v>
      </c>
      <c r="AA88" s="71" t="s">
        <v>41</v>
      </c>
      <c r="AB88" s="71" t="s">
        <v>277</v>
      </c>
      <c r="AC88" s="31" t="s">
        <v>39</v>
      </c>
      <c r="AD88" s="71" t="s">
        <v>41</v>
      </c>
      <c r="AE88" s="71" t="s">
        <v>41</v>
      </c>
      <c r="AF88" s="71" t="s">
        <v>41</v>
      </c>
      <c r="AG88" s="71" t="s">
        <v>41</v>
      </c>
      <c r="AH88" s="71" t="s">
        <v>41</v>
      </c>
      <c r="AI88" s="71" t="s">
        <v>41</v>
      </c>
      <c r="AJ88" s="71" t="s">
        <v>41</v>
      </c>
      <c r="AK88" s="71" t="s">
        <v>41</v>
      </c>
      <c r="AL88" s="71" t="s">
        <v>41</v>
      </c>
      <c r="AM88" s="71" t="s">
        <v>41</v>
      </c>
      <c r="AN88" s="38" t="s">
        <v>489</v>
      </c>
      <c r="AO88" s="38" t="s">
        <v>344</v>
      </c>
      <c r="AP88" s="30">
        <v>42961.438576388886</v>
      </c>
      <c r="AQ88" s="30">
        <v>42962.534097222226</v>
      </c>
      <c r="AR88" s="30">
        <v>42962.658125000002</v>
      </c>
      <c r="AS88" s="92" t="s">
        <v>651</v>
      </c>
      <c r="AT88" s="158">
        <v>36.811</v>
      </c>
      <c r="AU88" s="158">
        <v>-122.0851</v>
      </c>
      <c r="AV88" s="142" t="s">
        <v>339</v>
      </c>
      <c r="AW88" s="104" t="s">
        <v>313</v>
      </c>
      <c r="AX88" s="120">
        <v>42963.323981481481</v>
      </c>
      <c r="AY88" s="158">
        <v>36.730899999999998</v>
      </c>
      <c r="AZ88" s="158">
        <v>-122.0689</v>
      </c>
      <c r="BA88" s="38" t="s">
        <v>507</v>
      </c>
      <c r="BB88" s="49" t="s">
        <v>510</v>
      </c>
      <c r="BC88" s="67"/>
      <c r="BD88" s="67"/>
      <c r="BE88" s="7"/>
      <c r="BF88" s="7"/>
      <c r="BG88" s="7"/>
    </row>
    <row r="89" spans="1:59">
      <c r="A89" s="55" t="str">
        <f>HYPERLINK("tag_data/Quicklook/bw170815-28Quicklook.jpg","bw170815-28")</f>
        <v>bw170815-28</v>
      </c>
      <c r="B89" s="26" t="s">
        <v>338</v>
      </c>
      <c r="C89" s="46" t="str">
        <f t="shared" si="23"/>
        <v>Monterey</v>
      </c>
      <c r="D89" s="64" t="s">
        <v>849</v>
      </c>
      <c r="E89" s="69" t="s">
        <v>1154</v>
      </c>
      <c r="F89" s="85">
        <v>-7</v>
      </c>
      <c r="G89" s="60" t="s">
        <v>456</v>
      </c>
      <c r="H89" s="71" t="s">
        <v>39</v>
      </c>
      <c r="I89" s="72" t="str">
        <f>HYPERLINK("tag_data/bw170815-28 (IOS_Monterey)","Link")</f>
        <v>Link</v>
      </c>
      <c r="J89" s="72" t="str">
        <f>HYPERLINK("tag_data_raw/IOS_Scaling/2017/bw170815-28","Link")</f>
        <v>Link</v>
      </c>
      <c r="K89" s="73" t="str">
        <f>HYPERLINK("tag_data/bw170815-28 (IOS_Monterey)/Pics&amp;Vids","Link")</f>
        <v>Link</v>
      </c>
      <c r="L89" s="46" t="str">
        <f>HYPERLINK("location data/IOS_Scaling/2017/Pics&amp;Vids/08.15/Ziphiid Videos/20170815-ZIP-Tag28deploy-GOPR0423.MP4","Link")</f>
        <v>Link</v>
      </c>
      <c r="M89" s="73" t="str">
        <f>HYPERLINK("tag_data/bw170815-28 (IOS_Monterey)/Pics&amp;Vids/drone","21.09 m")</f>
        <v>21.09 m</v>
      </c>
      <c r="N89" s="46" t="str">
        <f t="shared" si="24"/>
        <v>Link</v>
      </c>
      <c r="O89" s="71" t="s">
        <v>45</v>
      </c>
      <c r="P89" s="31" t="s">
        <v>39</v>
      </c>
      <c r="Q89" s="31">
        <v>28</v>
      </c>
      <c r="R89" s="32" t="s">
        <v>547</v>
      </c>
      <c r="S89" s="32" t="s">
        <v>1393</v>
      </c>
      <c r="T89" s="32" t="s">
        <v>263</v>
      </c>
      <c r="U89" s="17">
        <f t="shared" si="20"/>
        <v>1.171736111107748</v>
      </c>
      <c r="V89" s="17">
        <f t="shared" si="21"/>
        <v>1.171736111107748</v>
      </c>
      <c r="W89" s="75" t="s">
        <v>346</v>
      </c>
      <c r="X89" s="72" t="str">
        <f>HYPERLINK("/tag_data/bw170815-28 (IOS_Monterey)/bw170815-28 Map.bmp","57")</f>
        <v>57</v>
      </c>
      <c r="Y89" s="71" t="s">
        <v>263</v>
      </c>
      <c r="Z89" s="31" t="s">
        <v>39</v>
      </c>
      <c r="AA89" s="31" t="s">
        <v>41</v>
      </c>
      <c r="AB89" s="71" t="s">
        <v>277</v>
      </c>
      <c r="AC89" s="31" t="s">
        <v>39</v>
      </c>
      <c r="AD89" s="31" t="s">
        <v>41</v>
      </c>
      <c r="AE89" s="31" t="s">
        <v>266</v>
      </c>
      <c r="AF89" s="31" t="s">
        <v>41</v>
      </c>
      <c r="AG89" s="31" t="s">
        <v>41</v>
      </c>
      <c r="AH89" s="31" t="s">
        <v>41</v>
      </c>
      <c r="AI89" s="31" t="s">
        <v>41</v>
      </c>
      <c r="AJ89" s="31" t="s">
        <v>41</v>
      </c>
      <c r="AK89" s="31" t="s">
        <v>41</v>
      </c>
      <c r="AL89" s="31" t="s">
        <v>41</v>
      </c>
      <c r="AM89" s="31" t="s">
        <v>41</v>
      </c>
      <c r="AN89" s="32" t="s">
        <v>490</v>
      </c>
      <c r="AO89" s="32" t="s">
        <v>344</v>
      </c>
      <c r="AP89" s="30">
        <v>42962.471435185187</v>
      </c>
      <c r="AQ89" s="30">
        <v>42962.50922453704</v>
      </c>
      <c r="AR89" s="30">
        <v>42963.680960648147</v>
      </c>
      <c r="AS89" s="92" t="s">
        <v>651</v>
      </c>
      <c r="AT89" s="155">
        <v>36.807200000000002</v>
      </c>
      <c r="AU89" s="155">
        <v>-122.0817</v>
      </c>
      <c r="AV89" s="142" t="s">
        <v>339</v>
      </c>
      <c r="AW89" s="104" t="s">
        <v>313</v>
      </c>
      <c r="AX89" s="120">
        <v>42964.33221064815</v>
      </c>
      <c r="AY89" s="158">
        <v>36.8125</v>
      </c>
      <c r="AZ89" s="158">
        <v>-122.0917</v>
      </c>
      <c r="BA89" s="38" t="s">
        <v>509</v>
      </c>
      <c r="BB89" s="49" t="s">
        <v>508</v>
      </c>
      <c r="BC89" s="7"/>
      <c r="BD89" s="7"/>
      <c r="BE89" s="7"/>
      <c r="BF89" s="7"/>
      <c r="BG89" s="7"/>
    </row>
    <row r="90" spans="1:59">
      <c r="A90" s="55" t="str">
        <f>HYPERLINK("tag_data/Quicklook/bw170815-42Quicklook.jpg","bw170815-42")</f>
        <v>bw170815-42</v>
      </c>
      <c r="B90" s="68" t="s">
        <v>338</v>
      </c>
      <c r="C90" s="46" t="str">
        <f t="shared" si="23"/>
        <v>Monterey</v>
      </c>
      <c r="D90" s="64" t="s">
        <v>849</v>
      </c>
      <c r="E90" s="69" t="s">
        <v>1154</v>
      </c>
      <c r="F90" s="87">
        <v>-7</v>
      </c>
      <c r="G90" s="70" t="s">
        <v>456</v>
      </c>
      <c r="H90" s="71" t="s">
        <v>39</v>
      </c>
      <c r="I90" s="72" t="str">
        <f>HYPERLINK("tag_data/bw170815-42 (IOS_Monterey)","Link")</f>
        <v>Link</v>
      </c>
      <c r="J90" s="72" t="str">
        <f>HYPERLINK("tag_data_raw/IOS_Scaling/2017/bw170815-42","Link")</f>
        <v>Link</v>
      </c>
      <c r="K90" s="73" t="str">
        <f>HYPERLINK("tag_data/bw170815-42 (IOS_Monterey)/Pics&amp;Vids","Link")</f>
        <v>Link</v>
      </c>
      <c r="L90" s="46" t="str">
        <f>HYPERLINK("location data/IOS_Scaling/2017/Pics&amp;Vids/08.15/Ziphiid Videos/20170815-ZIP-Tag42deploy-GOPR0416.MP4","Link")</f>
        <v>Link</v>
      </c>
      <c r="M90" s="203" t="str">
        <f>HYPERLINK("tag_data/bw170815-42 (IOS_Monterey)/Pics&amp;Vids/drone","see 14-31")</f>
        <v>see 14-31</v>
      </c>
      <c r="N90" s="46" t="str">
        <f t="shared" si="24"/>
        <v>Link</v>
      </c>
      <c r="O90" s="71" t="s">
        <v>491</v>
      </c>
      <c r="P90" s="71" t="s">
        <v>39</v>
      </c>
      <c r="Q90" s="71">
        <v>42</v>
      </c>
      <c r="R90" s="38" t="s">
        <v>347</v>
      </c>
      <c r="S90" s="32" t="str">
        <f>IF(OR(Q90&lt;39,Q90=50,Q90=51,AND(OR(Q90=46,Q90=47),AQ90&gt;43313)),"Cam Mic",IF(AND(Q90&lt;45,AQ90&lt;42958),"Dolphin Ear",IF(AND(Q90&gt;44,NOT(OR(Q90=46,Q90=47,Q90=50,Q90=51))),"HTI","None")))</f>
        <v>None</v>
      </c>
      <c r="T90" s="38" t="s">
        <v>480</v>
      </c>
      <c r="U90" s="74">
        <f t="shared" si="20"/>
        <v>7.6238425928750075E-2</v>
      </c>
      <c r="V90" s="74">
        <f t="shared" si="21"/>
        <v>7.6238425928750075E-2</v>
      </c>
      <c r="W90" s="75">
        <v>7.5648148148148145E-2</v>
      </c>
      <c r="X90" s="78">
        <v>0</v>
      </c>
      <c r="Y90" s="29"/>
      <c r="Z90" s="31" t="s">
        <v>39</v>
      </c>
      <c r="AA90" s="31" t="s">
        <v>39</v>
      </c>
      <c r="AB90" s="31" t="s">
        <v>277</v>
      </c>
      <c r="AC90" s="31" t="s">
        <v>39</v>
      </c>
      <c r="AD90" s="31" t="s">
        <v>39</v>
      </c>
      <c r="AE90" s="31" t="s">
        <v>266</v>
      </c>
      <c r="AF90" s="31" t="s">
        <v>39</v>
      </c>
      <c r="AG90" s="31" t="s">
        <v>41</v>
      </c>
      <c r="AH90" s="33" t="s">
        <v>481</v>
      </c>
      <c r="AI90" s="31" t="s">
        <v>39</v>
      </c>
      <c r="AJ90" s="31" t="s">
        <v>39</v>
      </c>
      <c r="AK90" s="31" t="s">
        <v>41</v>
      </c>
      <c r="AL90" s="31" t="s">
        <v>41</v>
      </c>
      <c r="AM90" s="31" t="s">
        <v>41</v>
      </c>
      <c r="AN90" s="32" t="s">
        <v>473</v>
      </c>
      <c r="AO90" s="38" t="s">
        <v>344</v>
      </c>
      <c r="AP90" s="30">
        <v>42962.455335648148</v>
      </c>
      <c r="AQ90" s="30">
        <v>42962.482812499999</v>
      </c>
      <c r="AR90" s="30">
        <v>42962.559050925927</v>
      </c>
      <c r="AS90" s="92" t="s">
        <v>651</v>
      </c>
      <c r="AT90" s="155">
        <v>36.798499999999997</v>
      </c>
      <c r="AU90" s="155">
        <v>-122.0665</v>
      </c>
      <c r="AV90" s="142" t="s">
        <v>339</v>
      </c>
      <c r="AW90" s="104" t="s">
        <v>313</v>
      </c>
      <c r="AX90" s="120">
        <v>42962.589317129627</v>
      </c>
      <c r="AY90" s="158">
        <v>36.803199999999997</v>
      </c>
      <c r="AZ90" s="158">
        <v>-122.0744</v>
      </c>
      <c r="BA90" s="38" t="s">
        <v>556</v>
      </c>
      <c r="BB90" s="49" t="s">
        <v>482</v>
      </c>
      <c r="BC90" s="67"/>
      <c r="BD90" s="67"/>
      <c r="BE90" s="7"/>
      <c r="BF90" s="7"/>
      <c r="BG90" s="7"/>
    </row>
    <row r="91" spans="1:59">
      <c r="A91" s="55" t="str">
        <f>HYPERLINK("tag_data/Quicklook/bw170815-43Quicklook.jpg","bw170815-43")</f>
        <v>bw170815-43</v>
      </c>
      <c r="B91" s="26" t="s">
        <v>338</v>
      </c>
      <c r="C91" s="46" t="str">
        <f t="shared" si="23"/>
        <v>Monterey</v>
      </c>
      <c r="D91" s="64" t="s">
        <v>849</v>
      </c>
      <c r="E91" s="69" t="s">
        <v>1154</v>
      </c>
      <c r="F91" s="85">
        <v>-7</v>
      </c>
      <c r="G91" s="60" t="s">
        <v>456</v>
      </c>
      <c r="H91" s="71" t="s">
        <v>39</v>
      </c>
      <c r="I91" s="72" t="str">
        <f>HYPERLINK("tag_data/bw170815-43 (IOS_Monterey)","Link")</f>
        <v>Link</v>
      </c>
      <c r="J91" s="72" t="str">
        <f>HYPERLINK("tag_data_raw/IOS_Scaling/2017/bw170815-43","Link")</f>
        <v>Link</v>
      </c>
      <c r="K91" s="73" t="str">
        <f>HYPERLINK("tag_data/bw170815-43 (IOS_Monterey)/Pics&amp;Vids","Link")</f>
        <v>Link</v>
      </c>
      <c r="L91" s="76" t="s">
        <v>263</v>
      </c>
      <c r="M91" s="73" t="str">
        <f>HYPERLINK("tag_data/bw170815-43 (IOS_Monterey)/Pics&amp;Vids/drone","21.98 m")</f>
        <v>21.98 m</v>
      </c>
      <c r="N91" s="46" t="str">
        <f t="shared" si="24"/>
        <v>Link</v>
      </c>
      <c r="O91" s="31" t="s">
        <v>45</v>
      </c>
      <c r="P91" s="31" t="s">
        <v>39</v>
      </c>
      <c r="Q91" s="31">
        <v>43</v>
      </c>
      <c r="R91" s="32" t="s">
        <v>347</v>
      </c>
      <c r="S91" s="32" t="str">
        <f>IF(OR(Q91&lt;39,Q91=50,Q91=51,AND(OR(Q91=46,Q91=47),AQ91&gt;43313)),"Cam Mic",IF(AND(Q91&lt;45,AQ91&lt;42958),"Dolphin Ear",IF(AND(Q91&gt;44,NOT(OR(Q91=46,Q91=47,Q91=50,Q91=51))),"HTI","None")))</f>
        <v>None</v>
      </c>
      <c r="T91" s="38" t="s">
        <v>480</v>
      </c>
      <c r="U91" s="17">
        <f t="shared" si="20"/>
        <v>0.77013888888905058</v>
      </c>
      <c r="V91" s="17">
        <f t="shared" si="21"/>
        <v>0.77013888888905058</v>
      </c>
      <c r="W91" s="56">
        <v>3.5497685185185188E-2</v>
      </c>
      <c r="X91" s="31">
        <v>0</v>
      </c>
      <c r="Y91" s="31"/>
      <c r="Z91" s="31" t="s">
        <v>39</v>
      </c>
      <c r="AA91" s="31" t="s">
        <v>39</v>
      </c>
      <c r="AB91" s="31" t="s">
        <v>277</v>
      </c>
      <c r="AC91" s="31" t="s">
        <v>39</v>
      </c>
      <c r="AD91" s="31" t="s">
        <v>39</v>
      </c>
      <c r="AE91" s="31" t="s">
        <v>266</v>
      </c>
      <c r="AF91" s="31" t="s">
        <v>266</v>
      </c>
      <c r="AG91" s="31" t="s">
        <v>41</v>
      </c>
      <c r="AH91" s="33" t="s">
        <v>495</v>
      </c>
      <c r="AI91" s="31" t="s">
        <v>266</v>
      </c>
      <c r="AJ91" s="31" t="s">
        <v>39</v>
      </c>
      <c r="AK91" s="31" t="s">
        <v>41</v>
      </c>
      <c r="AL91" s="31" t="s">
        <v>41</v>
      </c>
      <c r="AM91" s="31" t="s">
        <v>476</v>
      </c>
      <c r="AN91" s="32" t="s">
        <v>496</v>
      </c>
      <c r="AO91" s="32" t="s">
        <v>344</v>
      </c>
      <c r="AP91" s="30">
        <v>42962.491956018515</v>
      </c>
      <c r="AQ91" s="30">
        <v>42962.526805555557</v>
      </c>
      <c r="AR91" s="30">
        <v>42963.296944444446</v>
      </c>
      <c r="AS91" s="92" t="s">
        <v>651</v>
      </c>
      <c r="AT91" s="155">
        <v>36.801499999999997</v>
      </c>
      <c r="AU91" s="155">
        <v>-122.075</v>
      </c>
      <c r="AV91" s="142" t="s">
        <v>313</v>
      </c>
      <c r="AW91" s="104" t="s">
        <v>313</v>
      </c>
      <c r="AX91" s="120">
        <v>42963.519976851851</v>
      </c>
      <c r="AY91" s="158">
        <v>36.984699999999997</v>
      </c>
      <c r="AZ91" s="158">
        <v>-122.1707</v>
      </c>
      <c r="BA91" s="38" t="s">
        <v>511</v>
      </c>
      <c r="BB91" s="49" t="s">
        <v>1286</v>
      </c>
      <c r="BC91" s="7"/>
      <c r="BD91" s="7"/>
      <c r="BE91" s="7"/>
      <c r="BF91" s="7"/>
      <c r="BG91" s="7"/>
    </row>
    <row r="92" spans="1:59">
      <c r="A92" s="55" t="str">
        <f>HYPERLINK("tag_data/Quicklook/bw170816-23Quicklook.jpg","bw170816-23")</f>
        <v>bw170816-23</v>
      </c>
      <c r="B92" s="26" t="s">
        <v>338</v>
      </c>
      <c r="C92" s="46" t="str">
        <f t="shared" si="23"/>
        <v>Monterey</v>
      </c>
      <c r="D92" s="64" t="s">
        <v>849</v>
      </c>
      <c r="E92" s="69" t="s">
        <v>1154</v>
      </c>
      <c r="F92" s="85">
        <v>-7</v>
      </c>
      <c r="G92" s="60" t="s">
        <v>456</v>
      </c>
      <c r="H92" s="71" t="s">
        <v>39</v>
      </c>
      <c r="I92" s="72" t="str">
        <f>HYPERLINK("tag_data/bw170816-23 (IOS_Monterey)","Link")</f>
        <v>Link</v>
      </c>
      <c r="J92" s="72" t="str">
        <f>HYPERLINK("tag_data_raw/IOS_Scaling/2017/bw170816-23","Link")</f>
        <v>Link</v>
      </c>
      <c r="K92" s="73" t="str">
        <f>HYPERLINK("tag_data/bw170816-23 (IOS_Monterey)/Pics&amp;Vids","Link")</f>
        <v>Link</v>
      </c>
      <c r="L92" s="46" t="str">
        <f>HYPERLINK("location data/IOS_Scaling/2017/Pics&amp;Vids/08.16/Musculus Videos/Shirel/170816 Blue Whale Musculus Deployment.MP4","Link")</f>
        <v>Link</v>
      </c>
      <c r="M92" s="73" t="str">
        <f>HYPERLINK("tag_data/bw170816-23 (IOS_Monterey)/Pics&amp;Vids/drone","23.35 m")</f>
        <v>23.35 m</v>
      </c>
      <c r="N92" s="46" t="str">
        <f t="shared" si="24"/>
        <v>Link</v>
      </c>
      <c r="O92" s="31" t="s">
        <v>45</v>
      </c>
      <c r="P92" s="31" t="s">
        <v>41</v>
      </c>
      <c r="Q92" s="31">
        <v>23</v>
      </c>
      <c r="R92" s="32" t="s">
        <v>264</v>
      </c>
      <c r="S92" s="32" t="s">
        <v>1393</v>
      </c>
      <c r="T92" s="32" t="s">
        <v>263</v>
      </c>
      <c r="U92" s="17">
        <f t="shared" ref="U92:U123" si="25">AR92-AQ92</f>
        <v>3.2361111108912155E-2</v>
      </c>
      <c r="V92" s="17">
        <f t="shared" si="21"/>
        <v>3.2361111108912155E-2</v>
      </c>
      <c r="W92" s="56" t="s">
        <v>346</v>
      </c>
      <c r="X92" s="72" t="str">
        <f>HYPERLINK("/tag_data/bw170816-23 (IOS_Monterey)/bw170816-23 Map.bmp","3")</f>
        <v>3</v>
      </c>
      <c r="Y92" s="71" t="s">
        <v>263</v>
      </c>
      <c r="Z92" s="31" t="s">
        <v>39</v>
      </c>
      <c r="AA92" s="31" t="s">
        <v>41</v>
      </c>
      <c r="AB92" s="71" t="s">
        <v>277</v>
      </c>
      <c r="AC92" s="31" t="s">
        <v>39</v>
      </c>
      <c r="AD92" s="31" t="s">
        <v>41</v>
      </c>
      <c r="AE92" s="31" t="s">
        <v>266</v>
      </c>
      <c r="AF92" s="31" t="s">
        <v>41</v>
      </c>
      <c r="AG92" s="31" t="s">
        <v>41</v>
      </c>
      <c r="AH92" s="31" t="s">
        <v>41</v>
      </c>
      <c r="AI92" s="31" t="s">
        <v>41</v>
      </c>
      <c r="AJ92" s="31" t="s">
        <v>41</v>
      </c>
      <c r="AK92" s="31" t="s">
        <v>41</v>
      </c>
      <c r="AL92" s="31" t="s">
        <v>41</v>
      </c>
      <c r="AM92" s="31" t="s">
        <v>41</v>
      </c>
      <c r="AN92" s="32" t="s">
        <v>494</v>
      </c>
      <c r="AO92" s="32" t="s">
        <v>344</v>
      </c>
      <c r="AP92" s="30">
        <v>42963.580300925925</v>
      </c>
      <c r="AQ92" s="30">
        <v>42963.581990740742</v>
      </c>
      <c r="AR92" s="30">
        <v>42963.614351851851</v>
      </c>
      <c r="AS92" s="92" t="s">
        <v>651</v>
      </c>
      <c r="AT92" s="154">
        <v>36.800400000000003</v>
      </c>
      <c r="AU92" s="154">
        <v>-122.075</v>
      </c>
      <c r="AV92" s="142" t="s">
        <v>313</v>
      </c>
      <c r="AW92" s="104" t="s">
        <v>313</v>
      </c>
      <c r="AX92" s="120">
        <v>42964.3512962963</v>
      </c>
      <c r="AY92" s="155">
        <v>36.793900000000001</v>
      </c>
      <c r="AZ92" s="155">
        <v>-122.12220000000001</v>
      </c>
      <c r="BA92" s="32" t="s">
        <v>493</v>
      </c>
      <c r="BB92" s="49"/>
      <c r="BC92" s="7"/>
      <c r="BD92" s="7"/>
      <c r="BE92" s="7"/>
      <c r="BF92" s="7"/>
      <c r="BG92" s="7"/>
    </row>
    <row r="93" spans="1:59">
      <c r="A93" s="55" t="str">
        <f>HYPERLINK("tag_data/Quicklook/bw170816-27Quicklook.jpg","bw170816-27")</f>
        <v>bw170816-27</v>
      </c>
      <c r="B93" s="26" t="s">
        <v>338</v>
      </c>
      <c r="C93" s="46" t="str">
        <f t="shared" si="23"/>
        <v>Monterey</v>
      </c>
      <c r="D93" s="64" t="s">
        <v>849</v>
      </c>
      <c r="E93" s="69" t="s">
        <v>1154</v>
      </c>
      <c r="F93" s="85">
        <v>-7</v>
      </c>
      <c r="G93" s="60" t="s">
        <v>456</v>
      </c>
      <c r="H93" s="71" t="s">
        <v>39</v>
      </c>
      <c r="I93" s="72" t="str">
        <f>HYPERLINK("tag_data/bw170816-27 (IOS_Monterey)","Link")</f>
        <v>Link</v>
      </c>
      <c r="J93" s="72" t="str">
        <f>HYPERLINK("tag_data_raw/IOS_Scaling/2017/bw170816-27","Link")</f>
        <v>Link</v>
      </c>
      <c r="K93" s="73" t="str">
        <f>HYPERLINK("tag_data/bw170816-27 (IOS_Monterey)/Pics&amp;Vids","Link")</f>
        <v>Link</v>
      </c>
      <c r="L93" s="46" t="str">
        <f>HYPERLINK("location data/IOS_Scaling/2017/Pics&amp;Vids/08.16/Ziphiid Videos/20170816-ZIP-Tag27deploy-GOPR0436.MP4","Link")</f>
        <v>Link</v>
      </c>
      <c r="M93" s="73" t="str">
        <f>HYPERLINK("tag_data/bw170816-27 (IOS_Monterey)/Pics&amp;Vids/drone","22.51 m")</f>
        <v>22.51 m</v>
      </c>
      <c r="N93" s="46" t="str">
        <f t="shared" si="24"/>
        <v>Link</v>
      </c>
      <c r="O93" s="31" t="s">
        <v>45</v>
      </c>
      <c r="P93" s="31" t="s">
        <v>41</v>
      </c>
      <c r="Q93" s="31">
        <v>27</v>
      </c>
      <c r="R93" s="32" t="s">
        <v>488</v>
      </c>
      <c r="S93" s="32" t="s">
        <v>1393</v>
      </c>
      <c r="T93" s="32" t="s">
        <v>263</v>
      </c>
      <c r="U93" s="17">
        <f t="shared" si="25"/>
        <v>0.18549768518278142</v>
      </c>
      <c r="V93" s="17">
        <f t="shared" si="21"/>
        <v>0.18549768518278142</v>
      </c>
      <c r="W93" s="56" t="s">
        <v>346</v>
      </c>
      <c r="X93" s="72" t="str">
        <f>HYPERLINK("/tag_data/bw170816-27 (IOS_Monterey)/bw170816-27 Map.bmp","191")</f>
        <v>191</v>
      </c>
      <c r="Y93" s="71" t="s">
        <v>263</v>
      </c>
      <c r="Z93" s="31" t="s">
        <v>39</v>
      </c>
      <c r="AA93" s="31" t="s">
        <v>41</v>
      </c>
      <c r="AB93" s="71" t="s">
        <v>277</v>
      </c>
      <c r="AC93" s="31" t="s">
        <v>39</v>
      </c>
      <c r="AD93" s="31" t="s">
        <v>41</v>
      </c>
      <c r="AE93" s="31" t="s">
        <v>266</v>
      </c>
      <c r="AF93" s="31" t="s">
        <v>41</v>
      </c>
      <c r="AG93" s="31" t="s">
        <v>41</v>
      </c>
      <c r="AH93" s="31" t="s">
        <v>41</v>
      </c>
      <c r="AI93" s="31" t="s">
        <v>41</v>
      </c>
      <c r="AJ93" s="31" t="s">
        <v>41</v>
      </c>
      <c r="AK93" s="31" t="s">
        <v>41</v>
      </c>
      <c r="AL93" s="31" t="s">
        <v>41</v>
      </c>
      <c r="AM93" s="31" t="s">
        <v>41</v>
      </c>
      <c r="AN93" s="32" t="s">
        <v>494</v>
      </c>
      <c r="AO93" s="32" t="s">
        <v>344</v>
      </c>
      <c r="AP93" s="30">
        <v>42963.520219907405</v>
      </c>
      <c r="AQ93" s="30">
        <v>42963.530474537038</v>
      </c>
      <c r="AR93" s="30">
        <v>42963.71597222222</v>
      </c>
      <c r="AS93" s="92" t="s">
        <v>651</v>
      </c>
      <c r="AT93" s="155">
        <v>36.832099999999997</v>
      </c>
      <c r="AU93" s="155">
        <v>-122.157</v>
      </c>
      <c r="AV93" s="142" t="s">
        <v>339</v>
      </c>
      <c r="AW93" s="104" t="s">
        <v>313</v>
      </c>
      <c r="AX93" s="120">
        <v>42964.363645833335</v>
      </c>
      <c r="AY93" s="155">
        <v>36.758600000000001</v>
      </c>
      <c r="AZ93" s="155">
        <v>-122.1502</v>
      </c>
      <c r="BA93" s="32" t="s">
        <v>542</v>
      </c>
      <c r="BB93" s="49"/>
      <c r="BC93" s="7"/>
      <c r="BD93" s="7"/>
      <c r="BE93" s="7"/>
      <c r="BF93" s="7"/>
      <c r="BG93" s="7"/>
    </row>
    <row r="94" spans="1:59">
      <c r="A94" s="55" t="str">
        <f>HYPERLINK("tag_data/Quicklook/bw170816-41Quicklook.jpg","bw170816-41")</f>
        <v>bw170816-41</v>
      </c>
      <c r="B94" s="26" t="s">
        <v>338</v>
      </c>
      <c r="C94" s="46" t="str">
        <f t="shared" si="23"/>
        <v>Monterey</v>
      </c>
      <c r="D94" s="64" t="s">
        <v>849</v>
      </c>
      <c r="E94" s="69" t="s">
        <v>1154</v>
      </c>
      <c r="F94" s="85">
        <v>-7</v>
      </c>
      <c r="G94" s="60" t="s">
        <v>456</v>
      </c>
      <c r="H94" s="71" t="s">
        <v>39</v>
      </c>
      <c r="I94" s="72" t="str">
        <f>HYPERLINK("tag_data/bw170816-41 (IOS_Monterey)","Link")</f>
        <v>Link</v>
      </c>
      <c r="J94" s="72" t="str">
        <f>HYPERLINK("tag_data_raw/IOS_Scaling/2017/bw170816-41","Link")</f>
        <v>Link</v>
      </c>
      <c r="K94" s="73" t="str">
        <f>HYPERLINK("tag_data/bw170816-41 (IOS_Monterey)/Pics&amp;Vids","Link")</f>
        <v>Link</v>
      </c>
      <c r="L94" s="46" t="str">
        <f>HYPERLINK("location data/IOS_Scaling/2017/Pics&amp;Vids/08.16/Ziphiid Videos/20170816-ZIP-Tag41deploy-GOPR0430.MP4","Link")</f>
        <v>Link</v>
      </c>
      <c r="M94" s="73" t="str">
        <f>HYPERLINK("tag_data/bw170816-41 (IOS_Monterey)/Pics&amp;Vids/drone","24.12 m")</f>
        <v>24.12 m</v>
      </c>
      <c r="N94" s="46" t="str">
        <f t="shared" si="24"/>
        <v>Link</v>
      </c>
      <c r="O94" s="31" t="s">
        <v>45</v>
      </c>
      <c r="P94" s="31" t="s">
        <v>39</v>
      </c>
      <c r="Q94" s="31">
        <v>41</v>
      </c>
      <c r="R94" s="32" t="s">
        <v>347</v>
      </c>
      <c r="S94" s="32" t="str">
        <f t="shared" ref="S94:S103" si="26">IF(OR(Q94&lt;39,Q94=50,Q94=51,AND(OR(Q94=46,Q94=47),AQ94&gt;43313)),"Cam Mic",IF(AND(Q94&lt;45,AQ94&lt;42958),"Dolphin Ear",IF(AND(Q94&gt;44,NOT(OR(Q94=46,Q94=47,Q94=50,Q94=51))),"HTI","None")))</f>
        <v>None</v>
      </c>
      <c r="T94" s="32" t="s">
        <v>487</v>
      </c>
      <c r="U94" s="17">
        <f t="shared" si="25"/>
        <v>0.63215277777635492</v>
      </c>
      <c r="V94" s="17">
        <f t="shared" si="21"/>
        <v>0.63215277777635492</v>
      </c>
      <c r="W94" s="56">
        <v>0.36168981481481483</v>
      </c>
      <c r="X94" s="72" t="str">
        <f>HYPERLINK("/tag_data/bw170816-41 (IOS_Monterey)/bw170816-41 Map.bmp","176")</f>
        <v>176</v>
      </c>
      <c r="Y94" s="31"/>
      <c r="Z94" s="31" t="s">
        <v>39</v>
      </c>
      <c r="AA94" s="31" t="s">
        <v>39</v>
      </c>
      <c r="AB94" s="71" t="s">
        <v>277</v>
      </c>
      <c r="AC94" s="31" t="s">
        <v>39</v>
      </c>
      <c r="AD94" s="31" t="s">
        <v>39</v>
      </c>
      <c r="AE94" s="31" t="s">
        <v>266</v>
      </c>
      <c r="AF94" s="31" t="s">
        <v>41</v>
      </c>
      <c r="AG94" s="31" t="s">
        <v>41</v>
      </c>
      <c r="AH94" s="31" t="s">
        <v>41</v>
      </c>
      <c r="AI94" s="31" t="s">
        <v>39</v>
      </c>
      <c r="AJ94" s="31" t="s">
        <v>41</v>
      </c>
      <c r="AK94" s="31" t="s">
        <v>41</v>
      </c>
      <c r="AL94" s="31" t="s">
        <v>41</v>
      </c>
      <c r="AM94" s="31" t="s">
        <v>41</v>
      </c>
      <c r="AN94" s="32" t="s">
        <v>497</v>
      </c>
      <c r="AO94" s="32" t="s">
        <v>344</v>
      </c>
      <c r="AP94" s="30">
        <v>42963.406064814815</v>
      </c>
      <c r="AQ94" s="30">
        <v>42963.458831018521</v>
      </c>
      <c r="AR94" s="30">
        <v>42964.090983796297</v>
      </c>
      <c r="AS94" s="92" t="s">
        <v>651</v>
      </c>
      <c r="AT94" s="155">
        <v>36.867600000000003</v>
      </c>
      <c r="AU94" s="155">
        <v>-122.1906</v>
      </c>
      <c r="AV94" s="142" t="s">
        <v>339</v>
      </c>
      <c r="AW94" s="104" t="s">
        <v>313</v>
      </c>
      <c r="AX94" s="120">
        <v>42964.387129629627</v>
      </c>
      <c r="AY94" s="157">
        <v>36.944099999999999</v>
      </c>
      <c r="AZ94" s="157">
        <v>-122.2308</v>
      </c>
      <c r="BA94" s="32" t="s">
        <v>590</v>
      </c>
      <c r="BB94" s="49" t="s">
        <v>1287</v>
      </c>
      <c r="BC94" s="7"/>
      <c r="BD94" s="7"/>
      <c r="BE94" s="7"/>
      <c r="BF94" s="7"/>
      <c r="BG94" s="7"/>
    </row>
    <row r="95" spans="1:59">
      <c r="A95" s="55" t="str">
        <f>HYPERLINK("tag_data/Quicklook/bw170816-42Quicklook.jpg","bw170816-42")</f>
        <v>bw170816-42</v>
      </c>
      <c r="B95" s="26" t="s">
        <v>338</v>
      </c>
      <c r="C95" s="46" t="str">
        <f t="shared" si="23"/>
        <v>Monterey</v>
      </c>
      <c r="D95" s="64" t="s">
        <v>849</v>
      </c>
      <c r="E95" s="69" t="s">
        <v>1154</v>
      </c>
      <c r="F95" s="85">
        <v>-7</v>
      </c>
      <c r="G95" s="60" t="s">
        <v>456</v>
      </c>
      <c r="H95" s="71" t="s">
        <v>39</v>
      </c>
      <c r="I95" s="72" t="str">
        <f>HYPERLINK("tag_data/bw170816-42 (IOS_Monterey)","Link")</f>
        <v>Link</v>
      </c>
      <c r="J95" s="72" t="str">
        <f>HYPERLINK("tag_data_raw/IOS_Scaling/2017/bw170816-42","Link")</f>
        <v>Link</v>
      </c>
      <c r="K95" s="73" t="str">
        <f>HYPERLINK("tag_data/bw170816-42 (IOS_Monterey)/Pics&amp;Vids","Link")</f>
        <v>Link</v>
      </c>
      <c r="L95" s="46" t="str">
        <f>HYPERLINK("location data/IOS_Scaling/2017/Pics&amp;Vids/08.16/Ziphiid Videos/20170816-ZIP-Tag42deploy-GOPR0435.MP4","Link")</f>
        <v>Link</v>
      </c>
      <c r="M95" s="73" t="str">
        <f>HYPERLINK("tag_data/bw170816-42 (IOS_Monterey)/Pics&amp;Vids/drone","24.43 m")</f>
        <v>24.43 m</v>
      </c>
      <c r="N95" s="46" t="str">
        <f t="shared" si="24"/>
        <v>Link</v>
      </c>
      <c r="O95" s="31" t="s">
        <v>45</v>
      </c>
      <c r="P95" s="31" t="s">
        <v>39</v>
      </c>
      <c r="Q95" s="31">
        <v>42</v>
      </c>
      <c r="R95" s="32" t="s">
        <v>347</v>
      </c>
      <c r="S95" s="32" t="str">
        <f t="shared" si="26"/>
        <v>None</v>
      </c>
      <c r="T95" s="32" t="s">
        <v>263</v>
      </c>
      <c r="U95" s="17">
        <f t="shared" si="25"/>
        <v>0.17158564814599231</v>
      </c>
      <c r="V95" s="17">
        <f t="shared" si="21"/>
        <v>0.17158564814599231</v>
      </c>
      <c r="W95" s="56" t="s">
        <v>346</v>
      </c>
      <c r="X95" s="72" t="str">
        <f>HYPERLINK("/tag_data/bw170816-42 (IOS_Monterey)/bw170816-42 Map.bmp","683")</f>
        <v>683</v>
      </c>
      <c r="Y95" s="31" t="s">
        <v>263</v>
      </c>
      <c r="Z95" s="31" t="s">
        <v>39</v>
      </c>
      <c r="AA95" s="31" t="s">
        <v>41</v>
      </c>
      <c r="AB95" s="31" t="s">
        <v>277</v>
      </c>
      <c r="AC95" s="31" t="s">
        <v>39</v>
      </c>
      <c r="AD95" s="31" t="s">
        <v>41</v>
      </c>
      <c r="AE95" s="31" t="s">
        <v>266</v>
      </c>
      <c r="AF95" s="31" t="s">
        <v>41</v>
      </c>
      <c r="AG95" s="31" t="s">
        <v>41</v>
      </c>
      <c r="AH95" s="31" t="s">
        <v>41</v>
      </c>
      <c r="AI95" s="31" t="s">
        <v>41</v>
      </c>
      <c r="AJ95" s="31" t="s">
        <v>41</v>
      </c>
      <c r="AK95" s="31" t="s">
        <v>41</v>
      </c>
      <c r="AL95" s="31" t="s">
        <v>41</v>
      </c>
      <c r="AM95" s="31" t="s">
        <v>41</v>
      </c>
      <c r="AN95" s="32" t="s">
        <v>494</v>
      </c>
      <c r="AO95" s="32" t="s">
        <v>344</v>
      </c>
      <c r="AP95" s="30">
        <v>42963.463969907411</v>
      </c>
      <c r="AQ95" s="30">
        <v>42963.512152777781</v>
      </c>
      <c r="AR95" s="30">
        <v>42963.683738425927</v>
      </c>
      <c r="AS95" s="92" t="s">
        <v>651</v>
      </c>
      <c r="AT95" s="155">
        <v>36.848999999999997</v>
      </c>
      <c r="AU95" s="155">
        <v>-122.16240000000001</v>
      </c>
      <c r="AV95" s="142" t="s">
        <v>339</v>
      </c>
      <c r="AW95" s="104" t="s">
        <v>313</v>
      </c>
      <c r="AX95" s="120">
        <v>42964.338553240741</v>
      </c>
      <c r="AY95" s="157">
        <v>36.813299999999998</v>
      </c>
      <c r="AZ95" s="157">
        <v>-122.10939999999999</v>
      </c>
      <c r="BA95" s="32" t="s">
        <v>543</v>
      </c>
      <c r="BB95" s="49" t="s">
        <v>1288</v>
      </c>
      <c r="BC95" s="7"/>
      <c r="BD95" s="7"/>
      <c r="BE95" s="7"/>
      <c r="BF95" s="7"/>
      <c r="BG95" s="7"/>
    </row>
    <row r="96" spans="1:59">
      <c r="A96" s="55" t="str">
        <f>HYPERLINK("tag_data/Quicklook/bw170816-44Quicklook.jpg","bw170816-44")</f>
        <v>bw170816-44</v>
      </c>
      <c r="B96" s="26" t="s">
        <v>338</v>
      </c>
      <c r="C96" s="46" t="str">
        <f t="shared" si="23"/>
        <v>Monterey</v>
      </c>
      <c r="D96" s="64" t="s">
        <v>849</v>
      </c>
      <c r="E96" s="69" t="s">
        <v>1154</v>
      </c>
      <c r="F96" s="85">
        <v>-7</v>
      </c>
      <c r="G96" s="60" t="s">
        <v>456</v>
      </c>
      <c r="H96" s="71" t="s">
        <v>39</v>
      </c>
      <c r="I96" s="72" t="str">
        <f>HYPERLINK("tag_data/bw170816-44 (IOS_Monterey)","Link")</f>
        <v>Link</v>
      </c>
      <c r="J96" s="72" t="str">
        <f>HYPERLINK("tag_data_raw/IOS_Scaling/2017/bw170816-44","Link")</f>
        <v>Link</v>
      </c>
      <c r="K96" s="73" t="str">
        <f>HYPERLINK("tag_data/bw170816-44 (IOS_Monterey)/Pics&amp;Vids","Link")</f>
        <v>Link</v>
      </c>
      <c r="L96" s="46" t="str">
        <f>HYPERLINK("location data/IOS_Scaling/2017/Pics&amp;Vids/08.16/Ziphiid Videos/20170816-ZIP-Tag44deploy-GOPR0438.MP4","Link")</f>
        <v>Link</v>
      </c>
      <c r="M96" s="73" t="str">
        <f>HYPERLINK("tag_data/bw170816-44 (IOS_Monterey)/Pics&amp;Vids/drone","21.77 m")</f>
        <v>21.77 m</v>
      </c>
      <c r="N96" s="46" t="str">
        <f t="shared" si="24"/>
        <v>Link</v>
      </c>
      <c r="O96" s="31" t="s">
        <v>45</v>
      </c>
      <c r="P96" s="31" t="s">
        <v>41</v>
      </c>
      <c r="Q96" s="31">
        <v>44</v>
      </c>
      <c r="R96" s="32" t="s">
        <v>347</v>
      </c>
      <c r="S96" s="32" t="str">
        <f t="shared" si="26"/>
        <v>None</v>
      </c>
      <c r="T96" s="32" t="s">
        <v>333</v>
      </c>
      <c r="U96" s="17">
        <f t="shared" si="25"/>
        <v>0.39638888889021473</v>
      </c>
      <c r="V96" s="17">
        <f t="shared" si="21"/>
        <v>0.39638888889021473</v>
      </c>
      <c r="W96" s="56">
        <v>1.8402777777777778E-2</v>
      </c>
      <c r="X96" s="72" t="str">
        <f>HYPERLINK("tag_data/bw170816-44 (IOS_Monterey)/bw170816-44 Map.bmp","79")</f>
        <v>79</v>
      </c>
      <c r="Y96" s="54" t="str">
        <f>HYPERLINK("tag_data/bw170816-44 (IOS_Monterey)/bw170816-44vidaudit.xlsx","Link")</f>
        <v>Link</v>
      </c>
      <c r="Z96" s="31" t="s">
        <v>39</v>
      </c>
      <c r="AA96" s="31" t="s">
        <v>39</v>
      </c>
      <c r="AB96" s="31" t="s">
        <v>277</v>
      </c>
      <c r="AC96" s="31" t="s">
        <v>39</v>
      </c>
      <c r="AD96" s="31" t="s">
        <v>39</v>
      </c>
      <c r="AE96" s="31" t="s">
        <v>266</v>
      </c>
      <c r="AF96" s="31" t="s">
        <v>39</v>
      </c>
      <c r="AG96" s="31" t="s">
        <v>41</v>
      </c>
      <c r="AH96" s="31" t="s">
        <v>39</v>
      </c>
      <c r="AI96" s="31" t="s">
        <v>39</v>
      </c>
      <c r="AJ96" s="31" t="s">
        <v>39</v>
      </c>
      <c r="AK96" s="31" t="s">
        <v>41</v>
      </c>
      <c r="AL96" s="31" t="s">
        <v>41</v>
      </c>
      <c r="AM96" s="31" t="s">
        <v>476</v>
      </c>
      <c r="AN96" s="32" t="s">
        <v>505</v>
      </c>
      <c r="AO96" s="32" t="s">
        <v>344</v>
      </c>
      <c r="AP96" s="30">
        <v>42963.398530092592</v>
      </c>
      <c r="AQ96" s="30">
        <v>42963.579189814816</v>
      </c>
      <c r="AR96" s="30">
        <v>42963.975578703707</v>
      </c>
      <c r="AS96" s="92" t="s">
        <v>651</v>
      </c>
      <c r="AT96" s="158">
        <v>36.802700000000002</v>
      </c>
      <c r="AU96" s="158">
        <v>-122.07299999999999</v>
      </c>
      <c r="AV96" s="142" t="s">
        <v>339</v>
      </c>
      <c r="AW96" s="104" t="s">
        <v>313</v>
      </c>
      <c r="AX96" s="120">
        <v>42964.406886574077</v>
      </c>
      <c r="AY96" s="158">
        <v>36.863300000000002</v>
      </c>
      <c r="AZ96" s="158">
        <v>-122.0797</v>
      </c>
      <c r="BA96" s="32" t="s">
        <v>506</v>
      </c>
      <c r="BB96" s="49" t="s">
        <v>1289</v>
      </c>
      <c r="BC96" s="7"/>
      <c r="BD96" s="7"/>
      <c r="BE96" s="7"/>
      <c r="BF96" s="7"/>
      <c r="BG96" s="7"/>
    </row>
    <row r="97" spans="1:59">
      <c r="A97" s="55" t="str">
        <f>HYPERLINK("tag_data/Quicklook/bw170816-51Quicklook.jpg","bw170816-51")</f>
        <v>bw170816-51</v>
      </c>
      <c r="B97" s="26" t="s">
        <v>338</v>
      </c>
      <c r="C97" s="46" t="str">
        <f t="shared" si="23"/>
        <v>Monterey</v>
      </c>
      <c r="D97" s="64" t="s">
        <v>849</v>
      </c>
      <c r="E97" s="69" t="s">
        <v>1154</v>
      </c>
      <c r="F97" s="85">
        <v>-7</v>
      </c>
      <c r="G97" s="60" t="s">
        <v>456</v>
      </c>
      <c r="H97" s="31" t="s">
        <v>39</v>
      </c>
      <c r="I97" s="72" t="str">
        <f>HYPERLINK("tag_data/bw170816-51 (IOS_Monterey)","Link")</f>
        <v>Link</v>
      </c>
      <c r="J97" s="72" t="str">
        <f>HYPERLINK("tag_data_raw/IOS_Scaling/2017/bw170816-51","Link")</f>
        <v>Link</v>
      </c>
      <c r="K97" s="73" t="str">
        <f>HYPERLINK("tag_data/bw170816-51 (IOS_Monterey)/Pics&amp;Vids","Link")</f>
        <v>Link</v>
      </c>
      <c r="L97" s="46" t="str">
        <f>HYPERLINK("location data/IOS_Scaling/2017/Pics&amp;Vids/08.16/Ziphiid Videos/20170816-ZIP-Tag51deploy-GOPR0429.MP4","Link")</f>
        <v>Link</v>
      </c>
      <c r="M97" s="73" t="str">
        <f>HYPERLINK("tag_data/bw170816-51 (IOS_Monterey)/Pics&amp;Vids/drone","22.93 m")</f>
        <v>22.93 m</v>
      </c>
      <c r="N97" s="46" t="str">
        <f t="shared" si="24"/>
        <v>Link</v>
      </c>
      <c r="O97" s="31" t="s">
        <v>45</v>
      </c>
      <c r="P97" s="31" t="s">
        <v>41</v>
      </c>
      <c r="Q97" s="31">
        <v>51</v>
      </c>
      <c r="R97" s="32" t="s">
        <v>475</v>
      </c>
      <c r="S97" s="32" t="str">
        <f t="shared" si="26"/>
        <v>Cam Mic</v>
      </c>
      <c r="T97" s="32" t="s">
        <v>612</v>
      </c>
      <c r="U97" s="17">
        <f t="shared" si="25"/>
        <v>0.18571759259793907</v>
      </c>
      <c r="V97" s="17">
        <f t="shared" si="21"/>
        <v>0.18571759259793907</v>
      </c>
      <c r="W97" s="56">
        <v>6.609953703703704E-2</v>
      </c>
      <c r="X97" s="72" t="str">
        <f>HYPERLINK("tag_data/bw170816-51 (IOS_Monterey)/bw170816-51 Map.bmp","1")</f>
        <v>1</v>
      </c>
      <c r="Y97" s="46" t="str">
        <f>HYPERLINK("tag_data/bw170816-51 (IOS_Monterey)/Video Audit.xlsx","Link")</f>
        <v>Link</v>
      </c>
      <c r="Z97" s="31" t="s">
        <v>39</v>
      </c>
      <c r="AA97" s="31" t="s">
        <v>39</v>
      </c>
      <c r="AB97" s="31" t="s">
        <v>277</v>
      </c>
      <c r="AC97" s="31" t="s">
        <v>39</v>
      </c>
      <c r="AD97" s="31" t="s">
        <v>41</v>
      </c>
      <c r="AE97" s="31" t="s">
        <v>266</v>
      </c>
      <c r="AF97" s="31" t="s">
        <v>39</v>
      </c>
      <c r="AG97" s="31" t="s">
        <v>41</v>
      </c>
      <c r="AH97" s="31" t="s">
        <v>41</v>
      </c>
      <c r="AI97" s="31" t="s">
        <v>39</v>
      </c>
      <c r="AJ97" s="31" t="s">
        <v>39</v>
      </c>
      <c r="AK97" s="31" t="s">
        <v>39</v>
      </c>
      <c r="AL97" s="31" t="s">
        <v>41</v>
      </c>
      <c r="AM97" s="31" t="s">
        <v>476</v>
      </c>
      <c r="AN97" s="32" t="s">
        <v>473</v>
      </c>
      <c r="AO97" s="32" t="s">
        <v>344</v>
      </c>
      <c r="AP97" s="30">
        <v>42963.35359953704</v>
      </c>
      <c r="AQ97" s="30">
        <v>42963.40421296296</v>
      </c>
      <c r="AR97" s="30">
        <v>42963.589930555558</v>
      </c>
      <c r="AS97" s="92" t="s">
        <v>651</v>
      </c>
      <c r="AT97" s="158">
        <v>36.800899999999999</v>
      </c>
      <c r="AU97" s="158">
        <v>-122.0592</v>
      </c>
      <c r="AV97" s="142" t="s">
        <v>339</v>
      </c>
      <c r="AW97" s="104" t="s">
        <v>340</v>
      </c>
      <c r="AX97" s="120">
        <v>42963.602187500001</v>
      </c>
      <c r="AY97" s="157">
        <v>36.802199999999999</v>
      </c>
      <c r="AZ97" s="157">
        <v>-122.0617</v>
      </c>
      <c r="BA97" s="32" t="s">
        <v>613</v>
      </c>
      <c r="BB97" s="49" t="s">
        <v>614</v>
      </c>
      <c r="BC97" s="7"/>
      <c r="BD97" s="7"/>
      <c r="BE97" s="7"/>
      <c r="BF97" s="7"/>
      <c r="BG97" s="7"/>
    </row>
    <row r="98" spans="1:59">
      <c r="A98" s="55" t="str">
        <f>HYPERLINK("tag_data/Quicklook/bw180525-42Quicklook.jpg","bw180525-42")</f>
        <v>bw180525-42</v>
      </c>
      <c r="B98" s="26" t="str">
        <f>LEFT(A98,2)</f>
        <v>bw</v>
      </c>
      <c r="C98" s="46" t="str">
        <f>HYPERLINK("location data/Azores/2018/","Azores")</f>
        <v>Azores</v>
      </c>
      <c r="D98" s="64" t="s">
        <v>883</v>
      </c>
      <c r="E98" s="61" t="s">
        <v>884</v>
      </c>
      <c r="F98" s="85">
        <v>0</v>
      </c>
      <c r="G98" s="59" t="s">
        <v>882</v>
      </c>
      <c r="H98" s="31" t="s">
        <v>39</v>
      </c>
      <c r="I98" s="46" t="str">
        <f>HYPERLINK("tag_data/bw180525-42 (Azores)","Link")</f>
        <v>Link</v>
      </c>
      <c r="J98" s="46" t="str">
        <f>HYPERLINK("tag_data_raw/Azores/2018/bw180525-42","Link")</f>
        <v>Link</v>
      </c>
      <c r="K98" s="46" t="str">
        <f>HYPERLINK("tag_data/bw180525-42 (Azores)/Pics&amp;Vids","Link")</f>
        <v>Link</v>
      </c>
      <c r="L98" s="54" t="str">
        <f>HYPERLINK("location data/Azores/2018/Vids/05.25/Tag 3 (bw180525-42).MP4","Link")</f>
        <v>Link</v>
      </c>
      <c r="M98" s="46" t="str">
        <f>HYPERLINK("tag_data/bw180525-42 (Azores)/Pics&amp;Vids/drone","22.48 m")</f>
        <v>22.48 m</v>
      </c>
      <c r="N98" s="54" t="str">
        <f>HYPERLINK("location data/Azores/2018/Sightings tagged animals.xlsx","Link")</f>
        <v>Link</v>
      </c>
      <c r="O98" s="31" t="s">
        <v>45</v>
      </c>
      <c r="P98" s="31" t="s">
        <v>41</v>
      </c>
      <c r="Q98" s="31">
        <f>LEFT(RIGHT(A98,LEN(A98)-FIND("-",A98)),MIN(SEARCH({"a","b","c","d","e","f","g","h","i","j","k","l","m","n","o","p","q","r","s","t","u","v","w","x","y","z"},RIGHT(A98,LEN(A98)-FIND("-",A98))&amp;"abcdefghijklmnopqrstuvwxyz"))-1)+1-1</f>
        <v>42</v>
      </c>
      <c r="R98" s="32" t="str">
        <f>IF(AND(Q98+1&gt;40,Q98+1&lt;=50),"Wireless","")</f>
        <v>Wireless</v>
      </c>
      <c r="S98" s="32" t="str">
        <f t="shared" si="26"/>
        <v>None</v>
      </c>
      <c r="T98" s="32" t="s">
        <v>38</v>
      </c>
      <c r="U98" s="17">
        <f t="shared" si="25"/>
        <v>0.16443287036963739</v>
      </c>
      <c r="V98" s="17">
        <f t="shared" si="21"/>
        <v>0.16443287036963739</v>
      </c>
      <c r="W98" s="56">
        <v>9.7245370370370357E-2</v>
      </c>
      <c r="X98" s="31">
        <v>0</v>
      </c>
      <c r="Y98" s="42"/>
      <c r="Z98" s="31" t="s">
        <v>39</v>
      </c>
      <c r="AA98" s="31" t="s">
        <v>39</v>
      </c>
      <c r="AB98" s="31" t="s">
        <v>277</v>
      </c>
      <c r="AC98" s="31" t="s">
        <v>41</v>
      </c>
      <c r="AD98" s="31" t="s">
        <v>39</v>
      </c>
      <c r="AE98" s="31" t="s">
        <v>41</v>
      </c>
      <c r="AF98" s="31" t="s">
        <v>41</v>
      </c>
      <c r="AG98" s="31" t="s">
        <v>41</v>
      </c>
      <c r="AH98" s="31" t="s">
        <v>41</v>
      </c>
      <c r="AI98" s="31" t="s">
        <v>39</v>
      </c>
      <c r="AJ98" s="31" t="s">
        <v>39</v>
      </c>
      <c r="AK98" s="31" t="s">
        <v>41</v>
      </c>
      <c r="AL98" s="31" t="s">
        <v>41</v>
      </c>
      <c r="AM98" s="31" t="s">
        <v>41</v>
      </c>
      <c r="AN98" s="32" t="s">
        <v>932</v>
      </c>
      <c r="AO98" s="32" t="s">
        <v>911</v>
      </c>
      <c r="AP98" s="30">
        <v>43245.433159722219</v>
      </c>
      <c r="AQ98" s="30">
        <v>43245.467835648145</v>
      </c>
      <c r="AR98" s="30">
        <v>43245.632268518515</v>
      </c>
      <c r="AS98" s="92" t="s">
        <v>651</v>
      </c>
      <c r="AT98" s="155">
        <v>38.596550000000001</v>
      </c>
      <c r="AU98" s="155">
        <v>-27.429670000000002</v>
      </c>
      <c r="AV98" s="153" t="s">
        <v>323</v>
      </c>
      <c r="AW98" s="106" t="s">
        <v>323</v>
      </c>
      <c r="AX98" s="30">
        <v>43245.749374999999</v>
      </c>
      <c r="AY98" s="107">
        <v>38.41131</v>
      </c>
      <c r="AZ98" s="107">
        <v>-27.32732</v>
      </c>
      <c r="BA98" s="32" t="s">
        <v>933</v>
      </c>
      <c r="BB98" s="49"/>
      <c r="BC98" s="7"/>
      <c r="BD98" s="7"/>
      <c r="BE98" s="7"/>
      <c r="BF98" s="7"/>
      <c r="BG98" s="7"/>
    </row>
    <row r="99" spans="1:59">
      <c r="A99" s="7" t="s">
        <v>927</v>
      </c>
      <c r="B99" s="26" t="str">
        <f>LEFT(A99,2)</f>
        <v>bw</v>
      </c>
      <c r="C99" s="46" t="str">
        <f>HYPERLINK("location data/Azores/2018/","Azores")</f>
        <v>Azores</v>
      </c>
      <c r="D99" s="64" t="s">
        <v>883</v>
      </c>
      <c r="E99" s="61" t="s">
        <v>884</v>
      </c>
      <c r="F99" s="85">
        <v>0</v>
      </c>
      <c r="G99" s="59" t="s">
        <v>882</v>
      </c>
      <c r="H99" s="31" t="s">
        <v>41</v>
      </c>
      <c r="I99" s="46" t="str">
        <f>HYPERLINK("tag_data/bw180527-41 (Azores- no prh)","Link")</f>
        <v>Link</v>
      </c>
      <c r="J99" s="46" t="str">
        <f>HYPERLINK("tag_data_raw/Azores/2018/bw180527-41","Link")</f>
        <v>Link</v>
      </c>
      <c r="K99" s="46" t="str">
        <f>HYPERLINK("tag_data/bw180527-41 (Azores- no prh)/Pics&amp;Vids","Link")</f>
        <v>Link</v>
      </c>
      <c r="L99" s="54" t="str">
        <f>HYPERLINK("location data/Azores/2018/Vids/05.27/Tag on bw 180527-41.MP4","Link")</f>
        <v>Link</v>
      </c>
      <c r="M99" s="46" t="str">
        <f>HYPERLINK("tag_data/bw180527-41 (Azores- no prh)/Pics&amp;Vids/drone","23.29 m")</f>
        <v>23.29 m</v>
      </c>
      <c r="N99" s="54" t="str">
        <f>HYPERLINK("location data/Azores/2018/Sightings tagged animals.xlsx","Link")</f>
        <v>Link</v>
      </c>
      <c r="O99" s="31" t="s">
        <v>45</v>
      </c>
      <c r="P99" s="31" t="s">
        <v>41</v>
      </c>
      <c r="Q99" s="31">
        <f>LEFT(RIGHT(A99,LEN(A99)-FIND("-",A99)),MIN(SEARCH({"a","b","c","d","e","f","g","h","i","j","k","l","m","n","o","p","q","r","s","t","u","v","w","x","y","z"},RIGHT(A99,LEN(A99)-FIND("-",A99))&amp;"abcdefghijklmnopqrstuvwxyz"))-1)+1-1</f>
        <v>41</v>
      </c>
      <c r="R99" s="32" t="str">
        <f>IF(AND(Q99+1&gt;40,Q99+1&lt;=50),"Wireless","")</f>
        <v>Wireless</v>
      </c>
      <c r="S99" s="32" t="str">
        <f t="shared" si="26"/>
        <v>None</v>
      </c>
      <c r="T99" s="32" t="s">
        <v>38</v>
      </c>
      <c r="U99" s="17">
        <f t="shared" si="25"/>
        <v>2.8935184673173353E-4</v>
      </c>
      <c r="V99" s="17">
        <f t="shared" si="21"/>
        <v>2.8935184673173353E-4</v>
      </c>
      <c r="W99" s="56">
        <f>V99</f>
        <v>2.8935184673173353E-4</v>
      </c>
      <c r="X99" s="31" t="s">
        <v>263</v>
      </c>
      <c r="Y99" s="31" t="s">
        <v>263</v>
      </c>
      <c r="Z99" s="31" t="s">
        <v>41</v>
      </c>
      <c r="AA99" s="31" t="s">
        <v>41</v>
      </c>
      <c r="AB99" s="31" t="s">
        <v>263</v>
      </c>
      <c r="AC99" s="31" t="s">
        <v>41</v>
      </c>
      <c r="AD99" s="31" t="s">
        <v>41</v>
      </c>
      <c r="AE99" s="31" t="s">
        <v>41</v>
      </c>
      <c r="AF99" s="31" t="s">
        <v>41</v>
      </c>
      <c r="AG99" s="31" t="s">
        <v>41</v>
      </c>
      <c r="AH99" s="31" t="s">
        <v>41</v>
      </c>
      <c r="AI99" s="31" t="s">
        <v>41</v>
      </c>
      <c r="AJ99" s="31" t="s">
        <v>41</v>
      </c>
      <c r="AK99" s="31" t="s">
        <v>41</v>
      </c>
      <c r="AL99" s="31" t="s">
        <v>41</v>
      </c>
      <c r="AM99" s="31" t="s">
        <v>41</v>
      </c>
      <c r="AN99" s="32" t="s">
        <v>743</v>
      </c>
      <c r="AO99" s="32" t="s">
        <v>911</v>
      </c>
      <c r="AP99" s="30">
        <v>43247.556840277779</v>
      </c>
      <c r="AQ99" s="30">
        <v>43247.602164351854</v>
      </c>
      <c r="AR99" s="30">
        <v>43247.602453703701</v>
      </c>
      <c r="AS99" s="92" t="s">
        <v>651</v>
      </c>
      <c r="AT99" s="155">
        <v>38.517150000000001</v>
      </c>
      <c r="AU99" s="155">
        <v>-27.09403</v>
      </c>
      <c r="AV99" s="153" t="s">
        <v>323</v>
      </c>
      <c r="AW99" s="153" t="s">
        <v>323</v>
      </c>
      <c r="AX99" s="30">
        <v>43247.604004629633</v>
      </c>
      <c r="AY99" s="107">
        <v>38.517150000000001</v>
      </c>
      <c r="AZ99" s="107">
        <v>-27.09403</v>
      </c>
      <c r="BA99" s="32" t="s">
        <v>944</v>
      </c>
      <c r="BB99" s="32"/>
      <c r="BC99" s="7"/>
      <c r="BD99" s="7"/>
      <c r="BE99" s="7"/>
      <c r="BF99" s="7"/>
      <c r="BG99" s="7"/>
    </row>
    <row r="100" spans="1:59">
      <c r="A100" s="55" t="str">
        <f>HYPERLINK("tag_data/Quicklook/bw180827-46Quicklook.jpg","bw180827-46")</f>
        <v>bw180827-46</v>
      </c>
      <c r="B100" s="26" t="s">
        <v>338</v>
      </c>
      <c r="C100" s="42" t="str">
        <f t="shared" ref="C100:C126" si="27">HYPERLINK("location data/IOS_Scaling/2018","Monterey")</f>
        <v>Monterey</v>
      </c>
      <c r="D100" s="64" t="s">
        <v>849</v>
      </c>
      <c r="E100" s="69" t="s">
        <v>1154</v>
      </c>
      <c r="F100" s="85">
        <v>-7</v>
      </c>
      <c r="G100" s="60" t="s">
        <v>456</v>
      </c>
      <c r="H100" s="31" t="s">
        <v>39</v>
      </c>
      <c r="I100" s="72" t="str">
        <f>HYPERLINK("tag_data/bw180827-46 (IOS_Monterey)","Link")</f>
        <v>Link</v>
      </c>
      <c r="J100" s="46" t="str">
        <f>HYPERLINK("tag_data_raw/IOS_Scaling/2018/bw180827-46","Link")</f>
        <v>Link</v>
      </c>
      <c r="K100" s="72" t="str">
        <f>HYPERLINK("tag_data/bw180827-46 (IOS_Monterey)/Pics&amp;Vids","Link")</f>
        <v>Link</v>
      </c>
      <c r="L100" s="54" t="str">
        <f>HYPERLINK("location data/IOS_Scaling/2018/Pics&amp;Vids/08.27/Musculus Videos/20180827-MUS-BM-GOPR0576.MP4","Link")</f>
        <v>Link</v>
      </c>
      <c r="M100" s="54" t="str">
        <f>HYPERLINK("tag_data/bw180827-46 (IOS_Monterey)/Pics&amp;Vids/drone","24.2 m")</f>
        <v>24.2 m</v>
      </c>
      <c r="N100" s="54" t="str">
        <f t="shared" ref="N100:N126" si="28">HYPERLINK("location data\IOS_Scaling\2018\CRC Mobile Data Compiler-2018 CCES WC IOS Jul-Oct.mdb","Link")</f>
        <v>Link</v>
      </c>
      <c r="O100" s="31" t="s">
        <v>45</v>
      </c>
      <c r="P100" s="33" t="s">
        <v>1176</v>
      </c>
      <c r="Q100" s="31">
        <f>LEFT(RIGHT(A100,LEN(A100)-FIND("-",A100)),MIN(SEARCH({"a","b","c","d","e","f","g","h","i","j","k","l","m","n","o","p","q","r","s","t","u","v","w","x","y","z"},RIGHT(A100,LEN(A100)-FIND("-",A100))&amp;"abcdefghijklmnopqrstuvwxyz"))-1)+1-1</f>
        <v>46</v>
      </c>
      <c r="R100" s="32" t="str">
        <f>IF(AND(Q100+1&gt;40,Q100+1&lt;=50),"Wireless","")</f>
        <v>Wireless</v>
      </c>
      <c r="S100" s="32" t="str">
        <f t="shared" si="26"/>
        <v>Cam Mic</v>
      </c>
      <c r="T100" s="32" t="s">
        <v>38</v>
      </c>
      <c r="U100" s="17">
        <f t="shared" si="25"/>
        <v>1.8076736111106584</v>
      </c>
      <c r="V100" s="17">
        <f t="shared" si="21"/>
        <v>1.8076736111106584</v>
      </c>
      <c r="W100" s="56">
        <v>0.30756944444444445</v>
      </c>
      <c r="X100" s="54" t="str">
        <f>HYPERLINK("tag_data/bw180827-46 (IOS_Monterey)/bw180827-46 Map.bmp","858")</f>
        <v>858</v>
      </c>
      <c r="Y100" s="42"/>
      <c r="Z100" s="31" t="s">
        <v>39</v>
      </c>
      <c r="AA100" s="31" t="s">
        <v>41</v>
      </c>
      <c r="AB100" s="31" t="s">
        <v>277</v>
      </c>
      <c r="AC100" s="31" t="s">
        <v>39</v>
      </c>
      <c r="AD100" s="31" t="s">
        <v>41</v>
      </c>
      <c r="AE100" s="31" t="s">
        <v>266</v>
      </c>
      <c r="AF100" s="31" t="s">
        <v>39</v>
      </c>
      <c r="AG100" s="31" t="s">
        <v>41</v>
      </c>
      <c r="AH100" s="31" t="s">
        <v>41</v>
      </c>
      <c r="AI100" s="31" t="s">
        <v>39</v>
      </c>
      <c r="AJ100" s="31" t="s">
        <v>41</v>
      </c>
      <c r="AK100" s="31" t="s">
        <v>41</v>
      </c>
      <c r="AL100" s="31" t="s">
        <v>41</v>
      </c>
      <c r="AM100" s="31" t="s">
        <v>41</v>
      </c>
      <c r="AN100" s="32" t="s">
        <v>505</v>
      </c>
      <c r="AO100" s="32" t="s">
        <v>1155</v>
      </c>
      <c r="AP100" s="120">
        <v>43339.529282407406</v>
      </c>
      <c r="AQ100" s="120">
        <v>43339.562268518515</v>
      </c>
      <c r="AR100" s="120">
        <v>43341.369942129626</v>
      </c>
      <c r="AS100" s="92" t="s">
        <v>651</v>
      </c>
      <c r="AT100" s="155">
        <v>36.898666666666664</v>
      </c>
      <c r="AU100" s="155">
        <v>-122.264</v>
      </c>
      <c r="AV100" s="153" t="s">
        <v>313</v>
      </c>
      <c r="AW100" s="106" t="s">
        <v>339</v>
      </c>
      <c r="AX100" s="30">
        <v>43706.471134259256</v>
      </c>
      <c r="AY100" s="107">
        <v>36.818300000000001</v>
      </c>
      <c r="AZ100" s="107">
        <v>-122.13079999999999</v>
      </c>
      <c r="BA100" s="32" t="s">
        <v>1171</v>
      </c>
      <c r="BB100" s="49" t="s">
        <v>1360</v>
      </c>
      <c r="BC100" s="7"/>
      <c r="BD100" s="7"/>
      <c r="BE100" s="7"/>
      <c r="BF100" s="7"/>
      <c r="BG100" s="7"/>
    </row>
    <row r="101" spans="1:59">
      <c r="A101" s="55" t="str">
        <f>HYPERLINK("tag_data/Quicklook/bw180827-49Quicklook.jpg","bw180827-49")</f>
        <v>bw180827-49</v>
      </c>
      <c r="B101" s="26" t="str">
        <f>LEFT(A101,2)</f>
        <v>bw</v>
      </c>
      <c r="C101" s="42" t="str">
        <f t="shared" si="27"/>
        <v>Monterey</v>
      </c>
      <c r="D101" s="64" t="s">
        <v>849</v>
      </c>
      <c r="E101" s="69" t="s">
        <v>1154</v>
      </c>
      <c r="F101" s="85">
        <v>-7</v>
      </c>
      <c r="G101" s="60" t="s">
        <v>456</v>
      </c>
      <c r="H101" s="31" t="s">
        <v>39</v>
      </c>
      <c r="I101" s="72" t="str">
        <f>HYPERLINK("tag_data/bw180827-49 (IOS_Monterey)","Link")</f>
        <v>Link</v>
      </c>
      <c r="J101" s="46" t="str">
        <f>HYPERLINK("tag_data_raw/IOS_Scaling/2018/bw180827-49","Link")</f>
        <v>Link</v>
      </c>
      <c r="K101" s="72" t="str">
        <f>HYPERLINK("tag_data/bw180827-49 (IOS_Monterey)/Pics&amp;Vids","Link")</f>
        <v>Link</v>
      </c>
      <c r="L101" s="54" t="str">
        <f>HYPERLINK("location data\IOS_Scaling\2018\Pics&amp;Vids\08.27\Musculus Videos\20180827-MUS-BM-GOPR0574.MP4","Link")</f>
        <v>Link</v>
      </c>
      <c r="M101" s="82" t="s">
        <v>263</v>
      </c>
      <c r="N101" s="54" t="str">
        <f t="shared" si="28"/>
        <v>Link</v>
      </c>
      <c r="O101" s="31" t="s">
        <v>45</v>
      </c>
      <c r="P101" s="33" t="s">
        <v>1125</v>
      </c>
      <c r="Q101" s="31">
        <f>LEFT(RIGHT(A101,LEN(A101)-FIND("-",A101)),MIN(SEARCH({"a","b","c","d","e","f","g","h","i","j","k","l","m","n","o","p","q","r","s","t","u","v","w","x","y","z"},RIGHT(A101,LEN(A101)-FIND("-",A101))&amp;"abcdefghijklmnopqrstuvwxyz"))-1)+1-1</f>
        <v>49</v>
      </c>
      <c r="R101" s="32" t="str">
        <f>IF(AND(Q101+1&gt;40,Q101+1&lt;=50),"Wireless","")</f>
        <v>Wireless</v>
      </c>
      <c r="S101" s="32" t="str">
        <f t="shared" si="26"/>
        <v>HTI</v>
      </c>
      <c r="T101" s="32" t="s">
        <v>336</v>
      </c>
      <c r="U101" s="17">
        <f t="shared" si="25"/>
        <v>4.0729166663368233E-2</v>
      </c>
      <c r="V101" s="17">
        <f t="shared" si="21"/>
        <v>4.0729166663368233E-2</v>
      </c>
      <c r="W101" s="56">
        <v>1.9583333333333331E-2</v>
      </c>
      <c r="X101" s="31">
        <v>0</v>
      </c>
      <c r="Y101" s="42"/>
      <c r="Z101" s="31" t="s">
        <v>39</v>
      </c>
      <c r="AA101" s="31" t="s">
        <v>41</v>
      </c>
      <c r="AB101" s="31" t="s">
        <v>277</v>
      </c>
      <c r="AC101" s="31" t="s">
        <v>39</v>
      </c>
      <c r="AD101" s="31" t="s">
        <v>41</v>
      </c>
      <c r="AE101" s="31" t="s">
        <v>41</v>
      </c>
      <c r="AF101" s="31" t="s">
        <v>41</v>
      </c>
      <c r="AG101" s="31" t="s">
        <v>41</v>
      </c>
      <c r="AH101" s="31" t="s">
        <v>39</v>
      </c>
      <c r="AI101" s="31" t="s">
        <v>39</v>
      </c>
      <c r="AJ101" s="31" t="s">
        <v>39</v>
      </c>
      <c r="AK101" s="31" t="s">
        <v>41</v>
      </c>
      <c r="AL101" s="31" t="s">
        <v>41</v>
      </c>
      <c r="AM101" s="31" t="s">
        <v>41</v>
      </c>
      <c r="AN101" s="32" t="s">
        <v>494</v>
      </c>
      <c r="AO101" s="32" t="s">
        <v>1155</v>
      </c>
      <c r="AP101" s="30">
        <v>43339.420520833337</v>
      </c>
      <c r="AQ101" s="30">
        <v>43339.457743055558</v>
      </c>
      <c r="AR101" s="30">
        <v>43339.498472222222</v>
      </c>
      <c r="AS101" s="92" t="s">
        <v>651</v>
      </c>
      <c r="AT101" s="155">
        <v>36.918333333333337</v>
      </c>
      <c r="AU101" s="155">
        <v>-122.29049999999999</v>
      </c>
      <c r="AV101" s="153" t="s">
        <v>313</v>
      </c>
      <c r="AW101" s="106" t="s">
        <v>313</v>
      </c>
      <c r="AX101" s="30">
        <v>43339.518622685187</v>
      </c>
      <c r="AY101" s="107">
        <v>36.909500000000001</v>
      </c>
      <c r="AZ101" s="107">
        <v>-122.28216666666667</v>
      </c>
      <c r="BA101" s="32" t="s">
        <v>1256</v>
      </c>
      <c r="BB101" s="49" t="s">
        <v>1361</v>
      </c>
      <c r="BC101" s="7"/>
      <c r="BD101" s="7"/>
      <c r="BE101" s="7"/>
      <c r="BF101" s="7"/>
      <c r="BG101" s="7"/>
    </row>
    <row r="102" spans="1:59">
      <c r="A102" s="55" t="str">
        <f>HYPERLINK("tag_data/Quicklook/bw180827-52Quicklook.jpg","bw180827-52")</f>
        <v>bw180827-52</v>
      </c>
      <c r="B102" s="26" t="str">
        <f>LEFT(A102,2)</f>
        <v>bw</v>
      </c>
      <c r="C102" s="42" t="str">
        <f t="shared" si="27"/>
        <v>Monterey</v>
      </c>
      <c r="D102" s="64" t="s">
        <v>849</v>
      </c>
      <c r="E102" s="69" t="s">
        <v>1154</v>
      </c>
      <c r="F102" s="85">
        <v>-7</v>
      </c>
      <c r="G102" s="60" t="s">
        <v>456</v>
      </c>
      <c r="H102" s="31" t="s">
        <v>39</v>
      </c>
      <c r="I102" s="72" t="str">
        <f>HYPERLINK("tag_data/bw180827-52 (IOS_Monterey)","Link")</f>
        <v>Link</v>
      </c>
      <c r="J102" s="46" t="str">
        <f>HYPERLINK("tag_data_raw/IOS_Scaling/2018/bw180827-52","Link")</f>
        <v>Link</v>
      </c>
      <c r="K102" s="72" t="str">
        <f>HYPERLINK("tag_data/bw180827-52 (IOS_Monterey)/Pics&amp;Vids","Link")</f>
        <v>Link</v>
      </c>
      <c r="L102" s="54" t="str">
        <f>HYPERLINK("location data\IOS_Scaling\2018\Pics&amp;Vids\08.27\Musculus Videos\GOPR1285.MP4","Link")</f>
        <v>Link</v>
      </c>
      <c r="M102" s="46" t="str">
        <f>HYPERLINK("tag_data\bw180827-52 (IOS_Monterey)/Pics&amp;Vids/drone","23.59 m")</f>
        <v>23.59 m</v>
      </c>
      <c r="N102" s="54" t="str">
        <f t="shared" si="28"/>
        <v>Link</v>
      </c>
      <c r="O102" s="31" t="s">
        <v>45</v>
      </c>
      <c r="P102" s="33" t="s">
        <v>1126</v>
      </c>
      <c r="Q102" s="31">
        <f>LEFT(RIGHT(A102,LEN(A102)-FIND("-",A102)),MIN(SEARCH({"a","b","c","d","e","f","g","h","i","j","k","l","m","n","o","p","q","r","s","t","u","v","w","x","y","z"},RIGHT(A102,LEN(A102)-FIND("-",A102))&amp;"abcdefghijklmnopqrstuvwxyz"))-1)+1-1</f>
        <v>52</v>
      </c>
      <c r="R102" s="32" t="s">
        <v>347</v>
      </c>
      <c r="S102" s="32" t="str">
        <f t="shared" si="26"/>
        <v>HTI</v>
      </c>
      <c r="T102" s="32" t="s">
        <v>38</v>
      </c>
      <c r="U102" s="17">
        <f t="shared" si="25"/>
        <v>0.382881944446126</v>
      </c>
      <c r="V102" s="17">
        <f t="shared" si="21"/>
        <v>0.382881944446126</v>
      </c>
      <c r="W102" s="56">
        <v>0.15435185185185185</v>
      </c>
      <c r="X102" s="54" t="str">
        <f>HYPERLINK("tag_data/bw180827-52 (IOS_Monterey)/bw180827-52 Map.bmp","222")</f>
        <v>222</v>
      </c>
      <c r="Y102" s="42"/>
      <c r="Z102" s="31" t="s">
        <v>39</v>
      </c>
      <c r="AA102" s="31" t="s">
        <v>41</v>
      </c>
      <c r="AB102" s="31" t="s">
        <v>277</v>
      </c>
      <c r="AC102" s="31" t="s">
        <v>39</v>
      </c>
      <c r="AD102" s="31" t="s">
        <v>41</v>
      </c>
      <c r="AE102" s="31" t="s">
        <v>41</v>
      </c>
      <c r="AF102" s="31" t="s">
        <v>41</v>
      </c>
      <c r="AG102" s="31" t="s">
        <v>41</v>
      </c>
      <c r="AH102" s="31" t="s">
        <v>41</v>
      </c>
      <c r="AI102" s="31" t="s">
        <v>39</v>
      </c>
      <c r="AJ102" s="31" t="s">
        <v>39</v>
      </c>
      <c r="AK102" s="31" t="s">
        <v>41</v>
      </c>
      <c r="AL102" s="31" t="s">
        <v>41</v>
      </c>
      <c r="AM102" s="31" t="s">
        <v>41</v>
      </c>
      <c r="AN102" s="32" t="s">
        <v>627</v>
      </c>
      <c r="AO102" s="32" t="s">
        <v>1155</v>
      </c>
      <c r="AP102" s="120">
        <v>43339.39167824074</v>
      </c>
      <c r="AQ102" s="120">
        <v>43339.447835648149</v>
      </c>
      <c r="AR102" s="120">
        <v>43339.830717592595</v>
      </c>
      <c r="AS102" s="201" t="s">
        <v>651</v>
      </c>
      <c r="AT102" s="155">
        <v>36.799166666666665</v>
      </c>
      <c r="AU102" s="155">
        <v>-122.09099999999999</v>
      </c>
      <c r="AV102" s="153" t="s">
        <v>339</v>
      </c>
      <c r="AW102" s="106" t="s">
        <v>339</v>
      </c>
      <c r="AX102" s="201">
        <v>43340.347222222219</v>
      </c>
      <c r="AY102" s="107">
        <v>36.764499999999998</v>
      </c>
      <c r="AZ102" s="107">
        <v>-121.99366666666667</v>
      </c>
      <c r="BA102" s="32" t="s">
        <v>1229</v>
      </c>
      <c r="BB102" s="49" t="s">
        <v>1362</v>
      </c>
      <c r="BC102" s="7"/>
      <c r="BD102" s="7"/>
      <c r="BE102" s="7"/>
      <c r="BF102" s="7"/>
      <c r="BG102" s="7"/>
    </row>
    <row r="103" spans="1:59">
      <c r="A103" s="55" t="str">
        <f>HYPERLINK("tag_data/Quicklook/bw180827-53Quicklook.jpg","bw180827-53")</f>
        <v>bw180827-53</v>
      </c>
      <c r="B103" s="26" t="s">
        <v>338</v>
      </c>
      <c r="C103" s="42" t="str">
        <f t="shared" si="27"/>
        <v>Monterey</v>
      </c>
      <c r="D103" s="64" t="s">
        <v>849</v>
      </c>
      <c r="E103" s="69" t="s">
        <v>1154</v>
      </c>
      <c r="F103" s="85">
        <v>-7</v>
      </c>
      <c r="G103" s="60" t="s">
        <v>456</v>
      </c>
      <c r="H103" s="31" t="s">
        <v>39</v>
      </c>
      <c r="I103" s="72" t="str">
        <f>HYPERLINK("tag_data/bw180827-53 (IOS_Monterey)","Link")</f>
        <v>Link</v>
      </c>
      <c r="J103" s="46" t="str">
        <f>HYPERLINK("tag_data_raw/IOS_Scaling/2018/bw180827-53","Link")</f>
        <v>Link</v>
      </c>
      <c r="K103" s="72" t="str">
        <f>HYPERLINK("tag_data/bw180827-53 (IOS_Monterey)/Pics&amp;Vids","Link")</f>
        <v>Link</v>
      </c>
      <c r="L103" s="54" t="str">
        <f>HYPERLINK("location data\IOS_Scaling\2018\Pics&amp;Vids\08.27\Musculus Videos\GOPR0476.MP4","Link")</f>
        <v>Link</v>
      </c>
      <c r="M103" s="60" t="str">
        <f>HYPERLINK("tag_data/bw180828-48b (IOS_Monterey)/Pics&amp;Vids/drone","see 28-48b")</f>
        <v>see 28-48b</v>
      </c>
      <c r="N103" s="54" t="str">
        <f t="shared" si="28"/>
        <v>Link</v>
      </c>
      <c r="O103" s="31" t="s">
        <v>1405</v>
      </c>
      <c r="P103" s="31" t="s">
        <v>41</v>
      </c>
      <c r="Q103" s="31">
        <f>LEFT(RIGHT(A103,LEN(A103)-FIND("-",A103)),MIN(SEARCH({"a","b","c","d","e","f","g","h","i","j","k","l","m","n","o","p","q","r","s","t","u","v","w","x","y","z"},RIGHT(A103,LEN(A103)-FIND("-",A103))&amp;"abcdefghijklmnopqrstuvwxyz"))-1)+1-1</f>
        <v>53</v>
      </c>
      <c r="R103" s="32" t="s">
        <v>347</v>
      </c>
      <c r="S103" s="32" t="str">
        <f t="shared" si="26"/>
        <v>HTI</v>
      </c>
      <c r="T103" s="32" t="s">
        <v>566</v>
      </c>
      <c r="U103" s="17">
        <f t="shared" si="25"/>
        <v>0.12260416666686069</v>
      </c>
      <c r="V103" s="17">
        <f t="shared" si="21"/>
        <v>0.12260416666686069</v>
      </c>
      <c r="W103" s="56">
        <v>6.4641203703703701E-2</v>
      </c>
      <c r="X103" s="54" t="str">
        <f>HYPERLINK("tag_data/bw180827-53 (IOS_Monterey)/bw180827-53 Map.bmp","10")</f>
        <v>10</v>
      </c>
      <c r="Y103" s="42"/>
      <c r="Z103" s="31" t="s">
        <v>39</v>
      </c>
      <c r="AA103" s="31" t="s">
        <v>41</v>
      </c>
      <c r="AB103" s="31" t="s">
        <v>277</v>
      </c>
      <c r="AC103" s="31" t="s">
        <v>39</v>
      </c>
      <c r="AD103" s="31" t="s">
        <v>41</v>
      </c>
      <c r="AE103" s="31" t="s">
        <v>39</v>
      </c>
      <c r="AF103" s="31" t="s">
        <v>39</v>
      </c>
      <c r="AG103" s="31" t="s">
        <v>41</v>
      </c>
      <c r="AH103" s="31" t="s">
        <v>41</v>
      </c>
      <c r="AI103" s="31" t="s">
        <v>831</v>
      </c>
      <c r="AJ103" s="31" t="s">
        <v>39</v>
      </c>
      <c r="AK103" s="31" t="s">
        <v>831</v>
      </c>
      <c r="AL103" s="31" t="s">
        <v>41</v>
      </c>
      <c r="AM103" s="31" t="s">
        <v>41</v>
      </c>
      <c r="AN103" s="32" t="s">
        <v>505</v>
      </c>
      <c r="AO103" s="32" t="s">
        <v>1155</v>
      </c>
      <c r="AP103" s="30">
        <v>43339.536921296298</v>
      </c>
      <c r="AQ103" s="30">
        <v>43339.540335648147</v>
      </c>
      <c r="AR103" s="30">
        <v>43339.662939814814</v>
      </c>
      <c r="AS103" s="92" t="s">
        <v>651</v>
      </c>
      <c r="AT103" s="155">
        <v>36.903666666666666</v>
      </c>
      <c r="AU103" s="155">
        <v>-122.26816666666667</v>
      </c>
      <c r="AV103" s="153" t="s">
        <v>313</v>
      </c>
      <c r="AW103" s="106" t="s">
        <v>313</v>
      </c>
      <c r="AX103" s="30">
        <v>43339.678668981483</v>
      </c>
      <c r="AY103" s="107">
        <v>36.890833333333333</v>
      </c>
      <c r="AZ103" s="107">
        <v>-122.242</v>
      </c>
      <c r="BA103" s="32" t="s">
        <v>1230</v>
      </c>
      <c r="BB103" s="49" t="s">
        <v>1363</v>
      </c>
      <c r="BC103" s="7"/>
      <c r="BD103" s="7"/>
      <c r="BE103" s="7"/>
      <c r="BF103" s="7"/>
      <c r="BG103" s="7"/>
    </row>
    <row r="104" spans="1:59">
      <c r="A104" s="55" t="str">
        <f>HYPERLINK("tag_data/Quicklook/bw180827-62Quicklook.jpg","bw180827-62")</f>
        <v>bw180827-62</v>
      </c>
      <c r="B104" s="26" t="str">
        <f>LEFT(A104,2)</f>
        <v>bw</v>
      </c>
      <c r="C104" s="42" t="str">
        <f t="shared" si="27"/>
        <v>Monterey</v>
      </c>
      <c r="D104" s="64" t="s">
        <v>849</v>
      </c>
      <c r="E104" s="69" t="s">
        <v>1154</v>
      </c>
      <c r="F104" s="85">
        <v>-7</v>
      </c>
      <c r="G104" s="60" t="s">
        <v>953</v>
      </c>
      <c r="H104" s="31" t="s">
        <v>1170</v>
      </c>
      <c r="I104" s="72" t="str">
        <f>HYPERLINK("tag_data/bw180827-62 (IOS_Monterey)","Link")</f>
        <v>Link</v>
      </c>
      <c r="J104" s="46" t="str">
        <f>HYPERLINK("tag_data_raw/IOS_Scaling/2018/bw180827-62","Link")</f>
        <v>Link</v>
      </c>
      <c r="K104" s="72" t="str">
        <f>HYPERLINK("tag_data/bw180827-62 (IOS_Monterey)/Pics&amp;Vids","Link")</f>
        <v>Link</v>
      </c>
      <c r="L104" s="29" t="s">
        <v>263</v>
      </c>
      <c r="M104" s="82" t="s">
        <v>263</v>
      </c>
      <c r="N104" s="54" t="str">
        <f t="shared" si="28"/>
        <v>Link</v>
      </c>
      <c r="O104" s="31" t="s">
        <v>45</v>
      </c>
      <c r="P104" s="33" t="s">
        <v>1127</v>
      </c>
      <c r="Q104" s="31">
        <f>LEFT(RIGHT(A104,LEN(A104)-FIND("-",A104)),MIN(SEARCH({"a","b","c","d","e","f","g","h","i","j","k","l","m","n","o","p","q","r","s","t","u","v","w","x","y","z"},RIGHT(A104,LEN(A104)-FIND("-",A104))&amp;"abcdefghijklmnopqrstuvwxyz"))-1)+1-1</f>
        <v>62</v>
      </c>
      <c r="R104" s="32" t="s">
        <v>950</v>
      </c>
      <c r="S104" s="32" t="s">
        <v>1393</v>
      </c>
      <c r="T104" s="32" t="s">
        <v>263</v>
      </c>
      <c r="U104" s="17">
        <f t="shared" si="25"/>
        <v>1.6111342592557776</v>
      </c>
      <c r="V104" s="17">
        <v>0.76284722222222223</v>
      </c>
      <c r="W104" s="56" t="s">
        <v>346</v>
      </c>
      <c r="X104" s="31" t="s">
        <v>263</v>
      </c>
      <c r="Y104" s="42"/>
      <c r="Z104" s="31" t="s">
        <v>39</v>
      </c>
      <c r="AA104" s="31" t="s">
        <v>41</v>
      </c>
      <c r="AB104" s="31" t="s">
        <v>277</v>
      </c>
      <c r="AC104" s="31" t="s">
        <v>39</v>
      </c>
      <c r="AD104" s="31" t="s">
        <v>41</v>
      </c>
      <c r="AE104" s="31" t="s">
        <v>41</v>
      </c>
      <c r="AF104" s="31" t="s">
        <v>41</v>
      </c>
      <c r="AG104" s="31" t="s">
        <v>41</v>
      </c>
      <c r="AH104" s="31" t="s">
        <v>41</v>
      </c>
      <c r="AI104" s="31" t="s">
        <v>41</v>
      </c>
      <c r="AJ104" s="31" t="s">
        <v>41</v>
      </c>
      <c r="AK104" s="31" t="s">
        <v>41</v>
      </c>
      <c r="AL104" s="31" t="s">
        <v>41</v>
      </c>
      <c r="AM104" s="31" t="s">
        <v>41</v>
      </c>
      <c r="AN104" s="32" t="s">
        <v>1162</v>
      </c>
      <c r="AO104" s="32" t="s">
        <v>1155</v>
      </c>
      <c r="AP104" s="30">
        <v>43339.654016203705</v>
      </c>
      <c r="AQ104" s="30">
        <v>43339.654016203705</v>
      </c>
      <c r="AR104" s="30">
        <v>43341.265150462961</v>
      </c>
      <c r="AS104" s="92" t="s">
        <v>651</v>
      </c>
      <c r="AT104" s="155">
        <v>36.889000000000003</v>
      </c>
      <c r="AU104" s="155">
        <v>-122.23883333333333</v>
      </c>
      <c r="AV104" s="153" t="s">
        <v>313</v>
      </c>
      <c r="AW104" s="106" t="s">
        <v>1128</v>
      </c>
      <c r="AX104" s="30">
        <v>43341.448611111111</v>
      </c>
      <c r="AY104" s="107">
        <v>36.867333333333335</v>
      </c>
      <c r="AZ104" s="107">
        <v>-122.25483333333334</v>
      </c>
      <c r="BA104" s="32" t="s">
        <v>1425</v>
      </c>
      <c r="BB104" s="32"/>
      <c r="BC104" s="7"/>
      <c r="BD104" s="7"/>
      <c r="BE104" s="7"/>
      <c r="BF104" s="7"/>
      <c r="BG104" s="7"/>
    </row>
    <row r="105" spans="1:59">
      <c r="A105" s="7" t="s">
        <v>1129</v>
      </c>
      <c r="B105" s="26" t="s">
        <v>338</v>
      </c>
      <c r="C105" s="42" t="str">
        <f t="shared" si="27"/>
        <v>Monterey</v>
      </c>
      <c r="D105" s="64" t="s">
        <v>849</v>
      </c>
      <c r="E105" s="69" t="s">
        <v>1154</v>
      </c>
      <c r="F105" s="85">
        <v>-7</v>
      </c>
      <c r="G105" s="60" t="s">
        <v>456</v>
      </c>
      <c r="H105" s="31" t="s">
        <v>41</v>
      </c>
      <c r="I105" s="46" t="str">
        <f>HYPERLINK("tag_data/bw180828-48a (IOS_Monterey)","Link")</f>
        <v>Link</v>
      </c>
      <c r="J105" s="46" t="str">
        <f>HYPERLINK("tag_data_raw/IOS_Scaling/2018/bw180828-48/a","Link")</f>
        <v>Link</v>
      </c>
      <c r="K105" s="46" t="str">
        <f>HYPERLINK("tag_data/bw180828-48a (IOS_Monterey)/Pics&amp;Vids","Link")</f>
        <v>Link</v>
      </c>
      <c r="L105" s="54" t="str">
        <f>HYPERLINK("location data/IOS_Scaling/2018/Pics&amp;Vids/08.28/Ziphiid Videos/GOPR1301.MP4","Link")</f>
        <v>Link</v>
      </c>
      <c r="M105" s="82" t="s">
        <v>263</v>
      </c>
      <c r="N105" s="54" t="str">
        <f t="shared" si="28"/>
        <v>Link</v>
      </c>
      <c r="O105" s="31" t="s">
        <v>45</v>
      </c>
      <c r="P105" s="33" t="s">
        <v>1178</v>
      </c>
      <c r="Q105" s="31">
        <f>LEFT(RIGHT(A105,LEN(A105)-FIND("-",A105)),MIN(SEARCH({"a","b","c","d","e","f","g","h","i","j","k","l","m","n","o","p","q","r","s","t","u","v","w","x","y","z"},RIGHT(A105,LEN(A105)-FIND("-",A105))&amp;"abcdefghijklmnopqrstuvwxyz"))-1)+1-1</f>
        <v>48</v>
      </c>
      <c r="R105" s="32" t="s">
        <v>347</v>
      </c>
      <c r="S105" s="32" t="str">
        <f t="shared" ref="S105:S120" si="29">IF(OR(Q105&lt;39,Q105=50,Q105=51,AND(OR(Q105=46,Q105=47),AQ105&gt;43313)),"Cam Mic",IF(AND(Q105&lt;45,AQ105&lt;42958),"Dolphin Ear",IF(AND(Q105&gt;44,NOT(OR(Q105=46,Q105=47,Q105=50,Q105=51))),"HTI","None")))</f>
        <v>HTI</v>
      </c>
      <c r="T105" s="32" t="s">
        <v>63</v>
      </c>
      <c r="U105" s="17">
        <f t="shared" si="25"/>
        <v>5.4398147767642513E-4</v>
      </c>
      <c r="V105" s="17">
        <f t="shared" ref="V105:V136" si="30">MIN(AR105,AS105)-MAX(AP105,AQ105)</f>
        <v>5.4398147767642513E-4</v>
      </c>
      <c r="W105" s="56">
        <f>V105</f>
        <v>5.4398147767642513E-4</v>
      </c>
      <c r="X105" s="31">
        <v>0</v>
      </c>
      <c r="Y105" s="42"/>
      <c r="Z105" s="31" t="s">
        <v>41</v>
      </c>
      <c r="AA105" s="31" t="s">
        <v>41</v>
      </c>
      <c r="AB105" s="31" t="s">
        <v>263</v>
      </c>
      <c r="AC105" s="31" t="s">
        <v>39</v>
      </c>
      <c r="AD105" s="31" t="s">
        <v>41</v>
      </c>
      <c r="AE105" s="31" t="s">
        <v>41</v>
      </c>
      <c r="AF105" s="31" t="s">
        <v>41</v>
      </c>
      <c r="AG105" s="31" t="s">
        <v>41</v>
      </c>
      <c r="AH105" s="31" t="s">
        <v>41</v>
      </c>
      <c r="AI105" s="31" t="s">
        <v>41</v>
      </c>
      <c r="AJ105" s="31" t="s">
        <v>39</v>
      </c>
      <c r="AK105" s="31" t="s">
        <v>41</v>
      </c>
      <c r="AL105" s="31" t="s">
        <v>41</v>
      </c>
      <c r="AM105" s="31" t="s">
        <v>41</v>
      </c>
      <c r="AN105" s="32" t="s">
        <v>743</v>
      </c>
      <c r="AO105" s="32" t="s">
        <v>1155</v>
      </c>
      <c r="AP105" s="30">
        <v>43340.372384259259</v>
      </c>
      <c r="AQ105" s="30">
        <v>43340.482083333336</v>
      </c>
      <c r="AR105" s="30">
        <v>43340.482627314814</v>
      </c>
      <c r="AS105" s="92" t="s">
        <v>651</v>
      </c>
      <c r="AT105" s="212">
        <v>36.802500000000002</v>
      </c>
      <c r="AU105" s="212">
        <v>-122.07783333333333</v>
      </c>
      <c r="AV105" s="153" t="s">
        <v>339</v>
      </c>
      <c r="AW105" s="106" t="s">
        <v>339</v>
      </c>
      <c r="AX105" s="30">
        <v>43340.48778935185</v>
      </c>
      <c r="AY105" s="147">
        <v>36.804166666666667</v>
      </c>
      <c r="AZ105" s="147">
        <v>-122.07816666666666</v>
      </c>
      <c r="BA105" s="32" t="s">
        <v>1195</v>
      </c>
      <c r="BB105" s="32"/>
      <c r="BC105" s="7"/>
      <c r="BD105" s="7"/>
      <c r="BE105" s="7"/>
      <c r="BF105" s="7"/>
      <c r="BG105" s="7"/>
    </row>
    <row r="106" spans="1:59">
      <c r="A106" s="55" t="str">
        <f>HYPERLINK("tag_data/Quicklook/bw180828-48bQuicklook.jpg","bw180828-48b")</f>
        <v>bw180828-48b</v>
      </c>
      <c r="B106" s="26" t="s">
        <v>338</v>
      </c>
      <c r="C106" s="42" t="str">
        <f t="shared" si="27"/>
        <v>Monterey</v>
      </c>
      <c r="D106" s="64" t="s">
        <v>849</v>
      </c>
      <c r="E106" s="69" t="s">
        <v>1154</v>
      </c>
      <c r="F106" s="85">
        <v>-7</v>
      </c>
      <c r="G106" s="60" t="s">
        <v>456</v>
      </c>
      <c r="H106" s="31" t="s">
        <v>39</v>
      </c>
      <c r="I106" s="46" t="str">
        <f>HYPERLINK("tag_data/bw180828-48b (IOS_Monterey)","Link")</f>
        <v>Link</v>
      </c>
      <c r="J106" s="46" t="str">
        <f>HYPERLINK("tag_data_raw/IOS_Scaling/2018/bw180828-48/b","Link")</f>
        <v>Link</v>
      </c>
      <c r="K106" s="46" t="str">
        <f>HYPERLINK("tag_data/bw180828-48b (IOS_Monterey)/Pics&amp;Vids","Link")</f>
        <v>Link</v>
      </c>
      <c r="L106" s="54" t="str">
        <f>HYPERLINK("location data/IOS_Scaling/2018/Pics&amp;Vids/08.28/Ziphiid Videos/GOPR1306.MP4","Link")</f>
        <v>Link</v>
      </c>
      <c r="M106" s="46" t="str">
        <f>HYPERLINK("tag_data/bw180828-48b (IOS_Monterey)/Pics&amp;Vids/drone","22.82 m")</f>
        <v>22.82 m</v>
      </c>
      <c r="N106" s="54" t="str">
        <f t="shared" si="28"/>
        <v>Link</v>
      </c>
      <c r="O106" s="31" t="s">
        <v>1406</v>
      </c>
      <c r="P106" s="33" t="s">
        <v>1177</v>
      </c>
      <c r="Q106" s="31">
        <f>LEFT(RIGHT(A106,LEN(A106)-FIND("-",A106)),MIN(SEARCH({"a","b","c","d","e","f","g","h","i","j","k","l","m","n","o","p","q","r","s","t","u","v","w","x","y","z"},RIGHT(A106,LEN(A106)-FIND("-",A106))&amp;"abcdefghijklmnopqrstuvwxyz"))-1)+1-1</f>
        <v>48</v>
      </c>
      <c r="R106" s="32" t="str">
        <f>IF(AND(Q106+1&gt;40,Q106+1&lt;=50),"Wireless","")</f>
        <v>Wireless</v>
      </c>
      <c r="S106" s="32" t="str">
        <f t="shared" si="29"/>
        <v>HTI</v>
      </c>
      <c r="T106" s="32" t="s">
        <v>1196</v>
      </c>
      <c r="U106" s="17">
        <f t="shared" si="25"/>
        <v>0.84204861110629281</v>
      </c>
      <c r="V106" s="17">
        <f t="shared" si="30"/>
        <v>0.84204861110629281</v>
      </c>
      <c r="W106" s="56">
        <v>0.15355324074074075</v>
      </c>
      <c r="X106" s="54" t="str">
        <f>HYPERLINK("tag_data/bw180828-48 (IOS_Monterey)/bw180828-48 Map.bmp","42")</f>
        <v>42</v>
      </c>
      <c r="Y106" s="42"/>
      <c r="Z106" s="31" t="s">
        <v>39</v>
      </c>
      <c r="AA106" s="31" t="s">
        <v>41</v>
      </c>
      <c r="AB106" s="31" t="s">
        <v>277</v>
      </c>
      <c r="AC106" s="31" t="s">
        <v>39</v>
      </c>
      <c r="AD106" s="31" t="s">
        <v>41</v>
      </c>
      <c r="AE106" s="31" t="s">
        <v>39</v>
      </c>
      <c r="AF106" s="31" t="s">
        <v>39</v>
      </c>
      <c r="AG106" s="31" t="s">
        <v>41</v>
      </c>
      <c r="AH106" s="31" t="s">
        <v>41</v>
      </c>
      <c r="AI106" s="31" t="s">
        <v>39</v>
      </c>
      <c r="AJ106" s="31" t="s">
        <v>41</v>
      </c>
      <c r="AK106" s="31" t="s">
        <v>41</v>
      </c>
      <c r="AL106" s="31" t="s">
        <v>41</v>
      </c>
      <c r="AM106" s="31" t="s">
        <v>41</v>
      </c>
      <c r="AN106" s="32" t="s">
        <v>505</v>
      </c>
      <c r="AO106" s="32" t="s">
        <v>1155</v>
      </c>
      <c r="AP106" s="30">
        <v>43340.503472222219</v>
      </c>
      <c r="AQ106" s="30">
        <v>43340.52752314815</v>
      </c>
      <c r="AR106" s="30">
        <v>43341.369571759256</v>
      </c>
      <c r="AS106" s="92" t="s">
        <v>651</v>
      </c>
      <c r="AT106" s="155">
        <v>36.782666666666664</v>
      </c>
      <c r="AU106" s="155">
        <v>-122.05433333333333</v>
      </c>
      <c r="AV106" s="153" t="s">
        <v>339</v>
      </c>
      <c r="AW106" s="106" t="s">
        <v>339</v>
      </c>
      <c r="AX106" s="30">
        <v>43341.478472222225</v>
      </c>
      <c r="AY106" s="107">
        <v>36.823999999999998</v>
      </c>
      <c r="AZ106" s="107">
        <v>-122.13183333333333</v>
      </c>
      <c r="BA106" s="32" t="s">
        <v>1197</v>
      </c>
      <c r="BB106" s="49" t="s">
        <v>1364</v>
      </c>
      <c r="BC106" s="7"/>
      <c r="BD106" s="7"/>
      <c r="BE106" s="7"/>
      <c r="BF106" s="7"/>
      <c r="BG106" s="7"/>
    </row>
    <row r="107" spans="1:59">
      <c r="A107" s="55" t="str">
        <f>HYPERLINK("tag_data/Quicklook/bw180828-49Quicklook.jpg","bw180828-49")</f>
        <v>bw180828-49</v>
      </c>
      <c r="B107" s="26" t="str">
        <f>LEFT(A107,2)</f>
        <v>bw</v>
      </c>
      <c r="C107" s="42" t="str">
        <f t="shared" si="27"/>
        <v>Monterey</v>
      </c>
      <c r="D107" s="64" t="s">
        <v>849</v>
      </c>
      <c r="E107" s="69" t="s">
        <v>1154</v>
      </c>
      <c r="F107" s="85">
        <v>-7</v>
      </c>
      <c r="G107" s="60" t="s">
        <v>456</v>
      </c>
      <c r="H107" s="31" t="s">
        <v>39</v>
      </c>
      <c r="I107" s="46" t="str">
        <f>HYPERLINK("tag_data\bw180828-49 (IOS_Monterey)","Link")</f>
        <v>Link</v>
      </c>
      <c r="J107" s="46" t="str">
        <f>HYPERLINK("tag_data_raw\IOS_Scaling\2018\bw180828-49","Link")</f>
        <v>Link</v>
      </c>
      <c r="K107" s="46" t="str">
        <f>HYPERLINK("tag_data\bw180828-49 (IOS_Monterey)/Pics&amp;Vids","Link")</f>
        <v>Link</v>
      </c>
      <c r="L107" s="54" t="str">
        <f>HYPERLINK("location data\IOS_Scaling\2018\Pics&amp;Vids\08.28\Musculus Videos\GOPR0487.MP4","Link")</f>
        <v>Link</v>
      </c>
      <c r="M107" s="46" t="str">
        <f>HYPERLINK("tag_data\bw180828-49 (IOS_Monterey)/Pics&amp;Vids/drone","22.09 m")</f>
        <v>22.09 m</v>
      </c>
      <c r="N107" s="54" t="str">
        <f t="shared" si="28"/>
        <v>Link</v>
      </c>
      <c r="O107" s="31" t="s">
        <v>1407</v>
      </c>
      <c r="P107" s="33" t="s">
        <v>1130</v>
      </c>
      <c r="Q107" s="31">
        <f>LEFT(RIGHT(A107,LEN(A107)-FIND("-",A107)),MIN(SEARCH({"a","b","c","d","e","f","g","h","i","j","k","l","m","n","o","p","q","r","s","t","u","v","w","x","y","z"},RIGHT(A107,LEN(A107)-FIND("-",A107))&amp;"abcdefghijklmnopqrstuvwxyz"))-1)+1-1</f>
        <v>49</v>
      </c>
      <c r="R107" s="32" t="str">
        <f>IF(AND(Q107+1&gt;40,Q107+1&lt;=50),"Wireless","")</f>
        <v>Wireless</v>
      </c>
      <c r="S107" s="32" t="str">
        <f t="shared" si="29"/>
        <v>HTI</v>
      </c>
      <c r="T107" s="32" t="s">
        <v>63</v>
      </c>
      <c r="U107" s="17">
        <f t="shared" si="25"/>
        <v>1.2068518518499332</v>
      </c>
      <c r="V107" s="17">
        <f t="shared" si="30"/>
        <v>0.87834490741079208</v>
      </c>
      <c r="W107" s="56">
        <v>0.13827546296296298</v>
      </c>
      <c r="X107" s="31">
        <v>0</v>
      </c>
      <c r="Y107" s="61" t="s">
        <v>263</v>
      </c>
      <c r="Z107" s="31" t="s">
        <v>39</v>
      </c>
      <c r="AA107" s="31" t="s">
        <v>41</v>
      </c>
      <c r="AB107" s="31" t="s">
        <v>277</v>
      </c>
      <c r="AC107" s="31" t="s">
        <v>39</v>
      </c>
      <c r="AD107" s="31" t="s">
        <v>41</v>
      </c>
      <c r="AE107" s="31" t="s">
        <v>41</v>
      </c>
      <c r="AF107" s="31" t="s">
        <v>41</v>
      </c>
      <c r="AG107" s="31" t="s">
        <v>41</v>
      </c>
      <c r="AH107" s="31" t="s">
        <v>41</v>
      </c>
      <c r="AI107" s="31" t="s">
        <v>39</v>
      </c>
      <c r="AJ107" s="31" t="s">
        <v>39</v>
      </c>
      <c r="AK107" s="31" t="s">
        <v>41</v>
      </c>
      <c r="AL107" s="31" t="s">
        <v>39</v>
      </c>
      <c r="AM107" s="31" t="s">
        <v>41</v>
      </c>
      <c r="AN107" s="32" t="s">
        <v>627</v>
      </c>
      <c r="AO107" s="32" t="s">
        <v>1122</v>
      </c>
      <c r="AP107" s="30">
        <v>43340.423402777778</v>
      </c>
      <c r="AQ107" s="30">
        <v>43340.459814814814</v>
      </c>
      <c r="AR107" s="30">
        <v>43341.666666666664</v>
      </c>
      <c r="AS107" s="92">
        <v>43341.338159722225</v>
      </c>
      <c r="AT107" s="155">
        <v>36.418333333333337</v>
      </c>
      <c r="AU107" s="155">
        <v>-121.97866666666667</v>
      </c>
      <c r="AV107" s="153" t="s">
        <v>313</v>
      </c>
      <c r="AW107" s="106" t="s">
        <v>313</v>
      </c>
      <c r="AX107" s="30">
        <v>43341.683333333334</v>
      </c>
      <c r="AY107" s="107">
        <v>36.360666666666667</v>
      </c>
      <c r="AZ107" s="107">
        <v>-122.04283333333333</v>
      </c>
      <c r="BA107" s="32" t="s">
        <v>1420</v>
      </c>
      <c r="BB107" s="32"/>
      <c r="BC107" s="7"/>
      <c r="BD107" s="7"/>
      <c r="BE107" s="7"/>
      <c r="BF107" s="7"/>
      <c r="BG107" s="7"/>
    </row>
    <row r="108" spans="1:59">
      <c r="A108" s="55" t="str">
        <f>HYPERLINK("tag_data/Quicklook/bw180829-30Quicklook.jpg","bw180829-30")</f>
        <v>bw180829-30</v>
      </c>
      <c r="B108" s="26" t="s">
        <v>338</v>
      </c>
      <c r="C108" s="42" t="str">
        <f t="shared" si="27"/>
        <v>Monterey</v>
      </c>
      <c r="D108" s="64" t="s">
        <v>849</v>
      </c>
      <c r="E108" s="69" t="s">
        <v>1154</v>
      </c>
      <c r="F108" s="85">
        <v>-7</v>
      </c>
      <c r="G108" s="60" t="s">
        <v>456</v>
      </c>
      <c r="H108" s="31" t="s">
        <v>39</v>
      </c>
      <c r="I108" s="46" t="str">
        <f>HYPERLINK("tag_data/bw180829-30 (IOS_Monterey)","Link")</f>
        <v>Link</v>
      </c>
      <c r="J108" s="46" t="str">
        <f>HYPERLINK("tag_data_raw/IOS_Scaling/2018/bw180829-30","Link")</f>
        <v>Link</v>
      </c>
      <c r="K108" s="46" t="str">
        <f>HYPERLINK("tag_data/bw180829-30 (IOS_Monterey)/Pics&amp;Vids","Link")</f>
        <v>Link</v>
      </c>
      <c r="L108" s="54" t="str">
        <f>HYPERLINK("location data\IOS_Scaling\2018\Pics&amp;Vids\08.29\Musculus Videos\GOPR0503.MP4","Link")</f>
        <v>Link</v>
      </c>
      <c r="M108" s="72" t="str">
        <f>HYPERLINK("tag_data/bw180829-30 (IOS_Monterey)/Pics&amp;Vids/drone","20.37 m")</f>
        <v>20.37 m</v>
      </c>
      <c r="N108" s="54" t="str">
        <f t="shared" si="28"/>
        <v>Link</v>
      </c>
      <c r="O108" s="31" t="s">
        <v>45</v>
      </c>
      <c r="P108" s="33" t="s">
        <v>1179</v>
      </c>
      <c r="Q108" s="31">
        <f>LEFT(RIGHT(A108,LEN(A108)-FIND("-",A108)),MIN(SEARCH({"a","b","c","d","e","f","g","h","i","j","k","l","m","n","o","p","q","r","s","t","u","v","w","x","y","z"},RIGHT(A108,LEN(A108)-FIND("-",A108))&amp;"abcdefghijklmnopqrstuvwxyz"))-1)+1-1</f>
        <v>30</v>
      </c>
      <c r="R108" s="32" t="s">
        <v>1131</v>
      </c>
      <c r="S108" s="32" t="str">
        <f t="shared" si="29"/>
        <v>Cam Mic</v>
      </c>
      <c r="T108" s="32" t="s">
        <v>809</v>
      </c>
      <c r="U108" s="17">
        <f t="shared" si="25"/>
        <v>0.17649305555823958</v>
      </c>
      <c r="V108" s="17">
        <f t="shared" si="30"/>
        <v>0.17649305555823958</v>
      </c>
      <c r="W108" s="56">
        <v>5.0578703703703706E-3</v>
      </c>
      <c r="X108" s="31"/>
      <c r="Y108" s="42"/>
      <c r="Z108" s="31" t="s">
        <v>39</v>
      </c>
      <c r="AA108" s="31" t="s">
        <v>41</v>
      </c>
      <c r="AB108" s="31" t="s">
        <v>277</v>
      </c>
      <c r="AC108" s="31" t="s">
        <v>41</v>
      </c>
      <c r="AD108" s="31" t="s">
        <v>41</v>
      </c>
      <c r="AE108" s="31" t="s">
        <v>41</v>
      </c>
      <c r="AF108" s="31" t="s">
        <v>41</v>
      </c>
      <c r="AG108" s="31" t="s">
        <v>41</v>
      </c>
      <c r="AH108" s="31" t="s">
        <v>41</v>
      </c>
      <c r="AI108" s="31" t="s">
        <v>41</v>
      </c>
      <c r="AJ108" s="31" t="s">
        <v>41</v>
      </c>
      <c r="AK108" s="31" t="s">
        <v>41</v>
      </c>
      <c r="AL108" s="31" t="s">
        <v>41</v>
      </c>
      <c r="AM108" s="31" t="s">
        <v>41</v>
      </c>
      <c r="AN108" s="32" t="s">
        <v>1398</v>
      </c>
      <c r="AO108" s="32" t="s">
        <v>1122</v>
      </c>
      <c r="AP108" s="30">
        <v>43341.428807870368</v>
      </c>
      <c r="AQ108" s="30">
        <v>43341.612488425926</v>
      </c>
      <c r="AR108" s="30">
        <v>43341.788981481484</v>
      </c>
      <c r="AS108" s="92" t="s">
        <v>651</v>
      </c>
      <c r="AT108" s="155">
        <v>36.428333333333335</v>
      </c>
      <c r="AU108" s="155">
        <v>-121.97816666666667</v>
      </c>
      <c r="AV108" s="153" t="s">
        <v>313</v>
      </c>
      <c r="AW108" s="106" t="s">
        <v>313</v>
      </c>
      <c r="AX108" s="30">
        <v>43342.461805555555</v>
      </c>
      <c r="AY108" s="107">
        <v>36.481833333333334</v>
      </c>
      <c r="AZ108" s="107">
        <v>-122.00449999999999</v>
      </c>
      <c r="BA108" s="32" t="s">
        <v>1397</v>
      </c>
      <c r="BB108" s="32"/>
      <c r="BC108" s="7"/>
      <c r="BD108" s="7"/>
      <c r="BE108" s="7"/>
      <c r="BF108" s="7"/>
      <c r="BG108" s="7"/>
    </row>
    <row r="109" spans="1:59">
      <c r="A109" s="55" t="str">
        <f>HYPERLINK("tag_data/Quicklook/bw180829-42Quicklook.jpg","bw180829-42")</f>
        <v>bw180829-42</v>
      </c>
      <c r="B109" s="26" t="str">
        <f>LEFT(A109,2)</f>
        <v>bw</v>
      </c>
      <c r="C109" s="42" t="str">
        <f t="shared" si="27"/>
        <v>Monterey</v>
      </c>
      <c r="D109" s="64" t="s">
        <v>849</v>
      </c>
      <c r="E109" s="69" t="s">
        <v>1154</v>
      </c>
      <c r="F109" s="85">
        <v>-7</v>
      </c>
      <c r="G109" s="60" t="s">
        <v>456</v>
      </c>
      <c r="H109" s="31" t="s">
        <v>39</v>
      </c>
      <c r="I109" s="46" t="str">
        <f>HYPERLINK("tag_data\bw180829-42 (IOS_Monterey)","Link")</f>
        <v>Link</v>
      </c>
      <c r="J109" s="46" t="str">
        <f>HYPERLINK("tag_data_raw\IOS_Scaling\2018\bw180829-42","Link")</f>
        <v>Link</v>
      </c>
      <c r="K109" s="46" t="str">
        <f>HYPERLINK("tag_data\bw180829-42 (IOS_Monterey)/Pics&amp;Vids","Link")</f>
        <v>Link</v>
      </c>
      <c r="L109" s="54" t="str">
        <f>HYPERLINK("location data\IOS_Scaling\2018\Pics&amp;Vids\08.29\Ziphiid Videos\GOPR1312.MP4","Link")</f>
        <v>Link</v>
      </c>
      <c r="M109" s="41" t="s">
        <v>1225</v>
      </c>
      <c r="N109" s="54" t="str">
        <f t="shared" si="28"/>
        <v>Link</v>
      </c>
      <c r="O109" s="31" t="s">
        <v>45</v>
      </c>
      <c r="P109" s="33" t="s">
        <v>1180</v>
      </c>
      <c r="Q109" s="31">
        <f>LEFT(RIGHT(A109,LEN(A109)-FIND("-",A109)),MIN(SEARCH({"a","b","c","d","e","f","g","h","i","j","k","l","m","n","o","p","q","r","s","t","u","v","w","x","y","z"},RIGHT(A109,LEN(A109)-FIND("-",A109))&amp;"abcdefghijklmnopqrstuvwxyz"))-1)+1-1</f>
        <v>42</v>
      </c>
      <c r="R109" s="32" t="str">
        <f t="shared" ref="R109:R115" si="31">IF(AND(Q109+1&gt;40,Q109+1&lt;=50),"Wireless","")</f>
        <v>Wireless</v>
      </c>
      <c r="S109" s="32" t="str">
        <f t="shared" si="29"/>
        <v>None</v>
      </c>
      <c r="T109" s="32" t="s">
        <v>38</v>
      </c>
      <c r="U109" s="17">
        <f t="shared" si="25"/>
        <v>4.7291666669480037E-2</v>
      </c>
      <c r="V109" s="17">
        <f t="shared" si="30"/>
        <v>4.7291666669480037E-2</v>
      </c>
      <c r="W109" s="56">
        <v>3.0251157407407411E-2</v>
      </c>
      <c r="X109" s="54" t="str">
        <f>HYPERLINK("tag_data/bw180829-42 (IOS_Monterey)/bw180829-42 Map.bmp","5")</f>
        <v>5</v>
      </c>
      <c r="Y109" s="42"/>
      <c r="Z109" s="31" t="s">
        <v>39</v>
      </c>
      <c r="AA109" s="31" t="s">
        <v>41</v>
      </c>
      <c r="AB109" s="31" t="s">
        <v>277</v>
      </c>
      <c r="AC109" s="31" t="s">
        <v>39</v>
      </c>
      <c r="AD109" s="31" t="s">
        <v>41</v>
      </c>
      <c r="AE109" s="31" t="s">
        <v>41</v>
      </c>
      <c r="AF109" s="31" t="s">
        <v>41</v>
      </c>
      <c r="AG109" s="31" t="s">
        <v>41</v>
      </c>
      <c r="AH109" s="31" t="s">
        <v>41</v>
      </c>
      <c r="AI109" s="31" t="s">
        <v>41</v>
      </c>
      <c r="AJ109" s="31" t="s">
        <v>39</v>
      </c>
      <c r="AK109" s="31" t="s">
        <v>41</v>
      </c>
      <c r="AL109" s="31" t="s">
        <v>41</v>
      </c>
      <c r="AM109" s="31" t="s">
        <v>41</v>
      </c>
      <c r="AN109" s="32" t="s">
        <v>627</v>
      </c>
      <c r="AO109" s="32" t="s">
        <v>1155</v>
      </c>
      <c r="AP109" s="30">
        <v>43341.356944444444</v>
      </c>
      <c r="AQ109" s="30">
        <v>43341.442233796297</v>
      </c>
      <c r="AR109" s="30">
        <v>43341.489525462966</v>
      </c>
      <c r="AS109" s="92" t="s">
        <v>651</v>
      </c>
      <c r="AT109" s="155">
        <v>36.824440000000003</v>
      </c>
      <c r="AU109" s="155">
        <v>-122.1183</v>
      </c>
      <c r="AV109" s="153" t="s">
        <v>339</v>
      </c>
      <c r="AW109" s="106" t="s">
        <v>1128</v>
      </c>
      <c r="AX109" s="30">
        <v>43341.611111111109</v>
      </c>
      <c r="AY109" s="107">
        <f>36+51.5/60</f>
        <v>36.858333333333334</v>
      </c>
      <c r="AZ109" s="107">
        <f>-122-8.9/60</f>
        <v>-122.14833333333333</v>
      </c>
      <c r="BA109" s="32" t="s">
        <v>1226</v>
      </c>
      <c r="BB109" s="49" t="s">
        <v>1227</v>
      </c>
      <c r="BC109" s="7"/>
      <c r="BD109" s="7"/>
      <c r="BE109" s="7"/>
      <c r="BF109" s="7"/>
      <c r="BG109" s="7"/>
    </row>
    <row r="110" spans="1:59">
      <c r="A110" s="55" t="str">
        <f>HYPERLINK("tag_data/Quicklook/bw180829-47Quicklook.jpg","bw180829-47")</f>
        <v>bw180829-47</v>
      </c>
      <c r="B110" s="26" t="str">
        <f>LEFT(A110,2)</f>
        <v>bw</v>
      </c>
      <c r="C110" s="42" t="str">
        <f t="shared" si="27"/>
        <v>Monterey</v>
      </c>
      <c r="D110" s="64" t="s">
        <v>849</v>
      </c>
      <c r="E110" s="69" t="s">
        <v>1154</v>
      </c>
      <c r="F110" s="85">
        <v>-7</v>
      </c>
      <c r="G110" s="60" t="s">
        <v>456</v>
      </c>
      <c r="H110" s="31" t="s">
        <v>39</v>
      </c>
      <c r="I110" s="46" t="str">
        <f>HYPERLINK("tag_data\bw180829-47 (IOS_Monterey)","Link")</f>
        <v>Link</v>
      </c>
      <c r="J110" s="46" t="str">
        <f>HYPERLINK("tag_data_raw\IOS_Scaling\2018\bw180829-47","Link")</f>
        <v>Link</v>
      </c>
      <c r="K110" s="46" t="str">
        <f>HYPERLINK("tag_data\bw180829-47 (IOS_Monterey)/Pics&amp;Vids","Link")</f>
        <v>Link</v>
      </c>
      <c r="L110" s="54" t="str">
        <f>HYPERLINK("location data\IOS_Scaling\2018\Pics&amp;Vids\08.29\Musculus Videos\GOPR0491.MP4","Link")</f>
        <v>Link</v>
      </c>
      <c r="M110" s="46" t="str">
        <f>HYPERLINK("tag_data\bw180829-47 (IOS_Monterey)/Pics&amp;Vids/drone","23.12 m")</f>
        <v>23.12 m</v>
      </c>
      <c r="N110" s="54" t="str">
        <f t="shared" si="28"/>
        <v>Link</v>
      </c>
      <c r="O110" s="31" t="s">
        <v>45</v>
      </c>
      <c r="P110" s="33" t="s">
        <v>1132</v>
      </c>
      <c r="Q110" s="31">
        <f>LEFT(RIGHT(A110,LEN(A110)-FIND("-",A110)),MIN(SEARCH({"a","b","c","d","e","f","g","h","i","j","k","l","m","n","o","p","q","r","s","t","u","v","w","x","y","z"},RIGHT(A110,LEN(A110)-FIND("-",A110))&amp;"abcdefghijklmnopqrstuvwxyz"))-1)+1-1</f>
        <v>47</v>
      </c>
      <c r="R110" s="32" t="str">
        <f t="shared" si="31"/>
        <v>Wireless</v>
      </c>
      <c r="S110" s="32" t="str">
        <f t="shared" si="29"/>
        <v>Cam Mic</v>
      </c>
      <c r="T110" s="32" t="s">
        <v>533</v>
      </c>
      <c r="U110" s="17">
        <f t="shared" si="25"/>
        <v>1.0647800925944466</v>
      </c>
      <c r="V110" s="17">
        <f t="shared" si="30"/>
        <v>1.0647800925944466</v>
      </c>
      <c r="W110" s="56">
        <v>0.29685185185185187</v>
      </c>
      <c r="X110" s="54" t="str">
        <f>HYPERLINK("tag_data/bw180829-47 (IOS_Monterey)/bw180829-47 Map.bmp","14")</f>
        <v>14</v>
      </c>
      <c r="Y110" s="42"/>
      <c r="Z110" s="31" t="s">
        <v>39</v>
      </c>
      <c r="AA110" s="31" t="s">
        <v>41</v>
      </c>
      <c r="AB110" s="31" t="s">
        <v>277</v>
      </c>
      <c r="AC110" s="33" t="s">
        <v>1133</v>
      </c>
      <c r="AD110" s="31" t="s">
        <v>41</v>
      </c>
      <c r="AE110" s="31" t="s">
        <v>41</v>
      </c>
      <c r="AF110" s="31" t="s">
        <v>41</v>
      </c>
      <c r="AG110" s="31" t="s">
        <v>41</v>
      </c>
      <c r="AH110" s="31" t="s">
        <v>41</v>
      </c>
      <c r="AI110" s="31" t="s">
        <v>41</v>
      </c>
      <c r="AJ110" s="31" t="s">
        <v>39</v>
      </c>
      <c r="AK110" s="31" t="s">
        <v>41</v>
      </c>
      <c r="AL110" s="31" t="s">
        <v>41</v>
      </c>
      <c r="AM110" s="31" t="s">
        <v>41</v>
      </c>
      <c r="AN110" s="32" t="s">
        <v>627</v>
      </c>
      <c r="AO110" s="32" t="s">
        <v>1122</v>
      </c>
      <c r="AP110" s="30">
        <v>43341.399085648147</v>
      </c>
      <c r="AQ110" s="30">
        <v>43341.425347222219</v>
      </c>
      <c r="AR110" s="30">
        <v>43342.490127314813</v>
      </c>
      <c r="AS110" s="92" t="s">
        <v>651</v>
      </c>
      <c r="AT110" s="155">
        <v>36.418833333333332</v>
      </c>
      <c r="AU110" s="155">
        <v>-121.98083333333334</v>
      </c>
      <c r="AV110" s="153" t="s">
        <v>313</v>
      </c>
      <c r="AW110" s="106" t="s">
        <v>313</v>
      </c>
      <c r="AX110" s="30">
        <v>43343.625694444447</v>
      </c>
      <c r="AY110" s="107">
        <v>36.724833333333336</v>
      </c>
      <c r="AZ110" s="107">
        <v>-122.16633333333333</v>
      </c>
      <c r="BA110" s="32" t="s">
        <v>1435</v>
      </c>
      <c r="BB110" s="32"/>
      <c r="BC110" s="7"/>
      <c r="BD110" s="7"/>
      <c r="BE110" s="7"/>
      <c r="BF110" s="7"/>
      <c r="BG110" s="7"/>
    </row>
    <row r="111" spans="1:59">
      <c r="A111" s="55" t="str">
        <f>HYPERLINK("tag_data/Quicklook/bw180830-40Quicklook.jpg","bw180830-40")</f>
        <v>bw180830-40</v>
      </c>
      <c r="B111" s="26" t="s">
        <v>338</v>
      </c>
      <c r="C111" s="42" t="str">
        <f t="shared" si="27"/>
        <v>Monterey</v>
      </c>
      <c r="D111" s="64" t="s">
        <v>849</v>
      </c>
      <c r="E111" s="69" t="s">
        <v>1154</v>
      </c>
      <c r="F111" s="85">
        <v>-7</v>
      </c>
      <c r="G111" s="60" t="s">
        <v>456</v>
      </c>
      <c r="H111" s="31" t="s">
        <v>39</v>
      </c>
      <c r="I111" s="72" t="str">
        <f>HYPERLINK("tag_data/bw180830-40 (IOS_Monterey)","Link")</f>
        <v>Link</v>
      </c>
      <c r="J111" s="72" t="str">
        <f>HYPERLINK("tag_data_raw/IOS_Scaling/2018/bw180830-40","Link")</f>
        <v>Link</v>
      </c>
      <c r="K111" s="73" t="str">
        <f>HYPERLINK("tag_data/bw180830-40 (IOS_Monterey)/Pics&amp;Vids","Link")</f>
        <v>Link</v>
      </c>
      <c r="L111" s="54" t="str">
        <f>HYPERLINK("location data\IOS_Scaling\2018\Pics&amp;Vids\08.30\Ziphiid Videos\20180830-ZIP-BM-GOPR0607.MP4","Link")</f>
        <v>Link</v>
      </c>
      <c r="M111" s="73" t="str">
        <f>HYPERLINK("tag_data/bw180830-40 (IOS_Monterey)/Pics&amp;Vids/drone","22.7 m")</f>
        <v>22.7 m</v>
      </c>
      <c r="N111" s="54" t="str">
        <f t="shared" si="28"/>
        <v>Link</v>
      </c>
      <c r="O111" s="31" t="s">
        <v>45</v>
      </c>
      <c r="P111" s="31" t="s">
        <v>41</v>
      </c>
      <c r="Q111" s="31">
        <f>LEFT(RIGHT(A111,LEN(A111)-FIND("-",A111)),MIN(SEARCH({"a","b","c","d","e","f","g","h","i","j","k","l","m","n","o","p","q","r","s","t","u","v","w","x","y","z"},RIGHT(A111,LEN(A111)-FIND("-",A111))&amp;"abcdefghijklmnopqrstuvwxyz"))-1)+1-1</f>
        <v>40</v>
      </c>
      <c r="R111" s="32" t="str">
        <f t="shared" si="31"/>
        <v>Wireless</v>
      </c>
      <c r="S111" s="32" t="str">
        <f t="shared" si="29"/>
        <v>None</v>
      </c>
      <c r="T111" s="32" t="s">
        <v>533</v>
      </c>
      <c r="U111" s="17">
        <f t="shared" si="25"/>
        <v>0.38234953703795327</v>
      </c>
      <c r="V111" s="17">
        <f t="shared" si="30"/>
        <v>0.38234953703795327</v>
      </c>
      <c r="W111" s="56">
        <v>0.17372685185185185</v>
      </c>
      <c r="X111" s="31">
        <v>0</v>
      </c>
      <c r="Y111" s="42"/>
      <c r="Z111" s="31" t="s">
        <v>39</v>
      </c>
      <c r="AA111" s="31" t="s">
        <v>39</v>
      </c>
      <c r="AB111" s="31" t="s">
        <v>277</v>
      </c>
      <c r="AC111" s="31" t="s">
        <v>39</v>
      </c>
      <c r="AD111" s="31" t="s">
        <v>41</v>
      </c>
      <c r="AE111" s="31" t="s">
        <v>41</v>
      </c>
      <c r="AF111" s="31" t="s">
        <v>39</v>
      </c>
      <c r="AG111" s="31" t="s">
        <v>41</v>
      </c>
      <c r="AH111" s="31" t="s">
        <v>41</v>
      </c>
      <c r="AI111" s="31" t="s">
        <v>41</v>
      </c>
      <c r="AJ111" s="31" t="s">
        <v>39</v>
      </c>
      <c r="AK111" s="31" t="s">
        <v>41</v>
      </c>
      <c r="AL111" s="31" t="s">
        <v>39</v>
      </c>
      <c r="AM111" s="31" t="s">
        <v>41</v>
      </c>
      <c r="AN111" s="32" t="s">
        <v>999</v>
      </c>
      <c r="AO111" s="32" t="s">
        <v>1155</v>
      </c>
      <c r="AP111" s="30">
        <v>43342.416018518517</v>
      </c>
      <c r="AQ111" s="30">
        <v>43342.429618055554</v>
      </c>
      <c r="AR111" s="30">
        <v>43342.811967592592</v>
      </c>
      <c r="AS111" s="92" t="s">
        <v>651</v>
      </c>
      <c r="AT111" s="155">
        <v>36.801499999999997</v>
      </c>
      <c r="AU111" s="155">
        <v>-122.13083333333333</v>
      </c>
      <c r="AV111" s="153" t="s">
        <v>339</v>
      </c>
      <c r="AW111" s="106" t="s">
        <v>313</v>
      </c>
      <c r="AX111" s="30">
        <v>43343.600694444445</v>
      </c>
      <c r="AY111" s="107">
        <v>36.758333333333333</v>
      </c>
      <c r="AZ111" s="107">
        <v>-122.12833333333333</v>
      </c>
      <c r="BA111" s="32" t="s">
        <v>1409</v>
      </c>
      <c r="BB111" s="32"/>
      <c r="BC111" s="7"/>
      <c r="BD111" s="7"/>
      <c r="BE111" s="7"/>
      <c r="BF111" s="7"/>
      <c r="BG111" s="7"/>
    </row>
    <row r="112" spans="1:59">
      <c r="A112" s="55" t="str">
        <f>HYPERLINK("tag_data/Quicklook/bw180830-42Quicklook.jpg","bw180830-42")</f>
        <v>bw180830-42</v>
      </c>
      <c r="B112" s="26" t="str">
        <f t="shared" ref="B112:B123" si="32">LEFT(A112,2)</f>
        <v>bw</v>
      </c>
      <c r="C112" s="42" t="str">
        <f t="shared" si="27"/>
        <v>Monterey</v>
      </c>
      <c r="D112" s="64" t="s">
        <v>849</v>
      </c>
      <c r="E112" s="69" t="s">
        <v>1154</v>
      </c>
      <c r="F112" s="85">
        <v>-7</v>
      </c>
      <c r="G112" s="60" t="s">
        <v>456</v>
      </c>
      <c r="H112" s="31" t="s">
        <v>39</v>
      </c>
      <c r="I112" s="72" t="str">
        <f>HYPERLINK("tag_data/bw180830-42 (IOS_Monterey)","Link")</f>
        <v>Link</v>
      </c>
      <c r="J112" s="72" t="str">
        <f>HYPERLINK("tag_data_raw/IOS_Scaling/2018/bw180830-42","Link")</f>
        <v>Link</v>
      </c>
      <c r="K112" s="73" t="str">
        <f>HYPERLINK("tag_data/bw180830-42 (IOS_Monterey)/Pics&amp;Vids","Link")</f>
        <v>Link</v>
      </c>
      <c r="L112" s="54" t="str">
        <f>HYPERLINK("location data\IOS_Scaling\2018\Pics&amp;Vids\08.30\Ziphiid Videos\GOPR1322.MP4","Link")</f>
        <v>Link</v>
      </c>
      <c r="M112" s="73" t="str">
        <f>HYPERLINK("tag_data/bw180830-42 (IOS_Monterey)/Pics&amp;Vids/drone","21.6 m")</f>
        <v>21.6 m</v>
      </c>
      <c r="N112" s="54" t="str">
        <f t="shared" si="28"/>
        <v>Link</v>
      </c>
      <c r="O112" s="31" t="s">
        <v>45</v>
      </c>
      <c r="P112" s="33" t="s">
        <v>1134</v>
      </c>
      <c r="Q112" s="31">
        <f>LEFT(RIGHT(A112,LEN(A112)-FIND("-",A112)),MIN(SEARCH({"a","b","c","d","e","f","g","h","i","j","k","l","m","n","o","p","q","r","s","t","u","v","w","x","y","z"},RIGHT(A112,LEN(A112)-FIND("-",A112))&amp;"abcdefghijklmnopqrstuvwxyz"))-1)+1-1</f>
        <v>42</v>
      </c>
      <c r="R112" s="32" t="str">
        <f t="shared" si="31"/>
        <v>Wireless</v>
      </c>
      <c r="S112" s="32" t="str">
        <f t="shared" si="29"/>
        <v>None</v>
      </c>
      <c r="T112" s="32" t="s">
        <v>533</v>
      </c>
      <c r="U112" s="17">
        <f t="shared" si="25"/>
        <v>1.023124999999709</v>
      </c>
      <c r="V112" s="17">
        <f t="shared" si="30"/>
        <v>1.023124999999709</v>
      </c>
      <c r="W112" s="56">
        <v>0.19804398148148147</v>
      </c>
      <c r="X112" s="54" t="str">
        <f>HYPERLINK("tag_data/bw180830-42 (IOS_Monterey)/bw180830-42 Map.bmp","4")</f>
        <v>4</v>
      </c>
      <c r="Y112" s="42"/>
      <c r="Z112" s="31" t="s">
        <v>39</v>
      </c>
      <c r="AA112" s="31" t="s">
        <v>41</v>
      </c>
      <c r="AB112" s="31" t="s">
        <v>277</v>
      </c>
      <c r="AC112" s="31" t="s">
        <v>39</v>
      </c>
      <c r="AD112" s="31" t="s">
        <v>41</v>
      </c>
      <c r="AE112" s="31" t="s">
        <v>41</v>
      </c>
      <c r="AF112" s="31" t="s">
        <v>41</v>
      </c>
      <c r="AG112" s="31" t="s">
        <v>41</v>
      </c>
      <c r="AH112" s="31" t="s">
        <v>41</v>
      </c>
      <c r="AI112" s="31" t="s">
        <v>39</v>
      </c>
      <c r="AJ112" s="31" t="s">
        <v>41</v>
      </c>
      <c r="AK112" s="31" t="s">
        <v>41</v>
      </c>
      <c r="AL112" s="31" t="s">
        <v>39</v>
      </c>
      <c r="AM112" s="31" t="s">
        <v>41</v>
      </c>
      <c r="AN112" s="32" t="s">
        <v>627</v>
      </c>
      <c r="AO112" s="32" t="s">
        <v>1155</v>
      </c>
      <c r="AP112" s="30">
        <v>43342.435636574075</v>
      </c>
      <c r="AQ112" s="30">
        <v>43342.448657407411</v>
      </c>
      <c r="AR112" s="30">
        <v>43343.471782407411</v>
      </c>
      <c r="AS112" s="92" t="s">
        <v>651</v>
      </c>
      <c r="AT112" s="155">
        <v>36.797833333333337</v>
      </c>
      <c r="AU112" s="155">
        <v>-122.12233333333333</v>
      </c>
      <c r="AV112" s="153" t="s">
        <v>339</v>
      </c>
      <c r="AW112" s="106" t="s">
        <v>313</v>
      </c>
      <c r="AX112" s="30">
        <v>43345.487500000003</v>
      </c>
      <c r="AY112" s="107">
        <v>36.923999999999999</v>
      </c>
      <c r="AZ112" s="107">
        <v>-122.8835</v>
      </c>
      <c r="BA112" s="32" t="s">
        <v>1434</v>
      </c>
      <c r="BB112" s="32"/>
      <c r="BC112" s="7"/>
      <c r="BD112" s="7"/>
      <c r="BE112" s="7"/>
      <c r="BF112" s="7"/>
      <c r="BG112" s="7"/>
    </row>
    <row r="113" spans="1:59">
      <c r="A113" s="55" t="str">
        <f>HYPERLINK("tag_data/Quicklook/bw180830-46Quicklook.jpg","bw180830-46")</f>
        <v>bw180830-46</v>
      </c>
      <c r="B113" s="26" t="str">
        <f t="shared" si="32"/>
        <v>bw</v>
      </c>
      <c r="C113" s="42" t="str">
        <f t="shared" si="27"/>
        <v>Monterey</v>
      </c>
      <c r="D113" s="64" t="s">
        <v>849</v>
      </c>
      <c r="E113" s="69" t="s">
        <v>1154</v>
      </c>
      <c r="F113" s="85">
        <v>-7</v>
      </c>
      <c r="G113" s="60" t="s">
        <v>456</v>
      </c>
      <c r="H113" s="31" t="s">
        <v>39</v>
      </c>
      <c r="I113" s="72" t="str">
        <f>HYPERLINK("tag_data/bw180830-46 (IOS_Monterey)","Link")</f>
        <v>Link</v>
      </c>
      <c r="J113" s="46" t="str">
        <f>HYPERLINK("tag_data_raw/IOS_Scaling/2018/bw180830-46","Link")</f>
        <v>Link</v>
      </c>
      <c r="K113" s="72" t="str">
        <f>HYPERLINK("tag_data/bw180830-46 (IOS_Monterey)/Pics&amp;Vids","Link")</f>
        <v>Link</v>
      </c>
      <c r="L113" s="54" t="str">
        <f>HYPERLINK("location data/IOS_Scaling/2018/Pics&amp;Vids/08.30/Musculus Videos/GOPR0519.MP4","Link")</f>
        <v>Link</v>
      </c>
      <c r="M113" s="72" t="str">
        <f>HYPERLINK("tag_data/bw180830-46 (IOS_Monterey)/Pics&amp;Vids/drone","19.27 m")</f>
        <v>19.27 m</v>
      </c>
      <c r="N113" s="54" t="str">
        <f t="shared" si="28"/>
        <v>Link</v>
      </c>
      <c r="O113" s="31" t="s">
        <v>45</v>
      </c>
      <c r="P113" s="33" t="s">
        <v>1135</v>
      </c>
      <c r="Q113" s="31">
        <f>LEFT(RIGHT(A113,LEN(A113)-FIND("-",A113)),MIN(SEARCH({"a","b","c","d","e","f","g","h","i","j","k","l","m","n","o","p","q","r","s","t","u","v","w","x","y","z"},RIGHT(A113,LEN(A113)-FIND("-",A113))&amp;"abcdefghijklmnopqrstuvwxyz"))-1)+1-1</f>
        <v>46</v>
      </c>
      <c r="R113" s="32" t="str">
        <f t="shared" si="31"/>
        <v>Wireless</v>
      </c>
      <c r="S113" s="32" t="str">
        <f t="shared" si="29"/>
        <v>Cam Mic</v>
      </c>
      <c r="T113" s="32" t="s">
        <v>38</v>
      </c>
      <c r="U113" s="17">
        <f t="shared" si="25"/>
        <v>0.32634259259066312</v>
      </c>
      <c r="V113" s="17">
        <f t="shared" si="30"/>
        <v>0.32634259259066312</v>
      </c>
      <c r="W113" s="56">
        <v>0.12800925925925927</v>
      </c>
      <c r="X113" s="54" t="str">
        <f>HYPERLINK("tag_data/bw180830-46 (IOS_Monterey)/bw180830-46 Map.bmp","37")</f>
        <v>37</v>
      </c>
      <c r="Y113" s="42"/>
      <c r="Z113" s="31" t="s">
        <v>39</v>
      </c>
      <c r="AA113" s="31" t="s">
        <v>41</v>
      </c>
      <c r="AB113" s="31" t="s">
        <v>277</v>
      </c>
      <c r="AC113" s="31" t="s">
        <v>39</v>
      </c>
      <c r="AD113" s="31" t="s">
        <v>41</v>
      </c>
      <c r="AE113" s="31" t="s">
        <v>41</v>
      </c>
      <c r="AF113" s="31" t="s">
        <v>41</v>
      </c>
      <c r="AG113" s="31" t="s">
        <v>41</v>
      </c>
      <c r="AH113" s="31" t="s">
        <v>41</v>
      </c>
      <c r="AI113" s="31" t="s">
        <v>39</v>
      </c>
      <c r="AJ113" s="31" t="s">
        <v>41</v>
      </c>
      <c r="AK113" s="31" t="s">
        <v>41</v>
      </c>
      <c r="AL113" s="31" t="s">
        <v>41</v>
      </c>
      <c r="AM113" s="31" t="s">
        <v>41</v>
      </c>
      <c r="AN113" s="32" t="s">
        <v>627</v>
      </c>
      <c r="AO113" s="32" t="s">
        <v>1122</v>
      </c>
      <c r="AP113" s="30">
        <v>43342.359803240739</v>
      </c>
      <c r="AQ113" s="30">
        <v>43342.518055555556</v>
      </c>
      <c r="AR113" s="30">
        <v>43342.844398148147</v>
      </c>
      <c r="AS113" s="92" t="s">
        <v>651</v>
      </c>
      <c r="AT113" s="155">
        <v>36.405333333333331</v>
      </c>
      <c r="AU113" s="155">
        <v>-121.98466666666667</v>
      </c>
      <c r="AV113" s="153" t="s">
        <v>313</v>
      </c>
      <c r="AW113" s="106" t="s">
        <v>313</v>
      </c>
      <c r="AX113" s="30">
        <v>43346.552083333336</v>
      </c>
      <c r="AY113" s="107">
        <v>36.753</v>
      </c>
      <c r="AZ113" s="107">
        <v>-122.1245</v>
      </c>
      <c r="BA113" s="32" t="s">
        <v>1192</v>
      </c>
      <c r="BB113" s="49" t="s">
        <v>1365</v>
      </c>
      <c r="BC113" s="7"/>
      <c r="BD113" s="7"/>
      <c r="BE113" s="7"/>
      <c r="BF113" s="7"/>
      <c r="BG113" s="7"/>
    </row>
    <row r="114" spans="1:59">
      <c r="A114" s="55" t="str">
        <f>HYPERLINK("tag_data/Quicklook/bw180830-48Quicklook.jpg","bw180830-48")</f>
        <v>bw180830-48</v>
      </c>
      <c r="B114" s="26" t="str">
        <f t="shared" si="32"/>
        <v>bw</v>
      </c>
      <c r="C114" s="42" t="str">
        <f t="shared" si="27"/>
        <v>Monterey</v>
      </c>
      <c r="D114" s="64" t="s">
        <v>849</v>
      </c>
      <c r="E114" s="69" t="s">
        <v>1154</v>
      </c>
      <c r="F114" s="85">
        <v>-7</v>
      </c>
      <c r="G114" s="60" t="s">
        <v>456</v>
      </c>
      <c r="H114" s="31" t="s">
        <v>39</v>
      </c>
      <c r="I114" s="72" t="str">
        <f>HYPERLINK("tag_data/bw180830-48 (IOS_Monterey)","Link")</f>
        <v>Link</v>
      </c>
      <c r="J114" s="46" t="str">
        <f>HYPERLINK("tag_data_raw/IOS_Scaling/2018/bw180830-48","Link")</f>
        <v>Link</v>
      </c>
      <c r="K114" s="72" t="str">
        <f>HYPERLINK("tag_data/bw180830-48 (IOS_Monterey)/Pics&amp;Vids","Link")</f>
        <v>Link</v>
      </c>
      <c r="L114" s="54" t="str">
        <f>HYPERLINK("location data/IOS_Scaling/2018/Pics&amp;Vids/08.30/Musculus Videos/GOPR0520.MP4","Link")</f>
        <v>Link</v>
      </c>
      <c r="M114" s="70" t="str">
        <f>HYPERLINK("tag_data/bw180830-48 (IOS_Monterey)/Pics&amp;Vids/drone","see 28-49 (individually measured as 21.78 m)")</f>
        <v>see 28-49 (individually measured as 21.78 m)</v>
      </c>
      <c r="N114" s="54" t="str">
        <f t="shared" si="28"/>
        <v>Link</v>
      </c>
      <c r="O114" s="31" t="s">
        <v>1408</v>
      </c>
      <c r="P114" s="33" t="s">
        <v>1136</v>
      </c>
      <c r="Q114" s="31">
        <f>LEFT(RIGHT(A114,LEN(A114)-FIND("-",A114)),MIN(SEARCH({"a","b","c","d","e","f","g","h","i","j","k","l","m","n","o","p","q","r","s","t","u","v","w","x","y","z"},RIGHT(A114,LEN(A114)-FIND("-",A114))&amp;"abcdefghijklmnopqrstuvwxyz"))-1)+1-1</f>
        <v>48</v>
      </c>
      <c r="R114" s="32" t="str">
        <f t="shared" si="31"/>
        <v>Wireless</v>
      </c>
      <c r="S114" s="32" t="str">
        <f t="shared" si="29"/>
        <v>HTI</v>
      </c>
      <c r="T114" s="32" t="s">
        <v>1240</v>
      </c>
      <c r="U114" s="17">
        <f t="shared" si="25"/>
        <v>0.11004629629314877</v>
      </c>
      <c r="V114" s="17">
        <f t="shared" si="30"/>
        <v>0.11004629629314877</v>
      </c>
      <c r="W114" s="56">
        <v>4.4756944444444446E-2</v>
      </c>
      <c r="X114" s="54" t="str">
        <f>HYPERLINK("tag_data/bw180830-48 (IOS_Monterey)/bw180830-48 Map.bmp","1")</f>
        <v>1</v>
      </c>
      <c r="Y114" s="42"/>
      <c r="Z114" s="31" t="s">
        <v>39</v>
      </c>
      <c r="AA114" s="31" t="s">
        <v>41</v>
      </c>
      <c r="AB114" s="31" t="s">
        <v>277</v>
      </c>
      <c r="AC114" s="31" t="s">
        <v>39</v>
      </c>
      <c r="AD114" s="31" t="s">
        <v>41</v>
      </c>
      <c r="AE114" s="31" t="s">
        <v>41</v>
      </c>
      <c r="AF114" s="31" t="s">
        <v>41</v>
      </c>
      <c r="AG114" s="31" t="s">
        <v>41</v>
      </c>
      <c r="AH114" s="31" t="s">
        <v>39</v>
      </c>
      <c r="AI114" s="31" t="s">
        <v>39</v>
      </c>
      <c r="AJ114" s="31" t="s">
        <v>39</v>
      </c>
      <c r="AK114" s="31" t="s">
        <v>41</v>
      </c>
      <c r="AL114" s="31" t="s">
        <v>41</v>
      </c>
      <c r="AM114" s="31" t="s">
        <v>41</v>
      </c>
      <c r="AN114" s="32" t="s">
        <v>627</v>
      </c>
      <c r="AO114" s="32" t="s">
        <v>1122</v>
      </c>
      <c r="AP114" s="30">
        <v>43342.531655092593</v>
      </c>
      <c r="AQ114" s="30">
        <v>43342.539606481485</v>
      </c>
      <c r="AR114" s="30">
        <v>43342.649652777778</v>
      </c>
      <c r="AS114" s="92" t="s">
        <v>651</v>
      </c>
      <c r="AT114" s="155">
        <v>36.398166666666668</v>
      </c>
      <c r="AU114" s="155">
        <v>-121.98950000000001</v>
      </c>
      <c r="AV114" s="153" t="s">
        <v>313</v>
      </c>
      <c r="AW114" s="106" t="s">
        <v>313</v>
      </c>
      <c r="AX114" s="30">
        <v>43343.456944444442</v>
      </c>
      <c r="AY114" s="107">
        <v>36.247</v>
      </c>
      <c r="AZ114" s="107">
        <v>-122.02533333333334</v>
      </c>
      <c r="BA114" s="32" t="s">
        <v>1239</v>
      </c>
      <c r="BB114" s="49" t="s">
        <v>1366</v>
      </c>
      <c r="BC114" s="7"/>
      <c r="BD114" s="7"/>
      <c r="BE114" s="7"/>
      <c r="BF114" s="7"/>
      <c r="BG114" s="7"/>
    </row>
    <row r="115" spans="1:59">
      <c r="A115" s="55" t="str">
        <f>HYPERLINK("tag_data/Quicklook/bw180830-49Quicklook.jpg","bw180830-49")</f>
        <v>bw180830-49</v>
      </c>
      <c r="B115" s="26" t="str">
        <f t="shared" si="32"/>
        <v>bw</v>
      </c>
      <c r="C115" s="42" t="str">
        <f t="shared" si="27"/>
        <v>Monterey</v>
      </c>
      <c r="D115" s="64" t="s">
        <v>849</v>
      </c>
      <c r="E115" s="69" t="s">
        <v>1154</v>
      </c>
      <c r="F115" s="85">
        <v>-7</v>
      </c>
      <c r="G115" s="60" t="s">
        <v>456</v>
      </c>
      <c r="H115" s="31" t="s">
        <v>39</v>
      </c>
      <c r="I115" s="46" t="str">
        <f>HYPERLINK("tag_data/bw180830-49 (IOS_Monterey)","Link")</f>
        <v>Link</v>
      </c>
      <c r="J115" s="46" t="str">
        <f>HYPERLINK("tag_data_raw/IOS_Scaling/2018/bw180830-49","Link")</f>
        <v>Link</v>
      </c>
      <c r="K115" s="72" t="str">
        <f>HYPERLINK("tag_data/bw180830-49 (IOS_Monterey)/Pics&amp;Vids","Link")</f>
        <v>Link</v>
      </c>
      <c r="L115" s="54" t="str">
        <f>HYPERLINK("location data\IOS_Scaling\2018\Pics&amp;Vids\08.30\Ziphiid Videos\GOPR1326.MP4","Link")</f>
        <v>Link</v>
      </c>
      <c r="M115" s="72" t="str">
        <f>HYPERLINK("tag_data/bw180830-49 (IOS_Monterey)/Pics&amp;Vids/drone","22.0 m")</f>
        <v>22.0 m</v>
      </c>
      <c r="N115" s="54" t="str">
        <f t="shared" si="28"/>
        <v>Link</v>
      </c>
      <c r="O115" s="31" t="s">
        <v>45</v>
      </c>
      <c r="P115" s="33" t="s">
        <v>1137</v>
      </c>
      <c r="Q115" s="31">
        <f>LEFT(RIGHT(A115,LEN(A115)-FIND("-",A115)),MIN(SEARCH({"a","b","c","d","e","f","g","h","i","j","k","l","m","n","o","p","q","r","s","t","u","v","w","x","y","z"},RIGHT(A115,LEN(A115)-FIND("-",A115))&amp;"abcdefghijklmnopqrstuvwxyz"))-1)+1-1</f>
        <v>49</v>
      </c>
      <c r="R115" s="32" t="str">
        <f t="shared" si="31"/>
        <v>Wireless</v>
      </c>
      <c r="S115" s="32" t="str">
        <f t="shared" si="29"/>
        <v>HTI</v>
      </c>
      <c r="T115" s="32" t="s">
        <v>63</v>
      </c>
      <c r="U115" s="17">
        <f t="shared" si="25"/>
        <v>1.0057986111060018</v>
      </c>
      <c r="V115" s="17">
        <f t="shared" si="30"/>
        <v>1.0057986111060018</v>
      </c>
      <c r="W115" s="56">
        <v>0.1850347222222222</v>
      </c>
      <c r="X115" s="31">
        <v>0</v>
      </c>
      <c r="Y115" s="42"/>
      <c r="Z115" s="31" t="s">
        <v>39</v>
      </c>
      <c r="AA115" s="31" t="s">
        <v>41</v>
      </c>
      <c r="AB115" s="31" t="s">
        <v>277</v>
      </c>
      <c r="AC115" s="31" t="s">
        <v>39</v>
      </c>
      <c r="AD115" s="31" t="s">
        <v>41</v>
      </c>
      <c r="AE115" s="31" t="s">
        <v>266</v>
      </c>
      <c r="AF115" s="31" t="s">
        <v>41</v>
      </c>
      <c r="AG115" s="31" t="s">
        <v>41</v>
      </c>
      <c r="AH115" s="31" t="s">
        <v>41</v>
      </c>
      <c r="AI115" s="31" t="s">
        <v>41</v>
      </c>
      <c r="AJ115" s="31" t="s">
        <v>39</v>
      </c>
      <c r="AK115" s="31" t="s">
        <v>41</v>
      </c>
      <c r="AL115" s="31" t="s">
        <v>39</v>
      </c>
      <c r="AM115" s="31" t="s">
        <v>41</v>
      </c>
      <c r="AN115" s="32" t="s">
        <v>1247</v>
      </c>
      <c r="AO115" s="32" t="s">
        <v>1155</v>
      </c>
      <c r="AP115" s="30">
        <v>43342.502337962964</v>
      </c>
      <c r="AQ115" s="30">
        <v>43342.509351851855</v>
      </c>
      <c r="AR115" s="30">
        <v>43343.515150462961</v>
      </c>
      <c r="AS115" s="92" t="s">
        <v>651</v>
      </c>
      <c r="AT115" s="155">
        <v>36.811666666666667</v>
      </c>
      <c r="AU115" s="155">
        <v>-122.13833333333334</v>
      </c>
      <c r="AV115" s="153" t="s">
        <v>339</v>
      </c>
      <c r="AW115" s="106" t="s">
        <v>313</v>
      </c>
      <c r="AX115" s="30">
        <v>43345.618055555555</v>
      </c>
      <c r="AY115" s="107">
        <v>36.435000000000002</v>
      </c>
      <c r="AZ115" s="107">
        <v>-122.21666666666667</v>
      </c>
      <c r="BA115" s="32" t="s">
        <v>1248</v>
      </c>
      <c r="BB115" s="49"/>
      <c r="BC115" s="7"/>
      <c r="BD115" s="7"/>
      <c r="BE115" s="7"/>
      <c r="BF115" s="7"/>
      <c r="BG115" s="7"/>
    </row>
    <row r="116" spans="1:59">
      <c r="A116" s="55" t="str">
        <f>HYPERLINK("tag_data/Quicklook/bw180830-52aQuicklook.jpg","bw180830-52a")</f>
        <v>bw180830-52a</v>
      </c>
      <c r="B116" s="26" t="str">
        <f t="shared" si="32"/>
        <v>bw</v>
      </c>
      <c r="C116" s="42" t="str">
        <f t="shared" si="27"/>
        <v>Monterey</v>
      </c>
      <c r="D116" s="64" t="s">
        <v>849</v>
      </c>
      <c r="E116" s="69" t="s">
        <v>1154</v>
      </c>
      <c r="F116" s="85">
        <v>-7</v>
      </c>
      <c r="G116" s="60" t="s">
        <v>456</v>
      </c>
      <c r="H116" s="31" t="s">
        <v>39</v>
      </c>
      <c r="I116" s="72" t="str">
        <f>HYPERLINK("tag_data/bw180830-52a (IOS_Monterey)","Link")</f>
        <v>Link</v>
      </c>
      <c r="J116" s="46" t="str">
        <f>HYPERLINK("tag_data_raw/IOS_Scaling/2018/bw180830-52/a","Link")</f>
        <v>Link</v>
      </c>
      <c r="K116" s="72" t="str">
        <f>HYPERLINK("tag_data/bw180830-52a (IOS_Monterey)/Pics&amp;Vids","Link")</f>
        <v>Link</v>
      </c>
      <c r="L116" s="54" t="str">
        <f>HYPERLINK("location data/IOS_Scaling/2018/Pics&amp;Vids/08.30/Ziphiid Videos/GOPR1320.MP4","Link")</f>
        <v>Link</v>
      </c>
      <c r="M116" s="72" t="str">
        <f>HYPERLINK("tag_data/bw180830-52a (IOS_Monterey)/Pics&amp;Vids/drone","22.9 m")</f>
        <v>22.9 m</v>
      </c>
      <c r="N116" s="54" t="str">
        <f t="shared" si="28"/>
        <v>Link</v>
      </c>
      <c r="O116" s="31" t="s">
        <v>45</v>
      </c>
      <c r="P116" s="31" t="s">
        <v>41</v>
      </c>
      <c r="Q116" s="31">
        <f>LEFT(RIGHT(A116,LEN(A116)-FIND("-",A116)),MIN(SEARCH({"a","b","c","d","e","f","g","h","i","j","k","l","m","n","o","p","q","r","s","t","u","v","w","x","y","z"},RIGHT(A116,LEN(A116)-FIND("-",A116))&amp;"abcdefghijklmnopqrstuvwxyz"))-1)+1-1</f>
        <v>52</v>
      </c>
      <c r="R116" s="32" t="s">
        <v>347</v>
      </c>
      <c r="S116" s="32" t="str">
        <f t="shared" si="29"/>
        <v>HTI</v>
      </c>
      <c r="T116" s="32" t="s">
        <v>1209</v>
      </c>
      <c r="U116" s="17">
        <f t="shared" si="25"/>
        <v>3.2152777777810115E-2</v>
      </c>
      <c r="V116" s="17">
        <f t="shared" si="30"/>
        <v>3.2152777777810115E-2</v>
      </c>
      <c r="W116" s="56">
        <v>1.0219907407407408E-2</v>
      </c>
      <c r="X116" s="54" t="str">
        <f>HYPERLINK("tag_data/bw180830-52a (IOS_Monterey)/bw180830-52a Map.bmp","9")</f>
        <v>9</v>
      </c>
      <c r="Y116" s="42"/>
      <c r="Z116" s="31" t="s">
        <v>39</v>
      </c>
      <c r="AA116" s="31" t="s">
        <v>41</v>
      </c>
      <c r="AB116" s="31" t="s">
        <v>277</v>
      </c>
      <c r="AC116" s="31" t="s">
        <v>39</v>
      </c>
      <c r="AD116" s="31" t="s">
        <v>41</v>
      </c>
      <c r="AE116" s="31" t="s">
        <v>41</v>
      </c>
      <c r="AF116" s="31" t="s">
        <v>39</v>
      </c>
      <c r="AG116" s="31" t="s">
        <v>41</v>
      </c>
      <c r="AH116" s="31" t="s">
        <v>41</v>
      </c>
      <c r="AI116" s="31" t="s">
        <v>41</v>
      </c>
      <c r="AJ116" s="31" t="s">
        <v>41</v>
      </c>
      <c r="AK116" s="31" t="s">
        <v>41</v>
      </c>
      <c r="AL116" s="31" t="s">
        <v>41</v>
      </c>
      <c r="AM116" s="31" t="s">
        <v>41</v>
      </c>
      <c r="AN116" s="32" t="s">
        <v>1208</v>
      </c>
      <c r="AO116" s="32" t="s">
        <v>1155</v>
      </c>
      <c r="AP116" s="30">
        <v>43342.312210648146</v>
      </c>
      <c r="AQ116" s="30">
        <v>43342.41306712963</v>
      </c>
      <c r="AR116" s="30">
        <v>43342.445219907408</v>
      </c>
      <c r="AS116" s="92" t="s">
        <v>651</v>
      </c>
      <c r="AT116" s="155">
        <v>36.805833333333332</v>
      </c>
      <c r="AU116" s="155">
        <v>-122.13016666666667</v>
      </c>
      <c r="AV116" s="153" t="s">
        <v>339</v>
      </c>
      <c r="AW116" s="106" t="s">
        <v>339</v>
      </c>
      <c r="AX116" s="30">
        <v>43342.462881944448</v>
      </c>
      <c r="AY116" s="107">
        <v>36.805666666666667</v>
      </c>
      <c r="AZ116" s="107">
        <v>-122.13</v>
      </c>
      <c r="BA116" s="32" t="s">
        <v>1207</v>
      </c>
      <c r="BB116" s="49"/>
      <c r="BC116" s="7"/>
      <c r="BD116" s="7"/>
      <c r="BE116" s="7"/>
      <c r="BF116" s="7"/>
      <c r="BG116" s="7"/>
    </row>
    <row r="117" spans="1:59">
      <c r="A117" s="55" t="str">
        <f>HYPERLINK("tag_data/Quicklook/bw180830-52bQuicklook.jpg","bw180830-52b")</f>
        <v>bw180830-52b</v>
      </c>
      <c r="B117" s="26" t="str">
        <f t="shared" si="32"/>
        <v>bw</v>
      </c>
      <c r="C117" s="42" t="str">
        <f t="shared" si="27"/>
        <v>Monterey</v>
      </c>
      <c r="D117" s="64" t="s">
        <v>849</v>
      </c>
      <c r="E117" s="69" t="s">
        <v>1154</v>
      </c>
      <c r="F117" s="85">
        <v>-7</v>
      </c>
      <c r="G117" s="60" t="s">
        <v>456</v>
      </c>
      <c r="H117" s="31" t="s">
        <v>39</v>
      </c>
      <c r="I117" s="72" t="str">
        <f>HYPERLINK("tag_data/bw180830-52b (IOS_Monterey)","Link")</f>
        <v>Link</v>
      </c>
      <c r="J117" s="46" t="str">
        <f>HYPERLINK("tag_data_raw/IOS_Scaling/2018/bw180830-52/b","Link")</f>
        <v>Link</v>
      </c>
      <c r="K117" s="72" t="str">
        <f>HYPERLINK("tag_data/bw180830-52b (IOS_Monterey)/Pics&amp;Vids","Link")</f>
        <v>Link</v>
      </c>
      <c r="L117" s="54" t="str">
        <f>HYPERLINK("location data/IOS_Scaling/2018/Pics&amp;Vids/08.30/Ziphiid Videos/GOPR1325.MP4","Link")</f>
        <v>Link</v>
      </c>
      <c r="M117" s="72" t="str">
        <f>HYPERLINK("tag_data/bw180830-52b (IOS_Monterey)/Pics&amp;Vids/drone","21.98 m")</f>
        <v>21.98 m</v>
      </c>
      <c r="N117" s="54" t="str">
        <f t="shared" si="28"/>
        <v>Link</v>
      </c>
      <c r="O117" s="31" t="s">
        <v>45</v>
      </c>
      <c r="P117" s="31" t="s">
        <v>41</v>
      </c>
      <c r="Q117" s="31">
        <f>LEFT(RIGHT(A117,LEN(A117)-FIND("-",A117)),MIN(SEARCH({"a","b","c","d","e","f","g","h","i","j","k","l","m","n","o","p","q","r","s","t","u","v","w","x","y","z"},RIGHT(A117,LEN(A117)-FIND("-",A117))&amp;"abcdefghijklmnopqrstuvwxyz"))-1)+1-1</f>
        <v>52</v>
      </c>
      <c r="R117" s="32" t="s">
        <v>347</v>
      </c>
      <c r="S117" s="32" t="str">
        <f t="shared" si="29"/>
        <v>HTI</v>
      </c>
      <c r="T117" s="32" t="s">
        <v>1210</v>
      </c>
      <c r="U117" s="17">
        <f t="shared" si="25"/>
        <v>0.12280092592845904</v>
      </c>
      <c r="V117" s="17">
        <f t="shared" si="30"/>
        <v>0.12280092592845904</v>
      </c>
      <c r="W117" s="56">
        <v>5.5914351851851847E-2</v>
      </c>
      <c r="X117" s="54" t="str">
        <f>HYPERLINK("tag_data/bw180830-52b (IOS_Monterey)/bw180830-52b Map.bmp","55")</f>
        <v>55</v>
      </c>
      <c r="Y117" s="42"/>
      <c r="Z117" s="31" t="s">
        <v>39</v>
      </c>
      <c r="AA117" s="31" t="s">
        <v>41</v>
      </c>
      <c r="AB117" s="31" t="s">
        <v>277</v>
      </c>
      <c r="AC117" s="31" t="s">
        <v>39</v>
      </c>
      <c r="AD117" s="31" t="s">
        <v>41</v>
      </c>
      <c r="AE117" s="31" t="s">
        <v>41</v>
      </c>
      <c r="AF117" s="31" t="s">
        <v>39</v>
      </c>
      <c r="AG117" s="31" t="s">
        <v>41</v>
      </c>
      <c r="AH117" s="31" t="s">
        <v>41</v>
      </c>
      <c r="AI117" s="31" t="s">
        <v>41</v>
      </c>
      <c r="AJ117" s="31" t="s">
        <v>39</v>
      </c>
      <c r="AK117" s="31" t="s">
        <v>41</v>
      </c>
      <c r="AL117" s="31" t="s">
        <v>41</v>
      </c>
      <c r="AM117" s="31" t="s">
        <v>41</v>
      </c>
      <c r="AN117" s="32" t="s">
        <v>1164</v>
      </c>
      <c r="AO117" s="32" t="s">
        <v>1155</v>
      </c>
      <c r="AP117" s="92">
        <v>43342.478101851855</v>
      </c>
      <c r="AQ117" s="30">
        <v>43342.479895833334</v>
      </c>
      <c r="AR117" s="30">
        <v>43342.602696759262</v>
      </c>
      <c r="AS117" s="92" t="s">
        <v>651</v>
      </c>
      <c r="AT117" s="155">
        <v>36.802500000000002</v>
      </c>
      <c r="AU117" s="155">
        <v>-122.13083333333333</v>
      </c>
      <c r="AV117" s="153" t="s">
        <v>339</v>
      </c>
      <c r="AW117" s="106" t="s">
        <v>313</v>
      </c>
      <c r="AX117" s="30">
        <v>43343.591666666667</v>
      </c>
      <c r="AY117" s="107">
        <v>36.735166666666665</v>
      </c>
      <c r="AZ117" s="107">
        <v>-122.12433333333334</v>
      </c>
      <c r="BA117" s="32" t="s">
        <v>1211</v>
      </c>
      <c r="BB117" s="49" t="s">
        <v>1367</v>
      </c>
      <c r="BC117" s="7"/>
      <c r="BD117" s="7"/>
      <c r="BE117" s="7"/>
      <c r="BF117" s="7"/>
      <c r="BG117" s="7"/>
    </row>
    <row r="118" spans="1:59">
      <c r="A118" s="55" t="str">
        <f>HYPERLINK("tag_data/Quicklook/bw180904-44Quicklook.jpg","bw180904-44")</f>
        <v>bw180904-44</v>
      </c>
      <c r="B118" s="26" t="str">
        <f t="shared" si="32"/>
        <v>bw</v>
      </c>
      <c r="C118" s="42" t="str">
        <f t="shared" si="27"/>
        <v>Monterey</v>
      </c>
      <c r="D118" s="64" t="s">
        <v>849</v>
      </c>
      <c r="E118" s="69" t="s">
        <v>1154</v>
      </c>
      <c r="F118" s="85">
        <v>-7</v>
      </c>
      <c r="G118" s="60" t="s">
        <v>456</v>
      </c>
      <c r="H118" s="31" t="s">
        <v>39</v>
      </c>
      <c r="I118" s="72" t="str">
        <f>HYPERLINK("tag_data/bw180904-44 (IOS_Monterey)","Link")</f>
        <v>Link</v>
      </c>
      <c r="J118" s="46" t="str">
        <f>HYPERLINK("tag_data_raw/IOS_Scaling/2018/bw180904-44","Link")</f>
        <v>Link</v>
      </c>
      <c r="K118" s="72" t="str">
        <f>HYPERLINK("tag_data/bw180904-44 (IOS_Monterey)/Pics&amp;Vids","Link")</f>
        <v>Link</v>
      </c>
      <c r="L118" s="54" t="str">
        <f>HYPERLINK("location data/IOS_Scaling/2018/Pics&amp;Vids/09.04/Ziphiid Videos/GOPR1343.MP4","Link")</f>
        <v>Link</v>
      </c>
      <c r="M118" s="55" t="str">
        <f>HYPERLINK("tag_data/bw180904-44 (IOS_Monterey)/Pics&amp;Vids/drone","25.18 m")</f>
        <v>25.18 m</v>
      </c>
      <c r="N118" s="54" t="str">
        <f t="shared" si="28"/>
        <v>Link</v>
      </c>
      <c r="O118" s="33" t="s">
        <v>1404</v>
      </c>
      <c r="P118" s="33" t="s">
        <v>1181</v>
      </c>
      <c r="Q118" s="31">
        <f>LEFT(RIGHT(A118,LEN(A118)-FIND("-",A118)),MIN(SEARCH({"a","b","c","d","e","f","g","h","i","j","k","l","m","n","o","p","q","r","s","t","u","v","w","x","y","z"},RIGHT(A118,LEN(A118)-FIND("-",A118))&amp;"abcdefghijklmnopqrstuvwxyz"))-1)+1-1</f>
        <v>44</v>
      </c>
      <c r="R118" s="32" t="str">
        <f>IF(AND(Q118+1&gt;40,Q118+1&lt;=50),"Wireless","")</f>
        <v>Wireless</v>
      </c>
      <c r="S118" s="32" t="str">
        <f t="shared" si="29"/>
        <v>None</v>
      </c>
      <c r="T118" s="32" t="s">
        <v>38</v>
      </c>
      <c r="U118" s="17">
        <f t="shared" si="25"/>
        <v>0.95606481481081573</v>
      </c>
      <c r="V118" s="17">
        <f t="shared" si="30"/>
        <v>0.84151620370539604</v>
      </c>
      <c r="W118" s="56">
        <v>0.51157407407407407</v>
      </c>
      <c r="X118" s="54" t="str">
        <f>HYPERLINK("tag_data/bw180904-44 (IOS_Monterey)/bw180904-44 Map.bmp","736")</f>
        <v>736</v>
      </c>
      <c r="Y118" s="42"/>
      <c r="Z118" s="31" t="s">
        <v>39</v>
      </c>
      <c r="AA118" s="31" t="s">
        <v>41</v>
      </c>
      <c r="AB118" s="31" t="s">
        <v>277</v>
      </c>
      <c r="AC118" s="31" t="s">
        <v>39</v>
      </c>
      <c r="AD118" s="31" t="s">
        <v>41</v>
      </c>
      <c r="AE118" s="31" t="s">
        <v>266</v>
      </c>
      <c r="AF118" s="31" t="s">
        <v>266</v>
      </c>
      <c r="AG118" s="31" t="s">
        <v>41</v>
      </c>
      <c r="AH118" s="31" t="s">
        <v>41</v>
      </c>
      <c r="AI118" s="31" t="s">
        <v>39</v>
      </c>
      <c r="AJ118" s="31" t="s">
        <v>41</v>
      </c>
      <c r="AK118" s="31" t="s">
        <v>41</v>
      </c>
      <c r="AL118" s="31" t="s">
        <v>41</v>
      </c>
      <c r="AM118" s="31" t="s">
        <v>41</v>
      </c>
      <c r="AN118" s="32" t="s">
        <v>1164</v>
      </c>
      <c r="AO118" s="32" t="s">
        <v>1155</v>
      </c>
      <c r="AP118" s="30">
        <v>43347.438518518517</v>
      </c>
      <c r="AQ118" s="30">
        <v>43347.449490740742</v>
      </c>
      <c r="AR118" s="30">
        <f>AX118-30/24/60</f>
        <v>43348.405555555553</v>
      </c>
      <c r="AS118" s="92">
        <v>43348.291006944448</v>
      </c>
      <c r="AT118" s="155">
        <v>36.804333333333332</v>
      </c>
      <c r="AU118" s="155">
        <v>-122.08866666666667</v>
      </c>
      <c r="AV118" s="153" t="s">
        <v>339</v>
      </c>
      <c r="AW118" s="106" t="s">
        <v>313</v>
      </c>
      <c r="AX118" s="30">
        <v>43348.426388888889</v>
      </c>
      <c r="AY118" s="107">
        <v>36.799500000000002</v>
      </c>
      <c r="AZ118" s="107">
        <v>-122.11116666666666</v>
      </c>
      <c r="BA118" s="32" t="s">
        <v>1193</v>
      </c>
      <c r="BB118" s="49"/>
      <c r="BC118" s="7"/>
      <c r="BD118" s="7"/>
      <c r="BE118" s="7"/>
      <c r="BF118" s="7"/>
      <c r="BG118" s="7"/>
    </row>
    <row r="119" spans="1:59">
      <c r="A119" s="55" t="str">
        <f>HYPERLINK("tag_data/Quicklook/bw180904-48Quicklook.jpg","bw180904-48")</f>
        <v>bw180904-48</v>
      </c>
      <c r="B119" s="26" t="str">
        <f t="shared" si="32"/>
        <v>bw</v>
      </c>
      <c r="C119" s="42" t="str">
        <f t="shared" si="27"/>
        <v>Monterey</v>
      </c>
      <c r="D119" s="64" t="s">
        <v>849</v>
      </c>
      <c r="E119" s="69" t="s">
        <v>1154</v>
      </c>
      <c r="F119" s="85">
        <v>-7</v>
      </c>
      <c r="G119" s="60" t="s">
        <v>456</v>
      </c>
      <c r="H119" s="31" t="s">
        <v>39</v>
      </c>
      <c r="I119" s="46" t="str">
        <f>HYPERLINK("tag_data/bw180904-48 (IOS_Monterey)","Link")</f>
        <v>Link</v>
      </c>
      <c r="J119" s="46" t="str">
        <f>HYPERLINK("tag_data_raw/IOS_Scaling/2018/bw180904-48","Link")</f>
        <v>Link</v>
      </c>
      <c r="K119" s="72" t="str">
        <f>HYPERLINK("tag_data/bw180904-48 (IOS_Monterey)/Pics&amp;Vids","Link")</f>
        <v>Link</v>
      </c>
      <c r="L119" s="54" t="str">
        <f>HYPERLINK("location data\IOS_Scaling\2018\Pics&amp;Vids\09.04\Ziphiid Videos\GOPR1346.MP4","Link")</f>
        <v>Link</v>
      </c>
      <c r="M119" s="54" t="str">
        <f>HYPERLINK("tag_data/bw180904-48 (IOS_Monterey)/Pics&amp;Vids/drone","22.83 m")</f>
        <v>22.83 m</v>
      </c>
      <c r="N119" s="54" t="str">
        <f t="shared" si="28"/>
        <v>Link</v>
      </c>
      <c r="O119" s="31" t="s">
        <v>45</v>
      </c>
      <c r="P119" s="33" t="s">
        <v>1138</v>
      </c>
      <c r="Q119" s="31">
        <f>LEFT(RIGHT(A119,LEN(A119)-FIND("-",A119)),MIN(SEARCH({"a","b","c","d","e","f","g","h","i","j","k","l","m","n","o","p","q","r","s","t","u","v","w","x","y","z"},RIGHT(A119,LEN(A119)-FIND("-",A119))&amp;"abcdefghijklmnopqrstuvwxyz"))-1)+1-1</f>
        <v>48</v>
      </c>
      <c r="R119" s="32" t="str">
        <f>IF(AND(Q119+1&gt;40,Q119+1&lt;=50),"Wireless","")</f>
        <v>Wireless</v>
      </c>
      <c r="S119" s="32" t="str">
        <f t="shared" si="29"/>
        <v>HTI</v>
      </c>
      <c r="T119" s="32" t="s">
        <v>533</v>
      </c>
      <c r="U119" s="17">
        <f t="shared" si="25"/>
        <v>0.82047453703125939</v>
      </c>
      <c r="V119" s="17">
        <f t="shared" si="30"/>
        <v>0.82047453703125939</v>
      </c>
      <c r="W119" s="56">
        <v>0.17033564814814817</v>
      </c>
      <c r="X119" s="54" t="str">
        <f>HYPERLINK("tag_data/bw180904-48 (IOS_Monterey)/bw180904-48 Map.bmp","10")</f>
        <v>10</v>
      </c>
      <c r="Y119" s="42"/>
      <c r="Z119" s="31" t="s">
        <v>39</v>
      </c>
      <c r="AA119" s="31" t="s">
        <v>41</v>
      </c>
      <c r="AB119" s="31" t="s">
        <v>277</v>
      </c>
      <c r="AC119" s="31" t="s">
        <v>39</v>
      </c>
      <c r="AD119" s="31" t="s">
        <v>41</v>
      </c>
      <c r="AE119" s="31" t="s">
        <v>39</v>
      </c>
      <c r="AF119" s="31" t="s">
        <v>39</v>
      </c>
      <c r="AG119" s="31" t="s">
        <v>41</v>
      </c>
      <c r="AH119" s="31" t="s">
        <v>41</v>
      </c>
      <c r="AI119" s="31" t="s">
        <v>41</v>
      </c>
      <c r="AJ119" s="31" t="s">
        <v>39</v>
      </c>
      <c r="AK119" s="31" t="s">
        <v>41</v>
      </c>
      <c r="AL119" s="31" t="s">
        <v>39</v>
      </c>
      <c r="AM119" s="31" t="s">
        <v>41</v>
      </c>
      <c r="AN119" s="32" t="s">
        <v>1164</v>
      </c>
      <c r="AO119" s="32" t="s">
        <v>1155</v>
      </c>
      <c r="AP119" s="30">
        <v>43347.458692129629</v>
      </c>
      <c r="AQ119" s="30">
        <v>43347.470347222225</v>
      </c>
      <c r="AR119" s="30">
        <v>43348.290821759256</v>
      </c>
      <c r="AS119" s="92" t="s">
        <v>651</v>
      </c>
      <c r="AT119" s="155">
        <v>36.799166666666665</v>
      </c>
      <c r="AU119" s="155">
        <v>-122.09116666666667</v>
      </c>
      <c r="AV119" s="153" t="s">
        <v>339</v>
      </c>
      <c r="AW119" s="106" t="s">
        <v>339</v>
      </c>
      <c r="AX119" s="30">
        <v>43348.363194444442</v>
      </c>
      <c r="AY119" s="107">
        <v>36.786000000000001</v>
      </c>
      <c r="AZ119" s="107">
        <v>-122.117</v>
      </c>
      <c r="BA119" s="32" t="s">
        <v>1228</v>
      </c>
      <c r="BB119" s="49"/>
      <c r="BC119" s="7"/>
      <c r="BD119" s="7"/>
      <c r="BE119" s="7"/>
      <c r="BF119" s="7"/>
      <c r="BG119" s="7"/>
    </row>
    <row r="120" spans="1:59">
      <c r="A120" s="55" t="str">
        <f>HYPERLINK("tag_data/Quicklook/bw180904-52Quicklook.jpg","bw180904-52")</f>
        <v>bw180904-52</v>
      </c>
      <c r="B120" s="26" t="str">
        <f t="shared" si="32"/>
        <v>bw</v>
      </c>
      <c r="C120" s="42" t="str">
        <f t="shared" si="27"/>
        <v>Monterey</v>
      </c>
      <c r="D120" s="64" t="s">
        <v>849</v>
      </c>
      <c r="E120" s="69" t="s">
        <v>1154</v>
      </c>
      <c r="F120" s="85">
        <v>-7</v>
      </c>
      <c r="G120" s="60" t="s">
        <v>456</v>
      </c>
      <c r="H120" s="31" t="s">
        <v>39</v>
      </c>
      <c r="I120" s="72" t="str">
        <f>HYPERLINK("tag_data/bw180904-52 (IOS_Monterey)","Link")</f>
        <v>Link</v>
      </c>
      <c r="J120" s="46" t="str">
        <f>HYPERLINK("tag_data_raw/IOS_Scaling/2018/bw180904-52","Link")</f>
        <v>Link</v>
      </c>
      <c r="K120" s="72" t="str">
        <f>HYPERLINK("tag_data/bw180904-52 (IOS_Monterey)/Pics&amp;Vids","Link")</f>
        <v>Link</v>
      </c>
      <c r="L120" s="29" t="s">
        <v>263</v>
      </c>
      <c r="M120" s="54" t="str">
        <f>HYPERLINK("tag_data/bw180904-52 (IOS_Monterey)/Pics&amp;Vids/drone","22.06 m")</f>
        <v>22.06 m</v>
      </c>
      <c r="N120" s="54" t="str">
        <f t="shared" si="28"/>
        <v>Link</v>
      </c>
      <c r="O120" s="31" t="s">
        <v>1403</v>
      </c>
      <c r="P120" s="33" t="s">
        <v>1139</v>
      </c>
      <c r="Q120" s="31">
        <f>LEFT(RIGHT(A120,LEN(A120)-FIND("-",A120)),MIN(SEARCH({"a","b","c","d","e","f","g","h","i","j","k","l","m","n","o","p","q","r","s","t","u","v","w","x","y","z"},RIGHT(A120,LEN(A120)-FIND("-",A120))&amp;"abcdefghijklmnopqrstuvwxyz"))-1)+1-1</f>
        <v>52</v>
      </c>
      <c r="R120" s="32" t="s">
        <v>347</v>
      </c>
      <c r="S120" s="32" t="str">
        <f t="shared" si="29"/>
        <v>HTI</v>
      </c>
      <c r="T120" s="32" t="s">
        <v>649</v>
      </c>
      <c r="U120" s="17">
        <f t="shared" si="25"/>
        <v>6.4861111110076308E-2</v>
      </c>
      <c r="V120" s="17">
        <f t="shared" si="30"/>
        <v>6.4861111110076308E-2</v>
      </c>
      <c r="W120" s="56">
        <v>2.5486111111111112E-2</v>
      </c>
      <c r="X120" s="54" t="str">
        <f>HYPERLINK("tag_data/bw180904-52 (IOS_Monterey)/bw180904-52 Map.bmp","14")</f>
        <v>14</v>
      </c>
      <c r="Y120" s="42"/>
      <c r="Z120" s="31" t="s">
        <v>39</v>
      </c>
      <c r="AA120" s="31" t="s">
        <v>41</v>
      </c>
      <c r="AB120" s="31" t="s">
        <v>277</v>
      </c>
      <c r="AC120" s="31" t="s">
        <v>39</v>
      </c>
      <c r="AD120" s="31" t="s">
        <v>41</v>
      </c>
      <c r="AE120" s="31" t="s">
        <v>266</v>
      </c>
      <c r="AF120" s="31" t="s">
        <v>39</v>
      </c>
      <c r="AG120" s="31" t="s">
        <v>41</v>
      </c>
      <c r="AH120" s="31" t="s">
        <v>41</v>
      </c>
      <c r="AI120" s="31" t="s">
        <v>41</v>
      </c>
      <c r="AJ120" s="31" t="s">
        <v>39</v>
      </c>
      <c r="AK120" s="31" t="s">
        <v>41</v>
      </c>
      <c r="AL120" s="31" t="s">
        <v>41</v>
      </c>
      <c r="AM120" s="31" t="s">
        <v>41</v>
      </c>
      <c r="AN120" s="32" t="s">
        <v>994</v>
      </c>
      <c r="AO120" s="32" t="s">
        <v>1155</v>
      </c>
      <c r="AP120" s="30">
        <v>43347.41909722222</v>
      </c>
      <c r="AQ120" s="30">
        <v>43347.436388888891</v>
      </c>
      <c r="AR120" s="30">
        <v>43347.501250000001</v>
      </c>
      <c r="AS120" s="92" t="s">
        <v>651</v>
      </c>
      <c r="AT120" s="155">
        <v>36.804000000000002</v>
      </c>
      <c r="AU120" s="155">
        <v>-122.08</v>
      </c>
      <c r="AV120" s="153" t="s">
        <v>339</v>
      </c>
      <c r="AW120" s="106" t="s">
        <v>313</v>
      </c>
      <c r="AX120" s="30">
        <v>43347.529166666667</v>
      </c>
      <c r="AY120" s="107">
        <v>36.798666666666669</v>
      </c>
      <c r="AZ120" s="107">
        <v>-122.07016666666667</v>
      </c>
      <c r="BA120" s="32" t="s">
        <v>1161</v>
      </c>
      <c r="BB120" s="49"/>
      <c r="BC120" s="7"/>
      <c r="BD120" s="7"/>
      <c r="BE120" s="7"/>
      <c r="BF120" s="7"/>
      <c r="BG120" s="7"/>
    </row>
    <row r="121" spans="1:59">
      <c r="A121" s="55" t="str">
        <f>HYPERLINK("tag_data/Quicklook/bw180904-52Quicklook.jpg","bw180904-62a")</f>
        <v>bw180904-62a</v>
      </c>
      <c r="B121" s="26" t="str">
        <f t="shared" si="32"/>
        <v>bw</v>
      </c>
      <c r="C121" s="42" t="str">
        <f t="shared" si="27"/>
        <v>Monterey</v>
      </c>
      <c r="D121" s="64" t="s">
        <v>849</v>
      </c>
      <c r="E121" s="69" t="s">
        <v>1154</v>
      </c>
      <c r="F121" s="85">
        <v>-7</v>
      </c>
      <c r="G121" s="60" t="s">
        <v>953</v>
      </c>
      <c r="H121" s="31" t="s">
        <v>39</v>
      </c>
      <c r="I121" s="72" t="str">
        <f>HYPERLINK("tag_data/bw180904-62a (IOS_Monterey)","Link")</f>
        <v>Link</v>
      </c>
      <c r="J121" s="46" t="str">
        <f>HYPERLINK("tag_data_raw/IOS_Scaling/2018/bw180904-62","Link")</f>
        <v>Link</v>
      </c>
      <c r="K121" s="72" t="str">
        <f>HYPERLINK("tag_data/bw180904-52 (IOS_Monterey)/Pics&amp;Vids","Link")</f>
        <v>Link</v>
      </c>
      <c r="L121" s="29" t="s">
        <v>263</v>
      </c>
      <c r="M121" s="79" t="str">
        <f>HYPERLINK("tag_data/bw180904-52 (IOS_Monterey)/Pics&amp;Vids/drone","see 04-52")</f>
        <v>see 04-52</v>
      </c>
      <c r="N121" s="54" t="str">
        <f t="shared" si="28"/>
        <v>Link</v>
      </c>
      <c r="O121" s="31" t="s">
        <v>1402</v>
      </c>
      <c r="P121" s="31" t="s">
        <v>41</v>
      </c>
      <c r="Q121" s="31">
        <f>LEFT(RIGHT(A121,LEN(A121)-FIND("-",A121)),MIN(SEARCH({"a","b","c","d","e","f","g","h","i","j","k","l","m","n","o","p","q","r","s","t","u","v","w","x","y","z"},RIGHT(A121,LEN(A121)-FIND("-",A121))&amp;"abcdefghijklmnopqrstuvwxyz"))-1)+1-1</f>
        <v>62</v>
      </c>
      <c r="R121" s="32" t="s">
        <v>950</v>
      </c>
      <c r="S121" s="32" t="s">
        <v>1393</v>
      </c>
      <c r="T121" s="31" t="s">
        <v>263</v>
      </c>
      <c r="U121" s="17">
        <f t="shared" si="25"/>
        <v>4.0462962962919846E-2</v>
      </c>
      <c r="V121" s="17">
        <f t="shared" si="30"/>
        <v>4.0462962962919846E-2</v>
      </c>
      <c r="W121" s="56" t="s">
        <v>346</v>
      </c>
      <c r="X121" s="31" t="s">
        <v>263</v>
      </c>
      <c r="Y121" s="42"/>
      <c r="Z121" s="31" t="s">
        <v>39</v>
      </c>
      <c r="AA121" s="31" t="s">
        <v>41</v>
      </c>
      <c r="AB121" s="31" t="s">
        <v>277</v>
      </c>
      <c r="AC121" s="31" t="s">
        <v>39</v>
      </c>
      <c r="AD121" s="31" t="s">
        <v>41</v>
      </c>
      <c r="AE121" s="31" t="s">
        <v>41</v>
      </c>
      <c r="AF121" s="31" t="s">
        <v>41</v>
      </c>
      <c r="AG121" s="31" t="s">
        <v>41</v>
      </c>
      <c r="AH121" s="31" t="s">
        <v>41</v>
      </c>
      <c r="AI121" s="31" t="s">
        <v>41</v>
      </c>
      <c r="AJ121" s="31" t="s">
        <v>41</v>
      </c>
      <c r="AK121" s="31" t="s">
        <v>41</v>
      </c>
      <c r="AL121" s="31" t="s">
        <v>41</v>
      </c>
      <c r="AM121" s="31" t="s">
        <v>41</v>
      </c>
      <c r="AN121" s="32" t="s">
        <v>1162</v>
      </c>
      <c r="AO121" s="32" t="s">
        <v>1155</v>
      </c>
      <c r="AP121" s="30">
        <v>43346.708333333336</v>
      </c>
      <c r="AQ121" s="30">
        <v>43347.436354166668</v>
      </c>
      <c r="AR121" s="30">
        <v>43347.476817129631</v>
      </c>
      <c r="AS121" s="92" t="s">
        <v>651</v>
      </c>
      <c r="AT121" s="155">
        <v>36.80083333333333</v>
      </c>
      <c r="AU121" s="155">
        <v>-122.07283333333334</v>
      </c>
      <c r="AV121" s="153" t="s">
        <v>339</v>
      </c>
      <c r="AW121" s="106" t="s">
        <v>313</v>
      </c>
      <c r="AX121" s="30">
        <v>43347.497916666667</v>
      </c>
      <c r="AY121" s="107">
        <v>36.802833333333332</v>
      </c>
      <c r="AZ121" s="107">
        <v>-122.0825</v>
      </c>
      <c r="BA121" s="32" t="s">
        <v>1140</v>
      </c>
      <c r="BB121" s="49" t="s">
        <v>1368</v>
      </c>
      <c r="BC121" s="7"/>
      <c r="BD121" s="7"/>
      <c r="BE121" s="7"/>
      <c r="BF121" s="7"/>
      <c r="BG121" s="7"/>
    </row>
    <row r="122" spans="1:59">
      <c r="A122" s="55" t="str">
        <f>HYPERLINK("tag_data/Quicklook/bw180904-44Quicklook.jpg","bw180904-62b")</f>
        <v>bw180904-62b</v>
      </c>
      <c r="B122" s="26" t="str">
        <f t="shared" si="32"/>
        <v>bw</v>
      </c>
      <c r="C122" s="42" t="str">
        <f t="shared" si="27"/>
        <v>Monterey</v>
      </c>
      <c r="D122" s="64" t="s">
        <v>849</v>
      </c>
      <c r="E122" s="69" t="s">
        <v>1154</v>
      </c>
      <c r="F122" s="85">
        <v>-7</v>
      </c>
      <c r="G122" s="60" t="s">
        <v>953</v>
      </c>
      <c r="H122" s="31" t="s">
        <v>39</v>
      </c>
      <c r="I122" s="72" t="str">
        <f>HYPERLINK("tag_data/bw180904-62b (IOS_Monterey)","Link")</f>
        <v>Link</v>
      </c>
      <c r="J122" s="46" t="str">
        <f>HYPERLINK("tag_data_raw/IOS_Scaling/2018/bw180904-62","Link")</f>
        <v>Link</v>
      </c>
      <c r="K122" s="72" t="str">
        <f>HYPERLINK("tag_data/bw180904-44 (IOS_Monterey)/Pics&amp;Vids","Link")</f>
        <v>Link</v>
      </c>
      <c r="L122" s="29" t="s">
        <v>263</v>
      </c>
      <c r="M122" s="79" t="str">
        <f>HYPERLINK("tag_data/bw180904-44 (IOS_Monterey)/Pics&amp;Vids/drone","see 04-44")</f>
        <v>see 04-44</v>
      </c>
      <c r="N122" s="54" t="str">
        <f t="shared" si="28"/>
        <v>Link</v>
      </c>
      <c r="O122" s="31" t="s">
        <v>1401</v>
      </c>
      <c r="P122" s="33" t="s">
        <v>1175</v>
      </c>
      <c r="Q122" s="31">
        <f>LEFT(RIGHT(A122,LEN(A122)-FIND("-",A122)),MIN(SEARCH({"a","b","c","d","e","f","g","h","i","j","k","l","m","n","o","p","q","r","s","t","u","v","w","x","y","z"},RIGHT(A122,LEN(A122)-FIND("-",A122))&amp;"abcdefghijklmnopqrstuvwxyz"))-1)+1-1</f>
        <v>62</v>
      </c>
      <c r="R122" s="32" t="s">
        <v>347</v>
      </c>
      <c r="S122" s="32" t="s">
        <v>1393</v>
      </c>
      <c r="T122" s="31" t="s">
        <v>263</v>
      </c>
      <c r="U122" s="17">
        <f t="shared" si="25"/>
        <v>0.11263888888788642</v>
      </c>
      <c r="V122" s="17">
        <f t="shared" si="30"/>
        <v>0.11263888888788642</v>
      </c>
      <c r="W122" s="56" t="s">
        <v>346</v>
      </c>
      <c r="X122" s="31" t="s">
        <v>263</v>
      </c>
      <c r="Y122" s="42"/>
      <c r="Z122" s="31" t="s">
        <v>39</v>
      </c>
      <c r="AA122" s="31" t="s">
        <v>41</v>
      </c>
      <c r="AB122" s="31" t="s">
        <v>277</v>
      </c>
      <c r="AC122" s="31" t="s">
        <v>39</v>
      </c>
      <c r="AD122" s="31" t="s">
        <v>41</v>
      </c>
      <c r="AE122" s="31" t="s">
        <v>41</v>
      </c>
      <c r="AF122" s="31" t="s">
        <v>41</v>
      </c>
      <c r="AG122" s="31" t="s">
        <v>41</v>
      </c>
      <c r="AH122" s="31" t="s">
        <v>41</v>
      </c>
      <c r="AI122" s="31" t="s">
        <v>41</v>
      </c>
      <c r="AJ122" s="31" t="s">
        <v>41</v>
      </c>
      <c r="AK122" s="31" t="s">
        <v>41</v>
      </c>
      <c r="AL122" s="31" t="s">
        <v>41</v>
      </c>
      <c r="AM122" s="31" t="s">
        <v>41</v>
      </c>
      <c r="AN122" s="32" t="s">
        <v>1162</v>
      </c>
      <c r="AO122" s="32" t="s">
        <v>1155</v>
      </c>
      <c r="AP122" s="30">
        <v>43346.708333333336</v>
      </c>
      <c r="AQ122" s="30">
        <v>43347.595092592594</v>
      </c>
      <c r="AR122" s="30">
        <v>43347.707731481481</v>
      </c>
      <c r="AS122" s="92" t="s">
        <v>651</v>
      </c>
      <c r="AT122" s="155">
        <v>36.801499999999997</v>
      </c>
      <c r="AU122" s="155">
        <v>-122.09</v>
      </c>
      <c r="AV122" s="153" t="s">
        <v>339</v>
      </c>
      <c r="AW122" s="106" t="s">
        <v>313</v>
      </c>
      <c r="AX122" s="30">
        <v>43348.373611111114</v>
      </c>
      <c r="AY122" s="107">
        <v>36.746499999999997</v>
      </c>
      <c r="AZ122" s="107">
        <v>-122.09216666666667</v>
      </c>
      <c r="BA122" s="32" t="s">
        <v>1141</v>
      </c>
      <c r="BB122" s="49" t="s">
        <v>1369</v>
      </c>
      <c r="BC122" s="7"/>
      <c r="BD122" s="7"/>
      <c r="BE122" s="7"/>
      <c r="BF122" s="7"/>
      <c r="BG122" s="7"/>
    </row>
    <row r="123" spans="1:59">
      <c r="A123" s="55" t="str">
        <f>HYPERLINK("tag_data/Quicklook/bw180905-42Quicklook.jpg","bw180905-42")</f>
        <v>bw180905-42</v>
      </c>
      <c r="B123" s="26" t="str">
        <f t="shared" si="32"/>
        <v>bw</v>
      </c>
      <c r="C123" s="42" t="str">
        <f t="shared" si="27"/>
        <v>Monterey</v>
      </c>
      <c r="D123" s="64" t="s">
        <v>849</v>
      </c>
      <c r="E123" s="69" t="s">
        <v>1154</v>
      </c>
      <c r="F123" s="85">
        <v>-7</v>
      </c>
      <c r="G123" s="60" t="s">
        <v>456</v>
      </c>
      <c r="H123" s="31" t="s">
        <v>39</v>
      </c>
      <c r="I123" s="72" t="str">
        <f>HYPERLINK("tag_data/bw180905-42 (IOS_Monterey)","Link")</f>
        <v>Link</v>
      </c>
      <c r="J123" s="46" t="str">
        <f>HYPERLINK("tag_data_raw/IOS_Scaling/2018/bw180905-42","Link")</f>
        <v>Link</v>
      </c>
      <c r="K123" s="72" t="str">
        <f>HYPERLINK("tag_data/bw180905-42 (IOS_Monterey)/Pics&amp;Vids","Link")</f>
        <v>Link</v>
      </c>
      <c r="L123" s="54" t="str">
        <f>HYPERLINK("location data/IOS_Scaling/2018/Pics&amp;Vids/09.05/Ziphiid Videos/GOPR1359.MP4","Link")</f>
        <v>Link</v>
      </c>
      <c r="M123" s="54" t="str">
        <f>HYPERLINK("tag_data/bw180905-42 (IOS_Monterey)/Pics&amp;Vids/drone","20.16 m")</f>
        <v>20.16 m</v>
      </c>
      <c r="N123" s="54" t="str">
        <f t="shared" si="28"/>
        <v>Link</v>
      </c>
      <c r="O123" s="31" t="s">
        <v>1400</v>
      </c>
      <c r="P123" s="33" t="s">
        <v>1182</v>
      </c>
      <c r="Q123" s="31">
        <f>LEFT(RIGHT(A123,LEN(A123)-FIND("-",A123)),MIN(SEARCH({"a","b","c","d","e","f","g","h","i","j","k","l","m","n","o","p","q","r","s","t","u","v","w","x","y","z"},RIGHT(A123,LEN(A123)-FIND("-",A123))&amp;"abcdefghijklmnopqrstuvwxyz"))-1)+1-1</f>
        <v>42</v>
      </c>
      <c r="R123" s="32" t="str">
        <f>IF(AND(Q123+1&gt;40,Q123+1&lt;=50),"Wireless","")</f>
        <v>Wireless</v>
      </c>
      <c r="S123" s="32" t="str">
        <f>IF(OR(Q123&lt;39,Q123=50,Q123=51,AND(OR(Q123=46,Q123=47),AQ123&gt;43313)),"Cam Mic",IF(AND(Q123&lt;45,AQ123&lt;42958),"Dolphin Ear",IF(AND(Q123&gt;44,NOT(OR(Q123=46,Q123=47,Q123=50,Q123=51))),"HTI","None")))</f>
        <v>None</v>
      </c>
      <c r="T123" s="32" t="s">
        <v>533</v>
      </c>
      <c r="U123" s="17">
        <f t="shared" si="25"/>
        <v>1.2002430555512547</v>
      </c>
      <c r="V123" s="17">
        <f t="shared" si="30"/>
        <v>1.2002430555512547</v>
      </c>
      <c r="W123" s="56">
        <v>0.20114583333333333</v>
      </c>
      <c r="X123" s="54" t="str">
        <f>HYPERLINK("tag_data/bw180905-42 (IOS_Monterey)/bw180905-42 Map.bmp","58")</f>
        <v>58</v>
      </c>
      <c r="Y123" s="42"/>
      <c r="Z123" s="31" t="s">
        <v>39</v>
      </c>
      <c r="AA123" s="31" t="s">
        <v>41</v>
      </c>
      <c r="AB123" s="31" t="s">
        <v>277</v>
      </c>
      <c r="AC123" s="31" t="s">
        <v>39</v>
      </c>
      <c r="AD123" s="31" t="s">
        <v>41</v>
      </c>
      <c r="AE123" s="31" t="s">
        <v>39</v>
      </c>
      <c r="AF123" s="31" t="s">
        <v>39</v>
      </c>
      <c r="AG123" s="31" t="s">
        <v>41</v>
      </c>
      <c r="AH123" s="31" t="s">
        <v>41</v>
      </c>
      <c r="AI123" s="31" t="s">
        <v>41</v>
      </c>
      <c r="AJ123" s="31" t="s">
        <v>39</v>
      </c>
      <c r="AK123" s="33" t="s">
        <v>789</v>
      </c>
      <c r="AL123" s="31" t="s">
        <v>41</v>
      </c>
      <c r="AM123" s="31" t="s">
        <v>41</v>
      </c>
      <c r="AN123" s="32" t="s">
        <v>1164</v>
      </c>
      <c r="AO123" s="32" t="s">
        <v>1155</v>
      </c>
      <c r="AP123" s="30">
        <v>43348.443668981483</v>
      </c>
      <c r="AQ123" s="30">
        <v>43348.453541666669</v>
      </c>
      <c r="AR123" s="30">
        <v>43349.653784722221</v>
      </c>
      <c r="AS123" s="92" t="s">
        <v>651</v>
      </c>
      <c r="AT123" s="155">
        <v>36.795499999999997</v>
      </c>
      <c r="AU123" s="155">
        <v>-122.11033333333333</v>
      </c>
      <c r="AV123" s="153" t="s">
        <v>339</v>
      </c>
      <c r="AW123" s="106" t="s">
        <v>313</v>
      </c>
      <c r="AX123" s="30">
        <v>43350.412499999999</v>
      </c>
      <c r="AY123" s="107">
        <v>36.763500000000001</v>
      </c>
      <c r="AZ123" s="107">
        <v>-122.23616666666666</v>
      </c>
      <c r="BA123" s="32" t="s">
        <v>1163</v>
      </c>
      <c r="BB123" s="49"/>
      <c r="BC123" s="7"/>
      <c r="BD123" s="7"/>
      <c r="BE123" s="7"/>
      <c r="BF123" s="7"/>
      <c r="BG123" s="7"/>
    </row>
    <row r="124" spans="1:59">
      <c r="A124" s="55" t="str">
        <f>HYPERLINK("tag_data/Quicklook/bw180905-49Quicklook.jpg","bw180905-49")</f>
        <v>bw180905-49</v>
      </c>
      <c r="B124" s="26" t="s">
        <v>338</v>
      </c>
      <c r="C124" s="42" t="str">
        <f t="shared" si="27"/>
        <v>Monterey</v>
      </c>
      <c r="D124" s="64" t="s">
        <v>849</v>
      </c>
      <c r="E124" s="69" t="s">
        <v>1154</v>
      </c>
      <c r="F124" s="85">
        <v>-7</v>
      </c>
      <c r="G124" s="60" t="s">
        <v>456</v>
      </c>
      <c r="H124" s="31" t="s">
        <v>39</v>
      </c>
      <c r="I124" s="72" t="str">
        <f>HYPERLINK("tag_data/bw180905-49 (IOS_Monterey)","Link")</f>
        <v>Link</v>
      </c>
      <c r="J124" s="46" t="str">
        <f>HYPERLINK("tag_data_raw/IOS_Scaling/2018/bw180905-49","Link")</f>
        <v>Link</v>
      </c>
      <c r="K124" s="72" t="str">
        <f>HYPERLINK("tag_data/bw180905-49 (IOS_Monterey)/Pics&amp;Vids","Link")</f>
        <v>Link</v>
      </c>
      <c r="L124" s="54" t="str">
        <f>HYPERLINK("location data\IOS_Scaling\2018\Pics&amp;Vids\09.05\Ziphiid Videos\GOPR1353.MP4","Link")</f>
        <v>Link</v>
      </c>
      <c r="M124" s="79" t="str">
        <f>HYPERLINK("tag_data/bw180905-49 (IOS_Monterey)/Pics&amp;Vids/drone","see 04-44 m")</f>
        <v>see 04-44 m</v>
      </c>
      <c r="N124" s="54" t="str">
        <f t="shared" si="28"/>
        <v>Link</v>
      </c>
      <c r="O124" s="31" t="s">
        <v>1401</v>
      </c>
      <c r="P124" s="33" t="s">
        <v>1142</v>
      </c>
      <c r="Q124" s="31">
        <f>LEFT(RIGHT(A124,LEN(A124)-FIND("-",A124)),MIN(SEARCH({"a","b","c","d","e","f","g","h","i","j","k","l","m","n","o","p","q","r","s","t","u","v","w","x","y","z"},RIGHT(A124,LEN(A124)-FIND("-",A124))&amp;"abcdefghijklmnopqrstuvwxyz"))-1)+1-1</f>
        <v>49</v>
      </c>
      <c r="R124" s="32" t="str">
        <f>IF(AND(Q124+1&gt;40,Q124+1&lt;=50),"Wireless","")</f>
        <v>Wireless</v>
      </c>
      <c r="S124" s="32" t="str">
        <f>IF(OR(Q124&lt;39,Q124=50,Q124=51,AND(OR(Q124=46,Q124=47),AQ124&gt;43313)),"Cam Mic",IF(AND(Q124&lt;45,AQ124&lt;42958),"Dolphin Ear",IF(AND(Q124&gt;44,NOT(OR(Q124=46,Q124=47,Q124=50,Q124=51))),"HTI","None")))</f>
        <v>HTI</v>
      </c>
      <c r="T124" s="32" t="s">
        <v>38</v>
      </c>
      <c r="U124" s="17">
        <f t="shared" ref="U124:U155" si="33">AR124-AQ124</f>
        <v>1.3447569444397232</v>
      </c>
      <c r="V124" s="17">
        <f t="shared" si="30"/>
        <v>1.0447106481442461</v>
      </c>
      <c r="W124" s="56">
        <v>0.11634259259259259</v>
      </c>
      <c r="X124" s="31">
        <v>0</v>
      </c>
      <c r="Y124" s="42"/>
      <c r="Z124" s="31" t="s">
        <v>39</v>
      </c>
      <c r="AA124" s="31" t="s">
        <v>41</v>
      </c>
      <c r="AB124" s="31" t="s">
        <v>277</v>
      </c>
      <c r="AC124" s="31" t="s">
        <v>39</v>
      </c>
      <c r="AD124" s="31" t="s">
        <v>41</v>
      </c>
      <c r="AE124" s="31" t="s">
        <v>39</v>
      </c>
      <c r="AF124" s="31" t="s">
        <v>39</v>
      </c>
      <c r="AG124" s="31" t="s">
        <v>41</v>
      </c>
      <c r="AH124" s="31" t="s">
        <v>41</v>
      </c>
      <c r="AI124" s="31" t="s">
        <v>39</v>
      </c>
      <c r="AJ124" s="31" t="s">
        <v>39</v>
      </c>
      <c r="AK124" s="31" t="s">
        <v>41</v>
      </c>
      <c r="AL124" s="31" t="s">
        <v>41</v>
      </c>
      <c r="AM124" s="31" t="s">
        <v>41</v>
      </c>
      <c r="AN124" s="32" t="s">
        <v>1249</v>
      </c>
      <c r="AO124" s="32" t="s">
        <v>1155</v>
      </c>
      <c r="AP124" s="30">
        <v>43348.373530092591</v>
      </c>
      <c r="AQ124" s="30">
        <v>43348.384409722225</v>
      </c>
      <c r="AR124" s="30">
        <v>43349.729166666664</v>
      </c>
      <c r="AS124" s="30">
        <v>43349.429120370369</v>
      </c>
      <c r="AT124" s="155">
        <v>36.795833333333334</v>
      </c>
      <c r="AU124" s="155">
        <v>-122.10633333333334</v>
      </c>
      <c r="AV124" s="153" t="s">
        <v>339</v>
      </c>
      <c r="AW124" s="106" t="s">
        <v>313</v>
      </c>
      <c r="AX124" s="30">
        <v>43350.449305555558</v>
      </c>
      <c r="AY124" s="107">
        <v>36.663666666666664</v>
      </c>
      <c r="AZ124" s="107">
        <v>-122.19266666666667</v>
      </c>
      <c r="BA124" s="32" t="s">
        <v>1194</v>
      </c>
      <c r="BB124" s="49" t="s">
        <v>1370</v>
      </c>
      <c r="BC124" s="7"/>
      <c r="BD124" s="7"/>
      <c r="BE124" s="7"/>
      <c r="BF124" s="7"/>
      <c r="BG124" s="7"/>
    </row>
    <row r="125" spans="1:59">
      <c r="A125" s="55" t="str">
        <f>HYPERLINK("tag_data/Quicklook/bw180905-53Quicklook.jpg","bw180905-53")</f>
        <v>bw180905-53</v>
      </c>
      <c r="B125" s="26" t="str">
        <f t="shared" ref="B125:B171" si="34">LEFT(A125,2)</f>
        <v>bw</v>
      </c>
      <c r="C125" s="42" t="str">
        <f t="shared" si="27"/>
        <v>Monterey</v>
      </c>
      <c r="D125" s="64" t="s">
        <v>849</v>
      </c>
      <c r="E125" s="69" t="s">
        <v>1154</v>
      </c>
      <c r="F125" s="85">
        <v>-7</v>
      </c>
      <c r="G125" s="60" t="s">
        <v>456</v>
      </c>
      <c r="H125" s="31" t="s">
        <v>39</v>
      </c>
      <c r="I125" s="72" t="str">
        <f>HYPERLINK("tag_data/bw180905-53 (IOS_Monterey)","Link")</f>
        <v>Link</v>
      </c>
      <c r="J125" s="46" t="str">
        <f>HYPERLINK("tag_data_raw/IOS_Scaling/2018/bw180905-53","Link")</f>
        <v>Link</v>
      </c>
      <c r="K125" s="72" t="str">
        <f>HYPERLINK("tag_data/bw180905-53 (IOS_Monterey)/Pics&amp;Vids","Link")</f>
        <v>Link</v>
      </c>
      <c r="L125" s="29" t="s">
        <v>263</v>
      </c>
      <c r="M125" s="54" t="str">
        <f>HYPERLINK("tag_data/bw180905-53 (IOS_Monterey)/Pics&amp;Vids/drone","24.49 m")</f>
        <v>24.49 m</v>
      </c>
      <c r="N125" s="54" t="str">
        <f t="shared" si="28"/>
        <v>Link</v>
      </c>
      <c r="O125" s="31" t="s">
        <v>45</v>
      </c>
      <c r="P125" s="31" t="s">
        <v>41</v>
      </c>
      <c r="Q125" s="31">
        <f>LEFT(RIGHT(A125,LEN(A125)-FIND("-",A125)),MIN(SEARCH({"a","b","c","d","e","f","g","h","i","j","k","l","m","n","o","p","q","r","s","t","u","v","w","x","y","z"},RIGHT(A125,LEN(A125)-FIND("-",A125))&amp;"abcdefghijklmnopqrstuvwxyz"))-1)+1-1</f>
        <v>53</v>
      </c>
      <c r="R125" s="32" t="s">
        <v>347</v>
      </c>
      <c r="S125" s="32" t="str">
        <f>IF(OR(Q125&lt;39,Q125=50,Q125=51,AND(OR(Q125=46,Q125=47),AQ125&gt;43313)),"Cam Mic",IF(AND(Q125&lt;45,AQ125&lt;42958),"Dolphin Ear",IF(AND(Q125&gt;44,NOT(OR(Q125=46,Q125=47,Q125=50,Q125=51))),"HTI","None")))</f>
        <v>HTI</v>
      </c>
      <c r="T125" s="32" t="s">
        <v>533</v>
      </c>
      <c r="U125" s="17">
        <f t="shared" si="33"/>
        <v>1.143483796302462</v>
      </c>
      <c r="V125" s="17">
        <f t="shared" si="30"/>
        <v>1.143483796302462</v>
      </c>
      <c r="W125" s="56">
        <v>0.25929398148148147</v>
      </c>
      <c r="X125" s="54" t="str">
        <f>HYPERLINK("tag_data/bw180905-53 (IOS_Monterey)/bw180905-53 Map.bmp","34")</f>
        <v>34</v>
      </c>
      <c r="Y125" s="42"/>
      <c r="Z125" s="31" t="s">
        <v>39</v>
      </c>
      <c r="AA125" s="31" t="s">
        <v>41</v>
      </c>
      <c r="AB125" s="31" t="s">
        <v>277</v>
      </c>
      <c r="AC125" s="31" t="s">
        <v>39</v>
      </c>
      <c r="AD125" s="31" t="s">
        <v>41</v>
      </c>
      <c r="AE125" s="31" t="s">
        <v>39</v>
      </c>
      <c r="AF125" s="31" t="s">
        <v>41</v>
      </c>
      <c r="AG125" s="31" t="s">
        <v>41</v>
      </c>
      <c r="AH125" s="31" t="s">
        <v>39</v>
      </c>
      <c r="AI125" s="31" t="s">
        <v>41</v>
      </c>
      <c r="AJ125" s="31" t="s">
        <v>39</v>
      </c>
      <c r="AK125" s="31" t="s">
        <v>41</v>
      </c>
      <c r="AL125" s="31" t="s">
        <v>39</v>
      </c>
      <c r="AM125" s="31" t="s">
        <v>41</v>
      </c>
      <c r="AN125" s="32" t="s">
        <v>1247</v>
      </c>
      <c r="AO125" s="32" t="s">
        <v>1155</v>
      </c>
      <c r="AP125" s="30">
        <v>43348.467303240737</v>
      </c>
      <c r="AQ125" s="30">
        <v>43348.497152777774</v>
      </c>
      <c r="AR125" s="30">
        <v>43349.640636574077</v>
      </c>
      <c r="AS125" s="92" t="s">
        <v>651</v>
      </c>
      <c r="AT125" s="155">
        <f>36+48.09/60</f>
        <v>36.801499999999997</v>
      </c>
      <c r="AU125" s="155">
        <f>-122-4.53/60</f>
        <v>-122.07550000000001</v>
      </c>
      <c r="AV125" s="153" t="s">
        <v>339</v>
      </c>
      <c r="AW125" s="106" t="s">
        <v>313</v>
      </c>
      <c r="AX125" s="30">
        <v>43350.470138888886</v>
      </c>
      <c r="AY125" s="107">
        <f>36+40.16/60</f>
        <v>36.669333333333334</v>
      </c>
      <c r="AZ125" s="107">
        <f>-122-9.39/60</f>
        <v>-122.15649999999999</v>
      </c>
      <c r="BA125" s="32" t="s">
        <v>1250</v>
      </c>
      <c r="BB125" s="49"/>
      <c r="BC125" s="7"/>
      <c r="BD125" s="7"/>
      <c r="BE125" s="7"/>
      <c r="BF125" s="7"/>
      <c r="BG125" s="7"/>
    </row>
    <row r="126" spans="1:59">
      <c r="A126" s="55" t="str">
        <f>HYPERLINK("tag_data/Quicklook/bw180905-42Quicklook.jpg","bw180905-62")</f>
        <v>bw180905-62</v>
      </c>
      <c r="B126" s="26" t="str">
        <f t="shared" si="34"/>
        <v>bw</v>
      </c>
      <c r="C126" s="42" t="str">
        <f t="shared" si="27"/>
        <v>Monterey</v>
      </c>
      <c r="D126" s="64" t="s">
        <v>849</v>
      </c>
      <c r="E126" s="69" t="s">
        <v>1154</v>
      </c>
      <c r="F126" s="85">
        <v>-7</v>
      </c>
      <c r="G126" s="60" t="s">
        <v>953</v>
      </c>
      <c r="H126" s="31" t="s">
        <v>39</v>
      </c>
      <c r="I126" s="72" t="str">
        <f>HYPERLINK("tag_data/bw180905-62 (IOS_Monterey)","Link")</f>
        <v>Link</v>
      </c>
      <c r="J126" s="46" t="str">
        <f>HYPERLINK("tag_data_raw/IOS_Scaling/2018/bw180904-62","Link")</f>
        <v>Link</v>
      </c>
      <c r="K126" s="72" t="str">
        <f>HYPERLINK("tag_data/bw180905-42 (IOS_Monterey)/Pics&amp;Vids","Link")</f>
        <v>Link</v>
      </c>
      <c r="L126" s="54" t="str">
        <f>HYPERLINK("location data/IOS_Scaling/2018/Pics&amp;Vids/09.05/Ziphiid Videos/GOPR1359.MP4","Link")</f>
        <v>Link</v>
      </c>
      <c r="M126" s="79" t="str">
        <f>HYPERLINK("tag_data/bw180905-42 (IOS_Monterey)/Pics&amp;Vids/drone","see 05-42 m")</f>
        <v>see 05-42 m</v>
      </c>
      <c r="N126" s="54" t="str">
        <f t="shared" si="28"/>
        <v>Link</v>
      </c>
      <c r="O126" s="31" t="s">
        <v>1399</v>
      </c>
      <c r="P126" s="33" t="s">
        <v>1183</v>
      </c>
      <c r="Q126" s="31">
        <f>LEFT(RIGHT(A126,LEN(A126)-FIND("-",A126)),MIN(SEARCH({"a","b","c","d","e","f","g","h","i","j","k","l","m","n","o","p","q","r","s","t","u","v","w","x","y","z"},RIGHT(A126,LEN(A126)-FIND("-",A126))&amp;"abcdefghijklmnopqrstuvwxyz"))-1)+1-1</f>
        <v>62</v>
      </c>
      <c r="R126" s="32" t="s">
        <v>950</v>
      </c>
      <c r="S126" s="32" t="s">
        <v>1393</v>
      </c>
      <c r="T126" s="31" t="s">
        <v>263</v>
      </c>
      <c r="U126" s="17">
        <f t="shared" si="33"/>
        <v>5.7175925925548654E-2</v>
      </c>
      <c r="V126" s="17">
        <f t="shared" si="30"/>
        <v>5.7175925925548654E-2</v>
      </c>
      <c r="W126" s="56" t="s">
        <v>346</v>
      </c>
      <c r="X126" s="31" t="s">
        <v>263</v>
      </c>
      <c r="Y126" s="42"/>
      <c r="Z126" s="31" t="s">
        <v>39</v>
      </c>
      <c r="AA126" s="31" t="s">
        <v>41</v>
      </c>
      <c r="AB126" s="31" t="s">
        <v>277</v>
      </c>
      <c r="AC126" s="31" t="s">
        <v>39</v>
      </c>
      <c r="AD126" s="31" t="s">
        <v>41</v>
      </c>
      <c r="AE126" s="31" t="s">
        <v>41</v>
      </c>
      <c r="AF126" s="31" t="s">
        <v>41</v>
      </c>
      <c r="AG126" s="31" t="s">
        <v>41</v>
      </c>
      <c r="AH126" s="31" t="s">
        <v>41</v>
      </c>
      <c r="AI126" s="31" t="s">
        <v>41</v>
      </c>
      <c r="AJ126" s="31" t="s">
        <v>41</v>
      </c>
      <c r="AK126" s="31" t="s">
        <v>41</v>
      </c>
      <c r="AL126" s="31" t="s">
        <v>41</v>
      </c>
      <c r="AM126" s="31" t="s">
        <v>41</v>
      </c>
      <c r="AN126" s="32" t="s">
        <v>1162</v>
      </c>
      <c r="AO126" s="32" t="s">
        <v>1155</v>
      </c>
      <c r="AP126" s="30">
        <v>43346.708333333336</v>
      </c>
      <c r="AQ126" s="30">
        <v>43348.453634259262</v>
      </c>
      <c r="AR126" s="30">
        <v>43348.510810185187</v>
      </c>
      <c r="AS126" s="92" t="s">
        <v>651</v>
      </c>
      <c r="AT126" s="155">
        <v>36.795499999999997</v>
      </c>
      <c r="AU126" s="155">
        <v>-122.11033333333333</v>
      </c>
      <c r="AV126" s="153" t="s">
        <v>339</v>
      </c>
      <c r="AW126" s="106" t="s">
        <v>313</v>
      </c>
      <c r="AX126" s="30">
        <v>43348.531944444447</v>
      </c>
      <c r="AY126" s="107">
        <v>36.797499999999999</v>
      </c>
      <c r="AZ126" s="107">
        <v>-122.10966666666667</v>
      </c>
      <c r="BA126" s="32" t="s">
        <v>1143</v>
      </c>
      <c r="BB126" s="49" t="s">
        <v>1371</v>
      </c>
      <c r="BC126" s="7"/>
      <c r="BD126" s="7"/>
      <c r="BE126" s="7"/>
      <c r="BF126" s="7"/>
      <c r="BG126" s="7"/>
    </row>
    <row r="127" spans="1:59">
      <c r="A127" s="7" t="s">
        <v>1172</v>
      </c>
      <c r="B127" s="26" t="str">
        <f t="shared" si="34"/>
        <v>bw</v>
      </c>
      <c r="C127" s="46" t="str">
        <f>HYPERLINK("location data/Monterey/2018","Monterey")</f>
        <v>Monterey</v>
      </c>
      <c r="D127" s="64" t="s">
        <v>465</v>
      </c>
      <c r="E127" s="69" t="s">
        <v>549</v>
      </c>
      <c r="F127" s="85">
        <v>-7</v>
      </c>
      <c r="G127" s="60" t="s">
        <v>456</v>
      </c>
      <c r="H127" s="31" t="s">
        <v>41</v>
      </c>
      <c r="I127" s="46" t="str">
        <f>HYPERLINK("tag_data/bw181001-52a (Monterey)","Link")</f>
        <v>Link</v>
      </c>
      <c r="J127" s="46" t="str">
        <f>HYPERLINK("tag_data_raw/Monterey/2018/bw181001-52/a","Link")</f>
        <v>Link</v>
      </c>
      <c r="K127" s="46" t="str">
        <f>HYPERLINK("tag_data/bw181001-52a (Monterey)/Pics&amp;Vids","Link")</f>
        <v>Link</v>
      </c>
      <c r="L127" s="54" t="str">
        <f>HYPERLINK("location data/Monterey/2018/Pics&amp;Vids/10.01/Musculus Vids/Tag 52A (GOPR0555).MP4","Link")</f>
        <v>Link</v>
      </c>
      <c r="M127" s="82" t="s">
        <v>263</v>
      </c>
      <c r="N127" s="54" t="str">
        <f>HYPERLINK("location data/Monterey/2018/20181001-MUS.mdb","Link")</f>
        <v>Link</v>
      </c>
      <c r="O127" s="31" t="s">
        <v>45</v>
      </c>
      <c r="P127" s="33" t="s">
        <v>1190</v>
      </c>
      <c r="Q127" s="31">
        <f>LEFT(RIGHT(A127,LEN(A127)-FIND("-",A127)),MIN(SEARCH({"a","b","c","d","e","f","g","h","i","j","k","l","m","n","o","p","q","r","s","t","u","v","w","x","y","z"},RIGHT(A127,LEN(A127)-FIND("-",A127))&amp;"abcdefghijklmnopqrstuvwxyz"))-1)+1-1</f>
        <v>52</v>
      </c>
      <c r="R127" s="32" t="str">
        <f>IF(OR(AND(Q127+1&gt;40,Q127+1&lt;=50),Q127&gt;51),"Wireless","")</f>
        <v>Wireless</v>
      </c>
      <c r="S127" s="32" t="str">
        <f>IF(OR(Q127&lt;39,Q127=50,Q127=51,AND(OR(Q127=46,Q127=47),AQ127&gt;43313)),"Cam Mic",IF(AND(Q127&lt;45,AQ127&lt;42958),"Dolphin Ear",IF(AND(Q127&gt;44,NOT(OR(Q127=46,Q127=47,Q127=50,Q127=51))),"HTI","None")))</f>
        <v>HTI</v>
      </c>
      <c r="T127" s="32" t="s">
        <v>332</v>
      </c>
      <c r="U127" s="17">
        <f t="shared" si="33"/>
        <v>2.546296309446916E-4</v>
      </c>
      <c r="V127" s="17">
        <f t="shared" si="30"/>
        <v>2.546296309446916E-4</v>
      </c>
      <c r="W127" s="56">
        <f>V127</f>
        <v>2.546296309446916E-4</v>
      </c>
      <c r="X127" s="31">
        <v>0</v>
      </c>
      <c r="Y127" s="61" t="s">
        <v>263</v>
      </c>
      <c r="Z127" s="31" t="s">
        <v>41</v>
      </c>
      <c r="AA127" s="31" t="s">
        <v>41</v>
      </c>
      <c r="AB127" s="31" t="s">
        <v>263</v>
      </c>
      <c r="AC127" s="31" t="s">
        <v>263</v>
      </c>
      <c r="AD127" s="31" t="s">
        <v>41</v>
      </c>
      <c r="AE127" s="31" t="s">
        <v>41</v>
      </c>
      <c r="AF127" s="31" t="s">
        <v>41</v>
      </c>
      <c r="AG127" s="31" t="s">
        <v>41</v>
      </c>
      <c r="AH127" s="31" t="s">
        <v>41</v>
      </c>
      <c r="AI127" s="31" t="s">
        <v>41</v>
      </c>
      <c r="AJ127" s="31" t="s">
        <v>39</v>
      </c>
      <c r="AK127" s="31" t="s">
        <v>41</v>
      </c>
      <c r="AL127" s="31" t="s">
        <v>41</v>
      </c>
      <c r="AM127" s="31" t="s">
        <v>41</v>
      </c>
      <c r="AN127" s="32" t="s">
        <v>1221</v>
      </c>
      <c r="AO127" s="32" t="s">
        <v>1122</v>
      </c>
      <c r="AP127" s="30">
        <v>43374.464803240742</v>
      </c>
      <c r="AQ127" s="30">
        <v>43374.496608796297</v>
      </c>
      <c r="AR127" s="30">
        <v>43374.496863425928</v>
      </c>
      <c r="AS127" s="92" t="s">
        <v>651</v>
      </c>
      <c r="AT127" s="155">
        <v>36.437399999999997</v>
      </c>
      <c r="AU127" s="155">
        <v>-121.98009999999999</v>
      </c>
      <c r="AV127" s="106" t="s">
        <v>313</v>
      </c>
      <c r="AW127" s="106" t="s">
        <v>313</v>
      </c>
      <c r="AX127" s="30">
        <v>43374.497916666667</v>
      </c>
      <c r="AY127" s="155">
        <v>36.437399999999997</v>
      </c>
      <c r="AZ127" s="155">
        <v>-121.98009999999999</v>
      </c>
      <c r="BA127" s="32" t="s">
        <v>1220</v>
      </c>
      <c r="BB127" s="32"/>
      <c r="BE127" s="7"/>
      <c r="BF127" s="7"/>
      <c r="BG127" s="7"/>
    </row>
    <row r="128" spans="1:59">
      <c r="A128" s="55" t="str">
        <f>HYPERLINK("tag_data/Quicklook/bw181001-52bQuicklook.jpg","bw181001-52b")</f>
        <v>bw181001-52b</v>
      </c>
      <c r="B128" s="26" t="str">
        <f t="shared" si="34"/>
        <v>bw</v>
      </c>
      <c r="C128" s="46" t="str">
        <f>HYPERLINK("location data/Monterey/2018","Monterey")</f>
        <v>Monterey</v>
      </c>
      <c r="D128" s="64" t="s">
        <v>465</v>
      </c>
      <c r="E128" s="69" t="s">
        <v>549</v>
      </c>
      <c r="F128" s="85">
        <v>-7</v>
      </c>
      <c r="G128" s="60" t="s">
        <v>456</v>
      </c>
      <c r="H128" s="31" t="s">
        <v>39</v>
      </c>
      <c r="I128" s="46" t="str">
        <f>HYPERLINK("tag_data/bw181001-52b (Monterey)","Link")</f>
        <v>Link</v>
      </c>
      <c r="J128" s="46" t="str">
        <f>HYPERLINK("tag_data_raw/Monterey/2018/bw181001-52","Link")</f>
        <v>Link</v>
      </c>
      <c r="K128" s="46" t="str">
        <f>HYPERLINK("tag_data/bw181001-52b (Monterey)/Pics&amp;Vids","Link")</f>
        <v>Link</v>
      </c>
      <c r="L128" s="54" t="str">
        <f>HYPERLINK("location data/Monterey/2018/Pics&amp;Vids/10.01/Musculus Vids/Tag 52B (GOPR0563).MP4","Link")</f>
        <v>Link</v>
      </c>
      <c r="M128" s="82" t="s">
        <v>263</v>
      </c>
      <c r="N128" s="54" t="str">
        <f>HYPERLINK("location data/Monterey/2018/20181001-MUS.mdb","Link")</f>
        <v>Link</v>
      </c>
      <c r="O128" s="31" t="s">
        <v>45</v>
      </c>
      <c r="P128" s="31" t="s">
        <v>41</v>
      </c>
      <c r="Q128" s="31">
        <f>LEFT(RIGHT(A128,LEN(A128)-FIND("-",A128)),MIN(SEARCH({"a","b","c","d","e","f","g","h","i","j","k","l","m","n","o","p","q","r","s","t","u","v","w","x","y","z"},RIGHT(A128,LEN(A128)-FIND("-",A128))&amp;"abcdefghijklmnopqrstuvwxyz"))-1)+1-1</f>
        <v>52</v>
      </c>
      <c r="R128" s="32" t="str">
        <f>IF(OR(AND(Q128+1&gt;40,Q128+1&lt;=50),Q128&gt;51),"Wireless","")</f>
        <v>Wireless</v>
      </c>
      <c r="S128" s="32" t="str">
        <f>IF(OR(Q128&lt;39,Q128=50,Q128=51,AND(OR(Q128=46,Q128=47),AQ128&gt;43313)),"Cam Mic",IF(AND(Q128&lt;45,AQ128&lt;42958),"Dolphin Ear",IF(AND(Q128&gt;44,NOT(OR(Q128=46,Q128=47,Q128=50,Q128=51))),"HTI","None")))</f>
        <v>HTI</v>
      </c>
      <c r="T128" s="32" t="s">
        <v>38</v>
      </c>
      <c r="U128" s="17">
        <f t="shared" si="33"/>
        <v>1.6273148146865424E-2</v>
      </c>
      <c r="V128" s="17">
        <f t="shared" si="30"/>
        <v>1.6273148146865424E-2</v>
      </c>
      <c r="W128" s="56">
        <v>1.2916666666666667E-2</v>
      </c>
      <c r="X128" s="54" t="str">
        <f>HYPERLINK("tag_data/bw181001-52b (Monterey)/bw181001-52b Map.bmp","7")</f>
        <v>7</v>
      </c>
      <c r="Y128" s="42"/>
      <c r="Z128" s="31" t="s">
        <v>39</v>
      </c>
      <c r="AA128" s="31" t="s">
        <v>41</v>
      </c>
      <c r="AB128" s="31" t="s">
        <v>277</v>
      </c>
      <c r="AC128" s="31" t="s">
        <v>39</v>
      </c>
      <c r="AD128" s="31" t="s">
        <v>41</v>
      </c>
      <c r="AE128" s="31" t="s">
        <v>41</v>
      </c>
      <c r="AF128" s="31" t="s">
        <v>41</v>
      </c>
      <c r="AG128" s="31" t="s">
        <v>41</v>
      </c>
      <c r="AH128" s="31" t="s">
        <v>41</v>
      </c>
      <c r="AI128" s="31" t="s">
        <v>39</v>
      </c>
      <c r="AJ128" s="31" t="s">
        <v>41</v>
      </c>
      <c r="AK128" s="31" t="s">
        <v>41</v>
      </c>
      <c r="AL128" s="31" t="s">
        <v>41</v>
      </c>
      <c r="AM128" s="31" t="s">
        <v>476</v>
      </c>
      <c r="AN128" s="32" t="s">
        <v>1222</v>
      </c>
      <c r="AO128" s="32" t="s">
        <v>1122</v>
      </c>
      <c r="AP128" s="30">
        <v>43374.464803240742</v>
      </c>
      <c r="AQ128" s="30">
        <v>43374.539085648146</v>
      </c>
      <c r="AR128" s="30">
        <v>43374.555358796293</v>
      </c>
      <c r="AS128" s="92" t="s">
        <v>651</v>
      </c>
      <c r="AT128" s="155">
        <v>36.415599999999998</v>
      </c>
      <c r="AU128" s="155">
        <v>-121.9838</v>
      </c>
      <c r="AV128" s="106" t="s">
        <v>313</v>
      </c>
      <c r="AW128" s="106" t="s">
        <v>313</v>
      </c>
      <c r="AX128" s="30">
        <v>43375.558854166666</v>
      </c>
      <c r="AY128" s="107">
        <v>36.416699999999999</v>
      </c>
      <c r="AZ128" s="107">
        <v>-121.97880000000001</v>
      </c>
      <c r="BA128" s="32" t="s">
        <v>1223</v>
      </c>
      <c r="BB128" s="49"/>
      <c r="BE128" s="7"/>
      <c r="BF128" s="7"/>
      <c r="BG128" s="7"/>
    </row>
    <row r="129" spans="1:59">
      <c r="A129" s="7" t="s">
        <v>1173</v>
      </c>
      <c r="B129" s="26" t="str">
        <f t="shared" si="34"/>
        <v>bw</v>
      </c>
      <c r="C129" s="46" t="str">
        <f>HYPERLINK("location data/Monterey/2018","Monterey")</f>
        <v>Monterey</v>
      </c>
      <c r="D129" s="64" t="s">
        <v>465</v>
      </c>
      <c r="E129" s="69" t="s">
        <v>549</v>
      </c>
      <c r="F129" s="85">
        <v>-7</v>
      </c>
      <c r="G129" s="60" t="s">
        <v>953</v>
      </c>
      <c r="H129" s="31" t="s">
        <v>1170</v>
      </c>
      <c r="I129" s="31" t="s">
        <v>263</v>
      </c>
      <c r="J129" s="46" t="str">
        <f>HYPERLINK("tag_data_raw\Monterey\2018\bw181001-62","Link")</f>
        <v>Link</v>
      </c>
      <c r="K129" s="46" t="str">
        <f>HYPERLINK("tag_data_raw\Monterey\2018\bw181001-62\a\Pics&amp;Vids","Link")</f>
        <v>Link</v>
      </c>
      <c r="L129" s="54" t="str">
        <f>HYPERLINK("location data\Monterey\2018\Pics&amp;Vids\10.01\Musculus Vids\Tag 62A (GOPR0558).MP4","Link")</f>
        <v>Link</v>
      </c>
      <c r="M129" s="82" t="s">
        <v>263</v>
      </c>
      <c r="N129" s="54" t="str">
        <f>HYPERLINK("location data/Monterey/2018/20181001-MUS.mdb","Link")</f>
        <v>Link</v>
      </c>
      <c r="O129" s="31" t="s">
        <v>45</v>
      </c>
      <c r="P129" s="33" t="s">
        <v>1191</v>
      </c>
      <c r="Q129" s="31">
        <f>LEFT(RIGHT(A129,LEN(A129)-FIND("-",A129)),MIN(SEARCH({"a","b","c","d","e","f","g","h","i","j","k","l","m","n","o","p","q","r","s","t","u","v","w","x","y","z"},RIGHT(A129,LEN(A129)-FIND("-",A129))&amp;"abcdefghijklmnopqrstuvwxyz"))-1)+1-1</f>
        <v>62</v>
      </c>
      <c r="R129" s="32" t="s">
        <v>950</v>
      </c>
      <c r="S129" s="32" t="s">
        <v>1393</v>
      </c>
      <c r="T129" s="31" t="s">
        <v>263</v>
      </c>
      <c r="U129" s="17">
        <f t="shared" si="33"/>
        <v>7.0601851621177047E-4</v>
      </c>
      <c r="V129" s="17">
        <f t="shared" si="30"/>
        <v>7.0601851621177047E-4</v>
      </c>
      <c r="W129" s="56" t="s">
        <v>346</v>
      </c>
      <c r="X129" s="31" t="s">
        <v>263</v>
      </c>
      <c r="Y129" s="42"/>
      <c r="Z129" s="31" t="s">
        <v>41</v>
      </c>
      <c r="AA129" s="31" t="s">
        <v>41</v>
      </c>
      <c r="AB129" s="31" t="s">
        <v>277</v>
      </c>
      <c r="AC129" s="31" t="s">
        <v>39</v>
      </c>
      <c r="AD129" s="31" t="s">
        <v>41</v>
      </c>
      <c r="AE129" s="31" t="s">
        <v>41</v>
      </c>
      <c r="AF129" s="31" t="s">
        <v>41</v>
      </c>
      <c r="AG129" s="31" t="s">
        <v>41</v>
      </c>
      <c r="AH129" s="31" t="s">
        <v>41</v>
      </c>
      <c r="AI129" s="31" t="s">
        <v>41</v>
      </c>
      <c r="AJ129" s="31" t="s">
        <v>41</v>
      </c>
      <c r="AK129" s="31" t="s">
        <v>41</v>
      </c>
      <c r="AL129" s="31" t="s">
        <v>41</v>
      </c>
      <c r="AM129" s="31" t="s">
        <v>41</v>
      </c>
      <c r="AN129" s="32" t="s">
        <v>743</v>
      </c>
      <c r="AO129" s="32" t="s">
        <v>1122</v>
      </c>
      <c r="AP129" s="30">
        <v>43373.708333333336</v>
      </c>
      <c r="AQ129" s="30">
        <v>43374.510057870371</v>
      </c>
      <c r="AR129" s="30">
        <v>43374.510763888888</v>
      </c>
      <c r="AS129" s="92" t="s">
        <v>651</v>
      </c>
      <c r="AT129" s="155">
        <v>36.424999999999997</v>
      </c>
      <c r="AU129" s="155">
        <v>-121.9773</v>
      </c>
      <c r="AV129" s="106" t="s">
        <v>313</v>
      </c>
      <c r="AW129" s="106" t="s">
        <v>313</v>
      </c>
      <c r="AX129" s="30">
        <v>43374.511805555558</v>
      </c>
      <c r="AY129" s="155">
        <v>36.424999999999997</v>
      </c>
      <c r="AZ129" s="155">
        <v>-121.9773</v>
      </c>
      <c r="BA129" s="32" t="s">
        <v>1427</v>
      </c>
      <c r="BB129" s="32"/>
      <c r="BE129" s="7"/>
      <c r="BF129" s="7"/>
      <c r="BG129" s="7"/>
    </row>
    <row r="130" spans="1:59">
      <c r="A130" s="55" t="str">
        <f>HYPERLINK("tag_data/Quicklook/bw181001-62bQuicklook.jpg","bw181001-62b")</f>
        <v>bw181001-62b</v>
      </c>
      <c r="B130" s="26" t="str">
        <f t="shared" si="34"/>
        <v>bw</v>
      </c>
      <c r="C130" s="46" t="str">
        <f>HYPERLINK("location data/Monterey/2018","Monterey")</f>
        <v>Monterey</v>
      </c>
      <c r="D130" s="64" t="s">
        <v>465</v>
      </c>
      <c r="E130" s="69" t="s">
        <v>549</v>
      </c>
      <c r="F130" s="85">
        <v>-7</v>
      </c>
      <c r="G130" s="60" t="s">
        <v>953</v>
      </c>
      <c r="H130" s="31" t="s">
        <v>1170</v>
      </c>
      <c r="I130" s="46" t="str">
        <f>HYPERLINK("tag_data/bw181001-62b (Monterey)","Link")</f>
        <v>Link</v>
      </c>
      <c r="J130" s="46" t="str">
        <f>HYPERLINK("tag_data_raw\Monterey\2018\bw181001-62","Link")</f>
        <v>Link</v>
      </c>
      <c r="K130" s="46" t="str">
        <f>HYPERLINK("tag_data/bw181001-62b (Monterey)/Pics&amp;Vids","Link")</f>
        <v>Link</v>
      </c>
      <c r="L130" s="54" t="str">
        <f>HYPERLINK("location data\Monterey\2018\Pics&amp;Vids\10.01\Musculus Vids\Tag 62B (GOPR0559).MP4","Link")</f>
        <v>Link</v>
      </c>
      <c r="M130" s="46" t="str">
        <f>HYPERLINK("tag_data/bw181001-62b (Monterey)/Pics&amp;Vids/drone","21.8 m")</f>
        <v>21.8 m</v>
      </c>
      <c r="N130" s="54" t="str">
        <f>HYPERLINK("location data/Monterey/2018/20181001-MUS.mdb","Link")</f>
        <v>Link</v>
      </c>
      <c r="O130" s="31" t="s">
        <v>45</v>
      </c>
      <c r="P130" s="33" t="s">
        <v>1184</v>
      </c>
      <c r="Q130" s="31">
        <f>LEFT(RIGHT(A130,LEN(A130)-FIND("-",A130)),MIN(SEARCH({"a","b","c","d","e","f","g","h","i","j","k","l","m","n","o","p","q","r","s","t","u","v","w","x","y","z"},RIGHT(A130,LEN(A130)-FIND("-",A130))&amp;"abcdefghijklmnopqrstuvwxyz"))-1)+1-1</f>
        <v>62</v>
      </c>
      <c r="R130" s="32" t="s">
        <v>950</v>
      </c>
      <c r="S130" s="32" t="s">
        <v>1393</v>
      </c>
      <c r="T130" s="31" t="s">
        <v>263</v>
      </c>
      <c r="U130" s="17">
        <f t="shared" si="33"/>
        <v>0.77239583332993789</v>
      </c>
      <c r="V130" s="17">
        <f t="shared" si="30"/>
        <v>0.77239583332993789</v>
      </c>
      <c r="W130" s="56" t="s">
        <v>346</v>
      </c>
      <c r="X130" s="31" t="s">
        <v>263</v>
      </c>
      <c r="Y130" s="42"/>
      <c r="Z130" s="31" t="s">
        <v>39</v>
      </c>
      <c r="AA130" s="31" t="s">
        <v>41</v>
      </c>
      <c r="AB130" s="31" t="s">
        <v>277</v>
      </c>
      <c r="AC130" s="31" t="s">
        <v>39</v>
      </c>
      <c r="AD130" s="31" t="s">
        <v>41</v>
      </c>
      <c r="AE130" s="31" t="s">
        <v>41</v>
      </c>
      <c r="AF130" s="31" t="s">
        <v>41</v>
      </c>
      <c r="AG130" s="31" t="s">
        <v>41</v>
      </c>
      <c r="AH130" s="31" t="s">
        <v>41</v>
      </c>
      <c r="AI130" s="31" t="s">
        <v>41</v>
      </c>
      <c r="AJ130" s="31" t="s">
        <v>41</v>
      </c>
      <c r="AK130" s="31" t="s">
        <v>41</v>
      </c>
      <c r="AL130" s="31" t="s">
        <v>41</v>
      </c>
      <c r="AM130" s="31" t="s">
        <v>41</v>
      </c>
      <c r="AN130" s="32" t="s">
        <v>1426</v>
      </c>
      <c r="AO130" s="32" t="s">
        <v>1122</v>
      </c>
      <c r="AP130" s="30">
        <v>43373.708333333336</v>
      </c>
      <c r="AQ130" s="30">
        <v>43374.515949074077</v>
      </c>
      <c r="AR130" s="30">
        <v>43375.288344907407</v>
      </c>
      <c r="AS130" s="92" t="s">
        <v>651</v>
      </c>
      <c r="AT130" s="155">
        <v>36.399799999999999</v>
      </c>
      <c r="AU130" s="155">
        <v>-121.98860000000001</v>
      </c>
      <c r="AV130" s="106" t="s">
        <v>313</v>
      </c>
      <c r="AW130" s="106" t="s">
        <v>313</v>
      </c>
      <c r="AX130" s="30">
        <v>43375.445451388892</v>
      </c>
      <c r="AY130" s="107">
        <v>36.448300000000003</v>
      </c>
      <c r="AZ130" s="107">
        <v>-121.9759</v>
      </c>
      <c r="BA130" s="32" t="s">
        <v>1428</v>
      </c>
      <c r="BB130" s="32"/>
      <c r="BE130" s="7"/>
      <c r="BF130" s="7"/>
      <c r="BG130" s="7"/>
    </row>
    <row r="131" spans="1:59">
      <c r="A131" s="55" t="str">
        <f>HYPERLINK("tag_data/Quicklook/er150417-3Quicklook.jpg","er150417-3")</f>
        <v>er150417-3</v>
      </c>
      <c r="B131" s="26" t="str">
        <f t="shared" si="34"/>
        <v>er</v>
      </c>
      <c r="C131" s="46" t="str">
        <f t="shared" ref="C131:C141" si="35">HYPERLINK("location data/Everett_WA/","Everett")</f>
        <v>Everett</v>
      </c>
      <c r="D131" s="64" t="s">
        <v>662</v>
      </c>
      <c r="E131" s="61" t="s">
        <v>678</v>
      </c>
      <c r="F131" s="61">
        <v>-7</v>
      </c>
      <c r="G131" s="60" t="s">
        <v>457</v>
      </c>
      <c r="H131" s="31" t="s">
        <v>39</v>
      </c>
      <c r="I131" s="42" t="str">
        <f>HYPERLINK("tag_data/er150417-3 (Everett)","Link")</f>
        <v>Link</v>
      </c>
      <c r="J131" s="42" t="str">
        <f>HYPERLINK("tag_data_raw/Everett_WA/2015/er150417-3","Link")</f>
        <v>Link</v>
      </c>
      <c r="K131" s="42" t="str">
        <f>HYPERLINK("tag_data/er150417-3 (Everett)/Pics&amp;Vids","Link")</f>
        <v>Link</v>
      </c>
      <c r="L131" s="42" t="str">
        <f>HYPERLINK("location data/Everett_WA/2015/Pics/20150417-ERdeploy-Plat4-GOPR0020.MP4", "Link")</f>
        <v>Link</v>
      </c>
      <c r="M131" s="41" t="s">
        <v>263</v>
      </c>
      <c r="N131" s="42" t="str">
        <f>HYPERLINK("location data/Everett_WA/2015/Metadata/20150417-ZIP.mdb","Link")</f>
        <v>Link</v>
      </c>
      <c r="O131" s="31" t="s">
        <v>324</v>
      </c>
      <c r="P131" s="93" t="s">
        <v>563</v>
      </c>
      <c r="Q131" s="31">
        <v>3</v>
      </c>
      <c r="R131" s="32" t="s">
        <v>34</v>
      </c>
      <c r="S131" s="32" t="str">
        <f>IF(OR(Q131&lt;39,Q131=50,Q131=51,AND(OR(Q131=46,Q131=47),AQ131&gt;43313)),"Cam Mic",IF(AND(Q131&lt;45,AQ131&lt;42958),"Dolphin Ear",IF(AND(Q131&gt;44,NOT(OR(Q131=46,Q131=47,Q131=50,Q131=51))),"HTI","None")))</f>
        <v>Cam Mic</v>
      </c>
      <c r="T131" s="32" t="s">
        <v>674</v>
      </c>
      <c r="U131" s="17">
        <f t="shared" si="33"/>
        <v>0.72621585648448672</v>
      </c>
      <c r="V131" s="17">
        <f t="shared" si="30"/>
        <v>0.72621585648448672</v>
      </c>
      <c r="W131" s="56">
        <v>0.1323263888888889</v>
      </c>
      <c r="X131" s="94" t="s">
        <v>675</v>
      </c>
      <c r="Y131" s="31"/>
      <c r="Z131" s="31" t="s">
        <v>39</v>
      </c>
      <c r="AA131" s="31" t="s">
        <v>39</v>
      </c>
      <c r="AB131" s="31" t="s">
        <v>664</v>
      </c>
      <c r="AC131" s="31" t="s">
        <v>41</v>
      </c>
      <c r="AD131" s="31" t="s">
        <v>41</v>
      </c>
      <c r="AE131" s="31" t="s">
        <v>266</v>
      </c>
      <c r="AF131" s="31" t="s">
        <v>39</v>
      </c>
      <c r="AG131" s="31" t="s">
        <v>39</v>
      </c>
      <c r="AH131" s="31" t="s">
        <v>41</v>
      </c>
      <c r="AI131" s="31" t="s">
        <v>39</v>
      </c>
      <c r="AJ131" s="33" t="s">
        <v>57</v>
      </c>
      <c r="AK131" s="31" t="s">
        <v>41</v>
      </c>
      <c r="AL131" s="31" t="s">
        <v>39</v>
      </c>
      <c r="AM131" s="31" t="s">
        <v>41</v>
      </c>
      <c r="AN131" s="32" t="s">
        <v>683</v>
      </c>
      <c r="AO131" s="49" t="s">
        <v>684</v>
      </c>
      <c r="AP131" s="30">
        <v>42111.370127314818</v>
      </c>
      <c r="AQ131" s="30">
        <v>42111.42660619213</v>
      </c>
      <c r="AR131" s="30">
        <v>42112.152822048614</v>
      </c>
      <c r="AS131" s="92" t="s">
        <v>651</v>
      </c>
      <c r="AT131" s="107">
        <v>48.002899999999997</v>
      </c>
      <c r="AU131" s="107">
        <v>-122.2931</v>
      </c>
      <c r="AV131" s="106" t="s">
        <v>339</v>
      </c>
      <c r="AW131" s="106" t="s">
        <v>339</v>
      </c>
      <c r="AX131" s="30">
        <v>42112.321562500001</v>
      </c>
      <c r="AY131" s="107">
        <v>47.986400000000003</v>
      </c>
      <c r="AZ131" s="107">
        <v>-122.2692</v>
      </c>
      <c r="BA131" s="32" t="s">
        <v>785</v>
      </c>
      <c r="BB131" s="49" t="s">
        <v>1290</v>
      </c>
      <c r="BC131" s="7"/>
      <c r="BD131" s="7"/>
      <c r="BE131" s="7"/>
      <c r="BF131" s="7"/>
      <c r="BG131" s="7"/>
    </row>
    <row r="132" spans="1:59">
      <c r="A132" s="55" t="str">
        <f>HYPERLINK("tag_data/Quicklook/er150419-3Quicklook.jpg","er150419-3")</f>
        <v>er150419-3</v>
      </c>
      <c r="B132" s="26" t="str">
        <f t="shared" si="34"/>
        <v>er</v>
      </c>
      <c r="C132" s="46" t="str">
        <f t="shared" si="35"/>
        <v>Everett</v>
      </c>
      <c r="D132" s="64" t="s">
        <v>662</v>
      </c>
      <c r="E132" s="61" t="s">
        <v>678</v>
      </c>
      <c r="F132" s="61">
        <v>-7</v>
      </c>
      <c r="G132" s="60" t="s">
        <v>457</v>
      </c>
      <c r="H132" s="31" t="s">
        <v>39</v>
      </c>
      <c r="I132" s="42" t="str">
        <f>HYPERLINK("tag_data/er150419-3 (Everett)","Link")</f>
        <v>Link</v>
      </c>
      <c r="J132" s="42" t="str">
        <f>HYPERLINK("tag_data_raw/Everett_WA/2015/er150419-3","Link")</f>
        <v>Link</v>
      </c>
      <c r="K132" s="42" t="str">
        <f>HYPERLINK("tag_data/er150419-3 (Everett)/Pics&amp;Vids","Link")</f>
        <v>Link</v>
      </c>
      <c r="L132" s="42" t="str">
        <f>HYPERLINK("location data/Everett_WA/2015/Pics/20150419-ZIP-ERdeploy22-GOPR0022.MP4","Link")</f>
        <v>Link</v>
      </c>
      <c r="M132" s="41" t="s">
        <v>263</v>
      </c>
      <c r="N132" s="42" t="str">
        <f>HYPERLINK("location data/Everett_WA/2015/Metadata/20150419-ZIP.mdb","Link")</f>
        <v>Link</v>
      </c>
      <c r="O132" s="31" t="s">
        <v>324</v>
      </c>
      <c r="P132" s="93" t="s">
        <v>563</v>
      </c>
      <c r="Q132" s="31">
        <v>3</v>
      </c>
      <c r="R132" s="32" t="s">
        <v>34</v>
      </c>
      <c r="S132" s="32" t="str">
        <f>IF(OR(Q132&lt;39,Q132=50,Q132=51,AND(OR(Q132=46,Q132=47),AQ132&gt;43313)),"Cam Mic",IF(AND(Q132&lt;45,AQ132&lt;42958),"Dolphin Ear",IF(AND(Q132&gt;44,NOT(OR(Q132=46,Q132=47,Q132=50,Q132=51))),"HTI","None")))</f>
        <v>Cam Mic</v>
      </c>
      <c r="T132" s="32" t="s">
        <v>38</v>
      </c>
      <c r="U132" s="17">
        <f t="shared" si="33"/>
        <v>4.7453703882638365E-4</v>
      </c>
      <c r="V132" s="17">
        <f t="shared" si="30"/>
        <v>4.7453703882638365E-4</v>
      </c>
      <c r="W132" s="56">
        <v>4.7453703703703704E-4</v>
      </c>
      <c r="X132" s="31" t="s">
        <v>263</v>
      </c>
      <c r="Y132" s="31"/>
      <c r="Z132" s="31" t="s">
        <v>41</v>
      </c>
      <c r="AA132" s="31" t="s">
        <v>41</v>
      </c>
      <c r="AB132" s="31" t="s">
        <v>664</v>
      </c>
      <c r="AC132" s="31" t="s">
        <v>41</v>
      </c>
      <c r="AD132" s="31" t="s">
        <v>41</v>
      </c>
      <c r="AE132" s="31" t="s">
        <v>41</v>
      </c>
      <c r="AF132" s="31" t="s">
        <v>41</v>
      </c>
      <c r="AG132" s="31" t="s">
        <v>41</v>
      </c>
      <c r="AH132" s="31" t="s">
        <v>41</v>
      </c>
      <c r="AI132" s="31" t="s">
        <v>41</v>
      </c>
      <c r="AJ132" s="31"/>
      <c r="AK132" s="31"/>
      <c r="AL132" s="31" t="s">
        <v>41</v>
      </c>
      <c r="AM132" s="31" t="s">
        <v>41</v>
      </c>
      <c r="AN132" s="32" t="s">
        <v>676</v>
      </c>
      <c r="AO132" s="49" t="s">
        <v>684</v>
      </c>
      <c r="AP132" s="30">
        <v>42113.367662037039</v>
      </c>
      <c r="AQ132" s="30">
        <v>42113.371793981481</v>
      </c>
      <c r="AR132" s="30">
        <v>42113.37226851852</v>
      </c>
      <c r="AS132" s="92" t="s">
        <v>651</v>
      </c>
      <c r="AT132" s="107">
        <v>48.024191000000002</v>
      </c>
      <c r="AU132" s="107">
        <v>-122.3184</v>
      </c>
      <c r="AV132" s="106" t="s">
        <v>339</v>
      </c>
      <c r="AW132" s="106" t="s">
        <v>339</v>
      </c>
      <c r="AX132" s="30">
        <v>42113.372777777775</v>
      </c>
      <c r="AY132" s="107">
        <v>48.0242</v>
      </c>
      <c r="AZ132" s="107">
        <v>-122.3184</v>
      </c>
      <c r="BA132" s="32" t="s">
        <v>677</v>
      </c>
      <c r="BB132" s="49" t="s">
        <v>204</v>
      </c>
      <c r="BC132" s="7"/>
      <c r="BD132" s="7"/>
      <c r="BE132" s="7"/>
      <c r="BF132" s="7"/>
      <c r="BG132" s="7"/>
    </row>
    <row r="133" spans="1:59">
      <c r="A133" s="55" t="str">
        <f>HYPERLINK("tag_data/Quicklook/er150419-5Quicklook.jpg","er150419-5")</f>
        <v>er150419-5</v>
      </c>
      <c r="B133" s="26" t="str">
        <f t="shared" si="34"/>
        <v>er</v>
      </c>
      <c r="C133" s="46" t="str">
        <f t="shared" si="35"/>
        <v>Everett</v>
      </c>
      <c r="D133" s="64" t="s">
        <v>662</v>
      </c>
      <c r="E133" s="61" t="s">
        <v>678</v>
      </c>
      <c r="F133" s="61">
        <v>-7</v>
      </c>
      <c r="G133" s="60" t="s">
        <v>457</v>
      </c>
      <c r="H133" s="31" t="s">
        <v>39</v>
      </c>
      <c r="I133" s="42" t="str">
        <f>HYPERLINK("tag_data/er150419-5 (Everett)","Link")</f>
        <v>Link</v>
      </c>
      <c r="J133" s="42" t="str">
        <f>HYPERLINK("tag_data_raw/Everett_WA/2015/er150419-5","Link")</f>
        <v>Link</v>
      </c>
      <c r="K133" s="42" t="str">
        <f>HYPERLINK("tag_data/er150419-5 (Everett)/Pics&amp;Vids","Link")</f>
        <v>Link</v>
      </c>
      <c r="L133" s="42" t="str">
        <f>HYPERLINK("location data/Everett_WA/2015/Pics/20150419-ZIP-ERdeploy-383-GOPR0043.MP4","Link")</f>
        <v>Link</v>
      </c>
      <c r="M133" s="41" t="s">
        <v>263</v>
      </c>
      <c r="N133" s="42" t="str">
        <f>HYPERLINK("location data/Everett_WA/2015/Metadata/20150419-ZIP.mdb","Link")</f>
        <v>Link</v>
      </c>
      <c r="O133" s="31" t="s">
        <v>763</v>
      </c>
      <c r="P133" s="93" t="s">
        <v>712</v>
      </c>
      <c r="Q133" s="31">
        <v>5</v>
      </c>
      <c r="R133" s="32" t="s">
        <v>234</v>
      </c>
      <c r="S133" s="32" t="s">
        <v>1393</v>
      </c>
      <c r="T133" s="32" t="s">
        <v>38</v>
      </c>
      <c r="U133" s="17">
        <f t="shared" si="33"/>
        <v>0.19508680555736646</v>
      </c>
      <c r="V133" s="17">
        <f t="shared" si="30"/>
        <v>9.9397569450957235E-2</v>
      </c>
      <c r="W133" s="56">
        <v>5.3819444444444453E-3</v>
      </c>
      <c r="X133" s="94" t="s">
        <v>675</v>
      </c>
      <c r="Y133" s="54"/>
      <c r="Z133" s="31" t="s">
        <v>39</v>
      </c>
      <c r="AA133" s="31" t="s">
        <v>41</v>
      </c>
      <c r="AB133" s="31" t="s">
        <v>664</v>
      </c>
      <c r="AC133" s="31" t="s">
        <v>41</v>
      </c>
      <c r="AD133" s="31" t="s">
        <v>41</v>
      </c>
      <c r="AE133" s="31" t="s">
        <v>41</v>
      </c>
      <c r="AF133" s="31" t="s">
        <v>39</v>
      </c>
      <c r="AG133" s="31" t="s">
        <v>41</v>
      </c>
      <c r="AH133" s="31" t="s">
        <v>41</v>
      </c>
      <c r="AI133" s="31" t="s">
        <v>41</v>
      </c>
      <c r="AJ133" s="31" t="s">
        <v>41</v>
      </c>
      <c r="AK133" s="33" t="s">
        <v>789</v>
      </c>
      <c r="AL133" s="31" t="s">
        <v>39</v>
      </c>
      <c r="AM133" s="31" t="s">
        <v>41</v>
      </c>
      <c r="AN133" s="32" t="s">
        <v>686</v>
      </c>
      <c r="AO133" s="49" t="s">
        <v>684</v>
      </c>
      <c r="AP133" s="30">
        <v>42113.400231481479</v>
      </c>
      <c r="AQ133" s="30">
        <v>42113.566579861108</v>
      </c>
      <c r="AR133" s="30">
        <v>42113.761666666665</v>
      </c>
      <c r="AS133" s="30">
        <v>42113.665977430559</v>
      </c>
      <c r="AT133" s="107">
        <v>47.999400000000001</v>
      </c>
      <c r="AU133" s="107">
        <v>-122.28270000000001</v>
      </c>
      <c r="AV133" s="106" t="s">
        <v>339</v>
      </c>
      <c r="AW133" s="106" t="s">
        <v>339</v>
      </c>
      <c r="AX133" s="30">
        <v>42113.766898148147</v>
      </c>
      <c r="AY133" s="107">
        <v>48.003300000000003</v>
      </c>
      <c r="AZ133" s="107">
        <v>-122.2487</v>
      </c>
      <c r="BA133" s="32" t="s">
        <v>687</v>
      </c>
      <c r="BB133" s="49" t="s">
        <v>688</v>
      </c>
      <c r="BC133" s="7"/>
      <c r="BD133" s="7"/>
      <c r="BE133" s="7"/>
      <c r="BF133" s="7"/>
      <c r="BG133" s="7"/>
    </row>
    <row r="134" spans="1:59">
      <c r="A134" s="55" t="str">
        <f>HYPERLINK("tag_data/Quicklook/er160325-22Quicklook.jpg","er160325-22")</f>
        <v>er160325-22</v>
      </c>
      <c r="B134" s="26" t="str">
        <f t="shared" si="34"/>
        <v>er</v>
      </c>
      <c r="C134" s="46" t="str">
        <f t="shared" si="35"/>
        <v>Everett</v>
      </c>
      <c r="D134" s="64" t="s">
        <v>662</v>
      </c>
      <c r="E134" s="61" t="s">
        <v>678</v>
      </c>
      <c r="F134" s="61">
        <v>-7</v>
      </c>
      <c r="G134" s="60" t="s">
        <v>457</v>
      </c>
      <c r="H134" s="31" t="s">
        <v>39</v>
      </c>
      <c r="I134" s="42" t="str">
        <f>HYPERLINK("tag_data/er160325-22 (Everett)","Link")</f>
        <v>Link</v>
      </c>
      <c r="J134" s="42" t="str">
        <f>HYPERLINK("tag_data_raw/Everett_WA/2016/er160325-22","Link")</f>
        <v>Link</v>
      </c>
      <c r="K134" s="42" t="str">
        <f>HYPERLINK("tag_data/er160325-22 (Everett)/Pics&amp;Vids","Link")</f>
        <v>Link</v>
      </c>
      <c r="L134" s="46" t="str">
        <f>HYPERLINK("location data/Everett_WA/2016/Videos/20160325-ERdeploy-723-GOPR0024.MP4","Link")</f>
        <v>Link</v>
      </c>
      <c r="M134" s="41" t="s">
        <v>263</v>
      </c>
      <c r="N134" s="46" t="str">
        <f t="shared" ref="N134:N141" si="36">HYPERLINK("location data/Everett_WA/2016/metadata/CRC Mobile Data Compiler - PSeffort-Feb-May2016_sent.mdb","Link")</f>
        <v>Link</v>
      </c>
      <c r="O134" s="31" t="s">
        <v>325</v>
      </c>
      <c r="P134" s="93" t="s">
        <v>712</v>
      </c>
      <c r="Q134" s="31">
        <v>22</v>
      </c>
      <c r="R134" s="32" t="s">
        <v>132</v>
      </c>
      <c r="S134" s="32" t="str">
        <f t="shared" ref="S134:S139" si="37">IF(OR(Q134&lt;39,Q134=50,Q134=51,AND(OR(Q134=46,Q134=47),AQ134&gt;43313)),"Cam Mic",IF(AND(Q134&lt;45,AQ134&lt;42958),"Dolphin Ear",IF(AND(Q134&gt;44,NOT(OR(Q134=46,Q134=47,Q134=50,Q134=51))),"HTI","None")))</f>
        <v>Cam Mic</v>
      </c>
      <c r="T134" s="32" t="s">
        <v>663</v>
      </c>
      <c r="U134" s="17">
        <f t="shared" si="33"/>
        <v>0.96045138889166992</v>
      </c>
      <c r="V134" s="17">
        <f t="shared" si="30"/>
        <v>0.96045138889166992</v>
      </c>
      <c r="W134" s="56">
        <v>0.33277777777777778</v>
      </c>
      <c r="X134" s="42" t="str">
        <f>HYPERLINK("tag_data/er160325-22 (Everett)/er160325-22 Map.bmp","2")</f>
        <v>2</v>
      </c>
      <c r="Y134" s="54" t="str">
        <f>HYPERLINK("tag_data/er160325-22 (Everett)/Video notes.txt","Link")</f>
        <v>Link</v>
      </c>
      <c r="Z134" s="31" t="s">
        <v>39</v>
      </c>
      <c r="AA134" s="31" t="s">
        <v>39</v>
      </c>
      <c r="AB134" s="31" t="s">
        <v>664</v>
      </c>
      <c r="AC134" s="31" t="s">
        <v>41</v>
      </c>
      <c r="AD134" s="31" t="s">
        <v>266</v>
      </c>
      <c r="AE134" s="31" t="s">
        <v>266</v>
      </c>
      <c r="AF134" s="31" t="s">
        <v>39</v>
      </c>
      <c r="AG134" s="31" t="s">
        <v>41</v>
      </c>
      <c r="AH134" s="31" t="s">
        <v>41</v>
      </c>
      <c r="AI134" s="31" t="s">
        <v>39</v>
      </c>
      <c r="AJ134" s="31" t="s">
        <v>41</v>
      </c>
      <c r="AK134" s="31" t="s">
        <v>41</v>
      </c>
      <c r="AL134" s="31" t="s">
        <v>39</v>
      </c>
      <c r="AM134" s="31" t="s">
        <v>266</v>
      </c>
      <c r="AN134" s="32" t="s">
        <v>665</v>
      </c>
      <c r="AO134" s="49" t="s">
        <v>684</v>
      </c>
      <c r="AP134" s="30">
        <v>42454.325138888889</v>
      </c>
      <c r="AQ134" s="30">
        <v>42454.354988425926</v>
      </c>
      <c r="AR134" s="30">
        <v>42455.315439814818</v>
      </c>
      <c r="AS134" s="92" t="s">
        <v>651</v>
      </c>
      <c r="AT134" s="107">
        <v>47.999000000000002</v>
      </c>
      <c r="AU134" s="107">
        <v>-122.2968</v>
      </c>
      <c r="AV134" s="106" t="s">
        <v>339</v>
      </c>
      <c r="AW134" s="106" t="s">
        <v>339</v>
      </c>
      <c r="AX134" s="30">
        <v>42455.47587962963</v>
      </c>
      <c r="AY134" s="107">
        <v>47.986400000000003</v>
      </c>
      <c r="AZ134" s="107">
        <v>-122.3165</v>
      </c>
      <c r="BA134" s="32" t="s">
        <v>780</v>
      </c>
      <c r="BB134" s="49" t="s">
        <v>1291</v>
      </c>
      <c r="BC134" s="7"/>
      <c r="BD134" s="7"/>
      <c r="BE134" s="7"/>
      <c r="BF134" s="7"/>
      <c r="BG134" s="7"/>
    </row>
    <row r="135" spans="1:59">
      <c r="A135" s="55" t="str">
        <f>HYPERLINK("tag_data/Quicklook/er160325-25aQuicklook.jpg","er160325-25a")</f>
        <v>er160325-25a</v>
      </c>
      <c r="B135" s="26" t="str">
        <f t="shared" si="34"/>
        <v>er</v>
      </c>
      <c r="C135" s="46" t="str">
        <f t="shared" si="35"/>
        <v>Everett</v>
      </c>
      <c r="D135" s="64" t="s">
        <v>662</v>
      </c>
      <c r="E135" s="61" t="s">
        <v>678</v>
      </c>
      <c r="F135" s="61">
        <v>-7</v>
      </c>
      <c r="G135" s="60" t="s">
        <v>457</v>
      </c>
      <c r="H135" s="31" t="s">
        <v>39</v>
      </c>
      <c r="I135" s="42" t="str">
        <f>HYPERLINK("tag_data/er160325-25a (Everett)","Link")</f>
        <v>Link</v>
      </c>
      <c r="J135" s="42" t="str">
        <f>HYPERLINK("tag_data_raw/Everett_WA/2016/er160325-25","Link")</f>
        <v>Link</v>
      </c>
      <c r="K135" s="42" t="str">
        <f>HYPERLINK("tag_data/er160325-25a (Everett)/Pics&amp;Vids","Link")</f>
        <v>Link</v>
      </c>
      <c r="L135" s="46" t="str">
        <f>HYPERLINK("location data/Everett_WA/2016/Videos/20160325-ERdeploy-49-GOPR0027.MP4","Link")</f>
        <v>Link</v>
      </c>
      <c r="M135" s="41" t="s">
        <v>263</v>
      </c>
      <c r="N135" s="46" t="str">
        <f t="shared" si="36"/>
        <v>Link</v>
      </c>
      <c r="O135" s="31" t="s">
        <v>666</v>
      </c>
      <c r="P135" s="93" t="s">
        <v>712</v>
      </c>
      <c r="Q135" s="31">
        <v>25</v>
      </c>
      <c r="R135" s="32" t="s">
        <v>132</v>
      </c>
      <c r="S135" s="32" t="str">
        <f t="shared" si="37"/>
        <v>Cam Mic</v>
      </c>
      <c r="T135" s="32" t="s">
        <v>38</v>
      </c>
      <c r="U135" s="17">
        <f t="shared" si="33"/>
        <v>4.0347222224227153E-2</v>
      </c>
      <c r="V135" s="17">
        <f t="shared" si="30"/>
        <v>4.0347222224227153E-2</v>
      </c>
      <c r="W135" s="56">
        <v>3.858796296296297E-2</v>
      </c>
      <c r="X135" s="42" t="str">
        <f>HYPERLINK("tag_data/er160325-25a (Everett)/er160325-25a Map.bmp","2")</f>
        <v>2</v>
      </c>
      <c r="Y135" s="54" t="str">
        <f>HYPERLINK("tag_data/er160325-25a (Everett)/Video notes.txt","Link")</f>
        <v>Link</v>
      </c>
      <c r="Z135" s="31" t="s">
        <v>41</v>
      </c>
      <c r="AA135" s="31" t="s">
        <v>41</v>
      </c>
      <c r="AB135" s="31" t="s">
        <v>664</v>
      </c>
      <c r="AC135" s="31" t="s">
        <v>41</v>
      </c>
      <c r="AD135" s="31" t="s">
        <v>41</v>
      </c>
      <c r="AE135" s="31" t="s">
        <v>41</v>
      </c>
      <c r="AF135" s="31" t="s">
        <v>39</v>
      </c>
      <c r="AG135" s="31" t="s">
        <v>41</v>
      </c>
      <c r="AH135" s="31" t="s">
        <v>41</v>
      </c>
      <c r="AI135" s="31" t="s">
        <v>41</v>
      </c>
      <c r="AJ135" s="31" t="s">
        <v>41</v>
      </c>
      <c r="AK135" s="31" t="s">
        <v>41</v>
      </c>
      <c r="AL135" s="31" t="s">
        <v>41</v>
      </c>
      <c r="AM135" s="31" t="s">
        <v>41</v>
      </c>
      <c r="AN135" s="32" t="s">
        <v>667</v>
      </c>
      <c r="AO135" s="49" t="s">
        <v>684</v>
      </c>
      <c r="AP135" s="30">
        <v>42454.602870370371</v>
      </c>
      <c r="AQ135" s="30">
        <v>42454.610300925924</v>
      </c>
      <c r="AR135" s="30">
        <v>42454.650648148148</v>
      </c>
      <c r="AS135" s="92" t="s">
        <v>651</v>
      </c>
      <c r="AT135" s="107">
        <v>48.001399999999997</v>
      </c>
      <c r="AU135" s="107">
        <v>-122.28619999999999</v>
      </c>
      <c r="AV135" s="106" t="s">
        <v>339</v>
      </c>
      <c r="AW135" s="106" t="s">
        <v>339</v>
      </c>
      <c r="AX135" s="30">
        <v>42454.680104166669</v>
      </c>
      <c r="AY135" s="107">
        <v>48.005800000000001</v>
      </c>
      <c r="AZ135" s="107">
        <v>-122.28700000000001</v>
      </c>
      <c r="BA135" s="32" t="s">
        <v>667</v>
      </c>
      <c r="BB135" s="49" t="s">
        <v>205</v>
      </c>
      <c r="BC135" s="7"/>
      <c r="BD135" s="7"/>
      <c r="BE135" s="7"/>
      <c r="BF135" s="7"/>
      <c r="BG135" s="7"/>
    </row>
    <row r="136" spans="1:59">
      <c r="A136" s="55" t="str">
        <f>HYPERLINK("tag_data/Quicklook/er160325-25bQuicklook.jpg","er160325-25b")</f>
        <v>er160325-25b</v>
      </c>
      <c r="B136" s="26" t="str">
        <f t="shared" si="34"/>
        <v>er</v>
      </c>
      <c r="C136" s="46" t="str">
        <f t="shared" si="35"/>
        <v>Everett</v>
      </c>
      <c r="D136" s="64" t="s">
        <v>662</v>
      </c>
      <c r="E136" s="61" t="s">
        <v>678</v>
      </c>
      <c r="F136" s="61">
        <v>-7</v>
      </c>
      <c r="G136" s="60" t="s">
        <v>457</v>
      </c>
      <c r="H136" s="31" t="s">
        <v>39</v>
      </c>
      <c r="I136" s="42" t="str">
        <f>HYPERLINK("tag_data/er160325-25b (Everett)","Link")</f>
        <v>Link</v>
      </c>
      <c r="J136" s="42" t="str">
        <f>HYPERLINK("tag_data_raw/Everett_WA/2016/er160325-25","Link")</f>
        <v>Link</v>
      </c>
      <c r="K136" s="54" t="str">
        <f>HYPERLINK("tag_data/er160325-25b (Everett)/Pics&amp;Vids","Link")</f>
        <v>Link</v>
      </c>
      <c r="L136" s="46" t="str">
        <f>HYPERLINK("location data/Everett_WA/2016/Videos/20160325-ERdeploy-383-GOPR0030.MP4","Link")</f>
        <v>Link</v>
      </c>
      <c r="M136" s="41" t="s">
        <v>263</v>
      </c>
      <c r="N136" s="46" t="str">
        <f t="shared" si="36"/>
        <v>Link</v>
      </c>
      <c r="O136" s="31" t="s">
        <v>763</v>
      </c>
      <c r="P136" s="93" t="s">
        <v>712</v>
      </c>
      <c r="Q136" s="31">
        <v>25</v>
      </c>
      <c r="R136" s="32" t="s">
        <v>132</v>
      </c>
      <c r="S136" s="32" t="str">
        <f t="shared" si="37"/>
        <v>Cam Mic</v>
      </c>
      <c r="T136" s="32" t="s">
        <v>38</v>
      </c>
      <c r="U136" s="17">
        <f t="shared" si="33"/>
        <v>0.54202546296437504</v>
      </c>
      <c r="V136" s="17">
        <f t="shared" si="30"/>
        <v>0.54202546296437504</v>
      </c>
      <c r="W136" s="56">
        <v>6.9918981481481471E-2</v>
      </c>
      <c r="X136" s="42" t="str">
        <f>HYPERLINK("tag_data/er160325-25b (Everett)/er160325-25b Map.bmp","90")</f>
        <v>90</v>
      </c>
      <c r="Y136" s="54" t="str">
        <f>HYPERLINK("tag_data/er160325-25b (Everett)/Video notes.txt","Link")</f>
        <v>Link</v>
      </c>
      <c r="Z136" s="31" t="s">
        <v>39</v>
      </c>
      <c r="AA136" s="31" t="s">
        <v>39</v>
      </c>
      <c r="AB136" s="31" t="s">
        <v>664</v>
      </c>
      <c r="AC136" s="31" t="s">
        <v>41</v>
      </c>
      <c r="AD136" s="31" t="s">
        <v>266</v>
      </c>
      <c r="AE136" s="31" t="s">
        <v>266</v>
      </c>
      <c r="AF136" s="31" t="s">
        <v>39</v>
      </c>
      <c r="AG136" s="31" t="s">
        <v>41</v>
      </c>
      <c r="AH136" s="31" t="s">
        <v>41</v>
      </c>
      <c r="AI136" s="31" t="s">
        <v>39</v>
      </c>
      <c r="AJ136" s="31" t="s">
        <v>41</v>
      </c>
      <c r="AK136" s="31" t="s">
        <v>41</v>
      </c>
      <c r="AL136" s="33" t="s">
        <v>779</v>
      </c>
      <c r="AM136" s="31" t="s">
        <v>266</v>
      </c>
      <c r="AN136" s="32" t="s">
        <v>668</v>
      </c>
      <c r="AO136" s="49" t="s">
        <v>684</v>
      </c>
      <c r="AP136" s="30">
        <v>42454.74417824074</v>
      </c>
      <c r="AQ136" s="30">
        <v>42454.751168981478</v>
      </c>
      <c r="AR136" s="30">
        <v>42455.293194444443</v>
      </c>
      <c r="AS136" s="92" t="s">
        <v>651</v>
      </c>
      <c r="AT136" s="107">
        <v>47.990600000000001</v>
      </c>
      <c r="AU136" s="107">
        <v>-122.2838</v>
      </c>
      <c r="AV136" s="106" t="s">
        <v>339</v>
      </c>
      <c r="AW136" s="106" t="s">
        <v>339</v>
      </c>
      <c r="AX136" s="30">
        <v>42455.482442129629</v>
      </c>
      <c r="AY136" s="107">
        <v>47.976500000000001</v>
      </c>
      <c r="AZ136" s="107">
        <v>-122.316</v>
      </c>
      <c r="BA136" s="32" t="s">
        <v>781</v>
      </c>
      <c r="BB136" s="49"/>
      <c r="BC136" s="7"/>
      <c r="BD136" s="7"/>
      <c r="BE136" s="7"/>
      <c r="BF136" s="7"/>
      <c r="BG136" s="7"/>
    </row>
    <row r="137" spans="1:59">
      <c r="A137" s="55" t="str">
        <f>HYPERLINK("tag_data/Quicklook/er160406-21Quicklook.jpg","er160406-21")</f>
        <v>er160406-21</v>
      </c>
      <c r="B137" s="26" t="str">
        <f t="shared" si="34"/>
        <v>er</v>
      </c>
      <c r="C137" s="46" t="str">
        <f t="shared" si="35"/>
        <v>Everett</v>
      </c>
      <c r="D137" s="64" t="s">
        <v>662</v>
      </c>
      <c r="E137" s="61" t="s">
        <v>678</v>
      </c>
      <c r="F137" s="61">
        <v>-7</v>
      </c>
      <c r="G137" s="60" t="s">
        <v>457</v>
      </c>
      <c r="H137" s="31" t="s">
        <v>39</v>
      </c>
      <c r="I137" s="42" t="str">
        <f>HYPERLINK("tag_data/er160406-21 (Everett)","Link")</f>
        <v>Link</v>
      </c>
      <c r="J137" s="42" t="str">
        <f>HYPERLINK("tag_data_raw/Everett_WA/2016/er160406-21","Link")</f>
        <v>Link</v>
      </c>
      <c r="K137" s="42" t="str">
        <f>HYPERLINK("tag_data/er160406-21 (Everett)/Pics&amp;Vids","Link")</f>
        <v>Link</v>
      </c>
      <c r="L137" s="46" t="str">
        <f>HYPERLINK("location data/Everett_WA/2016/Videos/20160406-ZIP-ER-Tag21deploy-ID-723-GOPR0261.MP4","Link")</f>
        <v>Link</v>
      </c>
      <c r="M137" s="41" t="s">
        <v>263</v>
      </c>
      <c r="N137" s="46" t="str">
        <f t="shared" si="36"/>
        <v>Link</v>
      </c>
      <c r="O137" s="31" t="s">
        <v>325</v>
      </c>
      <c r="P137" s="93" t="s">
        <v>712</v>
      </c>
      <c r="Q137" s="31">
        <v>21</v>
      </c>
      <c r="R137" s="32" t="s">
        <v>132</v>
      </c>
      <c r="S137" s="32" t="str">
        <f t="shared" si="37"/>
        <v>Cam Mic</v>
      </c>
      <c r="T137" s="32" t="s">
        <v>38</v>
      </c>
      <c r="U137" s="17">
        <f t="shared" si="33"/>
        <v>2.7972812500011059</v>
      </c>
      <c r="V137" s="17">
        <f t="shared" ref="V137:V170" si="38">MIN(AR137,AS137)-MAX(AP137,AQ137)</f>
        <v>1.5682719907417777</v>
      </c>
      <c r="W137" s="56">
        <v>0.26081018518518517</v>
      </c>
      <c r="X137" s="42" t="str">
        <f>HYPERLINK("tag_data/er160406-21 (Everett)/er160406-21 Map.bmp","365")</f>
        <v>365</v>
      </c>
      <c r="Y137" s="54" t="str">
        <f>HYPERLINK("tag_data/er160406-21 (Everett)/er160406-21 working.boris","Boris")</f>
        <v>Boris</v>
      </c>
      <c r="Z137" s="31" t="s">
        <v>39</v>
      </c>
      <c r="AA137" s="31" t="s">
        <v>39</v>
      </c>
      <c r="AB137" s="31" t="s">
        <v>664</v>
      </c>
      <c r="AC137" s="31" t="s">
        <v>41</v>
      </c>
      <c r="AD137" s="31" t="s">
        <v>39</v>
      </c>
      <c r="AE137" s="31" t="s">
        <v>266</v>
      </c>
      <c r="AF137" s="31" t="s">
        <v>39</v>
      </c>
      <c r="AG137" s="31" t="s">
        <v>41</v>
      </c>
      <c r="AH137" s="31" t="s">
        <v>41</v>
      </c>
      <c r="AI137" s="31" t="s">
        <v>39</v>
      </c>
      <c r="AJ137" s="31" t="s">
        <v>39</v>
      </c>
      <c r="AK137" s="31" t="s">
        <v>41</v>
      </c>
      <c r="AL137" s="31" t="s">
        <v>39</v>
      </c>
      <c r="AM137" s="31" t="s">
        <v>685</v>
      </c>
      <c r="AN137" s="32" t="s">
        <v>669</v>
      </c>
      <c r="AO137" s="49" t="s">
        <v>684</v>
      </c>
      <c r="AP137" s="30">
        <v>42466.651041666664</v>
      </c>
      <c r="AQ137" s="30">
        <v>42466.661052083335</v>
      </c>
      <c r="AR137" s="30">
        <v>42469.458333333336</v>
      </c>
      <c r="AS137" s="30">
        <v>42468.229324074076</v>
      </c>
      <c r="AT137" s="107">
        <v>48.003799999999998</v>
      </c>
      <c r="AU137" s="107">
        <v>-122.25935</v>
      </c>
      <c r="AV137" s="106" t="s">
        <v>339</v>
      </c>
      <c r="AW137" s="106" t="s">
        <v>339</v>
      </c>
      <c r="AX137" s="30">
        <v>42469.475289351853</v>
      </c>
      <c r="AY137" s="107">
        <v>48.003999999999998</v>
      </c>
      <c r="AZ137" s="107">
        <v>-122.2958</v>
      </c>
      <c r="BA137" s="32" t="s">
        <v>782</v>
      </c>
      <c r="BB137" s="49" t="s">
        <v>1292</v>
      </c>
      <c r="BC137" s="7"/>
      <c r="BD137" s="7"/>
      <c r="BE137" s="7"/>
      <c r="BF137" s="7"/>
      <c r="BG137" s="7"/>
    </row>
    <row r="138" spans="1:59">
      <c r="A138" s="55" t="str">
        <f>HYPERLINK("tag_data/Quicklook/er160406-22Quicklook.jpg","er160406-22")</f>
        <v>er160406-22</v>
      </c>
      <c r="B138" s="26" t="str">
        <f t="shared" si="34"/>
        <v>er</v>
      </c>
      <c r="C138" s="46" t="str">
        <f t="shared" si="35"/>
        <v>Everett</v>
      </c>
      <c r="D138" s="64" t="s">
        <v>662</v>
      </c>
      <c r="E138" s="61" t="s">
        <v>678</v>
      </c>
      <c r="F138" s="61">
        <v>-7</v>
      </c>
      <c r="G138" s="60" t="s">
        <v>457</v>
      </c>
      <c r="H138" s="31" t="s">
        <v>39</v>
      </c>
      <c r="I138" s="42" t="str">
        <f>HYPERLINK("tag_data/er160406-22 (Everett)","Link")</f>
        <v>Link</v>
      </c>
      <c r="J138" s="42" t="str">
        <f>HYPERLINK("tag_data_raw/Everett_WA/2016/er160406-22","Link")</f>
        <v>Link</v>
      </c>
      <c r="K138" s="42" t="str">
        <f>HYPERLINK("tag_data/er160406-22 (Everett)/Pics&amp;Vids","Link")</f>
        <v>Link</v>
      </c>
      <c r="L138" s="46" t="str">
        <f>HYPERLINK("location data/Everett_WA/2016/Videos/20160406-ZIP-ER-Tag22deploy-ID-21-GOPR0702.MP4","Link")</f>
        <v>Link</v>
      </c>
      <c r="M138" s="41" t="s">
        <v>263</v>
      </c>
      <c r="N138" s="46" t="str">
        <f t="shared" si="36"/>
        <v>Link</v>
      </c>
      <c r="O138" s="33" t="s">
        <v>764</v>
      </c>
      <c r="P138" s="93" t="s">
        <v>712</v>
      </c>
      <c r="Q138" s="31">
        <v>22</v>
      </c>
      <c r="R138" s="32" t="s">
        <v>132</v>
      </c>
      <c r="S138" s="32" t="str">
        <f t="shared" si="37"/>
        <v>Cam Mic</v>
      </c>
      <c r="T138" s="32" t="s">
        <v>38</v>
      </c>
      <c r="U138" s="17">
        <f t="shared" si="33"/>
        <v>0.75732638889166992</v>
      </c>
      <c r="V138" s="17">
        <f t="shared" si="38"/>
        <v>0.75732638889166992</v>
      </c>
      <c r="W138" s="56">
        <v>0.2250810185185185</v>
      </c>
      <c r="X138" s="93">
        <v>0</v>
      </c>
      <c r="Y138" s="31"/>
      <c r="Z138" s="31" t="s">
        <v>39</v>
      </c>
      <c r="AA138" s="31" t="s">
        <v>39</v>
      </c>
      <c r="AB138" s="31" t="s">
        <v>664</v>
      </c>
      <c r="AC138" s="31" t="s">
        <v>41</v>
      </c>
      <c r="AD138" s="31" t="s">
        <v>266</v>
      </c>
      <c r="AE138" s="31" t="s">
        <v>266</v>
      </c>
      <c r="AF138" s="31" t="s">
        <v>41</v>
      </c>
      <c r="AG138" s="31" t="s">
        <v>41</v>
      </c>
      <c r="AH138" s="31" t="s">
        <v>41</v>
      </c>
      <c r="AI138" s="31" t="s">
        <v>39</v>
      </c>
      <c r="AJ138" s="31" t="s">
        <v>39</v>
      </c>
      <c r="AK138" s="31" t="s">
        <v>41</v>
      </c>
      <c r="AL138" s="31" t="s">
        <v>41</v>
      </c>
      <c r="AM138" s="31" t="s">
        <v>685</v>
      </c>
      <c r="AN138" s="32" t="s">
        <v>670</v>
      </c>
      <c r="AO138" s="49" t="s">
        <v>684</v>
      </c>
      <c r="AP138" s="30">
        <v>42466.599942129629</v>
      </c>
      <c r="AQ138" s="30">
        <v>42466.603356481479</v>
      </c>
      <c r="AR138" s="30">
        <v>42467.360682870371</v>
      </c>
      <c r="AS138" s="92" t="s">
        <v>651</v>
      </c>
      <c r="AT138" s="107">
        <v>48.064900000000002</v>
      </c>
      <c r="AU138" s="107">
        <v>-122.2998</v>
      </c>
      <c r="AV138" s="106" t="s">
        <v>339</v>
      </c>
      <c r="AW138" s="106" t="s">
        <v>339</v>
      </c>
      <c r="AX138" s="30">
        <v>42467.508888888886</v>
      </c>
      <c r="AY138" s="107">
        <v>48.113399999999999</v>
      </c>
      <c r="AZ138" s="107">
        <v>-122.36060000000001</v>
      </c>
      <c r="BA138" s="32" t="s">
        <v>784</v>
      </c>
      <c r="BB138" s="49" t="s">
        <v>1293</v>
      </c>
      <c r="BC138" s="7"/>
      <c r="BD138" s="7"/>
      <c r="BE138" s="7"/>
      <c r="BF138" s="7"/>
      <c r="BG138" s="7"/>
    </row>
    <row r="139" spans="1:59">
      <c r="A139" s="55" t="str">
        <f>HYPERLINK("tag_data/Quicklook/er160407-25Quicklook.jpg","er160407-25")</f>
        <v>er160407-25</v>
      </c>
      <c r="B139" s="26" t="str">
        <f t="shared" si="34"/>
        <v>er</v>
      </c>
      <c r="C139" s="46" t="str">
        <f t="shared" si="35"/>
        <v>Everett</v>
      </c>
      <c r="D139" s="64" t="s">
        <v>662</v>
      </c>
      <c r="E139" s="61" t="s">
        <v>678</v>
      </c>
      <c r="F139" s="61">
        <v>-7</v>
      </c>
      <c r="G139" s="60" t="s">
        <v>457</v>
      </c>
      <c r="H139" s="31" t="s">
        <v>39</v>
      </c>
      <c r="I139" s="42" t="str">
        <f>HYPERLINK("tag_data/er160407-25 (Everett)","Link")</f>
        <v>Link</v>
      </c>
      <c r="J139" s="42" t="str">
        <f>HYPERLINK("tag_data_raw/Everett_WA/2016/er160407-25","Link")</f>
        <v>Link</v>
      </c>
      <c r="K139" s="42" t="str">
        <f>HYPERLINK("tag_data/er160407-25 (Everett)/Pics&amp;Vids","Link")</f>
        <v>Link</v>
      </c>
      <c r="L139" s="46" t="str">
        <f>HYPERLINK("location data/Everett_WA/2016/Videos/20160407-ZIP=ER-Tag25deploy-ID383-GOPR0265.MP4","Link")</f>
        <v>Link</v>
      </c>
      <c r="M139" s="41" t="s">
        <v>263</v>
      </c>
      <c r="N139" s="46" t="str">
        <f t="shared" si="36"/>
        <v>Link</v>
      </c>
      <c r="O139" s="31" t="s">
        <v>763</v>
      </c>
      <c r="P139" s="93" t="s">
        <v>712</v>
      </c>
      <c r="Q139" s="31">
        <v>25</v>
      </c>
      <c r="R139" s="32" t="s">
        <v>132</v>
      </c>
      <c r="S139" s="32" t="str">
        <f t="shared" si="37"/>
        <v>Cam Mic</v>
      </c>
      <c r="T139" s="32" t="s">
        <v>38</v>
      </c>
      <c r="U139" s="17">
        <f t="shared" si="33"/>
        <v>0.18493981481879018</v>
      </c>
      <c r="V139" s="17">
        <f t="shared" si="38"/>
        <v>0.18493981481879018</v>
      </c>
      <c r="W139" s="56">
        <v>0.17482638888888891</v>
      </c>
      <c r="X139" s="42" t="str">
        <f>HYPERLINK("tag_data/er160407-25 (Everett)/er160407-25 Map.bmp","14")</f>
        <v>14</v>
      </c>
      <c r="Y139" s="54"/>
      <c r="Z139" s="31" t="s">
        <v>39</v>
      </c>
      <c r="AA139" s="31" t="s">
        <v>39</v>
      </c>
      <c r="AB139" s="31" t="s">
        <v>664</v>
      </c>
      <c r="AC139" s="31" t="s">
        <v>41</v>
      </c>
      <c r="AD139" s="31" t="s">
        <v>266</v>
      </c>
      <c r="AE139" s="31" t="s">
        <v>41</v>
      </c>
      <c r="AF139" s="31" t="s">
        <v>39</v>
      </c>
      <c r="AG139" s="31" t="s">
        <v>41</v>
      </c>
      <c r="AH139" s="31" t="s">
        <v>41</v>
      </c>
      <c r="AI139" s="31" t="s">
        <v>39</v>
      </c>
      <c r="AJ139" s="31" t="s">
        <v>41</v>
      </c>
      <c r="AK139" s="31" t="s">
        <v>41</v>
      </c>
      <c r="AL139" s="31" t="s">
        <v>39</v>
      </c>
      <c r="AM139" s="31" t="s">
        <v>41</v>
      </c>
      <c r="AN139" s="32" t="s">
        <v>671</v>
      </c>
      <c r="AO139" s="49" t="s">
        <v>684</v>
      </c>
      <c r="AP139" s="30">
        <v>42467.572071759256</v>
      </c>
      <c r="AQ139" s="30">
        <v>42467.580249999999</v>
      </c>
      <c r="AR139" s="30">
        <v>42467.765189814818</v>
      </c>
      <c r="AS139" s="92" t="s">
        <v>651</v>
      </c>
      <c r="AT139" s="144">
        <v>47.984999999999999</v>
      </c>
      <c r="AU139" s="144">
        <v>-122.30929999999999</v>
      </c>
      <c r="AV139" s="106" t="s">
        <v>339</v>
      </c>
      <c r="AW139" s="106" t="s">
        <v>339</v>
      </c>
      <c r="AX139" s="30">
        <v>42467.844097222223</v>
      </c>
      <c r="AY139" s="144">
        <v>47.995939198000002</v>
      </c>
      <c r="AZ139" s="144">
        <v>-122.258743111</v>
      </c>
      <c r="BA139" s="32" t="s">
        <v>783</v>
      </c>
      <c r="BB139" s="49" t="s">
        <v>1294</v>
      </c>
      <c r="BC139" s="7"/>
      <c r="BD139" s="7"/>
      <c r="BE139" s="7"/>
      <c r="BF139" s="7"/>
      <c r="BG139" s="7"/>
    </row>
    <row r="140" spans="1:59">
      <c r="A140" s="55" t="str">
        <f>HYPERLINK("tag_data/Quicklook/er160505-22Quicklook.jpg","er160505-22")</f>
        <v>er160505-22</v>
      </c>
      <c r="B140" s="26" t="str">
        <f t="shared" si="34"/>
        <v>er</v>
      </c>
      <c r="C140" s="46" t="str">
        <f t="shared" si="35"/>
        <v>Everett</v>
      </c>
      <c r="D140" s="64" t="s">
        <v>662</v>
      </c>
      <c r="E140" s="61" t="s">
        <v>678</v>
      </c>
      <c r="F140" s="61">
        <v>-7</v>
      </c>
      <c r="G140" s="60" t="s">
        <v>457</v>
      </c>
      <c r="H140" s="31" t="s">
        <v>39</v>
      </c>
      <c r="I140" s="42" t="str">
        <f>HYPERLINK("tag_data/er160505-22 (Everett)","Link")</f>
        <v>Link</v>
      </c>
      <c r="J140" s="42" t="str">
        <f>HYPERLINK("tag_data_raw/Everett_WA/2016/er160505-22","Link")</f>
        <v>Link</v>
      </c>
      <c r="K140" s="46" t="str">
        <f>HYPERLINK("tag_data/er160505-22 (Everett)/Pics&amp;Vids","Link")</f>
        <v>Link</v>
      </c>
      <c r="L140" s="54" t="str">
        <f>HYPERLINK("location data/Everett_WA/2016/Videos/20160505-ZIP-ER-Tag22deploy-ID-723-GOPR0031.MP4","Link")</f>
        <v>Link</v>
      </c>
      <c r="M140" s="41" t="s">
        <v>263</v>
      </c>
      <c r="N140" s="46" t="str">
        <f t="shared" si="36"/>
        <v>Link</v>
      </c>
      <c r="O140" s="31" t="s">
        <v>325</v>
      </c>
      <c r="P140" s="93" t="s">
        <v>712</v>
      </c>
      <c r="Q140" s="31">
        <v>22</v>
      </c>
      <c r="R140" s="32" t="s">
        <v>132</v>
      </c>
      <c r="S140" s="32" t="s">
        <v>1393</v>
      </c>
      <c r="T140" s="32" t="s">
        <v>263</v>
      </c>
      <c r="U140" s="17">
        <f t="shared" si="33"/>
        <v>0.18335648148058681</v>
      </c>
      <c r="V140" s="17">
        <f t="shared" si="38"/>
        <v>0.18335648148058681</v>
      </c>
      <c r="W140" s="56" t="s">
        <v>346</v>
      </c>
      <c r="X140" s="42" t="str">
        <f>HYPERLINK("tag_data/er160505-22 (Everett)/er160505-22 Map.bmp","35")</f>
        <v>35</v>
      </c>
      <c r="Y140" s="31" t="s">
        <v>263</v>
      </c>
      <c r="Z140" s="31" t="s">
        <v>39</v>
      </c>
      <c r="AA140" s="31" t="s">
        <v>41</v>
      </c>
      <c r="AB140" s="31" t="s">
        <v>664</v>
      </c>
      <c r="AC140" s="31" t="s">
        <v>41</v>
      </c>
      <c r="AD140" s="31" t="s">
        <v>41</v>
      </c>
      <c r="AE140" s="31" t="s">
        <v>41</v>
      </c>
      <c r="AF140" s="31" t="s">
        <v>41</v>
      </c>
      <c r="AG140" s="31" t="s">
        <v>41</v>
      </c>
      <c r="AH140" s="31" t="s">
        <v>41</v>
      </c>
      <c r="AI140" s="31" t="s">
        <v>41</v>
      </c>
      <c r="AJ140" s="31" t="s">
        <v>41</v>
      </c>
      <c r="AK140" s="31" t="s">
        <v>41</v>
      </c>
      <c r="AL140" s="31" t="s">
        <v>41</v>
      </c>
      <c r="AM140" s="31" t="s">
        <v>41</v>
      </c>
      <c r="AN140" s="32" t="s">
        <v>777</v>
      </c>
      <c r="AO140" s="49" t="s">
        <v>684</v>
      </c>
      <c r="AP140" s="30">
        <v>42495.543773148151</v>
      </c>
      <c r="AQ140" s="30">
        <v>42495.553981481484</v>
      </c>
      <c r="AR140" s="30">
        <v>42495.737337962964</v>
      </c>
      <c r="AS140" s="92" t="s">
        <v>651</v>
      </c>
      <c r="AT140" s="107">
        <v>48.021500000000003</v>
      </c>
      <c r="AU140" s="107">
        <v>-122.31618</v>
      </c>
      <c r="AV140" s="106" t="s">
        <v>339</v>
      </c>
      <c r="AW140" s="106" t="s">
        <v>339</v>
      </c>
      <c r="AX140" s="30">
        <v>42495.761782407404</v>
      </c>
      <c r="AY140" s="107">
        <v>48.014650000000003</v>
      </c>
      <c r="AZ140" s="107">
        <v>-122.263344</v>
      </c>
      <c r="BA140" s="32" t="s">
        <v>778</v>
      </c>
      <c r="BB140" s="49" t="s">
        <v>1295</v>
      </c>
      <c r="BC140" s="7"/>
      <c r="BD140" s="7"/>
      <c r="BE140" s="7"/>
      <c r="BF140" s="7"/>
      <c r="BG140" s="7"/>
    </row>
    <row r="141" spans="1:59" s="39" customFormat="1">
      <c r="A141" s="55" t="str">
        <f>HYPERLINK("tag_data/Quicklook/er160505-25Quicklook.jpg","er160505-25")</f>
        <v>er160505-25</v>
      </c>
      <c r="B141" s="26" t="str">
        <f t="shared" si="34"/>
        <v>er</v>
      </c>
      <c r="C141" s="46" t="str">
        <f t="shared" si="35"/>
        <v>Everett</v>
      </c>
      <c r="D141" s="64" t="s">
        <v>662</v>
      </c>
      <c r="E141" s="61" t="s">
        <v>678</v>
      </c>
      <c r="F141" s="61">
        <v>-7</v>
      </c>
      <c r="G141" s="60" t="s">
        <v>457</v>
      </c>
      <c r="H141" s="31" t="s">
        <v>39</v>
      </c>
      <c r="I141" s="42" t="str">
        <f>HYPERLINK("tag_data/er160505-25 (Everett)","Link")</f>
        <v>Link</v>
      </c>
      <c r="J141" s="42" t="str">
        <f>HYPERLINK("tag_data_raw/Everett_WA/2016/er160505-25","Link")</f>
        <v>Link</v>
      </c>
      <c r="K141" s="54" t="str">
        <f>HYPERLINK("tag_data/er160505-25 (Everett)/Pics&amp;Vids","Link")</f>
        <v>Link</v>
      </c>
      <c r="L141" s="54" t="str">
        <f>HYPERLINK("location data/Everett_WA/2016/Videos/20160505-ZIP-ER-Tag25deploy-ID-49-GOPR0034.MP4","Link")</f>
        <v>Link</v>
      </c>
      <c r="M141" s="41" t="s">
        <v>263</v>
      </c>
      <c r="N141" s="46" t="str">
        <f t="shared" si="36"/>
        <v>Link</v>
      </c>
      <c r="O141" s="31" t="s">
        <v>666</v>
      </c>
      <c r="P141" s="93" t="s">
        <v>712</v>
      </c>
      <c r="Q141" s="31">
        <v>25</v>
      </c>
      <c r="R141" s="32" t="s">
        <v>132</v>
      </c>
      <c r="S141" s="32" t="str">
        <f t="shared" ref="S141:S152" si="39">IF(OR(Q141&lt;39,Q141=50,Q141=51,AND(OR(Q141=46,Q141=47),AQ141&gt;43313)),"Cam Mic",IF(AND(Q141&lt;45,AQ141&lt;42958),"Dolphin Ear",IF(AND(Q141&gt;44,NOT(OR(Q141=46,Q141=47,Q141=50,Q141=51))),"HTI","None")))</f>
        <v>Cam Mic</v>
      </c>
      <c r="T141" s="32" t="s">
        <v>38</v>
      </c>
      <c r="U141" s="17">
        <f t="shared" si="33"/>
        <v>0.26973379629635019</v>
      </c>
      <c r="V141" s="17">
        <f t="shared" si="38"/>
        <v>0.26973379629635019</v>
      </c>
      <c r="W141" s="56">
        <v>0.25491898148148145</v>
      </c>
      <c r="X141" s="42" t="str">
        <f>HYPERLINK("tag_data/er160505-25 (Everett)/er160505-25 Map.bmp","35")</f>
        <v>35</v>
      </c>
      <c r="Y141" s="31"/>
      <c r="Z141" s="31" t="s">
        <v>39</v>
      </c>
      <c r="AA141" s="31" t="s">
        <v>39</v>
      </c>
      <c r="AB141" s="31" t="s">
        <v>664</v>
      </c>
      <c r="AC141" s="31" t="s">
        <v>41</v>
      </c>
      <c r="AD141" s="31" t="s">
        <v>266</v>
      </c>
      <c r="AE141" s="31" t="s">
        <v>266</v>
      </c>
      <c r="AF141" s="31" t="s">
        <v>266</v>
      </c>
      <c r="AG141" s="31" t="s">
        <v>266</v>
      </c>
      <c r="AH141" s="31" t="s">
        <v>41</v>
      </c>
      <c r="AI141" s="31" t="s">
        <v>266</v>
      </c>
      <c r="AJ141" s="31" t="s">
        <v>266</v>
      </c>
      <c r="AK141" s="31" t="s">
        <v>266</v>
      </c>
      <c r="AL141" s="31" t="s">
        <v>266</v>
      </c>
      <c r="AM141" s="33" t="s">
        <v>672</v>
      </c>
      <c r="AN141" s="32" t="s">
        <v>671</v>
      </c>
      <c r="AO141" s="49" t="s">
        <v>684</v>
      </c>
      <c r="AP141" s="30">
        <v>42495.560601851852</v>
      </c>
      <c r="AQ141" s="30">
        <v>42495.578483796293</v>
      </c>
      <c r="AR141" s="30">
        <v>42495.848217592589</v>
      </c>
      <c r="AS141" s="92" t="s">
        <v>651</v>
      </c>
      <c r="AT141" s="107">
        <v>48.012479999999996</v>
      </c>
      <c r="AU141" s="107">
        <v>-122.30706000000001</v>
      </c>
      <c r="AV141" s="106" t="s">
        <v>339</v>
      </c>
      <c r="AW141" s="106" t="s">
        <v>339</v>
      </c>
      <c r="AX141" s="30">
        <v>42495.938287037039</v>
      </c>
      <c r="AY141" s="107">
        <v>47.970799999999997</v>
      </c>
      <c r="AZ141" s="107">
        <v>-122.28073999999999</v>
      </c>
      <c r="BA141" s="32" t="s">
        <v>673</v>
      </c>
      <c r="BB141" s="49" t="s">
        <v>206</v>
      </c>
      <c r="BC141" s="7"/>
      <c r="BD141" s="7"/>
      <c r="BE141" s="7"/>
      <c r="BF141" s="7"/>
      <c r="BG141" s="7"/>
    </row>
    <row r="142" spans="1:59" s="16" customFormat="1">
      <c r="A142" s="7" t="s">
        <v>378</v>
      </c>
      <c r="B142" s="26" t="str">
        <f t="shared" si="34"/>
        <v>mn</v>
      </c>
      <c r="C142" s="42" t="str">
        <f t="shared" ref="C142:C147" si="40">HYPERLINK("location data/Monterey/2014_1/","Monterey")</f>
        <v>Monterey</v>
      </c>
      <c r="D142" s="64" t="s">
        <v>465</v>
      </c>
      <c r="E142" s="61" t="s">
        <v>466</v>
      </c>
      <c r="F142" s="85">
        <v>-7</v>
      </c>
      <c r="G142" s="60" t="s">
        <v>456</v>
      </c>
      <c r="H142" s="31" t="s">
        <v>41</v>
      </c>
      <c r="I142" s="46" t="str">
        <f>HYPERLINK("tag_data/mn140716-2a (Monterey)","Link")</f>
        <v>Link</v>
      </c>
      <c r="J142" s="42" t="str">
        <f>HYPERLINK("tag_data_raw/Monterey/2014_1/mn140716-2","Link")</f>
        <v>Link</v>
      </c>
      <c r="K142" s="54" t="str">
        <f>HYPERLINK("tag_data/mn140716-2a (Monterey)/Pics&amp;Vids","Link")</f>
        <v>Link</v>
      </c>
      <c r="L142" s="54" t="str">
        <f>HYPERLINK("location data/Monterey/2014_1/pics &amp; videos/7.16/16.07.14 deployment 3 (attempt).MP4","Link")</f>
        <v>Link</v>
      </c>
      <c r="M142" s="41" t="s">
        <v>263</v>
      </c>
      <c r="N142" s="46" t="str">
        <f>HYPERLINK("location data/Monterey/2014_1/20140716-ZIP.mdb","Link")</f>
        <v>Link</v>
      </c>
      <c r="O142" s="31" t="s">
        <v>45</v>
      </c>
      <c r="P142" s="31" t="s">
        <v>41</v>
      </c>
      <c r="Q142" s="31">
        <v>2</v>
      </c>
      <c r="R142" s="32" t="s">
        <v>34</v>
      </c>
      <c r="S142" s="32" t="str">
        <f t="shared" si="39"/>
        <v>Cam Mic</v>
      </c>
      <c r="T142" s="32" t="s">
        <v>381</v>
      </c>
      <c r="U142" s="17">
        <f t="shared" si="33"/>
        <v>1.1574073869269341E-4</v>
      </c>
      <c r="V142" s="17">
        <f t="shared" si="38"/>
        <v>1.1574073869269341E-4</v>
      </c>
      <c r="W142" s="56">
        <v>1.1574073869269341E-4</v>
      </c>
      <c r="X142" s="31" t="s">
        <v>263</v>
      </c>
      <c r="Y142" s="31"/>
      <c r="Z142" s="31" t="s">
        <v>41</v>
      </c>
      <c r="AA142" s="31" t="s">
        <v>41</v>
      </c>
      <c r="AB142" s="33" t="s">
        <v>437</v>
      </c>
      <c r="AC142" s="31" t="s">
        <v>41</v>
      </c>
      <c r="AD142" s="31" t="s">
        <v>39</v>
      </c>
      <c r="AE142" s="31" t="s">
        <v>41</v>
      </c>
      <c r="AF142" s="31" t="s">
        <v>41</v>
      </c>
      <c r="AG142" s="31" t="s">
        <v>41</v>
      </c>
      <c r="AH142" s="31" t="s">
        <v>41</v>
      </c>
      <c r="AI142" s="31" t="s">
        <v>41</v>
      </c>
      <c r="AJ142" s="31" t="s">
        <v>41</v>
      </c>
      <c r="AK142" s="31" t="s">
        <v>41</v>
      </c>
      <c r="AL142" s="31" t="s">
        <v>41</v>
      </c>
      <c r="AM142" s="31" t="s">
        <v>380</v>
      </c>
      <c r="AN142" s="32" t="s">
        <v>379</v>
      </c>
      <c r="AO142" s="32" t="s">
        <v>345</v>
      </c>
      <c r="AP142" s="30">
        <v>41836.426793981482</v>
      </c>
      <c r="AQ142" s="30">
        <v>41836.430254629631</v>
      </c>
      <c r="AR142" s="30">
        <v>41836.43037037037</v>
      </c>
      <c r="AS142" s="92" t="s">
        <v>651</v>
      </c>
      <c r="AT142" s="107">
        <v>36.814100000000003</v>
      </c>
      <c r="AU142" s="107">
        <v>-121.8078</v>
      </c>
      <c r="AV142" s="142" t="s">
        <v>339</v>
      </c>
      <c r="AW142" s="106" t="s">
        <v>339</v>
      </c>
      <c r="AX142" s="30">
        <v>41836.433136574073</v>
      </c>
      <c r="AY142" s="107">
        <v>36.814599999999999</v>
      </c>
      <c r="AZ142" s="107">
        <v>-121.8083</v>
      </c>
      <c r="BA142" s="32" t="s">
        <v>382</v>
      </c>
      <c r="BB142" s="32"/>
      <c r="BC142" s="7"/>
      <c r="BD142" s="7"/>
      <c r="BE142" s="67"/>
      <c r="BF142" s="67"/>
      <c r="BG142" s="67"/>
    </row>
    <row r="143" spans="1:59">
      <c r="A143" s="55" t="str">
        <f>HYPERLINK("tag_data/Quicklook/mn140716-2bQuicklook.jpg","mn140716-2b")</f>
        <v>mn140716-2b</v>
      </c>
      <c r="B143" s="26" t="str">
        <f t="shared" si="34"/>
        <v>mn</v>
      </c>
      <c r="C143" s="42" t="str">
        <f t="shared" si="40"/>
        <v>Monterey</v>
      </c>
      <c r="D143" s="64" t="s">
        <v>465</v>
      </c>
      <c r="E143" s="61" t="s">
        <v>466</v>
      </c>
      <c r="F143" s="85">
        <v>-7</v>
      </c>
      <c r="G143" s="60" t="s">
        <v>456</v>
      </c>
      <c r="H143" s="31" t="s">
        <v>39</v>
      </c>
      <c r="I143" s="46" t="str">
        <f>HYPERLINK("tag_data/mn140716-2b (Monterey)","Link")</f>
        <v>Link</v>
      </c>
      <c r="J143" s="42" t="str">
        <f>HYPERLINK("tag_data_raw/Monterey/2014_1/mn140716-2","Link")</f>
        <v>Link</v>
      </c>
      <c r="K143" s="54" t="str">
        <f>HYPERLINK("tag_data/mn140716-2b (Monterey)/Pics&amp;Vids","Link")</f>
        <v>Link</v>
      </c>
      <c r="L143" s="54" t="str">
        <f>HYPERLINK("location data/Monterey/2014_1/pics &amp; videos/7.16/16.07.14 deployment 4 - trimmed.mp4","Link")</f>
        <v>Link</v>
      </c>
      <c r="M143" s="41" t="s">
        <v>263</v>
      </c>
      <c r="N143" s="46" t="str">
        <f>HYPERLINK("location data/Monterey/2014_1/20140716-ZIP.mdb","Link")</f>
        <v>Link</v>
      </c>
      <c r="O143" s="79" t="str">
        <f>HYPERLINK("https://happywhale.com/individual/1392;enc=33683","Flopsy (Raggedy Ann, CRC-10059)")</f>
        <v>Flopsy (Raggedy Ann, CRC-10059)</v>
      </c>
      <c r="P143" s="31" t="s">
        <v>563</v>
      </c>
      <c r="Q143" s="31">
        <v>2</v>
      </c>
      <c r="R143" s="32" t="s">
        <v>34</v>
      </c>
      <c r="S143" s="32" t="str">
        <f t="shared" si="39"/>
        <v>Cam Mic</v>
      </c>
      <c r="T143" s="32" t="s">
        <v>383</v>
      </c>
      <c r="U143" s="17">
        <f t="shared" si="33"/>
        <v>0.32643518518307246</v>
      </c>
      <c r="V143" s="17">
        <f t="shared" si="38"/>
        <v>0.32643518518307246</v>
      </c>
      <c r="W143" s="56">
        <v>0.11538194444444444</v>
      </c>
      <c r="X143" s="31" t="s">
        <v>263</v>
      </c>
      <c r="Y143" s="54" t="str">
        <f>HYPERLINK("tag_data/mn140716-2b (Monterey)/Video Notes.docx","Link")</f>
        <v>Link</v>
      </c>
      <c r="Z143" s="31" t="s">
        <v>39</v>
      </c>
      <c r="AA143" s="31" t="s">
        <v>39</v>
      </c>
      <c r="AB143" s="31" t="s">
        <v>372</v>
      </c>
      <c r="AC143" s="31" t="s">
        <v>41</v>
      </c>
      <c r="AD143" s="31" t="s">
        <v>41</v>
      </c>
      <c r="AE143" s="31" t="s">
        <v>41</v>
      </c>
      <c r="AF143" s="31" t="s">
        <v>39</v>
      </c>
      <c r="AG143" s="31" t="s">
        <v>266</v>
      </c>
      <c r="AH143" s="31" t="s">
        <v>41</v>
      </c>
      <c r="AI143" s="31" t="s">
        <v>41</v>
      </c>
      <c r="AJ143" s="31" t="s">
        <v>39</v>
      </c>
      <c r="AK143" s="31" t="s">
        <v>39</v>
      </c>
      <c r="AL143" s="31" t="s">
        <v>41</v>
      </c>
      <c r="AM143" s="31" t="s">
        <v>41</v>
      </c>
      <c r="AN143" s="32" t="s">
        <v>384</v>
      </c>
      <c r="AO143" s="32" t="s">
        <v>345</v>
      </c>
      <c r="AP143" s="30">
        <v>41836.426793981482</v>
      </c>
      <c r="AQ143" s="30">
        <v>41836.459479166668</v>
      </c>
      <c r="AR143" s="30">
        <v>41836.785914351851</v>
      </c>
      <c r="AS143" s="92" t="s">
        <v>651</v>
      </c>
      <c r="AT143" s="107">
        <v>36.801499999999997</v>
      </c>
      <c r="AU143" s="107">
        <v>-121.8022</v>
      </c>
      <c r="AV143" s="142" t="s">
        <v>339</v>
      </c>
      <c r="AW143" s="106" t="s">
        <v>339</v>
      </c>
      <c r="AX143" s="30">
        <v>41836.795532407406</v>
      </c>
      <c r="AY143" s="107">
        <v>36.798699999999997</v>
      </c>
      <c r="AZ143" s="107">
        <v>-121.7993</v>
      </c>
      <c r="BA143" s="32" t="s">
        <v>385</v>
      </c>
      <c r="BB143" s="49" t="s">
        <v>180</v>
      </c>
      <c r="BC143" s="7"/>
      <c r="BD143" s="7"/>
      <c r="BE143" s="7"/>
      <c r="BF143" s="7"/>
      <c r="BG143" s="7"/>
    </row>
    <row r="144" spans="1:59">
      <c r="A144" s="55" t="str">
        <f>HYPERLINK("tag_data/Quicklook/mn140716-3Quicklook.jpg","mn140716-3")</f>
        <v>mn140716-3</v>
      </c>
      <c r="B144" s="26" t="str">
        <f t="shared" si="34"/>
        <v>mn</v>
      </c>
      <c r="C144" s="42" t="str">
        <f t="shared" si="40"/>
        <v>Monterey</v>
      </c>
      <c r="D144" s="64" t="s">
        <v>465</v>
      </c>
      <c r="E144" s="61" t="s">
        <v>466</v>
      </c>
      <c r="F144" s="85">
        <v>-7</v>
      </c>
      <c r="G144" s="60" t="s">
        <v>456</v>
      </c>
      <c r="H144" s="31" t="s">
        <v>39</v>
      </c>
      <c r="I144" s="42" t="str">
        <f>HYPERLINK("tag_data/mn140716-3 (Monterey)","Link")</f>
        <v>Link</v>
      </c>
      <c r="J144" s="42" t="str">
        <f>HYPERLINK("tag_data_raw/Monterey/2014_1/mn140716-3","Link")</f>
        <v>Link</v>
      </c>
      <c r="K144" s="54" t="str">
        <f>HYPERLINK("tag_data/mn140716-3 (Monterey)/Pics&amp;Vids","Link")</f>
        <v>Link</v>
      </c>
      <c r="L144" s="54" t="str">
        <f>HYPERLINK("location data/Monterey/2014_1/pics &amp; videos/7.16/16.07.14 deployment 2.MP4","Link")</f>
        <v>Link</v>
      </c>
      <c r="M144" s="41" t="s">
        <v>263</v>
      </c>
      <c r="N144" s="46" t="str">
        <f>HYPERLINK("location data/Monterey/2014_1/20140716-ZIP.mdb","Link")</f>
        <v>Link</v>
      </c>
      <c r="O144" s="79" t="str">
        <f>HYPERLINK("https://happywhale.com/individual/146;enc=33682","Batman (Cutfin, CRC-10250)")</f>
        <v>Batman (Cutfin, CRC-10250)</v>
      </c>
      <c r="P144" s="31" t="s">
        <v>712</v>
      </c>
      <c r="Q144" s="31">
        <v>3</v>
      </c>
      <c r="R144" s="32" t="s">
        <v>34</v>
      </c>
      <c r="S144" s="32" t="str">
        <f t="shared" si="39"/>
        <v>Cam Mic</v>
      </c>
      <c r="T144" s="32" t="s">
        <v>371</v>
      </c>
      <c r="U144" s="17">
        <f t="shared" si="33"/>
        <v>0.16152777777460869</v>
      </c>
      <c r="V144" s="17">
        <f t="shared" si="38"/>
        <v>0.16152777777460869</v>
      </c>
      <c r="W144" s="56">
        <v>0.13836805555555556</v>
      </c>
      <c r="X144" s="31" t="s">
        <v>263</v>
      </c>
      <c r="Y144" s="54" t="str">
        <f>HYPERLINK("tag_data/mn140716-3 (Monterey)/Video Notes.docx", "Link")</f>
        <v>Link</v>
      </c>
      <c r="Z144" s="31" t="s">
        <v>39</v>
      </c>
      <c r="AA144" s="31" t="s">
        <v>41</v>
      </c>
      <c r="AB144" s="31" t="s">
        <v>372</v>
      </c>
      <c r="AC144" s="31" t="s">
        <v>41</v>
      </c>
      <c r="AD144" s="31" t="s">
        <v>41</v>
      </c>
      <c r="AE144" s="31" t="s">
        <v>41</v>
      </c>
      <c r="AF144" s="31" t="s">
        <v>39</v>
      </c>
      <c r="AG144" s="31" t="s">
        <v>41</v>
      </c>
      <c r="AH144" s="31" t="s">
        <v>41</v>
      </c>
      <c r="AI144" s="31" t="s">
        <v>41</v>
      </c>
      <c r="AJ144" s="31" t="s">
        <v>39</v>
      </c>
      <c r="AK144" s="31" t="s">
        <v>39</v>
      </c>
      <c r="AL144" s="31" t="s">
        <v>41</v>
      </c>
      <c r="AM144" s="31" t="s">
        <v>377</v>
      </c>
      <c r="AN144" s="32" t="s">
        <v>376</v>
      </c>
      <c r="AO144" s="32" t="s">
        <v>345</v>
      </c>
      <c r="AP144" s="30">
        <v>41836.413437499999</v>
      </c>
      <c r="AQ144" s="30">
        <v>41836.416898148149</v>
      </c>
      <c r="AR144" s="30">
        <v>41836.578425925924</v>
      </c>
      <c r="AS144" s="92" t="s">
        <v>651</v>
      </c>
      <c r="AT144" s="107">
        <v>36.814999999999998</v>
      </c>
      <c r="AU144" s="107">
        <v>-121.8047</v>
      </c>
      <c r="AV144" s="142" t="s">
        <v>339</v>
      </c>
      <c r="AW144" s="106" t="s">
        <v>339</v>
      </c>
      <c r="AX144" s="30">
        <v>41836.776134259257</v>
      </c>
      <c r="AY144" s="107">
        <v>36.736199999999997</v>
      </c>
      <c r="AZ144" s="107">
        <v>-121.8703</v>
      </c>
      <c r="BA144" s="32" t="s">
        <v>375</v>
      </c>
      <c r="BB144" s="49" t="s">
        <v>1296</v>
      </c>
      <c r="BC144" s="7"/>
      <c r="BD144" s="7"/>
      <c r="BE144" s="7"/>
      <c r="BF144" s="7"/>
      <c r="BG144" s="7"/>
    </row>
    <row r="145" spans="1:59">
      <c r="A145" s="55" t="str">
        <f>HYPERLINK("tag_data/Quicklook/mn140716-4Quicklook.jpg","mn140716-4")</f>
        <v>mn140716-4</v>
      </c>
      <c r="B145" s="26" t="str">
        <f t="shared" si="34"/>
        <v>mn</v>
      </c>
      <c r="C145" s="42" t="str">
        <f t="shared" si="40"/>
        <v>Monterey</v>
      </c>
      <c r="D145" s="64" t="s">
        <v>465</v>
      </c>
      <c r="E145" s="61" t="s">
        <v>466</v>
      </c>
      <c r="F145" s="85">
        <v>-7</v>
      </c>
      <c r="G145" s="60" t="s">
        <v>456</v>
      </c>
      <c r="H145" s="31" t="s">
        <v>39</v>
      </c>
      <c r="I145" s="46" t="str">
        <f>HYPERLINK("tag_data/mn140716-4 (Monterey)","Link")</f>
        <v>Link</v>
      </c>
      <c r="J145" s="42" t="str">
        <f>HYPERLINK("tag_data_raw/Monterey/2014_1/mn140716-4","Link")</f>
        <v>Link</v>
      </c>
      <c r="K145" s="54" t="str">
        <f>HYPERLINK("tag_data/mn140716-4 (Monterey)/Pics&amp;Vids","Link")</f>
        <v>Link</v>
      </c>
      <c r="L145" s="54" t="str">
        <f>HYPERLINK("location data/Monterey/2014_1/pics &amp; videos/7.16/16.07.14 deployment 1 - trimmed.mp4","Link")</f>
        <v>Link</v>
      </c>
      <c r="M145" s="41" t="s">
        <v>263</v>
      </c>
      <c r="N145" s="46" t="str">
        <f>HYPERLINK("location data/Monterey/2014_1/20140716-ZIP.mdb","Link")</f>
        <v>Link</v>
      </c>
      <c r="O145" s="31" t="s">
        <v>45</v>
      </c>
      <c r="P145" s="31" t="s">
        <v>41</v>
      </c>
      <c r="Q145" s="31">
        <v>4</v>
      </c>
      <c r="R145" s="32" t="s">
        <v>34</v>
      </c>
      <c r="S145" s="32" t="str">
        <f t="shared" si="39"/>
        <v>Cam Mic</v>
      </c>
      <c r="T145" s="32" t="s">
        <v>371</v>
      </c>
      <c r="U145" s="17">
        <f t="shared" si="33"/>
        <v>1.7824074078816921E-2</v>
      </c>
      <c r="V145" s="17">
        <f t="shared" si="38"/>
        <v>1.7824074078816921E-2</v>
      </c>
      <c r="W145" s="56">
        <v>1.2002314814814815E-2</v>
      </c>
      <c r="X145" s="31" t="s">
        <v>263</v>
      </c>
      <c r="Y145" s="54" t="str">
        <f>HYPERLINK("tag_data/mn140716-4 (Monterey)/Video Notes.docx","Link")</f>
        <v>Link</v>
      </c>
      <c r="Z145" s="31" t="s">
        <v>39</v>
      </c>
      <c r="AA145" s="31" t="s">
        <v>41</v>
      </c>
      <c r="AB145" s="31" t="s">
        <v>372</v>
      </c>
      <c r="AC145" s="31" t="s">
        <v>41</v>
      </c>
      <c r="AD145" s="31" t="s">
        <v>41</v>
      </c>
      <c r="AE145" s="31" t="s">
        <v>41</v>
      </c>
      <c r="AF145" s="31" t="s">
        <v>39</v>
      </c>
      <c r="AG145" s="31" t="s">
        <v>41</v>
      </c>
      <c r="AH145" s="31" t="s">
        <v>41</v>
      </c>
      <c r="AI145" s="31" t="s">
        <v>41</v>
      </c>
      <c r="AJ145" s="31" t="s">
        <v>39</v>
      </c>
      <c r="AK145" s="31" t="s">
        <v>39</v>
      </c>
      <c r="AL145" s="31" t="s">
        <v>41</v>
      </c>
      <c r="AM145" s="31" t="s">
        <v>41</v>
      </c>
      <c r="AN145" s="32" t="s">
        <v>373</v>
      </c>
      <c r="AO145" s="32" t="s">
        <v>345</v>
      </c>
      <c r="AP145" s="30">
        <v>41836.347766203704</v>
      </c>
      <c r="AQ145" s="30">
        <v>41836.351215277777</v>
      </c>
      <c r="AR145" s="30">
        <v>41836.369039351855</v>
      </c>
      <c r="AS145" s="92" t="s">
        <v>651</v>
      </c>
      <c r="AT145" s="107">
        <v>36.801400000000001</v>
      </c>
      <c r="AU145" s="107">
        <v>-121.7948</v>
      </c>
      <c r="AV145" s="142" t="s">
        <v>339</v>
      </c>
      <c r="AW145" s="106" t="s">
        <v>339</v>
      </c>
      <c r="AX145" s="30">
        <v>41836.380601851852</v>
      </c>
      <c r="AY145" s="107">
        <v>36.804099999999998</v>
      </c>
      <c r="AZ145" s="107">
        <v>-121.80540000000001</v>
      </c>
      <c r="BA145" s="32" t="s">
        <v>374</v>
      </c>
      <c r="BB145" s="49" t="s">
        <v>179</v>
      </c>
      <c r="BC145" s="7"/>
      <c r="BD145" s="7"/>
      <c r="BE145" s="7"/>
      <c r="BF145" s="7"/>
      <c r="BG145" s="7"/>
    </row>
    <row r="146" spans="1:59">
      <c r="A146" s="55" t="str">
        <f>HYPERLINK("tag_data/Quicklook/mn140721-3Quicklook.jpg","mn140721-3")</f>
        <v>mn140721-3</v>
      </c>
      <c r="B146" s="26" t="str">
        <f t="shared" si="34"/>
        <v>mn</v>
      </c>
      <c r="C146" s="42" t="str">
        <f t="shared" si="40"/>
        <v>Monterey</v>
      </c>
      <c r="D146" s="64" t="s">
        <v>465</v>
      </c>
      <c r="E146" s="61" t="s">
        <v>466</v>
      </c>
      <c r="F146" s="85">
        <v>-7</v>
      </c>
      <c r="G146" s="60" t="s">
        <v>456</v>
      </c>
      <c r="H146" s="31" t="s">
        <v>39</v>
      </c>
      <c r="I146" s="42" t="str">
        <f>HYPERLINK("tag_data/mn140721-3 (Monterey)","Link")</f>
        <v>Link</v>
      </c>
      <c r="J146" s="42" t="str">
        <f>HYPERLINK("tag_data_raw/Monterey/2014_1/mn140721-3","Link")</f>
        <v>Link</v>
      </c>
      <c r="K146" s="54" t="str">
        <f>HYPERLINK("tag_data/mn140721-3 (Monterey)/Pics&amp;Vids","Link")</f>
        <v>Link</v>
      </c>
      <c r="L146" s="54" t="str">
        <f>HYPERLINK("location data/Monterey/2014_1/pics &amp; videos/7.21/21.07.14 deployment 2 - trimmed.mp4","Link")</f>
        <v>Link</v>
      </c>
      <c r="M146" s="41" t="s">
        <v>263</v>
      </c>
      <c r="N146" s="46" t="str">
        <f>HYPERLINK("location data/Monterey/2014_1/20140721-ZIP.mdb","Link")</f>
        <v>Link</v>
      </c>
      <c r="O146" s="79" t="str">
        <f>HYPERLINK("https://happywhale.com/individual/16;enc=33684","Cookie Monster (Crow's Foot, CRC-11248, FIBB-4BB171)")</f>
        <v>Cookie Monster (Crow's Foot, CRC-11248, FIBB-4BB171)</v>
      </c>
      <c r="P146" s="31" t="s">
        <v>563</v>
      </c>
      <c r="Q146" s="31">
        <v>3</v>
      </c>
      <c r="R146" s="32" t="s">
        <v>34</v>
      </c>
      <c r="S146" s="32" t="str">
        <f t="shared" si="39"/>
        <v>Cam Mic</v>
      </c>
      <c r="T146" s="32" t="s">
        <v>389</v>
      </c>
      <c r="U146" s="17">
        <f t="shared" si="33"/>
        <v>6.7754629628325347E-2</v>
      </c>
      <c r="V146" s="17">
        <f t="shared" si="38"/>
        <v>6.7754629628325347E-2</v>
      </c>
      <c r="W146" s="56">
        <v>4.6076388888888882E-2</v>
      </c>
      <c r="X146" s="31" t="s">
        <v>263</v>
      </c>
      <c r="Y146" s="54" t="str">
        <f>HYPERLINK("tag_data/mn140721-3 (Monterey)/Video Notes.docx","Link")</f>
        <v>Link</v>
      </c>
      <c r="Z146" s="31" t="s">
        <v>39</v>
      </c>
      <c r="AA146" s="31" t="s">
        <v>41</v>
      </c>
      <c r="AB146" s="31" t="s">
        <v>266</v>
      </c>
      <c r="AC146" s="31" t="s">
        <v>41</v>
      </c>
      <c r="AD146" s="31" t="s">
        <v>41</v>
      </c>
      <c r="AE146" s="31" t="s">
        <v>41</v>
      </c>
      <c r="AF146" s="31" t="s">
        <v>39</v>
      </c>
      <c r="AG146" s="31" t="s">
        <v>41</v>
      </c>
      <c r="AH146" s="31" t="s">
        <v>41</v>
      </c>
      <c r="AI146" s="31" t="s">
        <v>41</v>
      </c>
      <c r="AJ146" s="31" t="s">
        <v>39</v>
      </c>
      <c r="AK146" s="31" t="s">
        <v>39</v>
      </c>
      <c r="AL146" s="31" t="s">
        <v>41</v>
      </c>
      <c r="AM146" s="31" t="s">
        <v>377</v>
      </c>
      <c r="AN146" s="32" t="s">
        <v>390</v>
      </c>
      <c r="AO146" s="32" t="s">
        <v>345</v>
      </c>
      <c r="AP146" s="30">
        <v>41841.385138888887</v>
      </c>
      <c r="AQ146" s="30">
        <v>41841.387233796297</v>
      </c>
      <c r="AR146" s="30">
        <v>41841.454988425925</v>
      </c>
      <c r="AS146" s="92" t="s">
        <v>651</v>
      </c>
      <c r="AT146" s="107">
        <v>36.801900000000003</v>
      </c>
      <c r="AU146" s="107">
        <v>-121.80549999999999</v>
      </c>
      <c r="AV146" s="142" t="s">
        <v>339</v>
      </c>
      <c r="AW146" s="106" t="s">
        <v>339</v>
      </c>
      <c r="AX146" s="30">
        <v>41841.79315972222</v>
      </c>
      <c r="AY146" s="107">
        <v>36.832900000000002</v>
      </c>
      <c r="AZ146" s="107">
        <v>-121.8502</v>
      </c>
      <c r="BA146" s="32" t="s">
        <v>391</v>
      </c>
      <c r="BB146" s="49" t="s">
        <v>178</v>
      </c>
      <c r="BC146" s="7"/>
      <c r="BD146" s="7"/>
      <c r="BE146" s="7"/>
      <c r="BF146" s="7"/>
      <c r="BG146" s="7"/>
    </row>
    <row r="147" spans="1:59" s="16" customFormat="1">
      <c r="A147" s="55" t="str">
        <f>HYPERLINK("tag_data/Quicklook/mn140721-4Quicklook.jpg","mn140721-4")</f>
        <v>mn140721-4</v>
      </c>
      <c r="B147" s="26" t="str">
        <f t="shared" si="34"/>
        <v>mn</v>
      </c>
      <c r="C147" s="42" t="str">
        <f t="shared" si="40"/>
        <v>Monterey</v>
      </c>
      <c r="D147" s="64" t="s">
        <v>465</v>
      </c>
      <c r="E147" s="61" t="s">
        <v>466</v>
      </c>
      <c r="F147" s="85">
        <v>-7</v>
      </c>
      <c r="G147" s="60" t="s">
        <v>456</v>
      </c>
      <c r="H147" s="31" t="s">
        <v>39</v>
      </c>
      <c r="I147" s="42" t="str">
        <f>HYPERLINK("tag_data/mn140721-4 (Monterey)","Link")</f>
        <v>Link</v>
      </c>
      <c r="J147" s="42" t="str">
        <f>HYPERLINK("tag_data_raw/Monterey/2014_1/mn140721-4","Link")</f>
        <v>Link</v>
      </c>
      <c r="K147" s="54" t="str">
        <f>HYPERLINK("tag_data/mn140721-4 (Monterey)/Pics&amp;Vids","Link")</f>
        <v>Link</v>
      </c>
      <c r="L147" s="54" t="str">
        <f>HYPERLINK("location data/Monterey/2014_1/pics &amp; videos/7.21/21.07.14 deployment 1 - trimmed.mp4","Link")</f>
        <v>Link</v>
      </c>
      <c r="M147" s="41" t="s">
        <v>263</v>
      </c>
      <c r="N147" s="46" t="str">
        <f>HYPERLINK("location data/Monterey/2014_1/20140721-ZIP.mdb","Link")</f>
        <v>Link</v>
      </c>
      <c r="O147" s="79" t="str">
        <f>HYPERLINK("https://happywhale.com/individual/1095;enc=33685","Sketch (CRC-15406)")</f>
        <v>Sketch (CRC-15406)</v>
      </c>
      <c r="P147" s="31" t="s">
        <v>41</v>
      </c>
      <c r="Q147" s="31">
        <v>4</v>
      </c>
      <c r="R147" s="32" t="s">
        <v>34</v>
      </c>
      <c r="S147" s="32" t="str">
        <f t="shared" si="39"/>
        <v>Cam Mic</v>
      </c>
      <c r="T147" s="32" t="s">
        <v>115</v>
      </c>
      <c r="U147" s="17">
        <f t="shared" si="33"/>
        <v>4.03703703705105E-2</v>
      </c>
      <c r="V147" s="17">
        <f t="shared" si="38"/>
        <v>4.03703703705105E-2</v>
      </c>
      <c r="W147" s="56">
        <v>2.2523148148148143E-2</v>
      </c>
      <c r="X147" s="31" t="s">
        <v>263</v>
      </c>
      <c r="Y147" s="31"/>
      <c r="Z147" s="31" t="s">
        <v>39</v>
      </c>
      <c r="AA147" s="31" t="s">
        <v>41</v>
      </c>
      <c r="AB147" s="31" t="s">
        <v>266</v>
      </c>
      <c r="AC147" s="31" t="s">
        <v>41</v>
      </c>
      <c r="AD147" s="31" t="s">
        <v>39</v>
      </c>
      <c r="AE147" s="31" t="s">
        <v>41</v>
      </c>
      <c r="AF147" s="31" t="s">
        <v>39</v>
      </c>
      <c r="AG147" s="31" t="s">
        <v>41</v>
      </c>
      <c r="AH147" s="31" t="s">
        <v>41</v>
      </c>
      <c r="AI147" s="31" t="s">
        <v>41</v>
      </c>
      <c r="AJ147" s="31" t="s">
        <v>39</v>
      </c>
      <c r="AK147" s="31" t="s">
        <v>39</v>
      </c>
      <c r="AL147" s="31" t="s">
        <v>41</v>
      </c>
      <c r="AM147" s="31" t="s">
        <v>41</v>
      </c>
      <c r="AN147" s="32" t="s">
        <v>386</v>
      </c>
      <c r="AO147" s="32" t="s">
        <v>345</v>
      </c>
      <c r="AP147" s="30">
        <v>41841.3672337963</v>
      </c>
      <c r="AQ147" s="30">
        <v>41841.36986111111</v>
      </c>
      <c r="AR147" s="30">
        <v>41841.410231481481</v>
      </c>
      <c r="AS147" s="92" t="s">
        <v>651</v>
      </c>
      <c r="AT147" s="107">
        <v>36.805199999999999</v>
      </c>
      <c r="AU147" s="107">
        <v>-121.8047</v>
      </c>
      <c r="AV147" s="142" t="s">
        <v>339</v>
      </c>
      <c r="AW147" s="106" t="s">
        <v>341</v>
      </c>
      <c r="AX147" s="30">
        <v>41841.610810185186</v>
      </c>
      <c r="AY147" s="107">
        <f>36+48/60+19.3/60/60</f>
        <v>36.805361111111111</v>
      </c>
      <c r="AZ147" s="107">
        <f>-121-0.783333333333333-0.333333333333333/60</f>
        <v>-121.78888888888889</v>
      </c>
      <c r="BA147" s="32" t="s">
        <v>387</v>
      </c>
      <c r="BB147" s="49" t="s">
        <v>177</v>
      </c>
      <c r="BC147" s="7"/>
      <c r="BD147" s="7"/>
      <c r="BE147" s="67"/>
      <c r="BF147" s="67"/>
      <c r="BG147" s="67"/>
    </row>
    <row r="148" spans="1:59">
      <c r="A148" s="55" t="str">
        <f>HYPERLINK("tag_data/Quicklook/mn140813-2Quicklook.jpg","mn140813-2")</f>
        <v>mn140813-2</v>
      </c>
      <c r="B148" s="26" t="str">
        <f t="shared" si="34"/>
        <v>mn</v>
      </c>
      <c r="C148" s="42" t="str">
        <f>HYPERLINK("location data/Monterey/2014_2/","Monterey")</f>
        <v>Monterey</v>
      </c>
      <c r="D148" s="64" t="s">
        <v>465</v>
      </c>
      <c r="E148" s="61" t="s">
        <v>466</v>
      </c>
      <c r="F148" s="85">
        <v>-7</v>
      </c>
      <c r="G148" s="60" t="s">
        <v>456</v>
      </c>
      <c r="H148" s="31" t="s">
        <v>39</v>
      </c>
      <c r="I148" s="42" t="str">
        <f>HYPERLINK("tag_data/mn140813-2 (Monterey)","Link")</f>
        <v>Link</v>
      </c>
      <c r="J148" s="42" t="str">
        <f>HYPERLINK("tag_data_raw/Monterey/2014_2/mn140813-2","Link")</f>
        <v>Link</v>
      </c>
      <c r="K148" s="54" t="str">
        <f>HYPERLINK("tag_data/mn140813-2 (Monterey)/Pics&amp;Vids","Link")</f>
        <v>Link</v>
      </c>
      <c r="L148" s="54" t="str">
        <f>HYPERLINK("location data/Monterey/2014_2/8.13 Pictures/8.13 Go Pro/GOPR0456approach2.MP4","Link")</f>
        <v>Link</v>
      </c>
      <c r="M148" s="41" t="s">
        <v>263</v>
      </c>
      <c r="N148" s="31" t="s">
        <v>263</v>
      </c>
      <c r="O148" s="79" t="str">
        <f>HYPERLINK("https://happywhale.com/individual/692;enc=33686;event=90355","CRC-15589 (MN0500285)")</f>
        <v>CRC-15589 (MN0500285)</v>
      </c>
      <c r="P148" s="31" t="s">
        <v>41</v>
      </c>
      <c r="Q148" s="31">
        <v>2</v>
      </c>
      <c r="R148" s="32" t="s">
        <v>34</v>
      </c>
      <c r="S148" s="32" t="str">
        <f t="shared" si="39"/>
        <v>Cam Mic</v>
      </c>
      <c r="T148" s="32" t="s">
        <v>328</v>
      </c>
      <c r="U148" s="17">
        <f t="shared" si="33"/>
        <v>6.3287037031841464E-2</v>
      </c>
      <c r="V148" s="17">
        <f t="shared" si="38"/>
        <v>6.3287037031841464E-2</v>
      </c>
      <c r="W148" s="56">
        <v>4.987268518518518E-2</v>
      </c>
      <c r="X148" s="31" t="s">
        <v>263</v>
      </c>
      <c r="Y148" s="54" t="str">
        <f>HYPERLINK("tag_data/mn140813-2 (Monterey)/Video Notes.docx","Link")</f>
        <v>Link</v>
      </c>
      <c r="Z148" s="31" t="s">
        <v>41</v>
      </c>
      <c r="AA148" s="31" t="s">
        <v>41</v>
      </c>
      <c r="AB148" s="31" t="s">
        <v>263</v>
      </c>
      <c r="AC148" s="31" t="s">
        <v>41</v>
      </c>
      <c r="AD148" s="31" t="s">
        <v>41</v>
      </c>
      <c r="AE148" s="31" t="s">
        <v>39</v>
      </c>
      <c r="AF148" s="31" t="s">
        <v>39</v>
      </c>
      <c r="AG148" s="31" t="s">
        <v>39</v>
      </c>
      <c r="AH148" s="31" t="s">
        <v>41</v>
      </c>
      <c r="AI148" s="31" t="s">
        <v>41</v>
      </c>
      <c r="AJ148" s="31" t="s">
        <v>39</v>
      </c>
      <c r="AK148" s="31" t="s">
        <v>41</v>
      </c>
      <c r="AL148" s="31" t="s">
        <v>41</v>
      </c>
      <c r="AM148" s="31" t="s">
        <v>377</v>
      </c>
      <c r="AN148" s="32" t="s">
        <v>413</v>
      </c>
      <c r="AO148" s="32" t="s">
        <v>345</v>
      </c>
      <c r="AP148" s="30">
        <v>41864.384930555556</v>
      </c>
      <c r="AQ148" s="30">
        <v>41864.422881944447</v>
      </c>
      <c r="AR148" s="30">
        <v>41864.486168981479</v>
      </c>
      <c r="AS148" s="92" t="s">
        <v>651</v>
      </c>
      <c r="AT148" s="107">
        <f>36+47/60+57/60/60</f>
        <v>36.799166666666665</v>
      </c>
      <c r="AU148" s="107">
        <f>-121-49/60-2/60/60</f>
        <v>-121.81722222222221</v>
      </c>
      <c r="AV148" s="142" t="s">
        <v>312</v>
      </c>
      <c r="AW148" s="142" t="s">
        <v>312</v>
      </c>
      <c r="AX148" s="30">
        <v>41864.6</v>
      </c>
      <c r="AY148" s="107">
        <v>36.797199999999997</v>
      </c>
      <c r="AZ148" s="107">
        <v>-121.822</v>
      </c>
      <c r="BA148" s="32" t="s">
        <v>412</v>
      </c>
      <c r="BB148" s="49" t="s">
        <v>176</v>
      </c>
      <c r="BC148" s="7"/>
      <c r="BD148" s="7"/>
      <c r="BE148" s="7"/>
      <c r="BF148" s="7"/>
      <c r="BG148" s="7"/>
    </row>
    <row r="149" spans="1:59">
      <c r="A149" s="55" t="str">
        <f>HYPERLINK("tag_data/Quicklook/mn140815-2Quicklook.jpg","mn140815-2")</f>
        <v>mn140815-2</v>
      </c>
      <c r="B149" s="26" t="str">
        <f t="shared" si="34"/>
        <v>mn</v>
      </c>
      <c r="C149" s="42" t="str">
        <f>HYPERLINK("location data/Monterey/2014_2/","Monterey")</f>
        <v>Monterey</v>
      </c>
      <c r="D149" s="64" t="s">
        <v>465</v>
      </c>
      <c r="E149" s="61" t="s">
        <v>466</v>
      </c>
      <c r="F149" s="85">
        <v>-7</v>
      </c>
      <c r="G149" s="60" t="s">
        <v>456</v>
      </c>
      <c r="H149" s="31" t="s">
        <v>39</v>
      </c>
      <c r="I149" s="42" t="str">
        <f>HYPERLINK("tag_data/mn140815-2 (Monterey)","Link")</f>
        <v>Link</v>
      </c>
      <c r="J149" s="42" t="str">
        <f>HYPERLINK("tag_data_raw/Monterey/2014_2/mn140815-2","Link")</f>
        <v>Link</v>
      </c>
      <c r="K149" s="54" t="str">
        <f>HYPERLINK("tag_data/mn140815-2 (Monterey)/Pics&amp;Vids","Link")</f>
        <v>Link</v>
      </c>
      <c r="L149" s="54" t="str">
        <f>HYPERLINK("location data/Monterey/2014_2/8.15 Pictures/8.15 Go Pro/GOPR0494-deploy1JohnLee.MP4","Link")</f>
        <v>Link</v>
      </c>
      <c r="M149" s="41" t="s">
        <v>263</v>
      </c>
      <c r="N149" s="31" t="s">
        <v>263</v>
      </c>
      <c r="O149" s="31" t="s">
        <v>45</v>
      </c>
      <c r="P149" s="31" t="s">
        <v>41</v>
      </c>
      <c r="Q149" s="31">
        <v>2</v>
      </c>
      <c r="R149" s="32" t="s">
        <v>34</v>
      </c>
      <c r="S149" s="32" t="str">
        <f t="shared" si="39"/>
        <v>Cam Mic</v>
      </c>
      <c r="T149" s="32" t="s">
        <v>403</v>
      </c>
      <c r="U149" s="17">
        <f t="shared" si="33"/>
        <v>0.42403935184847796</v>
      </c>
      <c r="V149" s="17">
        <f t="shared" si="38"/>
        <v>0.42403935184847796</v>
      </c>
      <c r="W149" s="56">
        <v>0.16737268518518519</v>
      </c>
      <c r="X149" s="31" t="s">
        <v>263</v>
      </c>
      <c r="Y149" s="54" t="str">
        <f>HYPERLINK("tag_data/mn140815-2 (Monterey)/Video Notes.docx","Link")</f>
        <v>Link</v>
      </c>
      <c r="Z149" s="31" t="s">
        <v>39</v>
      </c>
      <c r="AA149" s="31" t="s">
        <v>39</v>
      </c>
      <c r="AB149" s="31" t="s">
        <v>372</v>
      </c>
      <c r="AC149" s="31" t="s">
        <v>41</v>
      </c>
      <c r="AD149" s="31" t="s">
        <v>39</v>
      </c>
      <c r="AE149" s="31" t="s">
        <v>39</v>
      </c>
      <c r="AF149" s="31" t="s">
        <v>39</v>
      </c>
      <c r="AG149" s="31" t="s">
        <v>290</v>
      </c>
      <c r="AH149" s="31" t="s">
        <v>41</v>
      </c>
      <c r="AI149" s="31" t="s">
        <v>41</v>
      </c>
      <c r="AJ149" s="31" t="s">
        <v>41</v>
      </c>
      <c r="AK149" s="31" t="s">
        <v>39</v>
      </c>
      <c r="AL149" s="31" t="s">
        <v>41</v>
      </c>
      <c r="AM149" s="31" t="s">
        <v>41</v>
      </c>
      <c r="AN149" s="32" t="s">
        <v>414</v>
      </c>
      <c r="AO149" s="32" t="s">
        <v>345</v>
      </c>
      <c r="AP149" s="30">
        <v>41866.27443287037</v>
      </c>
      <c r="AQ149" s="30">
        <v>41866.373113425929</v>
      </c>
      <c r="AR149" s="30">
        <v>41866.797152777777</v>
      </c>
      <c r="AS149" s="92" t="s">
        <v>651</v>
      </c>
      <c r="AT149" s="107">
        <v>36.808900000000001</v>
      </c>
      <c r="AU149" s="107">
        <v>-121.842</v>
      </c>
      <c r="AV149" s="142" t="s">
        <v>312</v>
      </c>
      <c r="AW149" s="143" t="s">
        <v>859</v>
      </c>
      <c r="AX149" s="30">
        <v>41867.677453703705</v>
      </c>
      <c r="AY149" s="107" t="s">
        <v>419</v>
      </c>
      <c r="AZ149" s="107" t="s">
        <v>419</v>
      </c>
      <c r="BA149" s="32" t="s">
        <v>415</v>
      </c>
      <c r="BB149" s="49" t="s">
        <v>174</v>
      </c>
      <c r="BC149" s="7"/>
      <c r="BD149" s="7"/>
      <c r="BE149" s="7"/>
      <c r="BF149" s="7"/>
      <c r="BG149" s="7"/>
    </row>
    <row r="150" spans="1:59" s="16" customFormat="1">
      <c r="A150" s="55" t="str">
        <f>HYPERLINK("tag_data/Quicklook/mn140815-3Quicklook.jpg","mn140815-3")</f>
        <v>mn140815-3</v>
      </c>
      <c r="B150" s="26" t="str">
        <f t="shared" si="34"/>
        <v>mn</v>
      </c>
      <c r="C150" s="42" t="str">
        <f>HYPERLINK("location data/Monterey/2014_2/","Monterey")</f>
        <v>Monterey</v>
      </c>
      <c r="D150" s="64" t="s">
        <v>465</v>
      </c>
      <c r="E150" s="61" t="s">
        <v>466</v>
      </c>
      <c r="F150" s="85">
        <v>-7</v>
      </c>
      <c r="G150" s="60" t="s">
        <v>456</v>
      </c>
      <c r="H150" s="31" t="s">
        <v>39</v>
      </c>
      <c r="I150" s="42" t="str">
        <f>HYPERLINK("tag_data/mn140815-3 (Monterey)","Link")</f>
        <v>Link</v>
      </c>
      <c r="J150" s="42" t="str">
        <f>HYPERLINK("tag_data_raw/Monterey/2014_2/mn140815-3","Link")</f>
        <v>Link</v>
      </c>
      <c r="K150" s="54" t="str">
        <f>HYPERLINK("tag_data/mn140815-3 (Monterey)/Pics&amp;Vids","Link")</f>
        <v>Link</v>
      </c>
      <c r="L150" s="54" t="str">
        <f>HYPERLINK("location data/Monterey/2014_2/8.15 Pictures/8.15 Go Pro/GOPR0501-deploy2PegLeg.MP4","Link")</f>
        <v>Link</v>
      </c>
      <c r="M150" s="41" t="s">
        <v>263</v>
      </c>
      <c r="N150" s="31" t="s">
        <v>263</v>
      </c>
      <c r="O150" s="79" t="str">
        <f>HYPERLINK("https://happywhale.com/individual/264;enc=33687","Aurora (CRC-15216)")</f>
        <v>Aurora (CRC-15216)</v>
      </c>
      <c r="P150" s="31" t="s">
        <v>563</v>
      </c>
      <c r="Q150" s="31">
        <v>3</v>
      </c>
      <c r="R150" s="32" t="s">
        <v>34</v>
      </c>
      <c r="S150" s="32" t="str">
        <f t="shared" si="39"/>
        <v>Cam Mic</v>
      </c>
      <c r="T150" s="32" t="s">
        <v>63</v>
      </c>
      <c r="U150" s="17">
        <f t="shared" si="33"/>
        <v>8.0150462963501923E-2</v>
      </c>
      <c r="V150" s="17">
        <f t="shared" si="38"/>
        <v>8.0150462963501923E-2</v>
      </c>
      <c r="W150" s="56">
        <v>4.0185185185185185E-2</v>
      </c>
      <c r="X150" s="31" t="s">
        <v>263</v>
      </c>
      <c r="Y150" s="54"/>
      <c r="Z150" s="31" t="s">
        <v>39</v>
      </c>
      <c r="AA150" s="31" t="s">
        <v>41</v>
      </c>
      <c r="AB150" s="31" t="s">
        <v>372</v>
      </c>
      <c r="AC150" s="31" t="s">
        <v>41</v>
      </c>
      <c r="AD150" s="31" t="s">
        <v>41</v>
      </c>
      <c r="AE150" s="31" t="s">
        <v>39</v>
      </c>
      <c r="AF150" s="31" t="s">
        <v>39</v>
      </c>
      <c r="AG150" s="31" t="s">
        <v>41</v>
      </c>
      <c r="AH150" s="31" t="s">
        <v>41</v>
      </c>
      <c r="AI150" s="31" t="s">
        <v>41</v>
      </c>
      <c r="AJ150" s="31" t="s">
        <v>41</v>
      </c>
      <c r="AK150" s="31" t="s">
        <v>41</v>
      </c>
      <c r="AL150" s="31" t="s">
        <v>41</v>
      </c>
      <c r="AM150" s="31" t="s">
        <v>418</v>
      </c>
      <c r="AN150" s="32" t="s">
        <v>416</v>
      </c>
      <c r="AO150" s="32" t="s">
        <v>345</v>
      </c>
      <c r="AP150" s="30">
        <v>41866.374490740738</v>
      </c>
      <c r="AQ150" s="30">
        <v>41866.412812499999</v>
      </c>
      <c r="AR150" s="30">
        <v>41866.492962962962</v>
      </c>
      <c r="AS150" s="92" t="s">
        <v>651</v>
      </c>
      <c r="AT150" s="107">
        <f>36+48/60+38.15/60/60</f>
        <v>36.810597222222221</v>
      </c>
      <c r="AU150" s="107">
        <f>-121-49/60-13.06/60/60</f>
        <v>-121.82029444444444</v>
      </c>
      <c r="AV150" s="142" t="s">
        <v>312</v>
      </c>
      <c r="AW150" s="142" t="s">
        <v>312</v>
      </c>
      <c r="AX150" s="92" t="s">
        <v>419</v>
      </c>
      <c r="AY150" s="107" t="s">
        <v>419</v>
      </c>
      <c r="AZ150" s="107" t="s">
        <v>419</v>
      </c>
      <c r="BA150" s="32" t="s">
        <v>417</v>
      </c>
      <c r="BB150" s="49" t="s">
        <v>175</v>
      </c>
      <c r="BC150" s="7"/>
      <c r="BD150" s="7"/>
      <c r="BE150" s="67"/>
      <c r="BF150" s="67"/>
      <c r="BG150" s="67"/>
    </row>
    <row r="151" spans="1:59" s="16" customFormat="1">
      <c r="A151" s="7" t="s">
        <v>168</v>
      </c>
      <c r="B151" s="26" t="str">
        <f t="shared" si="34"/>
        <v>mn</v>
      </c>
      <c r="C151" s="42" t="str">
        <f>HYPERLINK("location data/Monterey/2014_2/","Monterey")</f>
        <v>Monterey</v>
      </c>
      <c r="D151" s="64" t="s">
        <v>465</v>
      </c>
      <c r="E151" s="61" t="s">
        <v>466</v>
      </c>
      <c r="F151" s="85">
        <v>-7</v>
      </c>
      <c r="G151" s="60" t="s">
        <v>456</v>
      </c>
      <c r="H151" s="31" t="s">
        <v>41</v>
      </c>
      <c r="I151" s="42" t="str">
        <f>HYPERLINK("tag_data/mn140815-4 (Monterey- no prh)","Link")</f>
        <v>Link</v>
      </c>
      <c r="J151" s="42" t="str">
        <f>HYPERLINK("tag_data_raw/Monterey/2014_2/mn140815-4 (no prh)","Link")</f>
        <v>Link</v>
      </c>
      <c r="K151" s="54" t="str">
        <f>HYPERLINK("tag_data/mn140815-4 (Monterey- no prh)/Pics&amp;Vids","Link")</f>
        <v>Link</v>
      </c>
      <c r="L151" s="54" t="str">
        <f>HYPERLINK("location data/Monterey/2014_2/8.15 Pictures/8.15 Go Pro/GOPR0502-deploy3FickleBeast.MP4","Link")</f>
        <v>Link</v>
      </c>
      <c r="M151" s="41" t="s">
        <v>263</v>
      </c>
      <c r="N151" s="31" t="s">
        <v>263</v>
      </c>
      <c r="O151" s="31" t="s">
        <v>45</v>
      </c>
      <c r="P151" s="31" t="s">
        <v>41</v>
      </c>
      <c r="Q151" s="31">
        <v>4</v>
      </c>
      <c r="R151" s="32" t="s">
        <v>34</v>
      </c>
      <c r="S151" s="32" t="str">
        <f t="shared" si="39"/>
        <v>Cam Mic</v>
      </c>
      <c r="T151" s="32" t="s">
        <v>329</v>
      </c>
      <c r="U151" s="17">
        <f t="shared" si="33"/>
        <v>4.6296296932268888E-4</v>
      </c>
      <c r="V151" s="17">
        <f t="shared" si="38"/>
        <v>4.6296296932268888E-4</v>
      </c>
      <c r="W151" s="56">
        <f>V151</f>
        <v>4.6296296932268888E-4</v>
      </c>
      <c r="X151" s="31" t="s">
        <v>263</v>
      </c>
      <c r="Y151" s="54"/>
      <c r="Z151" s="31" t="s">
        <v>41</v>
      </c>
      <c r="AA151" s="31" t="s">
        <v>41</v>
      </c>
      <c r="AB151" s="31" t="s">
        <v>263</v>
      </c>
      <c r="AC151" s="31" t="s">
        <v>41</v>
      </c>
      <c r="AD151" s="31" t="s">
        <v>41</v>
      </c>
      <c r="AE151" s="31" t="s">
        <v>41</v>
      </c>
      <c r="AF151" s="31" t="s">
        <v>41</v>
      </c>
      <c r="AG151" s="31" t="s">
        <v>41</v>
      </c>
      <c r="AH151" s="31" t="s">
        <v>41</v>
      </c>
      <c r="AI151" s="31" t="s">
        <v>41</v>
      </c>
      <c r="AJ151" s="31" t="s">
        <v>41</v>
      </c>
      <c r="AK151" s="31" t="s">
        <v>41</v>
      </c>
      <c r="AL151" s="31" t="s">
        <v>41</v>
      </c>
      <c r="AM151" s="31" t="s">
        <v>41</v>
      </c>
      <c r="AN151" s="32" t="s">
        <v>420</v>
      </c>
      <c r="AO151" s="32" t="s">
        <v>345</v>
      </c>
      <c r="AP151" s="30">
        <v>41866.414849537039</v>
      </c>
      <c r="AQ151" s="30">
        <v>41866.418530092589</v>
      </c>
      <c r="AR151" s="30">
        <v>41866.418993055559</v>
      </c>
      <c r="AS151" s="92" t="s">
        <v>651</v>
      </c>
      <c r="AT151" s="107">
        <f>36+48/60+38.15/60/60</f>
        <v>36.810597222222221</v>
      </c>
      <c r="AU151" s="107">
        <f>-121-49/60-13.06/60/60</f>
        <v>-121.82029444444444</v>
      </c>
      <c r="AV151" s="142" t="s">
        <v>312</v>
      </c>
      <c r="AW151" s="142" t="s">
        <v>312</v>
      </c>
      <c r="AX151" s="30">
        <v>41866.423611111109</v>
      </c>
      <c r="AY151" s="107">
        <f>36+48/60+38.15/60/60</f>
        <v>36.810597222222221</v>
      </c>
      <c r="AZ151" s="107">
        <f>-121-49/60-13.06/60/60</f>
        <v>-121.82029444444444</v>
      </c>
      <c r="BA151" s="32" t="s">
        <v>421</v>
      </c>
      <c r="BB151" s="32"/>
      <c r="BC151" s="7"/>
      <c r="BD151" s="7"/>
      <c r="BE151" s="67"/>
      <c r="BF151" s="67"/>
      <c r="BG151" s="67"/>
    </row>
    <row r="152" spans="1:59">
      <c r="A152" s="55" t="str">
        <f>HYPERLINK("tag_data/Quicklook/mn150321-3Quicklook.jpg","mn150321-3")</f>
        <v>mn150321-3</v>
      </c>
      <c r="B152" s="26" t="str">
        <f t="shared" si="34"/>
        <v>mn</v>
      </c>
      <c r="C152" s="46" t="str">
        <f>HYPERLINK("location data/Antarctic/2015/","Antarctic")</f>
        <v>Antarctic</v>
      </c>
      <c r="D152" s="64" t="s">
        <v>641</v>
      </c>
      <c r="E152" s="61" t="s">
        <v>656</v>
      </c>
      <c r="F152" s="85">
        <v>-3</v>
      </c>
      <c r="G152" s="59" t="s">
        <v>459</v>
      </c>
      <c r="H152" s="31" t="s">
        <v>39</v>
      </c>
      <c r="I152" s="42" t="str">
        <f>HYPERLINK("tag_data/mn150321-3 (Antarctic)","Link")</f>
        <v>Link</v>
      </c>
      <c r="J152" s="42" t="str">
        <f>HYPERLINK("tag_data_raw/Antarctic/2015/mn150321-3","Link")</f>
        <v>Link</v>
      </c>
      <c r="K152" s="54" t="str">
        <f>HYPERLINK("tag_data/mn150321-3 (Antarctic)/Pics&amp;Vids/","Link")</f>
        <v>Link</v>
      </c>
      <c r="L152" s="54" t="str">
        <f>HYPERLINK("location data/Antarctic/2015/Whale Tagging in Wilhelmina.mp4","Link")</f>
        <v>Link</v>
      </c>
      <c r="M152" s="41" t="s">
        <v>263</v>
      </c>
      <c r="N152" s="31" t="s">
        <v>263</v>
      </c>
      <c r="O152" s="31" t="s">
        <v>45</v>
      </c>
      <c r="P152" s="31" t="s">
        <v>266</v>
      </c>
      <c r="Q152" s="31">
        <v>3</v>
      </c>
      <c r="R152" s="32" t="s">
        <v>34</v>
      </c>
      <c r="S152" s="32" t="str">
        <f t="shared" si="39"/>
        <v>Cam Mic</v>
      </c>
      <c r="T152" s="32" t="s">
        <v>63</v>
      </c>
      <c r="U152" s="17">
        <f t="shared" si="33"/>
        <v>0.24696759258949896</v>
      </c>
      <c r="V152" s="17">
        <f t="shared" si="38"/>
        <v>0.24696759258949896</v>
      </c>
      <c r="W152" s="56">
        <v>0.10840277777777778</v>
      </c>
      <c r="X152" s="25" t="s">
        <v>263</v>
      </c>
      <c r="Z152" s="31" t="s">
        <v>39</v>
      </c>
      <c r="AA152" s="31" t="s">
        <v>39</v>
      </c>
      <c r="AB152" s="33" t="s">
        <v>1040</v>
      </c>
      <c r="AC152" s="31" t="s">
        <v>41</v>
      </c>
      <c r="AD152" s="31" t="s">
        <v>41</v>
      </c>
      <c r="AE152" s="31" t="s">
        <v>39</v>
      </c>
      <c r="AF152" s="31" t="s">
        <v>39</v>
      </c>
      <c r="AG152" s="31" t="s">
        <v>41</v>
      </c>
      <c r="AH152" s="31" t="s">
        <v>41</v>
      </c>
      <c r="AI152" s="31" t="s">
        <v>39</v>
      </c>
      <c r="AJ152" s="33" t="s">
        <v>57</v>
      </c>
      <c r="AK152" s="31" t="s">
        <v>41</v>
      </c>
      <c r="AL152" s="31" t="s">
        <v>39</v>
      </c>
      <c r="AM152" s="31" t="s">
        <v>41</v>
      </c>
      <c r="AN152" s="32" t="s">
        <v>813</v>
      </c>
      <c r="AO152" s="32" t="s">
        <v>811</v>
      </c>
      <c r="AP152" s="30">
        <v>42084.630416666667</v>
      </c>
      <c r="AQ152" s="30">
        <v>42084.654085648152</v>
      </c>
      <c r="AR152" s="30">
        <v>42084.901053240741</v>
      </c>
      <c r="AS152" s="92" t="s">
        <v>651</v>
      </c>
      <c r="AT152" s="107">
        <v>-64.648600000000002</v>
      </c>
      <c r="AU152" s="107">
        <v>-62.188899999999997</v>
      </c>
      <c r="AV152" s="142" t="s">
        <v>657</v>
      </c>
      <c r="AW152" s="142" t="s">
        <v>657</v>
      </c>
      <c r="AX152" s="30">
        <v>42085.379814814813</v>
      </c>
      <c r="AY152" s="107">
        <v>-64.792000000000002</v>
      </c>
      <c r="AZ152" s="107">
        <v>-62.12</v>
      </c>
      <c r="BA152" s="32" t="s">
        <v>814</v>
      </c>
      <c r="BB152" s="49" t="s">
        <v>1297</v>
      </c>
      <c r="BC152" s="7"/>
      <c r="BD152" s="7"/>
      <c r="BE152" s="7"/>
      <c r="BF152" s="7"/>
      <c r="BG152" s="7"/>
    </row>
    <row r="153" spans="1:59">
      <c r="A153" s="55" t="str">
        <f>HYPERLINK("tag_data/Quicklook/mn150321-5Quicklook.jpg","mn150321-5")</f>
        <v>mn150321-5</v>
      </c>
      <c r="B153" s="26" t="str">
        <f t="shared" si="34"/>
        <v>mn</v>
      </c>
      <c r="C153" s="46" t="str">
        <f>HYPERLINK("location data/Antarctic/2015/","Antarctic")</f>
        <v>Antarctic</v>
      </c>
      <c r="D153" s="64" t="s">
        <v>641</v>
      </c>
      <c r="E153" s="61" t="s">
        <v>656</v>
      </c>
      <c r="F153" s="85">
        <v>-3</v>
      </c>
      <c r="G153" s="59" t="s">
        <v>459</v>
      </c>
      <c r="H153" s="31" t="s">
        <v>39</v>
      </c>
      <c r="I153" s="42" t="str">
        <f>HYPERLINK("tag_data/mn150321-5 (Antarctic)","Link")</f>
        <v>Link</v>
      </c>
      <c r="J153" s="42" t="str">
        <f>HYPERLINK("tag_data_raw/Antarctic/2015/mn150321-5","Link")</f>
        <v>Link</v>
      </c>
      <c r="K153" s="54" t="str">
        <f>HYPERLINK("tag_data/mn150321-5 (Antarctic)/Pics&amp;Vids/","Link")</f>
        <v>Link</v>
      </c>
      <c r="L153" s="54" t="str">
        <f>HYPERLINK("location data/Antarctic/2015/Whale Tagging in Wilhelmina.mp4","Link")</f>
        <v>Link</v>
      </c>
      <c r="M153" s="41" t="s">
        <v>263</v>
      </c>
      <c r="N153" s="31" t="s">
        <v>263</v>
      </c>
      <c r="O153" s="31" t="s">
        <v>45</v>
      </c>
      <c r="P153" s="31" t="s">
        <v>266</v>
      </c>
      <c r="Q153" s="31">
        <v>5</v>
      </c>
      <c r="R153" s="32" t="s">
        <v>234</v>
      </c>
      <c r="S153" s="32" t="s">
        <v>1393</v>
      </c>
      <c r="T153" s="32" t="s">
        <v>263</v>
      </c>
      <c r="U153" s="17">
        <f t="shared" si="33"/>
        <v>8.6552951390331145E-2</v>
      </c>
      <c r="V153" s="17">
        <f t="shared" si="38"/>
        <v>8.6552951390331145E-2</v>
      </c>
      <c r="W153" s="56" t="s">
        <v>346</v>
      </c>
      <c r="X153" s="31" t="s">
        <v>263</v>
      </c>
      <c r="Y153" s="31" t="s">
        <v>263</v>
      </c>
      <c r="Z153" s="31" t="s">
        <v>41</v>
      </c>
      <c r="AA153" s="31" t="s">
        <v>41</v>
      </c>
      <c r="AB153" s="31" t="s">
        <v>263</v>
      </c>
      <c r="AC153" s="31" t="s">
        <v>41</v>
      </c>
      <c r="AD153" s="31" t="s">
        <v>41</v>
      </c>
      <c r="AE153" s="31" t="s">
        <v>41</v>
      </c>
      <c r="AF153" s="31" t="s">
        <v>41</v>
      </c>
      <c r="AG153" s="31" t="s">
        <v>41</v>
      </c>
      <c r="AH153" s="31" t="s">
        <v>41</v>
      </c>
      <c r="AI153" s="31" t="s">
        <v>41</v>
      </c>
      <c r="AJ153" s="31" t="s">
        <v>41</v>
      </c>
      <c r="AK153" s="31" t="s">
        <v>41</v>
      </c>
      <c r="AL153" s="31" t="s">
        <v>41</v>
      </c>
      <c r="AM153" s="31" t="s">
        <v>41</v>
      </c>
      <c r="AN153" s="32" t="s">
        <v>812</v>
      </c>
      <c r="AO153" s="32" t="s">
        <v>811</v>
      </c>
      <c r="AP153" s="30">
        <v>42084.647627314815</v>
      </c>
      <c r="AQ153" s="30">
        <v>42084.671620370369</v>
      </c>
      <c r="AR153" s="30">
        <v>42084.758173321759</v>
      </c>
      <c r="AS153" s="92" t="s">
        <v>651</v>
      </c>
      <c r="AT153" s="107">
        <v>-64.648600000000002</v>
      </c>
      <c r="AU153" s="107">
        <v>-62.188899999999997</v>
      </c>
      <c r="AV153" s="142" t="s">
        <v>657</v>
      </c>
      <c r="AW153" s="142" t="s">
        <v>657</v>
      </c>
      <c r="AX153" s="30">
        <v>42084.791666666664</v>
      </c>
      <c r="AY153" s="107">
        <v>-64.641000000000005</v>
      </c>
      <c r="AZ153" s="107">
        <v>-62.192999999999998</v>
      </c>
      <c r="BA153" s="32" t="s">
        <v>815</v>
      </c>
      <c r="BB153" s="49" t="s">
        <v>181</v>
      </c>
      <c r="BC153" s="7"/>
      <c r="BD153" s="7"/>
      <c r="BE153" s="7"/>
      <c r="BF153" s="7"/>
      <c r="BG153" s="7"/>
    </row>
    <row r="154" spans="1:59">
      <c r="A154" s="55" t="str">
        <f>HYPERLINK("tag_data/Quicklook/mn150618-4Quicklook.jpg","mn150618-4")</f>
        <v>mn150618-4</v>
      </c>
      <c r="B154" s="26" t="str">
        <f t="shared" si="34"/>
        <v>mn</v>
      </c>
      <c r="C154" s="46" t="str">
        <f>HYPERLINK("location data/Stellwagen/2015/","Stellwagen")</f>
        <v>Stellwagen</v>
      </c>
      <c r="D154" s="64" t="s">
        <v>558</v>
      </c>
      <c r="E154" s="61" t="s">
        <v>559</v>
      </c>
      <c r="F154" s="85">
        <v>-4</v>
      </c>
      <c r="G154" s="59" t="s">
        <v>460</v>
      </c>
      <c r="H154" s="31" t="s">
        <v>39</v>
      </c>
      <c r="I154" s="42" t="str">
        <f>HYPERLINK("tag_data/mn150618-4 (Stellwagen)","Link")</f>
        <v>Link</v>
      </c>
      <c r="J154" s="42" t="str">
        <f>HYPERLINK("tag_data_raw/Stellwagen/2015/mn150618-4","Link")</f>
        <v>Link</v>
      </c>
      <c r="K154" s="42" t="str">
        <f>HYPERLINK("tag_data/bp160609 through 0615 (Azores- no prhs)/bp160609-26a&amp;b/Pics&amp;Vids/a","Link")</f>
        <v>Link</v>
      </c>
      <c r="L154" s="41" t="s">
        <v>263</v>
      </c>
      <c r="M154" s="41" t="s">
        <v>263</v>
      </c>
      <c r="N154" s="42" t="str">
        <f>HYPERLINK("location data/Stellwagen/2015/MetaData/Master_Tag_Log_2015_07_08th_v1.xlsx","Link")</f>
        <v>Link</v>
      </c>
      <c r="O154" s="31" t="s">
        <v>53</v>
      </c>
      <c r="P154" s="31" t="s">
        <v>266</v>
      </c>
      <c r="Q154" s="31">
        <v>4</v>
      </c>
      <c r="R154" s="32" t="s">
        <v>34</v>
      </c>
      <c r="S154" s="32" t="str">
        <f>IF(OR(Q154&lt;39,Q154=50,Q154=51,AND(OR(Q154=46,Q154=47),AQ154&gt;43313)),"Cam Mic",IF(AND(Q154&lt;45,AQ154&lt;42958),"Dolphin Ear",IF(AND(Q154&gt;44,NOT(OR(Q154=46,Q154=47,Q154=50,Q154=51))),"HTI","None")))</f>
        <v>Cam Mic</v>
      </c>
      <c r="T154" s="32" t="s">
        <v>38</v>
      </c>
      <c r="U154" s="17">
        <f t="shared" si="33"/>
        <v>0.32357928240526235</v>
      </c>
      <c r="V154" s="17">
        <f t="shared" si="38"/>
        <v>0.32357928240526235</v>
      </c>
      <c r="W154" s="56">
        <v>0.12631944444444446</v>
      </c>
      <c r="X154" s="31" t="s">
        <v>263</v>
      </c>
      <c r="Y154" s="31"/>
      <c r="Z154" s="31" t="s">
        <v>39</v>
      </c>
      <c r="AA154" s="31" t="s">
        <v>39</v>
      </c>
      <c r="AB154" s="31" t="s">
        <v>40</v>
      </c>
      <c r="AC154" s="31" t="s">
        <v>41</v>
      </c>
      <c r="AD154" s="31" t="s">
        <v>39</v>
      </c>
      <c r="AE154" s="31" t="s">
        <v>39</v>
      </c>
      <c r="AF154" s="31" t="s">
        <v>39</v>
      </c>
      <c r="AG154" s="31" t="s">
        <v>41</v>
      </c>
      <c r="AH154" s="33" t="s">
        <v>481</v>
      </c>
      <c r="AI154" s="31" t="s">
        <v>39</v>
      </c>
      <c r="AJ154" s="31" t="s">
        <v>39</v>
      </c>
      <c r="AK154" s="33" t="s">
        <v>789</v>
      </c>
      <c r="AL154" s="31" t="s">
        <v>41</v>
      </c>
      <c r="AM154" s="31" t="s">
        <v>41</v>
      </c>
      <c r="AN154" s="32" t="s">
        <v>820</v>
      </c>
      <c r="AO154" s="32" t="s">
        <v>890</v>
      </c>
      <c r="AP154" s="30">
        <v>42173.379641203705</v>
      </c>
      <c r="AQ154" s="30">
        <v>42173.398872106482</v>
      </c>
      <c r="AR154" s="92">
        <v>42173.722451388887</v>
      </c>
      <c r="AS154" s="92" t="s">
        <v>651</v>
      </c>
      <c r="AT154" s="144">
        <v>41.795033330000003</v>
      </c>
      <c r="AU154" s="144">
        <v>-69.705316670000002</v>
      </c>
      <c r="AV154" s="142" t="s">
        <v>299</v>
      </c>
      <c r="AW154" s="106" t="s">
        <v>268</v>
      </c>
      <c r="AX154" s="30">
        <v>42174.40347222222</v>
      </c>
      <c r="AY154" s="107">
        <v>41.783783329999999</v>
      </c>
      <c r="AZ154" s="107">
        <v>-69.522300000000001</v>
      </c>
      <c r="BA154" s="32" t="s">
        <v>889</v>
      </c>
      <c r="BB154" s="49" t="s">
        <v>1298</v>
      </c>
      <c r="BC154" s="7"/>
      <c r="BD154" s="7"/>
      <c r="BE154" s="7"/>
      <c r="BF154" s="7"/>
      <c r="BG154" s="7"/>
    </row>
    <row r="155" spans="1:59">
      <c r="A155" s="55" t="str">
        <f>HYPERLINK("tag_data/Quicklook/mn150622-2Quicklook.jpg","mn150622-2")</f>
        <v>mn150622-2</v>
      </c>
      <c r="B155" s="26" t="str">
        <f t="shared" si="34"/>
        <v>mn</v>
      </c>
      <c r="C155" s="42" t="str">
        <f>HYPERLINK("location data/Stellwagen/2015/","Stellwagen")</f>
        <v>Stellwagen</v>
      </c>
      <c r="D155" s="64" t="s">
        <v>558</v>
      </c>
      <c r="E155" s="61" t="s">
        <v>559</v>
      </c>
      <c r="F155" s="85">
        <v>-4</v>
      </c>
      <c r="G155" s="59" t="s">
        <v>460</v>
      </c>
      <c r="H155" s="31" t="s">
        <v>39</v>
      </c>
      <c r="I155" s="42" t="str">
        <f>HYPERLINK("tag_data/mn150622-2 (Stellwagen)","Link")</f>
        <v>Link</v>
      </c>
      <c r="J155" s="42" t="str">
        <f>HYPERLINK("tag_data_raw/Stellwagen/2015/mn150622-2","Link")</f>
        <v>Link</v>
      </c>
      <c r="K155" s="42" t="str">
        <f>HYPERLINK("tag_data/mn150622-2 (Stellwagen)/Pics&amp;Vids","Link")</f>
        <v>Link</v>
      </c>
      <c r="L155" s="42" t="str">
        <f>HYPERLINK("location data/Stellwagen/2015/Pics&amp;Vids/Deploy Vids/150622 (humpback hat trick)/Deploy1.MP4","Link")</f>
        <v>Link</v>
      </c>
      <c r="M155" s="41" t="s">
        <v>263</v>
      </c>
      <c r="N155" s="42" t="str">
        <f>HYPERLINK("location data/Stellwagen/2015/MetaData/Master_Tag_Log_2015_07_08th_v1.xlsx","Link")</f>
        <v>Link</v>
      </c>
      <c r="O155" s="31" t="s">
        <v>59</v>
      </c>
      <c r="P155" s="31" t="s">
        <v>266</v>
      </c>
      <c r="Q155" s="31">
        <v>2</v>
      </c>
      <c r="R155" s="32" t="s">
        <v>34</v>
      </c>
      <c r="S155" s="32" t="str">
        <f>IF(OR(Q155&lt;39,Q155=50,Q155=51,AND(OR(Q155=46,Q155=47),AQ155&gt;43313)),"Cam Mic",IF(AND(Q155&lt;45,AQ155&lt;42958),"Dolphin Ear",IF(AND(Q155&gt;44,NOT(OR(Q155=46,Q155=47,Q155=50,Q155=51))),"HTI","None")))</f>
        <v>Cam Mic</v>
      </c>
      <c r="T155" s="32" t="s">
        <v>63</v>
      </c>
      <c r="U155" s="17">
        <f t="shared" si="33"/>
        <v>0.25212962962541496</v>
      </c>
      <c r="V155" s="17">
        <f t="shared" si="38"/>
        <v>0.25212962962541496</v>
      </c>
      <c r="W155" s="56">
        <v>0.12164351851851851</v>
      </c>
      <c r="X155" s="31" t="s">
        <v>263</v>
      </c>
      <c r="Y155" s="31"/>
      <c r="Z155" s="31" t="s">
        <v>41</v>
      </c>
      <c r="AA155" s="31" t="s">
        <v>41</v>
      </c>
      <c r="AB155" s="31" t="s">
        <v>40</v>
      </c>
      <c r="AC155" s="31" t="s">
        <v>41</v>
      </c>
      <c r="AD155" s="31" t="s">
        <v>41</v>
      </c>
      <c r="AE155" s="31" t="s">
        <v>41</v>
      </c>
      <c r="AF155" s="31" t="s">
        <v>39</v>
      </c>
      <c r="AG155" s="31" t="s">
        <v>41</v>
      </c>
      <c r="AH155" s="31" t="s">
        <v>41</v>
      </c>
      <c r="AI155" s="31" t="s">
        <v>41</v>
      </c>
      <c r="AJ155" s="33" t="s">
        <v>789</v>
      </c>
      <c r="AK155" s="31" t="s">
        <v>41</v>
      </c>
      <c r="AL155" s="31" t="s">
        <v>41</v>
      </c>
      <c r="AM155" s="33" t="s">
        <v>58</v>
      </c>
      <c r="AN155" s="32" t="s">
        <v>894</v>
      </c>
      <c r="AO155" s="32" t="s">
        <v>893</v>
      </c>
      <c r="AP155" s="30">
        <v>42177.386365740742</v>
      </c>
      <c r="AQ155" s="30">
        <v>42177.53365740741</v>
      </c>
      <c r="AR155" s="92">
        <v>42177.785787037035</v>
      </c>
      <c r="AS155" s="92" t="s">
        <v>651</v>
      </c>
      <c r="AT155" s="107">
        <v>41.698516669999997</v>
      </c>
      <c r="AU155" s="107">
        <v>-69.722016670000002</v>
      </c>
      <c r="AV155" s="142" t="s">
        <v>299</v>
      </c>
      <c r="AW155" s="106" t="s">
        <v>895</v>
      </c>
      <c r="AX155" s="30">
        <v>42177.608101851853</v>
      </c>
      <c r="AY155" s="107">
        <v>41.659950000000002</v>
      </c>
      <c r="AZ155" s="107">
        <v>-69.308966670000004</v>
      </c>
      <c r="BA155" s="32" t="s">
        <v>896</v>
      </c>
      <c r="BB155" s="49" t="s">
        <v>1299</v>
      </c>
      <c r="BC155" s="7"/>
      <c r="BD155" s="7"/>
      <c r="BE155" s="7"/>
      <c r="BF155" s="7"/>
      <c r="BG155" s="7"/>
    </row>
    <row r="156" spans="1:59">
      <c r="A156" s="55" t="str">
        <f>HYPERLINK("tag_data/Quicklook/mn150622-4Quicklook.jpg","mn150622-4")</f>
        <v>mn150622-4</v>
      </c>
      <c r="B156" s="26" t="str">
        <f t="shared" si="34"/>
        <v>mn</v>
      </c>
      <c r="C156" s="42" t="str">
        <f>HYPERLINK("location data/Stellwagen/2015/","Stellwagen")</f>
        <v>Stellwagen</v>
      </c>
      <c r="D156" s="64" t="s">
        <v>558</v>
      </c>
      <c r="E156" s="61" t="s">
        <v>559</v>
      </c>
      <c r="F156" s="85">
        <v>-4</v>
      </c>
      <c r="G156" s="59" t="s">
        <v>460</v>
      </c>
      <c r="H156" s="31" t="s">
        <v>39</v>
      </c>
      <c r="I156" s="42" t="str">
        <f>HYPERLINK("tag_data/mn150622-4 (Stellwagen)","Link")</f>
        <v>Link</v>
      </c>
      <c r="J156" s="42" t="str">
        <f>HYPERLINK("tag_data_raw/Stellwagen/2015/mn150622-4","Link")</f>
        <v>Link</v>
      </c>
      <c r="K156" s="42" t="str">
        <f>HYPERLINK("tag_data/mn150622-4 (Stellwagen)/Pics&amp;Vids","Link")</f>
        <v>Link</v>
      </c>
      <c r="L156" s="42" t="str">
        <f>HYPERLINK("location data/Stellwagen/2015/Pics&amp;Vids/Deploy Vids/150622 (humpback hat trick)/Deploy3.MP4","Link")</f>
        <v>Link</v>
      </c>
      <c r="M156" s="41" t="s">
        <v>263</v>
      </c>
      <c r="N156" s="42" t="str">
        <f>HYPERLINK("location data/Stellwagen/2015/MetaData/Master_Tag_Log_2015_07_08th_v1.xlsx","Link")</f>
        <v>Link</v>
      </c>
      <c r="O156" s="31" t="s">
        <v>60</v>
      </c>
      <c r="P156" s="31" t="s">
        <v>266</v>
      </c>
      <c r="Q156" s="31">
        <v>4</v>
      </c>
      <c r="R156" s="32" t="s">
        <v>34</v>
      </c>
      <c r="S156" s="32" t="str">
        <f>IF(OR(Q156&lt;39,Q156=50,Q156=51,AND(OR(Q156=46,Q156=47),AQ156&gt;43313)),"Cam Mic",IF(AND(Q156&lt;45,AQ156&lt;42958),"Dolphin Ear",IF(AND(Q156&gt;44,NOT(OR(Q156=46,Q156=47,Q156=50,Q156=51))),"HTI","None")))</f>
        <v>Cam Mic</v>
      </c>
      <c r="T156" s="32" t="s">
        <v>38</v>
      </c>
      <c r="U156" s="17">
        <f t="shared" ref="U156:U171" si="41">AR156-AQ156</f>
        <v>0.5963191550981719</v>
      </c>
      <c r="V156" s="17">
        <f t="shared" si="38"/>
        <v>0.5963191550981719</v>
      </c>
      <c r="W156" s="56">
        <v>9.3090277777777786E-2</v>
      </c>
      <c r="X156" s="31" t="s">
        <v>263</v>
      </c>
      <c r="Y156" s="31"/>
      <c r="Z156" s="31" t="s">
        <v>39</v>
      </c>
      <c r="AA156" s="31" t="s">
        <v>39</v>
      </c>
      <c r="AB156" s="31" t="s">
        <v>40</v>
      </c>
      <c r="AC156" s="31" t="s">
        <v>41</v>
      </c>
      <c r="AD156" s="31" t="s">
        <v>39</v>
      </c>
      <c r="AE156" s="31" t="s">
        <v>39</v>
      </c>
      <c r="AF156" s="31" t="s">
        <v>39</v>
      </c>
      <c r="AG156" s="31" t="s">
        <v>41</v>
      </c>
      <c r="AH156" s="33" t="s">
        <v>623</v>
      </c>
      <c r="AI156" s="31" t="s">
        <v>39</v>
      </c>
      <c r="AJ156" s="31" t="s">
        <v>39</v>
      </c>
      <c r="AK156" s="33" t="s">
        <v>56</v>
      </c>
      <c r="AL156" s="31" t="s">
        <v>41</v>
      </c>
      <c r="AM156" s="33" t="s">
        <v>58</v>
      </c>
      <c r="AN156" s="32" t="s">
        <v>894</v>
      </c>
      <c r="AO156" s="32" t="s">
        <v>893</v>
      </c>
      <c r="AP156" s="30">
        <v>42177.558993055558</v>
      </c>
      <c r="AQ156" s="30">
        <v>42177.5645396412</v>
      </c>
      <c r="AR156" s="92">
        <v>42178.160858796298</v>
      </c>
      <c r="AS156" s="92" t="s">
        <v>651</v>
      </c>
      <c r="AT156" s="107">
        <v>41.694400000000002</v>
      </c>
      <c r="AU156" s="107">
        <v>-69.714066669999994</v>
      </c>
      <c r="AV156" s="142" t="s">
        <v>299</v>
      </c>
      <c r="AW156" s="106" t="s">
        <v>895</v>
      </c>
      <c r="AX156" s="30">
        <v>42179.625671296293</v>
      </c>
      <c r="AY156" s="107">
        <v>41.604700000000001</v>
      </c>
      <c r="AZ156" s="107">
        <v>-69.273899999999998</v>
      </c>
      <c r="BA156" s="32" t="s">
        <v>897</v>
      </c>
      <c r="BB156" s="49" t="s">
        <v>55</v>
      </c>
      <c r="BC156" s="7"/>
      <c r="BD156" s="7"/>
      <c r="BE156" s="7"/>
      <c r="BF156" s="7"/>
      <c r="BG156" s="7"/>
    </row>
    <row r="157" spans="1:59">
      <c r="A157" s="55" t="str">
        <f>HYPERLINK("tag_data/Quicklook/mn151011-6quicklook.jpg","mn151011-6")</f>
        <v>mn151011-6</v>
      </c>
      <c r="B157" s="26" t="str">
        <f t="shared" si="34"/>
        <v>mn</v>
      </c>
      <c r="C157" s="42" t="str">
        <f>HYPERLINK("location data/Monterey/2015/","Monterey")</f>
        <v>Monterey</v>
      </c>
      <c r="D157" s="64" t="s">
        <v>761</v>
      </c>
      <c r="E157" s="77" t="s">
        <v>888</v>
      </c>
      <c r="F157" s="85">
        <v>-7</v>
      </c>
      <c r="G157" s="60" t="s">
        <v>457</v>
      </c>
      <c r="H157" s="31" t="s">
        <v>39</v>
      </c>
      <c r="I157" s="42" t="str">
        <f>HYPERLINK("tag_data/mn151011-6 (Monterey)","Link")</f>
        <v>Link</v>
      </c>
      <c r="J157" s="42" t="str">
        <f>HYPERLINK("tag_data_raw/Monterey/2015/mn151011-6","Link")</f>
        <v>Link</v>
      </c>
      <c r="K157" s="42" t="str">
        <f>HYPERLINK("tag_data/mn151011-6 (Monterey)/Pics&amp;Vids","Link")</f>
        <v>Link</v>
      </c>
      <c r="L157" s="42" t="str">
        <f>HYPERLINK("location data/Monterey/2015/Pics and Video/20151011-MNdeploy-FB6-GOPR0201.MP4","Link")</f>
        <v>Link</v>
      </c>
      <c r="M157" s="41" t="s">
        <v>263</v>
      </c>
      <c r="N157" s="42" t="str">
        <f>HYPERLINK("location data/Monterey/2015/Metadata/CRC Mobile Data Compiler-SS-BSeffort HMB-MB-9-13Oct2015.mdb","Link")</f>
        <v>Link</v>
      </c>
      <c r="O157" s="79" t="str">
        <f>HYPERLINK("https://happywhale.com/individual/701;enc=33874","Chromosome (CRC-15594)")</f>
        <v>Chromosome (CRC-15594)</v>
      </c>
      <c r="P157" s="31" t="s">
        <v>41</v>
      </c>
      <c r="Q157" s="31">
        <v>6</v>
      </c>
      <c r="R157" s="32" t="s">
        <v>133</v>
      </c>
      <c r="S157" s="32" t="s">
        <v>1393</v>
      </c>
      <c r="T157" s="32" t="s">
        <v>263</v>
      </c>
      <c r="U157" s="17">
        <f t="shared" si="41"/>
        <v>9.9409722221025731E-2</v>
      </c>
      <c r="V157" s="17">
        <f t="shared" si="38"/>
        <v>9.9409722221025731E-2</v>
      </c>
      <c r="W157" s="56" t="s">
        <v>346</v>
      </c>
      <c r="X157" s="42" t="str">
        <f>HYPERLINK("tag_data/mn151011-6 (Monterey)/mn151011-6 Map.bmp","110")</f>
        <v>110</v>
      </c>
      <c r="Y157" s="31" t="s">
        <v>263</v>
      </c>
      <c r="Z157" s="31" t="s">
        <v>39</v>
      </c>
      <c r="AA157" s="31" t="s">
        <v>41</v>
      </c>
      <c r="AB157" s="31" t="s">
        <v>277</v>
      </c>
      <c r="AC157" s="31" t="s">
        <v>41</v>
      </c>
      <c r="AD157" s="31" t="s">
        <v>41</v>
      </c>
      <c r="AE157" s="31" t="s">
        <v>41</v>
      </c>
      <c r="AF157" s="31" t="s">
        <v>41</v>
      </c>
      <c r="AG157" s="31" t="s">
        <v>39</v>
      </c>
      <c r="AH157" s="31" t="s">
        <v>41</v>
      </c>
      <c r="AI157" s="31" t="s">
        <v>41</v>
      </c>
      <c r="AJ157" s="31" t="s">
        <v>41</v>
      </c>
      <c r="AK157" s="31" t="s">
        <v>41</v>
      </c>
      <c r="AL157" s="31" t="s">
        <v>41</v>
      </c>
      <c r="AM157" s="31" t="s">
        <v>41</v>
      </c>
      <c r="AN157" s="32" t="s">
        <v>627</v>
      </c>
      <c r="AO157" s="32" t="s">
        <v>899</v>
      </c>
      <c r="AP157" s="30">
        <v>42288.442662037036</v>
      </c>
      <c r="AQ157" s="30">
        <v>42288.543194444443</v>
      </c>
      <c r="AR157" s="92">
        <v>42288.642604166664</v>
      </c>
      <c r="AS157" s="92" t="s">
        <v>651</v>
      </c>
      <c r="AT157" s="107">
        <v>36.797644773000002</v>
      </c>
      <c r="AU157" s="107">
        <v>-121.83359380900001</v>
      </c>
      <c r="AV157" s="142" t="s">
        <v>313</v>
      </c>
      <c r="AW157" s="106" t="s">
        <v>313</v>
      </c>
      <c r="AX157" s="30">
        <v>42288.667303240742</v>
      </c>
      <c r="AY157" s="107">
        <v>36.781861536000001</v>
      </c>
      <c r="AZ157" s="107">
        <v>-121.81666130000001</v>
      </c>
      <c r="BA157" s="32" t="s">
        <v>898</v>
      </c>
      <c r="BB157" s="49" t="s">
        <v>1300</v>
      </c>
      <c r="BC157" s="7"/>
      <c r="BD157" s="7"/>
      <c r="BE157" s="40"/>
      <c r="BF157" s="40"/>
      <c r="BG157" s="40"/>
    </row>
    <row r="158" spans="1:59">
      <c r="A158" s="55" t="str">
        <f>HYPERLINK("tag_data/Quicklook/mn151012-7quicklook.jpg","mn151012-7")</f>
        <v>mn151012-7</v>
      </c>
      <c r="B158" s="26" t="str">
        <f t="shared" si="34"/>
        <v>mn</v>
      </c>
      <c r="C158" s="42" t="str">
        <f>HYPERLINK("location data/Monterey/2015/","Monterey")</f>
        <v>Monterey</v>
      </c>
      <c r="D158" s="64" t="s">
        <v>761</v>
      </c>
      <c r="E158" s="77" t="s">
        <v>888</v>
      </c>
      <c r="F158" s="85">
        <v>-7</v>
      </c>
      <c r="G158" s="60" t="s">
        <v>457</v>
      </c>
      <c r="H158" s="31" t="s">
        <v>39</v>
      </c>
      <c r="I158" s="42" t="str">
        <f>HYPERLINK("tag_data/mn151012-7 (Monterey)","Link")</f>
        <v>Link</v>
      </c>
      <c r="J158" s="42" t="str">
        <f>HYPERLINK("tag_data_raw/Monterey/2015/mn151012-7","Link")</f>
        <v>Link</v>
      </c>
      <c r="K158" s="42" t="str">
        <f>HYPERLINK("tag_data/mn151012-7 (Monterey)/Pics&amp;Vids","Link")</f>
        <v>Link</v>
      </c>
      <c r="L158" s="46" t="str">
        <f>HYPERLINK("tag_data/mn151012-7 (Monterey)/Pics&amp;Vids/mn151012-7deploy.mp4","Link")</f>
        <v>Link</v>
      </c>
      <c r="M158" s="41" t="s">
        <v>263</v>
      </c>
      <c r="N158" s="42" t="str">
        <f>HYPERLINK("location data/Monterey/2015/Metadata/CRC Mobile Data Compiler-SS-BSeffort HMB-MB-9-13Oct2015.mdb","Link")</f>
        <v>Link</v>
      </c>
      <c r="O158" s="79" t="str">
        <f>HYPERLINK("https://happywhale.com/individual/1407;enc=33873","Kelper's mom (CRC-15273, MN0500167)")</f>
        <v>Kelper's mom (CRC-15273, MN0500167)</v>
      </c>
      <c r="P158" s="31" t="s">
        <v>563</v>
      </c>
      <c r="Q158" s="31">
        <v>7</v>
      </c>
      <c r="R158" s="32" t="s">
        <v>133</v>
      </c>
      <c r="S158" s="32" t="str">
        <f t="shared" ref="S158:S163" si="42">IF(OR(Q158&lt;39,Q158=50,Q158=51,AND(OR(Q158=46,Q158=47),AQ158&gt;43313)),"Cam Mic",IF(AND(Q158&lt;45,AQ158&lt;42958),"Dolphin Ear",IF(AND(Q158&gt;44,NOT(OR(Q158=46,Q158=47,Q158=50,Q158=51))),"HTI","None")))</f>
        <v>Cam Mic</v>
      </c>
      <c r="T158" s="32" t="s">
        <v>330</v>
      </c>
      <c r="U158" s="17">
        <f t="shared" si="41"/>
        <v>0.24724537037400296</v>
      </c>
      <c r="V158" s="17">
        <f t="shared" si="38"/>
        <v>0.24724537037400296</v>
      </c>
      <c r="W158" s="56">
        <v>0.23016203703703705</v>
      </c>
      <c r="X158" s="46" t="str">
        <f>HYPERLINK("tag_data/mn151012-7 (Monterey)/mn151012-7 Map.bmp","210")</f>
        <v>210</v>
      </c>
      <c r="Y158" s="42" t="str">
        <f>HYPERLINK("tag_data/mn151012-7 (Monterey)/mn151012-7-Current.boris","Boris")</f>
        <v>Boris</v>
      </c>
      <c r="Z158" s="31" t="s">
        <v>39</v>
      </c>
      <c r="AA158" s="31" t="s">
        <v>39</v>
      </c>
      <c r="AB158" s="31" t="s">
        <v>380</v>
      </c>
      <c r="AC158" s="31" t="s">
        <v>41</v>
      </c>
      <c r="AD158" s="31" t="s">
        <v>39</v>
      </c>
      <c r="AE158" s="31" t="s">
        <v>39</v>
      </c>
      <c r="AF158" s="31" t="s">
        <v>39</v>
      </c>
      <c r="AG158" s="31" t="s">
        <v>41</v>
      </c>
      <c r="AH158" s="33" t="s">
        <v>481</v>
      </c>
      <c r="AI158" s="31" t="s">
        <v>39</v>
      </c>
      <c r="AJ158" s="33" t="s">
        <v>789</v>
      </c>
      <c r="AK158" s="31" t="s">
        <v>39</v>
      </c>
      <c r="AL158" s="31" t="s">
        <v>39</v>
      </c>
      <c r="AM158" s="31" t="s">
        <v>39</v>
      </c>
      <c r="AN158" s="32" t="s">
        <v>900</v>
      </c>
      <c r="AO158" s="32" t="s">
        <v>899</v>
      </c>
      <c r="AP158" s="30">
        <v>42289.374548611115</v>
      </c>
      <c r="AQ158" s="30">
        <v>42289.425844907404</v>
      </c>
      <c r="AR158" s="92">
        <v>42289.673090277778</v>
      </c>
      <c r="AS158" s="92" t="s">
        <v>651</v>
      </c>
      <c r="AT158" s="107">
        <v>36.82</v>
      </c>
      <c r="AU158" s="107">
        <v>-121.90219999999999</v>
      </c>
      <c r="AV158" s="142" t="s">
        <v>313</v>
      </c>
      <c r="AW158" s="106" t="s">
        <v>313</v>
      </c>
      <c r="AX158" s="30">
        <v>42289.692384259259</v>
      </c>
      <c r="AY158" s="107">
        <f>36+48/60+39/60/60</f>
        <v>36.810833333333328</v>
      </c>
      <c r="AZ158" s="107">
        <f>-121-51/60-13/60/60</f>
        <v>-121.85361111111111</v>
      </c>
      <c r="BA158" s="32" t="s">
        <v>1421</v>
      </c>
      <c r="BB158" s="49" t="s">
        <v>1301</v>
      </c>
      <c r="BC158" s="7"/>
      <c r="BD158" s="7"/>
      <c r="BE158" s="40"/>
      <c r="BF158" s="40"/>
      <c r="BG158" s="40"/>
    </row>
    <row r="159" spans="1:59">
      <c r="A159" s="55" t="str">
        <f>HYPERLINK("tag_data/Quicklook/mn151013-7quicklook.jpg","mn151013-7")</f>
        <v>mn151013-7</v>
      </c>
      <c r="B159" s="26" t="str">
        <f t="shared" si="34"/>
        <v>mn</v>
      </c>
      <c r="C159" s="42" t="str">
        <f>HYPERLINK("location data/Monterey/2015/","Monterey")</f>
        <v>Monterey</v>
      </c>
      <c r="D159" s="64" t="s">
        <v>761</v>
      </c>
      <c r="E159" s="77" t="s">
        <v>888</v>
      </c>
      <c r="F159" s="85">
        <v>-7</v>
      </c>
      <c r="G159" s="60" t="s">
        <v>457</v>
      </c>
      <c r="H159" s="31" t="s">
        <v>39</v>
      </c>
      <c r="I159" s="42" t="str">
        <f>HYPERLINK("tag_data/mn151013-7 (Monterey)","Link")</f>
        <v>Link</v>
      </c>
      <c r="J159" s="42" t="str">
        <f>HYPERLINK("tag_data_raw/Monterey/2015/mn151013-7","Link")</f>
        <v>Link</v>
      </c>
      <c r="K159" s="42" t="str">
        <f>HYPERLINK("tag_data/mn151013-7 (Monterey)/Pics&amp;Vids","Link")</f>
        <v>Link</v>
      </c>
      <c r="L159" s="46" t="str">
        <f>HYPERLINK("location data/Monterey/2015/Pics and Video/20151013-MUS-MNdeploy-Froback-SlowMo.MOV","Link")</f>
        <v>Link</v>
      </c>
      <c r="M159" s="41" t="s">
        <v>263</v>
      </c>
      <c r="N159" s="42" t="str">
        <f>HYPERLINK("location data/Monterey/2015/Metadata/CRC Mobile Data Compiler-SS-BSeffort HMB-MB-9-13Oct2015.mdb","Link")</f>
        <v>Link</v>
      </c>
      <c r="O159" s="79" t="str">
        <f>HYPERLINK("https://happywhale.com/individual/3618;enc=33872","CRC-12143 (MN0500297)")</f>
        <v>CRC-12143 (MN0500297)</v>
      </c>
      <c r="P159" s="31" t="s">
        <v>41</v>
      </c>
      <c r="Q159" s="31">
        <v>7</v>
      </c>
      <c r="R159" s="32" t="s">
        <v>133</v>
      </c>
      <c r="S159" s="32" t="str">
        <f t="shared" si="42"/>
        <v>Cam Mic</v>
      </c>
      <c r="T159" s="32" t="s">
        <v>331</v>
      </c>
      <c r="U159" s="17">
        <f t="shared" si="41"/>
        <v>0.17271990740846377</v>
      </c>
      <c r="V159" s="17">
        <f t="shared" si="38"/>
        <v>0.17271990740846377</v>
      </c>
      <c r="W159" s="56">
        <v>5.4664351851851846E-2</v>
      </c>
      <c r="X159" s="46" t="str">
        <f>HYPERLINK("tag_data/mn151013-7 (Monterey)/mn151013-7 Map.bmp","6")</f>
        <v>6</v>
      </c>
      <c r="Y159" s="42" t="str">
        <f>HYPERLINK("tag_data/mn151013-7 (Monterey)/Video Audit.txt","Link")</f>
        <v>Link</v>
      </c>
      <c r="Z159" s="31" t="s">
        <v>41</v>
      </c>
      <c r="AA159" s="31" t="s">
        <v>41</v>
      </c>
      <c r="AB159" s="31" t="s">
        <v>263</v>
      </c>
      <c r="AC159" s="31" t="s">
        <v>41</v>
      </c>
      <c r="AD159" s="31" t="s">
        <v>41</v>
      </c>
      <c r="AE159" s="31" t="s">
        <v>39</v>
      </c>
      <c r="AF159" s="31" t="s">
        <v>41</v>
      </c>
      <c r="AG159" s="31" t="s">
        <v>39</v>
      </c>
      <c r="AH159" s="31" t="s">
        <v>41</v>
      </c>
      <c r="AI159" s="31" t="s">
        <v>41</v>
      </c>
      <c r="AJ159" s="31" t="s">
        <v>39</v>
      </c>
      <c r="AK159" s="31" t="s">
        <v>41</v>
      </c>
      <c r="AL159" s="31" t="s">
        <v>39</v>
      </c>
      <c r="AM159" s="31" t="s">
        <v>41</v>
      </c>
      <c r="AN159" s="32" t="s">
        <v>902</v>
      </c>
      <c r="AO159" s="32" t="s">
        <v>899</v>
      </c>
      <c r="AP159" s="30">
        <v>42290.454328703701</v>
      </c>
      <c r="AQ159" s="30">
        <v>42290.600821759261</v>
      </c>
      <c r="AR159" s="92">
        <v>42290.773541666669</v>
      </c>
      <c r="AS159" s="92" t="s">
        <v>651</v>
      </c>
      <c r="AT159" s="107">
        <v>36.789299999999997</v>
      </c>
      <c r="AU159" s="107">
        <v>-121.8289</v>
      </c>
      <c r="AV159" s="142" t="s">
        <v>313</v>
      </c>
      <c r="AW159" s="106" t="s">
        <v>313</v>
      </c>
      <c r="AX159" s="30">
        <v>42290.787951388891</v>
      </c>
      <c r="AY159" s="107">
        <v>36.780504065000002</v>
      </c>
      <c r="AZ159" s="107">
        <v>-121.892001194</v>
      </c>
      <c r="BA159" s="32" t="s">
        <v>903</v>
      </c>
      <c r="BB159" s="49" t="s">
        <v>1302</v>
      </c>
      <c r="BC159" s="7"/>
      <c r="BD159" s="7"/>
      <c r="BE159" s="7"/>
      <c r="BF159" s="7"/>
      <c r="BG159" s="7"/>
    </row>
    <row r="160" spans="1:59">
      <c r="A160" s="55" t="str">
        <f>HYPERLINK("tag_data/Quicklook/mn151018-3quicklook.jpg","mn151018-3")</f>
        <v>mn151018-3</v>
      </c>
      <c r="B160" s="26" t="str">
        <f t="shared" si="34"/>
        <v>mn</v>
      </c>
      <c r="C160" s="46" t="str">
        <f>HYPERLINK("location data/SoCal/2015_Loneliest Whale_Santa Barbara/","SoCal")</f>
        <v>SoCal</v>
      </c>
      <c r="D160" s="64" t="s">
        <v>801</v>
      </c>
      <c r="E160" s="77" t="s">
        <v>888</v>
      </c>
      <c r="F160" s="85">
        <v>-7</v>
      </c>
      <c r="G160" s="60" t="s">
        <v>457</v>
      </c>
      <c r="H160" s="31" t="s">
        <v>39</v>
      </c>
      <c r="I160" s="42" t="str">
        <f>HYPERLINK("tag_data/mn151018-3 (Santa Barbara)","Link")</f>
        <v>Link</v>
      </c>
      <c r="J160" s="42" t="str">
        <f>HYPERLINK("tag_data_raw/SoCal/2015_Loneliest Whale_Santa Barbara/mn151018-3","Link")</f>
        <v>Link</v>
      </c>
      <c r="K160" s="42" t="str">
        <f>HYPERLINK("tag_data/mn151018-3 (Santa Barbara)/Pics&amp;Vids", "Link")</f>
        <v>Link</v>
      </c>
      <c r="L160" s="42" t="str">
        <f>HYPERLINK("location data/SoCal/2015_Loneliest Whale_Santa Barbara/Pics &amp; Videos/20151018-MUS-MN-VidoedtagDeploy-GOPR0237.MP4", "Link")</f>
        <v>Link</v>
      </c>
      <c r="M160" s="46" t="str">
        <f>HYPERLINK("location data/SoCal/2015_Loneliest Whale_Santa Barbara/Pics &amp; Videos/Drone/DJI_0181.MOV", "13.7 m")</f>
        <v>13.7 m</v>
      </c>
      <c r="N160" s="54" t="str">
        <f>HYPERLINK("location data/SoCal/2015_Loneliest Whale_Santa Barbara/20151018-MUS.mdb","Link")</f>
        <v>Link</v>
      </c>
      <c r="O160" s="79" t="str">
        <f>HYPERLINK("https://happywhale.com/individual/1;enc=33878;event=65043","Chompers (CRC-10532)")</f>
        <v>Chompers (CRC-10532)</v>
      </c>
      <c r="P160" s="31" t="s">
        <v>563</v>
      </c>
      <c r="Q160" s="31">
        <v>3</v>
      </c>
      <c r="R160" s="32" t="s">
        <v>34</v>
      </c>
      <c r="S160" s="32" t="str">
        <f t="shared" si="42"/>
        <v>Cam Mic</v>
      </c>
      <c r="T160" s="32" t="s">
        <v>332</v>
      </c>
      <c r="U160" s="17">
        <f t="shared" si="41"/>
        <v>0.13998842592263827</v>
      </c>
      <c r="V160" s="17">
        <f t="shared" si="38"/>
        <v>0.13998842592263827</v>
      </c>
      <c r="W160" s="56">
        <v>0.10824074074074075</v>
      </c>
      <c r="X160" s="31" t="s">
        <v>263</v>
      </c>
      <c r="Y160" s="54" t="str">
        <f>HYPERLINK("tag_data/mn151018-3 (Santa Barbara)/Video Audit.txt","Link")</f>
        <v>Link</v>
      </c>
      <c r="Z160" s="31" t="s">
        <v>41</v>
      </c>
      <c r="AA160" s="31" t="s">
        <v>41</v>
      </c>
      <c r="AB160" s="31" t="s">
        <v>263</v>
      </c>
      <c r="AC160" s="31" t="s">
        <v>41</v>
      </c>
      <c r="AD160" s="31" t="s">
        <v>41</v>
      </c>
      <c r="AE160" s="31" t="s">
        <v>39</v>
      </c>
      <c r="AF160" s="31" t="s">
        <v>39</v>
      </c>
      <c r="AG160" s="31" t="s">
        <v>39</v>
      </c>
      <c r="AH160" s="31" t="s">
        <v>41</v>
      </c>
      <c r="AI160" s="31" t="s">
        <v>39</v>
      </c>
      <c r="AJ160" s="31" t="s">
        <v>39</v>
      </c>
      <c r="AK160" s="31" t="s">
        <v>39</v>
      </c>
      <c r="AL160" s="31" t="s">
        <v>41</v>
      </c>
      <c r="AM160" s="31" t="s">
        <v>41</v>
      </c>
      <c r="AN160" s="32" t="s">
        <v>901</v>
      </c>
      <c r="AO160" s="32" t="s">
        <v>343</v>
      </c>
      <c r="AP160" s="30">
        <v>42295.565567129626</v>
      </c>
      <c r="AQ160" s="30">
        <v>42295.580023148148</v>
      </c>
      <c r="AR160" s="92">
        <v>42295.720011574071</v>
      </c>
      <c r="AS160" s="92" t="s">
        <v>651</v>
      </c>
      <c r="AT160" s="144">
        <v>34.315899999999999</v>
      </c>
      <c r="AU160" s="144">
        <v>-119.7503</v>
      </c>
      <c r="AV160" s="142" t="s">
        <v>313</v>
      </c>
      <c r="AW160" s="106" t="s">
        <v>313</v>
      </c>
      <c r="AX160" s="30">
        <v>42296.460416666669</v>
      </c>
      <c r="AY160" s="107"/>
      <c r="AZ160" s="107"/>
      <c r="BA160" s="32" t="s">
        <v>904</v>
      </c>
      <c r="BB160" s="49" t="s">
        <v>1303</v>
      </c>
      <c r="BC160" s="7"/>
      <c r="BD160" s="7"/>
      <c r="BE160" s="7"/>
      <c r="BF160" s="7"/>
      <c r="BG160" s="7"/>
    </row>
    <row r="161" spans="1:59">
      <c r="A161" s="55" t="str">
        <f>HYPERLINK("tag_data/Quicklook/mn151031-3quicklook.jpg","mn151031-3")</f>
        <v>mn151031-3</v>
      </c>
      <c r="B161" s="26" t="str">
        <f t="shared" si="34"/>
        <v>mn</v>
      </c>
      <c r="C161" s="42" t="str">
        <f t="shared" ref="C161:C166" si="43">HYPERLINK("location data/South Africa/2015/","South Africa")</f>
        <v>South Africa</v>
      </c>
      <c r="D161" s="64" t="s">
        <v>825</v>
      </c>
      <c r="E161" s="64" t="s">
        <v>826</v>
      </c>
      <c r="F161" s="85">
        <v>2</v>
      </c>
      <c r="G161" s="60" t="s">
        <v>827</v>
      </c>
      <c r="H161" s="31" t="s">
        <v>39</v>
      </c>
      <c r="I161" s="42" t="str">
        <f>HYPERLINK("tag_data/mn151031-3 (South Africa)","Link")</f>
        <v>Link</v>
      </c>
      <c r="J161" s="42" t="str">
        <f>HYPERLINK("tag_data_raw/South Africa/2015/mn151031-3","Link")</f>
        <v>Link</v>
      </c>
      <c r="K161" s="54" t="str">
        <f>HYPERLINK("tag_data/mn151031-3 (South Africa)/Pics&amp;Vids","Link")</f>
        <v>Link</v>
      </c>
      <c r="L161" s="54" t="str">
        <f>HYPERLINK("location data/South Africa/2015/pics and video/10.31/GoPro/Deploy1.MP4","Link")</f>
        <v>Link</v>
      </c>
      <c r="M161" s="41" t="s">
        <v>263</v>
      </c>
      <c r="N161" s="42" t="str">
        <f>HYPERLINK("location data/South Africa/2015/Notes/10.31 notes.xlsx","Link")</f>
        <v>Link</v>
      </c>
      <c r="O161" s="31" t="s">
        <v>45</v>
      </c>
      <c r="P161" s="31" t="s">
        <v>39</v>
      </c>
      <c r="Q161" s="31">
        <v>3</v>
      </c>
      <c r="R161" s="32" t="s">
        <v>34</v>
      </c>
      <c r="S161" s="32" t="str">
        <f t="shared" si="42"/>
        <v>Cam Mic</v>
      </c>
      <c r="T161" s="32" t="s">
        <v>333</v>
      </c>
      <c r="U161" s="17">
        <f t="shared" si="41"/>
        <v>9.1532118050963618E-2</v>
      </c>
      <c r="V161" s="17">
        <f t="shared" si="38"/>
        <v>9.1532118050963618E-2</v>
      </c>
      <c r="W161" s="56">
        <v>4.1747685185185186E-2</v>
      </c>
      <c r="X161" s="31" t="s">
        <v>263</v>
      </c>
      <c r="Y161" s="42"/>
      <c r="Z161" s="31" t="s">
        <v>39</v>
      </c>
      <c r="AA161" s="31" t="s">
        <v>39</v>
      </c>
      <c r="AB161" s="31" t="s">
        <v>277</v>
      </c>
      <c r="AC161" s="31" t="s">
        <v>39</v>
      </c>
      <c r="AD161" s="31" t="s">
        <v>39</v>
      </c>
      <c r="AE161" s="31" t="s">
        <v>39</v>
      </c>
      <c r="AF161" s="31" t="s">
        <v>39</v>
      </c>
      <c r="AG161" s="31" t="s">
        <v>41</v>
      </c>
      <c r="AH161" s="31" t="s">
        <v>41</v>
      </c>
      <c r="AI161" s="31" t="s">
        <v>39</v>
      </c>
      <c r="AJ161" s="31" t="s">
        <v>39</v>
      </c>
      <c r="AK161" s="31" t="s">
        <v>41</v>
      </c>
      <c r="AL161" s="31" t="s">
        <v>41</v>
      </c>
      <c r="AM161" s="31" t="s">
        <v>41</v>
      </c>
      <c r="AN161" s="32" t="s">
        <v>829</v>
      </c>
      <c r="AO161" s="32" t="s">
        <v>828</v>
      </c>
      <c r="AP161" s="30">
        <v>42308.453541666669</v>
      </c>
      <c r="AQ161" s="30">
        <v>42308.456193865743</v>
      </c>
      <c r="AR161" s="92">
        <v>42308.547725983793</v>
      </c>
      <c r="AS161" s="92" t="s">
        <v>651</v>
      </c>
      <c r="AT161" s="107">
        <f>-32-47.886/60</f>
        <v>-32.798099999999998</v>
      </c>
      <c r="AU161" s="107">
        <f>17+45.94/60</f>
        <v>17.765666666666668</v>
      </c>
      <c r="AV161" s="142" t="s">
        <v>314</v>
      </c>
      <c r="AW161" s="106" t="s">
        <v>314</v>
      </c>
      <c r="AX161" s="30">
        <v>42308.556944444441</v>
      </c>
      <c r="AY161" s="107">
        <f>-32 - 49.8645/60</f>
        <v>-32.831074999999998</v>
      </c>
      <c r="AZ161" s="107">
        <f>17+45.842/60</f>
        <v>17.764033333333334</v>
      </c>
      <c r="BA161" s="32" t="s">
        <v>832</v>
      </c>
      <c r="BB161" s="49" t="s">
        <v>183</v>
      </c>
      <c r="BC161" s="7"/>
      <c r="BD161" s="7"/>
      <c r="BE161" s="7"/>
      <c r="BF161" s="7"/>
      <c r="BG161" s="7"/>
    </row>
    <row r="162" spans="1:59">
      <c r="A162" s="55" t="str">
        <f>HYPERLINK("tag_data/Quicklook/mn151031-4quicklook.jpg","mn151031-4")</f>
        <v>mn151031-4</v>
      </c>
      <c r="B162" s="26" t="str">
        <f t="shared" si="34"/>
        <v>mn</v>
      </c>
      <c r="C162" s="42" t="str">
        <f t="shared" si="43"/>
        <v>South Africa</v>
      </c>
      <c r="D162" s="64" t="s">
        <v>825</v>
      </c>
      <c r="E162" s="64" t="s">
        <v>826</v>
      </c>
      <c r="F162" s="85">
        <v>2</v>
      </c>
      <c r="G162" s="60" t="s">
        <v>827</v>
      </c>
      <c r="H162" s="31" t="s">
        <v>39</v>
      </c>
      <c r="I162" s="42" t="str">
        <f>HYPERLINK("tag_data/mn151031-4 (South Africa)","Link")</f>
        <v>Link</v>
      </c>
      <c r="J162" s="42" t="str">
        <f>HYPERLINK("tag_data_raw/South Africa/2015/mn151031-4","Link")</f>
        <v>Link</v>
      </c>
      <c r="K162" s="54" t="str">
        <f>HYPERLINK("tag_data/mn151031-4 (South Africa)/Pics&amp;Vids","Link")</f>
        <v>Link</v>
      </c>
      <c r="L162" s="54" t="str">
        <f>HYPERLINK("location data/South Africa/2015/pics and video/10.31/GoPro/Deploy2.MP4","Link")</f>
        <v>Link</v>
      </c>
      <c r="M162" s="41" t="s">
        <v>263</v>
      </c>
      <c r="N162" s="42" t="str">
        <f>HYPERLINK("location data/South Africa/2015/Notes/10.31 notes.xlsx","Link")</f>
        <v>Link</v>
      </c>
      <c r="O162" s="31" t="s">
        <v>45</v>
      </c>
      <c r="P162" s="31" t="s">
        <v>39</v>
      </c>
      <c r="Q162" s="31">
        <v>4</v>
      </c>
      <c r="R162" s="32" t="s">
        <v>34</v>
      </c>
      <c r="S162" s="32" t="str">
        <f t="shared" si="42"/>
        <v>Cam Mic</v>
      </c>
      <c r="T162" s="32" t="s">
        <v>330</v>
      </c>
      <c r="U162" s="17">
        <f t="shared" si="41"/>
        <v>0.20501157407124992</v>
      </c>
      <c r="V162" s="17">
        <f t="shared" si="38"/>
        <v>0.20501157407124992</v>
      </c>
      <c r="W162" s="56">
        <v>5.2766203703703697E-2</v>
      </c>
      <c r="X162" s="31" t="s">
        <v>263</v>
      </c>
      <c r="Y162" s="42"/>
      <c r="Z162" s="31" t="s">
        <v>39</v>
      </c>
      <c r="AA162" s="31" t="s">
        <v>39</v>
      </c>
      <c r="AB162" s="31" t="s">
        <v>277</v>
      </c>
      <c r="AC162" s="31" t="s">
        <v>39</v>
      </c>
      <c r="AD162" s="31" t="s">
        <v>39</v>
      </c>
      <c r="AE162" s="31" t="s">
        <v>39</v>
      </c>
      <c r="AF162" s="31" t="s">
        <v>39</v>
      </c>
      <c r="AG162" s="31" t="s">
        <v>39</v>
      </c>
      <c r="AH162" s="31" t="s">
        <v>41</v>
      </c>
      <c r="AI162" s="31" t="s">
        <v>39</v>
      </c>
      <c r="AJ162" s="31" t="s">
        <v>39</v>
      </c>
      <c r="AK162" s="33" t="s">
        <v>831</v>
      </c>
      <c r="AL162" s="31" t="s">
        <v>39</v>
      </c>
      <c r="AM162" s="31" t="s">
        <v>41</v>
      </c>
      <c r="AN162" s="32" t="s">
        <v>829</v>
      </c>
      <c r="AO162" s="32" t="s">
        <v>828</v>
      </c>
      <c r="AP162" s="30">
        <v>42308.436620370368</v>
      </c>
      <c r="AQ162" s="30">
        <v>42308.439965277779</v>
      </c>
      <c r="AR162" s="92">
        <v>42308.644976851851</v>
      </c>
      <c r="AS162" s="92" t="s">
        <v>651</v>
      </c>
      <c r="AT162" s="107">
        <f>-32-47.661/60</f>
        <v>-32.794350000000001</v>
      </c>
      <c r="AU162" s="107">
        <f>17+44.269/60</f>
        <v>17.737816666666667</v>
      </c>
      <c r="AV162" s="142" t="s">
        <v>314</v>
      </c>
      <c r="AW162" s="106" t="s">
        <v>314</v>
      </c>
      <c r="AX162" s="30">
        <v>42308.649305555555</v>
      </c>
      <c r="AY162" s="107">
        <f>-32-50.7125/60</f>
        <v>-32.845208333333332</v>
      </c>
      <c r="AZ162" s="107">
        <f>17+42.924/60</f>
        <v>17.715399999999999</v>
      </c>
      <c r="BA162" s="32" t="s">
        <v>833</v>
      </c>
      <c r="BB162" s="49" t="s">
        <v>184</v>
      </c>
      <c r="BC162" s="7"/>
      <c r="BD162" s="7"/>
      <c r="BE162" s="7"/>
      <c r="BF162" s="7"/>
      <c r="BG162" s="7"/>
    </row>
    <row r="163" spans="1:59">
      <c r="A163" s="55" t="str">
        <f>HYPERLINK("tag_data/Quicklook/mn151103-3quicklook.jpg","mn151103-3")</f>
        <v>mn151103-3</v>
      </c>
      <c r="B163" s="26" t="str">
        <f t="shared" si="34"/>
        <v>mn</v>
      </c>
      <c r="C163" s="42" t="str">
        <f t="shared" si="43"/>
        <v>South Africa</v>
      </c>
      <c r="D163" s="64" t="s">
        <v>825</v>
      </c>
      <c r="E163" s="64" t="s">
        <v>826</v>
      </c>
      <c r="F163" s="85">
        <v>2</v>
      </c>
      <c r="G163" s="60" t="s">
        <v>827</v>
      </c>
      <c r="H163" s="31" t="s">
        <v>39</v>
      </c>
      <c r="I163" s="42" t="str">
        <f>HYPERLINK("tag_data/mn151103-3 (South Africa)","Link")</f>
        <v>Link</v>
      </c>
      <c r="J163" s="42" t="str">
        <f>HYPERLINK("tag_data_raw/South Africa/2015/mn151103-3","Link")</f>
        <v>Link</v>
      </c>
      <c r="K163" s="46" t="str">
        <f>HYPERLINK("tag_data/mn151103-3 (South Africa)/Pics&amp;Vids","Link")</f>
        <v>Link</v>
      </c>
      <c r="L163" s="54" t="str">
        <f>HYPERLINK("location data/South Africa/2015/pics and video/11.03/GoPro/Deployment 5.MP4","Link")</f>
        <v>Link</v>
      </c>
      <c r="M163" s="41" t="s">
        <v>263</v>
      </c>
      <c r="N163" s="42" t="str">
        <f>HYPERLINK("location data/South Africa/2015/Notes/11.03 notes.xlsx","Link")</f>
        <v>Link</v>
      </c>
      <c r="O163" s="31" t="s">
        <v>45</v>
      </c>
      <c r="P163" s="31" t="s">
        <v>41</v>
      </c>
      <c r="Q163" s="31">
        <v>3</v>
      </c>
      <c r="R163" s="32" t="s">
        <v>34</v>
      </c>
      <c r="S163" s="32" t="str">
        <f t="shared" si="42"/>
        <v>Cam Mic</v>
      </c>
      <c r="T163" s="32" t="s">
        <v>38</v>
      </c>
      <c r="U163" s="17">
        <f t="shared" si="41"/>
        <v>0.13611111111094942</v>
      </c>
      <c r="V163" s="17">
        <f t="shared" si="38"/>
        <v>0.13611111111094942</v>
      </c>
      <c r="W163" s="56">
        <v>7.5671296296296306E-2</v>
      </c>
      <c r="X163" s="31" t="s">
        <v>263</v>
      </c>
      <c r="Y163" s="42"/>
      <c r="Z163" s="31" t="s">
        <v>41</v>
      </c>
      <c r="AA163" s="31" t="s">
        <v>41</v>
      </c>
      <c r="AB163" s="31" t="s">
        <v>1039</v>
      </c>
      <c r="AC163" s="31" t="s">
        <v>39</v>
      </c>
      <c r="AD163" s="31" t="s">
        <v>41</v>
      </c>
      <c r="AE163" s="31" t="s">
        <v>41</v>
      </c>
      <c r="AF163" s="31" t="s">
        <v>39</v>
      </c>
      <c r="AG163" s="31" t="s">
        <v>39</v>
      </c>
      <c r="AH163" s="31" t="s">
        <v>41</v>
      </c>
      <c r="AI163" s="31" t="s">
        <v>39</v>
      </c>
      <c r="AJ163" s="33" t="s">
        <v>789</v>
      </c>
      <c r="AK163" s="31" t="s">
        <v>41</v>
      </c>
      <c r="AL163" s="31" t="s">
        <v>39</v>
      </c>
      <c r="AM163" s="31" t="s">
        <v>41</v>
      </c>
      <c r="AN163" s="32" t="s">
        <v>579</v>
      </c>
      <c r="AO163" s="32" t="s">
        <v>834</v>
      </c>
      <c r="AP163" s="30">
        <v>42311.47552083333</v>
      </c>
      <c r="AQ163" s="30">
        <v>42311.475729166668</v>
      </c>
      <c r="AR163" s="30">
        <v>42311.611840277779</v>
      </c>
      <c r="AS163" s="92" t="s">
        <v>651</v>
      </c>
      <c r="AT163" s="144">
        <f>-33-26.0015/60</f>
        <v>-33.433358333333331</v>
      </c>
      <c r="AU163" s="144">
        <f>17+58.532/60</f>
        <v>17.975533333333335</v>
      </c>
      <c r="AV163" s="142" t="s">
        <v>314</v>
      </c>
      <c r="AW163" s="106" t="s">
        <v>314</v>
      </c>
      <c r="AX163" s="30">
        <v>42311.629166666666</v>
      </c>
      <c r="AY163" s="144">
        <f>-33-25.306/60</f>
        <v>-33.42176666666667</v>
      </c>
      <c r="AZ163" s="144">
        <f>17+58.647/60</f>
        <v>17.977450000000001</v>
      </c>
      <c r="BA163" s="52" t="s">
        <v>837</v>
      </c>
      <c r="BB163" s="49" t="s">
        <v>185</v>
      </c>
      <c r="BC163" s="7"/>
      <c r="BD163" s="7"/>
      <c r="BE163" s="40"/>
      <c r="BF163" s="40"/>
      <c r="BG163" s="40"/>
    </row>
    <row r="164" spans="1:59">
      <c r="A164" s="55" t="str">
        <f>HYPERLINK("tag_data/Quicklook/mn151103-4quicklook.jpg","mn151103-4")</f>
        <v>mn151103-4</v>
      </c>
      <c r="B164" s="26" t="str">
        <f t="shared" si="34"/>
        <v>mn</v>
      </c>
      <c r="C164" s="42" t="str">
        <f t="shared" si="43"/>
        <v>South Africa</v>
      </c>
      <c r="D164" s="64" t="s">
        <v>825</v>
      </c>
      <c r="E164" s="64" t="s">
        <v>826</v>
      </c>
      <c r="F164" s="85">
        <v>2</v>
      </c>
      <c r="G164" s="60" t="s">
        <v>827</v>
      </c>
      <c r="H164" s="31" t="s">
        <v>39</v>
      </c>
      <c r="I164" s="42" t="str">
        <f>HYPERLINK("tag_data/mn151103-4 (South Africa)","Link")</f>
        <v>Link</v>
      </c>
      <c r="J164" s="42" t="str">
        <f>HYPERLINK("tag_data_raw/South Africa/2015/mn151103-4","Link")</f>
        <v>Link</v>
      </c>
      <c r="K164" s="46" t="str">
        <f>HYPERLINK("tag_data/mn151103-4 (South Africa)/Pics&amp;Vids","Link")</f>
        <v>Link</v>
      </c>
      <c r="L164" s="54" t="str">
        <f>HYPERLINK("location data/South Africa/2015/pics and video/11.03/GoPro/Deployment 3.MP4","Link")</f>
        <v>Link</v>
      </c>
      <c r="M164" s="41" t="s">
        <v>263</v>
      </c>
      <c r="N164" s="42" t="str">
        <f>HYPERLINK("location data/South Africa/2015/Notes/11.03 notes.xlsx","Link")</f>
        <v>Link</v>
      </c>
      <c r="O164" s="31" t="s">
        <v>45</v>
      </c>
      <c r="P164" s="31" t="s">
        <v>41</v>
      </c>
      <c r="Q164" s="31">
        <v>4</v>
      </c>
      <c r="R164" s="32" t="s">
        <v>34</v>
      </c>
      <c r="S164" s="32" t="s">
        <v>1393</v>
      </c>
      <c r="T164" s="32" t="s">
        <v>263</v>
      </c>
      <c r="U164" s="17">
        <f t="shared" si="41"/>
        <v>6.153935184556758E-2</v>
      </c>
      <c r="V164" s="17">
        <f t="shared" si="38"/>
        <v>6.153935184556758E-2</v>
      </c>
      <c r="W164" s="56" t="s">
        <v>346</v>
      </c>
      <c r="X164" s="31" t="s">
        <v>263</v>
      </c>
      <c r="Y164" s="42"/>
      <c r="Z164" s="31" t="s">
        <v>39</v>
      </c>
      <c r="AA164" s="31" t="s">
        <v>41</v>
      </c>
      <c r="AB164" s="31" t="s">
        <v>1039</v>
      </c>
      <c r="AC164" s="31" t="s">
        <v>39</v>
      </c>
      <c r="AD164" s="31" t="s">
        <v>41</v>
      </c>
      <c r="AE164" s="31" t="s">
        <v>41</v>
      </c>
      <c r="AF164" s="31" t="s">
        <v>41</v>
      </c>
      <c r="AG164" s="31" t="s">
        <v>41</v>
      </c>
      <c r="AH164" s="31" t="s">
        <v>41</v>
      </c>
      <c r="AI164" s="31" t="s">
        <v>41</v>
      </c>
      <c r="AJ164" s="31" t="s">
        <v>41</v>
      </c>
      <c r="AK164" s="31" t="s">
        <v>41</v>
      </c>
      <c r="AL164" s="31" t="s">
        <v>41</v>
      </c>
      <c r="AM164" s="31" t="s">
        <v>41</v>
      </c>
      <c r="AN164" s="32" t="s">
        <v>579</v>
      </c>
      <c r="AO164" s="32" t="s">
        <v>834</v>
      </c>
      <c r="AP164" s="30">
        <v>42311.379027777781</v>
      </c>
      <c r="AQ164" s="30">
        <v>42311.381736111114</v>
      </c>
      <c r="AR164" s="92">
        <v>42311.44327546296</v>
      </c>
      <c r="AS164" s="92" t="s">
        <v>651</v>
      </c>
      <c r="AT164" s="107">
        <f>-33 - 26.6155/60</f>
        <v>-33.44359166666667</v>
      </c>
      <c r="AU164" s="107">
        <f>17+59.312/60</f>
        <v>17.988533333333333</v>
      </c>
      <c r="AV164" s="142" t="s">
        <v>314</v>
      </c>
      <c r="AW164" s="106" t="s">
        <v>451</v>
      </c>
      <c r="AX164" s="30">
        <v>42311.5</v>
      </c>
      <c r="AY164" s="107">
        <v>-33.448999999999998</v>
      </c>
      <c r="AZ164" s="107">
        <v>18.010999999999999</v>
      </c>
      <c r="BA164" s="32" t="s">
        <v>836</v>
      </c>
      <c r="BB164" s="49" t="s">
        <v>186</v>
      </c>
      <c r="BC164" s="7"/>
      <c r="BD164" s="7"/>
      <c r="BE164" s="40"/>
      <c r="BF164" s="40"/>
      <c r="BG164" s="40"/>
    </row>
    <row r="165" spans="1:59" s="16" customFormat="1">
      <c r="A165" s="55" t="str">
        <f>HYPERLINK("tag_data/Quicklook/mn151103-7quicklook.jpg","mn151103-7")</f>
        <v>mn151103-7</v>
      </c>
      <c r="B165" s="26" t="str">
        <f t="shared" si="34"/>
        <v>mn</v>
      </c>
      <c r="C165" s="42" t="str">
        <f t="shared" si="43"/>
        <v>South Africa</v>
      </c>
      <c r="D165" s="64" t="s">
        <v>825</v>
      </c>
      <c r="E165" s="64" t="s">
        <v>826</v>
      </c>
      <c r="F165" s="85">
        <v>2</v>
      </c>
      <c r="G165" s="60" t="s">
        <v>827</v>
      </c>
      <c r="H165" s="31" t="s">
        <v>39</v>
      </c>
      <c r="I165" s="42" t="str">
        <f>HYPERLINK("tag_data/mn151103-7 (South Africa)","Link")</f>
        <v>Link</v>
      </c>
      <c r="J165" s="42" t="str">
        <f>HYPERLINK("tag_data_raw/South Africa/2015/mn151103-7","Link")</f>
        <v>Link</v>
      </c>
      <c r="K165" s="46" t="str">
        <f>HYPERLINK("tag_data/mn151103-7 (South Africa)/Pics&amp;Vids","Link")</f>
        <v>Link</v>
      </c>
      <c r="L165" s="54" t="str">
        <f>HYPERLINK("location data/South Africa/2015/pics and video/11.03/GoPro/Deployment 4.MP4","Link")</f>
        <v>Link</v>
      </c>
      <c r="M165" s="41" t="s">
        <v>263</v>
      </c>
      <c r="N165" s="42" t="str">
        <f>HYPERLINK("location data/South Africa/2015/Notes/11.03 notes.xlsx","Link")</f>
        <v>Link</v>
      </c>
      <c r="O165" s="31" t="s">
        <v>45</v>
      </c>
      <c r="P165" s="31" t="s">
        <v>41</v>
      </c>
      <c r="Q165" s="31">
        <v>7</v>
      </c>
      <c r="R165" s="32" t="s">
        <v>133</v>
      </c>
      <c r="S165" s="32" t="s">
        <v>1393</v>
      </c>
      <c r="T165" s="32" t="s">
        <v>263</v>
      </c>
      <c r="U165" s="17">
        <f t="shared" si="41"/>
        <v>1.0783101851848187</v>
      </c>
      <c r="V165" s="17">
        <f t="shared" si="38"/>
        <v>0.45937499999854481</v>
      </c>
      <c r="W165" s="56" t="s">
        <v>346</v>
      </c>
      <c r="X165" s="42" t="str">
        <f>HYPERLINK("tag_data/mn151103-7 (South Africa)/mn151103-7 Map.bmp","463")</f>
        <v>463</v>
      </c>
      <c r="Y165" s="42"/>
      <c r="Z165" s="31" t="s">
        <v>39</v>
      </c>
      <c r="AA165" s="31" t="s">
        <v>41</v>
      </c>
      <c r="AB165" s="31" t="s">
        <v>1039</v>
      </c>
      <c r="AC165" s="31" t="s">
        <v>39</v>
      </c>
      <c r="AD165" s="31" t="s">
        <v>41</v>
      </c>
      <c r="AE165" s="31" t="s">
        <v>41</v>
      </c>
      <c r="AF165" s="31" t="s">
        <v>41</v>
      </c>
      <c r="AG165" s="31" t="s">
        <v>41</v>
      </c>
      <c r="AH165" s="31" t="s">
        <v>41</v>
      </c>
      <c r="AI165" s="31" t="s">
        <v>41</v>
      </c>
      <c r="AJ165" s="31" t="s">
        <v>41</v>
      </c>
      <c r="AK165" s="31" t="s">
        <v>41</v>
      </c>
      <c r="AL165" s="31" t="s">
        <v>41</v>
      </c>
      <c r="AM165" s="31" t="s">
        <v>41</v>
      </c>
      <c r="AN165" s="32" t="s">
        <v>579</v>
      </c>
      <c r="AO165" s="32" t="s">
        <v>834</v>
      </c>
      <c r="AP165" s="30">
        <v>42311.382939814815</v>
      </c>
      <c r="AQ165" s="30">
        <v>42311.421689814815</v>
      </c>
      <c r="AR165" s="30">
        <v>42312.5</v>
      </c>
      <c r="AS165" s="92">
        <v>42311.881064814814</v>
      </c>
      <c r="AT165" s="144">
        <f>-33-25.5215/60</f>
        <v>-33.425358333333335</v>
      </c>
      <c r="AU165" s="144">
        <f>17+58.621/60</f>
        <v>17.977016666666668</v>
      </c>
      <c r="AV165" s="142" t="s">
        <v>314</v>
      </c>
      <c r="AW165" s="142" t="s">
        <v>314</v>
      </c>
      <c r="AX165" s="30">
        <v>42312.503472222219</v>
      </c>
      <c r="AY165" s="107">
        <v>-33.368387790396802</v>
      </c>
      <c r="AZ165" s="107">
        <v>18.042446812614699</v>
      </c>
      <c r="BA165" s="32" t="s">
        <v>835</v>
      </c>
      <c r="BB165" s="49" t="s">
        <v>187</v>
      </c>
      <c r="BC165" s="7"/>
      <c r="BD165" s="7"/>
      <c r="BE165" s="67"/>
      <c r="BF165" s="67"/>
      <c r="BG165" s="67"/>
    </row>
    <row r="166" spans="1:59">
      <c r="A166" s="55" t="str">
        <f>HYPERLINK("tag_data/Quicklook/mn151106-4quicklook.jpg","mn151106-4")</f>
        <v>mn151106-4</v>
      </c>
      <c r="B166" s="26" t="str">
        <f t="shared" si="34"/>
        <v>mn</v>
      </c>
      <c r="C166" s="42" t="str">
        <f t="shared" si="43"/>
        <v>South Africa</v>
      </c>
      <c r="D166" s="64" t="s">
        <v>825</v>
      </c>
      <c r="E166" s="64" t="s">
        <v>826</v>
      </c>
      <c r="F166" s="85">
        <v>2</v>
      </c>
      <c r="G166" s="60" t="s">
        <v>827</v>
      </c>
      <c r="H166" s="31" t="s">
        <v>39</v>
      </c>
      <c r="I166" s="42" t="str">
        <f>HYPERLINK("tag_data/mn151106-4 (South Africa)","Link")</f>
        <v>Link</v>
      </c>
      <c r="J166" s="42" t="str">
        <f>HYPERLINK("tag_data_raw/South Africa/2015/mn151106-4","Link")</f>
        <v>Link</v>
      </c>
      <c r="K166" s="46" t="str">
        <f>HYPERLINK("tag_data/mn151106-4 (South Africa)/Pics&amp;Vids","Link")</f>
        <v>Link</v>
      </c>
      <c r="L166" s="41" t="s">
        <v>263</v>
      </c>
      <c r="M166" s="41" t="s">
        <v>263</v>
      </c>
      <c r="N166" s="42" t="str">
        <f>HYPERLINK("location data/South Africa/2015/Notes/11.06 notes.xlsx","Link")</f>
        <v>Link</v>
      </c>
      <c r="O166" s="31" t="s">
        <v>45</v>
      </c>
      <c r="P166" s="31" t="s">
        <v>41</v>
      </c>
      <c r="Q166" s="31">
        <v>4</v>
      </c>
      <c r="R166" s="32" t="s">
        <v>34</v>
      </c>
      <c r="S166" s="32" t="str">
        <f>IF(OR(Q166&lt;39,Q166=50,Q166=51,AND(OR(Q166=46,Q166=47),AQ166&gt;43313)),"Cam Mic",IF(AND(Q166&lt;45,AQ166&lt;42958),"Dolphin Ear",IF(AND(Q166&gt;44,NOT(OR(Q166=46,Q166=47,Q166=50,Q166=51))),"HTI","None")))</f>
        <v>Cam Mic</v>
      </c>
      <c r="T166" s="32" t="s">
        <v>334</v>
      </c>
      <c r="U166" s="17">
        <f t="shared" si="41"/>
        <v>0.14156221065059071</v>
      </c>
      <c r="V166" s="17">
        <f t="shared" si="38"/>
        <v>0.14156221065059071</v>
      </c>
      <c r="W166" s="56">
        <v>0.11306712962962963</v>
      </c>
      <c r="X166" s="31" t="s">
        <v>263</v>
      </c>
      <c r="Y166" s="42"/>
      <c r="Z166" s="31" t="s">
        <v>41</v>
      </c>
      <c r="AA166" s="31" t="s">
        <v>41</v>
      </c>
      <c r="AB166" s="31" t="s">
        <v>277</v>
      </c>
      <c r="AC166" s="31" t="s">
        <v>39</v>
      </c>
      <c r="AD166" s="31" t="s">
        <v>41</v>
      </c>
      <c r="AE166" s="31" t="s">
        <v>39</v>
      </c>
      <c r="AF166" s="31" t="s">
        <v>39</v>
      </c>
      <c r="AG166" s="31" t="s">
        <v>41</v>
      </c>
      <c r="AH166" s="132" t="s">
        <v>41</v>
      </c>
      <c r="AI166" s="31" t="s">
        <v>41</v>
      </c>
      <c r="AJ166" s="31" t="s">
        <v>39</v>
      </c>
      <c r="AK166" s="33" t="s">
        <v>831</v>
      </c>
      <c r="AL166" s="31" t="s">
        <v>41</v>
      </c>
      <c r="AM166" s="31" t="s">
        <v>394</v>
      </c>
      <c r="AN166" s="32" t="s">
        <v>830</v>
      </c>
      <c r="AO166" s="32" t="s">
        <v>838</v>
      </c>
      <c r="AP166" s="30">
        <v>42314.352083333331</v>
      </c>
      <c r="AQ166" s="30">
        <v>42314.357905092591</v>
      </c>
      <c r="AR166" s="30">
        <v>42314.499467303242</v>
      </c>
      <c r="AS166" s="92" t="s">
        <v>651</v>
      </c>
      <c r="AT166" s="144">
        <v>-34.072699999999998</v>
      </c>
      <c r="AU166" s="144">
        <v>18.304600000000001</v>
      </c>
      <c r="AV166" s="142" t="s">
        <v>314</v>
      </c>
      <c r="AW166" s="106" t="s">
        <v>451</v>
      </c>
      <c r="AX166" s="30">
        <v>42314.502129629633</v>
      </c>
      <c r="AY166" s="144">
        <v>-34.1858</v>
      </c>
      <c r="AZ166" s="144">
        <v>18.292400000000001</v>
      </c>
      <c r="BA166" s="32" t="s">
        <v>839</v>
      </c>
      <c r="BB166" s="49" t="s">
        <v>188</v>
      </c>
      <c r="BC166" s="7"/>
      <c r="BD166" s="7"/>
      <c r="BE166" s="7"/>
      <c r="BF166" s="7"/>
      <c r="BG166" s="7"/>
    </row>
    <row r="167" spans="1:59" s="16" customFormat="1">
      <c r="A167" s="55" t="str">
        <f>HYPERLINK("tag_data/Quicklook/mn160113-11quicklook.jpg","mn160113-11")</f>
        <v>mn160113-11</v>
      </c>
      <c r="B167" s="26" t="str">
        <f t="shared" si="34"/>
        <v>mn</v>
      </c>
      <c r="C167" s="46" t="str">
        <f>HYPERLINK("location data/Antarctic/2016/","Antarctic")</f>
        <v>Antarctic</v>
      </c>
      <c r="D167" s="64" t="s">
        <v>513</v>
      </c>
      <c r="E167" s="61" t="s">
        <v>656</v>
      </c>
      <c r="F167" s="85">
        <v>-3</v>
      </c>
      <c r="G167" s="59" t="s">
        <v>459</v>
      </c>
      <c r="H167" s="31" t="s">
        <v>39</v>
      </c>
      <c r="I167" s="46" t="str">
        <f>HYPERLINK("tag_data/mn160113-11 (Antarctic)","Link")</f>
        <v>Link</v>
      </c>
      <c r="J167" s="46" t="str">
        <f>HYPERLINK("tag_data_raw/Antarctic/2016/mn160113-11","Link")</f>
        <v>Link</v>
      </c>
      <c r="K167" s="46" t="str">
        <f>HYPERLINK("tag_data/mn160113-11 (Antarctic)/Pics&amp;Vids","Link")</f>
        <v>Link</v>
      </c>
      <c r="L167" s="41" t="s">
        <v>263</v>
      </c>
      <c r="M167" s="41" t="s">
        <v>263</v>
      </c>
      <c r="N167" s="31" t="s">
        <v>263</v>
      </c>
      <c r="O167" s="31" t="s">
        <v>45</v>
      </c>
      <c r="P167" s="31" t="s">
        <v>266</v>
      </c>
      <c r="Q167" s="31">
        <v>11</v>
      </c>
      <c r="R167" s="32" t="s">
        <v>133</v>
      </c>
      <c r="S167" s="32" t="str">
        <f>IF(OR(Q167&lt;39,Q167=50,Q167=51,AND(OR(Q167=46,Q167=47),AQ167&gt;43313)),"Cam Mic",IF(AND(Q167&lt;45,AQ167&lt;42958),"Dolphin Ear",IF(AND(Q167&gt;44,NOT(OR(Q167=46,Q167=47,Q167=50,Q167=51))),"HTI","None")))</f>
        <v>Cam Mic</v>
      </c>
      <c r="T167" s="32" t="s">
        <v>328</v>
      </c>
      <c r="U167" s="17">
        <f t="shared" si="41"/>
        <v>1.4781597222172422</v>
      </c>
      <c r="V167" s="17">
        <f t="shared" si="38"/>
        <v>1.2329166666677338</v>
      </c>
      <c r="W167" s="56">
        <v>0.30298611111111112</v>
      </c>
      <c r="X167" s="25">
        <v>0</v>
      </c>
      <c r="Y167" s="54"/>
      <c r="Z167" s="31" t="s">
        <v>39</v>
      </c>
      <c r="AA167" s="31" t="s">
        <v>39</v>
      </c>
      <c r="AB167" s="33" t="s">
        <v>1041</v>
      </c>
      <c r="AC167" s="31" t="s">
        <v>41</v>
      </c>
      <c r="AD167" s="31" t="s">
        <v>39</v>
      </c>
      <c r="AE167" s="31" t="s">
        <v>39</v>
      </c>
      <c r="AF167" s="31" t="s">
        <v>39</v>
      </c>
      <c r="AG167" s="31" t="s">
        <v>41</v>
      </c>
      <c r="AH167" s="33" t="s">
        <v>481</v>
      </c>
      <c r="AI167" s="31" t="s">
        <v>41</v>
      </c>
      <c r="AJ167" s="31" t="s">
        <v>39</v>
      </c>
      <c r="AK167" s="31" t="s">
        <v>41</v>
      </c>
      <c r="AL167" s="31" t="s">
        <v>39</v>
      </c>
      <c r="AM167" s="31" t="s">
        <v>39</v>
      </c>
      <c r="AN167" s="32" t="s">
        <v>905</v>
      </c>
      <c r="AO167" s="32" t="s">
        <v>681</v>
      </c>
      <c r="AP167" s="30">
        <v>42382.183125000003</v>
      </c>
      <c r="AQ167" s="30">
        <v>42382.188506944447</v>
      </c>
      <c r="AR167" s="30">
        <v>42383.666666666664</v>
      </c>
      <c r="AS167" s="92">
        <v>42383.421423611115</v>
      </c>
      <c r="AT167" s="148">
        <v>-64.905000000000001</v>
      </c>
      <c r="AU167" s="148">
        <v>-64.2483</v>
      </c>
      <c r="AV167" s="142" t="s">
        <v>658</v>
      </c>
      <c r="AW167" s="106" t="s">
        <v>658</v>
      </c>
      <c r="AX167" s="30">
        <v>42383.666666666664</v>
      </c>
      <c r="AY167" s="107">
        <f>-64-55/60</f>
        <v>-64.916666666666671</v>
      </c>
      <c r="AZ167" s="149">
        <f>-64-9.6/60</f>
        <v>-64.16</v>
      </c>
      <c r="BA167" s="32" t="s">
        <v>1013</v>
      </c>
      <c r="BB167" s="49" t="s">
        <v>182</v>
      </c>
      <c r="BC167" s="7"/>
      <c r="BD167" s="7"/>
      <c r="BE167" s="67"/>
      <c r="BF167" s="67"/>
      <c r="BG167" s="67"/>
    </row>
    <row r="168" spans="1:59">
      <c r="A168" s="55" t="str">
        <f>HYPERLINK("tag_data/Quicklook/mn160121-14quicklook.jpg","mn160121-14")</f>
        <v>mn160121-14</v>
      </c>
      <c r="B168" s="26" t="str">
        <f t="shared" si="34"/>
        <v>mn</v>
      </c>
      <c r="C168" s="42" t="str">
        <f>HYPERLINK("location data/Norway/2016/","Norway")</f>
        <v>Norway</v>
      </c>
      <c r="D168" s="64" t="s">
        <v>286</v>
      </c>
      <c r="E168" s="77" t="s">
        <v>526</v>
      </c>
      <c r="F168" s="85">
        <v>1</v>
      </c>
      <c r="G168" s="59" t="s">
        <v>527</v>
      </c>
      <c r="H168" s="31" t="s">
        <v>39</v>
      </c>
      <c r="I168" s="46" t="str">
        <f>HYPERLINK("tag_data/mn160121-14 (Norway)","Link")</f>
        <v>Link</v>
      </c>
      <c r="J168" s="46" t="str">
        <f>HYPERLINK("tag_data_raw/Norway/2016/mn160121-14","Link")</f>
        <v>Link</v>
      </c>
      <c r="K168" s="46" t="str">
        <f>HYPERLINK("tag_data/mn160121-14 (Norway)/Pics&amp;Vids", "Link")</f>
        <v>Link</v>
      </c>
      <c r="L168" s="46" t="str">
        <f>HYPERLINK("location data/Norway/2016/Pics&amp;Vids/01.21/Deployment.mp4", "Link")</f>
        <v>Link</v>
      </c>
      <c r="M168" s="41" t="s">
        <v>263</v>
      </c>
      <c r="N168" s="31" t="s">
        <v>263</v>
      </c>
      <c r="O168" s="31" t="s">
        <v>45</v>
      </c>
      <c r="P168" s="31" t="s">
        <v>563</v>
      </c>
      <c r="Q168" s="31">
        <v>14</v>
      </c>
      <c r="R168" s="32" t="s">
        <v>235</v>
      </c>
      <c r="S168" s="32" t="s">
        <v>1393</v>
      </c>
      <c r="T168" s="32" t="s">
        <v>263</v>
      </c>
      <c r="U168" s="17">
        <f t="shared" si="41"/>
        <v>0.38537037037167465</v>
      </c>
      <c r="V168" s="17">
        <f t="shared" si="38"/>
        <v>0.38090277778246673</v>
      </c>
      <c r="W168" s="56" t="s">
        <v>346</v>
      </c>
      <c r="X168" s="31">
        <v>0</v>
      </c>
      <c r="Y168" s="31"/>
      <c r="Z168" s="31" t="s">
        <v>39</v>
      </c>
      <c r="AA168" s="31" t="s">
        <v>41</v>
      </c>
      <c r="AB168" s="31" t="s">
        <v>297</v>
      </c>
      <c r="AC168" s="31" t="s">
        <v>41</v>
      </c>
      <c r="AD168" s="31" t="s">
        <v>41</v>
      </c>
      <c r="AE168" s="31" t="s">
        <v>41</v>
      </c>
      <c r="AF168" s="31" t="s">
        <v>41</v>
      </c>
      <c r="AG168" s="31" t="s">
        <v>41</v>
      </c>
      <c r="AH168" s="31" t="s">
        <v>41</v>
      </c>
      <c r="AI168" s="31" t="s">
        <v>41</v>
      </c>
      <c r="AJ168" s="31" t="s">
        <v>41</v>
      </c>
      <c r="AK168" s="31" t="s">
        <v>41</v>
      </c>
      <c r="AL168" s="31" t="s">
        <v>41</v>
      </c>
      <c r="AM168" s="31" t="s">
        <v>41</v>
      </c>
      <c r="AN168" s="32" t="s">
        <v>1010</v>
      </c>
      <c r="AO168" s="32" t="s">
        <v>326</v>
      </c>
      <c r="AP168" s="30">
        <v>42390.435057870367</v>
      </c>
      <c r="AQ168" s="30">
        <v>42390.430590277778</v>
      </c>
      <c r="AR168" s="30">
        <v>42390.815960648149</v>
      </c>
      <c r="AS168" s="92" t="s">
        <v>651</v>
      </c>
      <c r="AT168" s="150">
        <f>69+18/60+53/60/60</f>
        <v>69.314722222222215</v>
      </c>
      <c r="AU168" s="150">
        <f>16+2/60+16/60/60</f>
        <v>16.03777777777778</v>
      </c>
      <c r="AV168" s="151" t="s">
        <v>286</v>
      </c>
      <c r="AW168" s="106" t="s">
        <v>286</v>
      </c>
      <c r="AX168" s="30">
        <v>42390.854166666664</v>
      </c>
      <c r="AY168" s="150">
        <f>69+19/60+16/60/60</f>
        <v>69.321111111111108</v>
      </c>
      <c r="AZ168" s="150">
        <f>15+56/60+3/60/60</f>
        <v>15.934166666666666</v>
      </c>
      <c r="BA168" s="32" t="s">
        <v>1012</v>
      </c>
      <c r="BB168" s="49" t="s">
        <v>1304</v>
      </c>
      <c r="BC168" s="7"/>
      <c r="BD168" s="7"/>
      <c r="BE168" s="7"/>
      <c r="BF168" s="7"/>
      <c r="BG168" s="7"/>
    </row>
    <row r="169" spans="1:59" s="16" customFormat="1">
      <c r="A169" s="7" t="s">
        <v>1422</v>
      </c>
      <c r="B169" s="26" t="str">
        <f t="shared" si="34"/>
        <v>mn</v>
      </c>
      <c r="C169" s="42" t="str">
        <f>HYPERLINK("location data/Norway/2016/","Norway")</f>
        <v>Norway</v>
      </c>
      <c r="D169" s="64" t="s">
        <v>286</v>
      </c>
      <c r="E169" s="77" t="s">
        <v>526</v>
      </c>
      <c r="F169" s="85">
        <v>1</v>
      </c>
      <c r="G169" s="59" t="s">
        <v>527</v>
      </c>
      <c r="H169" s="31" t="s">
        <v>41</v>
      </c>
      <c r="I169" s="46" t="str">
        <f>HYPERLINK("tag_data/mn160125-17a&amp;b (Norway- no prh)","Link")</f>
        <v>Link</v>
      </c>
      <c r="J169" s="46" t="str">
        <f>HYPERLINK("tag_data_raw/Norway/2016/mn160125-17 (very brief deployments)","Link")</f>
        <v>Link</v>
      </c>
      <c r="K169" s="46" t="str">
        <f>HYPERLINK("tag_data/mn160125-17a&amp;b (Norway- no prh)/Pics&amp;Vids","Link")</f>
        <v>Link</v>
      </c>
      <c r="L169" s="41" t="s">
        <v>263</v>
      </c>
      <c r="M169" s="41" t="s">
        <v>263</v>
      </c>
      <c r="N169" s="31" t="s">
        <v>263</v>
      </c>
      <c r="O169" s="31" t="s">
        <v>45</v>
      </c>
      <c r="P169" s="31" t="s">
        <v>41</v>
      </c>
      <c r="Q169" s="31">
        <v>17</v>
      </c>
      <c r="R169" s="32" t="s">
        <v>235</v>
      </c>
      <c r="S169" s="32" t="s">
        <v>1418</v>
      </c>
      <c r="T169" s="32" t="s">
        <v>649</v>
      </c>
      <c r="U169" s="17">
        <f t="shared" si="41"/>
        <v>1.1574073869269341E-4</v>
      </c>
      <c r="V169" s="17">
        <f t="shared" si="38"/>
        <v>1.1574073869269341E-4</v>
      </c>
      <c r="W169" s="56">
        <f>V169</f>
        <v>1.1574073869269341E-4</v>
      </c>
      <c r="X169" s="31">
        <v>0</v>
      </c>
      <c r="Y169" s="42"/>
      <c r="Z169" s="31" t="s">
        <v>41</v>
      </c>
      <c r="AA169" s="31" t="s">
        <v>41</v>
      </c>
      <c r="AB169" s="31" t="s">
        <v>263</v>
      </c>
      <c r="AC169" s="31" t="s">
        <v>41</v>
      </c>
      <c r="AD169" s="31" t="s">
        <v>41</v>
      </c>
      <c r="AE169" s="31" t="s">
        <v>41</v>
      </c>
      <c r="AF169" s="31" t="s">
        <v>41</v>
      </c>
      <c r="AG169" s="31" t="s">
        <v>41</v>
      </c>
      <c r="AH169" s="31" t="s">
        <v>41</v>
      </c>
      <c r="AI169" s="31" t="s">
        <v>41</v>
      </c>
      <c r="AJ169" s="31" t="s">
        <v>41</v>
      </c>
      <c r="AK169" s="31" t="s">
        <v>41</v>
      </c>
      <c r="AL169" s="31" t="s">
        <v>41</v>
      </c>
      <c r="AM169" s="31" t="s">
        <v>41</v>
      </c>
      <c r="AN169" s="32" t="s">
        <v>810</v>
      </c>
      <c r="AO169" s="32" t="s">
        <v>326</v>
      </c>
      <c r="AP169" s="30">
        <v>42394.418310185189</v>
      </c>
      <c r="AQ169" s="30">
        <v>42394.535428240742</v>
      </c>
      <c r="AR169" s="30">
        <v>42394.535543981481</v>
      </c>
      <c r="AS169" s="92" t="s">
        <v>651</v>
      </c>
      <c r="AT169" s="154" t="s">
        <v>327</v>
      </c>
      <c r="AU169" s="155" t="s">
        <v>327</v>
      </c>
      <c r="AV169" s="104" t="s">
        <v>286</v>
      </c>
      <c r="AW169" s="104" t="s">
        <v>286</v>
      </c>
      <c r="AX169" s="30">
        <v>42394.541666666664</v>
      </c>
      <c r="AY169" s="154" t="s">
        <v>327</v>
      </c>
      <c r="AZ169" s="155" t="s">
        <v>327</v>
      </c>
      <c r="BA169" s="104" t="s">
        <v>1007</v>
      </c>
      <c r="BB169" s="32"/>
      <c r="BC169" s="7"/>
      <c r="BD169" s="7"/>
      <c r="BE169" s="67"/>
      <c r="BF169" s="67"/>
      <c r="BG169" s="67"/>
    </row>
    <row r="170" spans="1:59">
      <c r="A170" s="7" t="s">
        <v>1423</v>
      </c>
      <c r="B170" s="26" t="str">
        <f t="shared" si="34"/>
        <v>mn</v>
      </c>
      <c r="C170" s="42" t="str">
        <f>HYPERLINK("location data/Norway/2016/","Norway")</f>
        <v>Norway</v>
      </c>
      <c r="D170" s="64" t="s">
        <v>286</v>
      </c>
      <c r="E170" s="77" t="s">
        <v>526</v>
      </c>
      <c r="F170" s="85">
        <v>1</v>
      </c>
      <c r="G170" s="59" t="s">
        <v>527</v>
      </c>
      <c r="H170" s="31" t="s">
        <v>41</v>
      </c>
      <c r="I170" s="46" t="str">
        <f>HYPERLINK("tag_data/mn160125-17a&amp;b (Norway- no prh)","Link")</f>
        <v>Link</v>
      </c>
      <c r="J170" s="46" t="str">
        <f>HYPERLINK("tag_data_raw/Norway/2016/mn160125-17 (very brief deployments)","Link")</f>
        <v>Link</v>
      </c>
      <c r="K170" s="46" t="str">
        <f>HYPERLINK("tag_data/mn160125-17a&amp;b (Norway- no prh)/Pics&amp;Vids","Link")</f>
        <v>Link</v>
      </c>
      <c r="L170" s="46" t="str">
        <f>HYPERLINK("location data/Norway/2016/Pics&amp;Vids/01.25/GOPR0184.MP4", "Link")</f>
        <v>Link</v>
      </c>
      <c r="M170" s="41" t="s">
        <v>263</v>
      </c>
      <c r="N170" s="31" t="s">
        <v>263</v>
      </c>
      <c r="O170" s="31" t="s">
        <v>45</v>
      </c>
      <c r="P170" s="31" t="s">
        <v>41</v>
      </c>
      <c r="Q170" s="31">
        <v>17</v>
      </c>
      <c r="R170" s="32" t="s">
        <v>235</v>
      </c>
      <c r="S170" s="32" t="s">
        <v>1418</v>
      </c>
      <c r="T170" s="32" t="s">
        <v>1008</v>
      </c>
      <c r="U170" s="17">
        <f t="shared" si="41"/>
        <v>9.1435185458976775E-4</v>
      </c>
      <c r="V170" s="17">
        <f t="shared" si="38"/>
        <v>9.1435185458976775E-4</v>
      </c>
      <c r="W170" s="56">
        <f>V170</f>
        <v>9.1435185458976775E-4</v>
      </c>
      <c r="X170" s="31">
        <v>0</v>
      </c>
      <c r="Y170" s="31"/>
      <c r="Z170" s="31" t="s">
        <v>41</v>
      </c>
      <c r="AA170" s="31" t="s">
        <v>41</v>
      </c>
      <c r="AB170" s="31" t="s">
        <v>263</v>
      </c>
      <c r="AC170" s="31" t="s">
        <v>41</v>
      </c>
      <c r="AD170" s="31" t="s">
        <v>41</v>
      </c>
      <c r="AE170" s="31" t="s">
        <v>41</v>
      </c>
      <c r="AF170" s="31" t="s">
        <v>39</v>
      </c>
      <c r="AG170" s="31" t="s">
        <v>41</v>
      </c>
      <c r="AH170" s="31" t="s">
        <v>41</v>
      </c>
      <c r="AI170" s="31" t="s">
        <v>41</v>
      </c>
      <c r="AJ170" s="31" t="s">
        <v>39</v>
      </c>
      <c r="AK170" s="31" t="s">
        <v>39</v>
      </c>
      <c r="AL170" s="31" t="s">
        <v>41</v>
      </c>
      <c r="AM170" s="31" t="s">
        <v>41</v>
      </c>
      <c r="AN170" s="32" t="s">
        <v>810</v>
      </c>
      <c r="AO170" s="32" t="s">
        <v>326</v>
      </c>
      <c r="AP170" s="30">
        <v>42394.418310185189</v>
      </c>
      <c r="AQ170" s="30">
        <v>42394.548275462963</v>
      </c>
      <c r="AR170" s="30">
        <v>42394.549189814818</v>
      </c>
      <c r="AS170" s="92" t="s">
        <v>651</v>
      </c>
      <c r="AT170" s="154" t="s">
        <v>327</v>
      </c>
      <c r="AU170" s="155" t="s">
        <v>327</v>
      </c>
      <c r="AV170" s="104" t="s">
        <v>286</v>
      </c>
      <c r="AW170" s="104" t="s">
        <v>286</v>
      </c>
      <c r="AX170" s="30">
        <v>42394.551863425928</v>
      </c>
      <c r="AY170" s="155" t="s">
        <v>327</v>
      </c>
      <c r="AZ170" s="155" t="s">
        <v>327</v>
      </c>
      <c r="BA170" s="155" t="s">
        <v>335</v>
      </c>
      <c r="BB170" s="32"/>
      <c r="BC170" s="7"/>
      <c r="BD170" s="7"/>
      <c r="BE170" s="7"/>
      <c r="BF170" s="7"/>
      <c r="BG170" s="7"/>
    </row>
    <row r="171" spans="1:59">
      <c r="A171" s="7" t="s">
        <v>1424</v>
      </c>
      <c r="B171" s="26" t="str">
        <f t="shared" si="34"/>
        <v>mn</v>
      </c>
      <c r="C171" s="42" t="str">
        <f>HYPERLINK("location data/Norway/2016/","Norway")</f>
        <v>Norway</v>
      </c>
      <c r="D171" s="64" t="s">
        <v>286</v>
      </c>
      <c r="E171" s="77" t="s">
        <v>526</v>
      </c>
      <c r="F171" s="85">
        <v>1</v>
      </c>
      <c r="G171" s="59" t="s">
        <v>527</v>
      </c>
      <c r="H171" s="31" t="s">
        <v>41</v>
      </c>
      <c r="I171" s="46" t="str">
        <f>HYPERLINK("tag_data/mn160202-16 (Norway- no prh)","Link")</f>
        <v>Link</v>
      </c>
      <c r="J171" s="46" t="str">
        <f>HYPERLINK("tag_data_raw/Norway/2016/mn160202-16  (just video)","Link")</f>
        <v>Link</v>
      </c>
      <c r="K171" s="41" t="s">
        <v>263</v>
      </c>
      <c r="L171" s="41" t="s">
        <v>263</v>
      </c>
      <c r="M171" s="41" t="s">
        <v>263</v>
      </c>
      <c r="N171" s="31" t="s">
        <v>263</v>
      </c>
      <c r="O171" s="31" t="s">
        <v>45</v>
      </c>
      <c r="P171" s="31" t="s">
        <v>41</v>
      </c>
      <c r="Q171" s="31">
        <v>16</v>
      </c>
      <c r="R171" s="32" t="s">
        <v>235</v>
      </c>
      <c r="S171" s="32" t="s">
        <v>1418</v>
      </c>
      <c r="T171" s="32" t="s">
        <v>336</v>
      </c>
      <c r="U171" s="17" t="e">
        <f t="shared" si="41"/>
        <v>#VALUE!</v>
      </c>
      <c r="V171" s="17">
        <v>0</v>
      </c>
      <c r="W171" s="56">
        <v>8.3009259259259005E-2</v>
      </c>
      <c r="X171" s="31">
        <v>0</v>
      </c>
      <c r="Y171" s="31"/>
      <c r="Z171" s="31" t="s">
        <v>41</v>
      </c>
      <c r="AA171" s="31" t="s">
        <v>41</v>
      </c>
      <c r="AB171" s="31" t="s">
        <v>263</v>
      </c>
      <c r="AC171" s="31" t="s">
        <v>41</v>
      </c>
      <c r="AD171" s="31" t="s">
        <v>41</v>
      </c>
      <c r="AE171" s="31" t="s">
        <v>41</v>
      </c>
      <c r="AF171" s="31" t="s">
        <v>39</v>
      </c>
      <c r="AG171" s="31" t="s">
        <v>41</v>
      </c>
      <c r="AH171" s="31" t="s">
        <v>41</v>
      </c>
      <c r="AI171" s="31" t="s">
        <v>41</v>
      </c>
      <c r="AJ171" s="31" t="s">
        <v>39</v>
      </c>
      <c r="AK171" s="31" t="s">
        <v>41</v>
      </c>
      <c r="AL171" s="31" t="s">
        <v>41</v>
      </c>
      <c r="AM171" s="31" t="s">
        <v>1006</v>
      </c>
      <c r="AN171" s="32" t="s">
        <v>1009</v>
      </c>
      <c r="AO171" s="32" t="s">
        <v>326</v>
      </c>
      <c r="AP171" s="30">
        <v>0</v>
      </c>
      <c r="AQ171" s="30">
        <v>42402.5</v>
      </c>
      <c r="AR171" s="154" t="s">
        <v>327</v>
      </c>
      <c r="AS171" s="92">
        <v>0</v>
      </c>
      <c r="AT171" s="154" t="s">
        <v>327</v>
      </c>
      <c r="AU171" s="155" t="s">
        <v>327</v>
      </c>
      <c r="AV171" s="104" t="s">
        <v>286</v>
      </c>
      <c r="AW171" s="104" t="s">
        <v>286</v>
      </c>
      <c r="AX171" s="30" t="s">
        <v>327</v>
      </c>
      <c r="AY171" s="155" t="s">
        <v>327</v>
      </c>
      <c r="AZ171" s="155" t="s">
        <v>327</v>
      </c>
      <c r="BA171" s="32" t="s">
        <v>1011</v>
      </c>
      <c r="BB171" s="32"/>
      <c r="BC171" s="7"/>
      <c r="BD171" s="7"/>
      <c r="BE171" s="7"/>
      <c r="BF171" s="7"/>
      <c r="BG171" s="7"/>
    </row>
    <row r="172" spans="1:59">
      <c r="A172" s="32" t="s">
        <v>1106</v>
      </c>
      <c r="B172" s="31" t="s">
        <v>271</v>
      </c>
      <c r="C172" s="193" t="str">
        <f>HYPERLINK("location data/Antarctic/2016/","Antarctic")</f>
        <v>Antarctic</v>
      </c>
      <c r="D172" s="64" t="s">
        <v>513</v>
      </c>
      <c r="E172" s="61" t="s">
        <v>656</v>
      </c>
      <c r="F172" s="85">
        <v>-3</v>
      </c>
      <c r="G172" s="59" t="s">
        <v>459</v>
      </c>
      <c r="H172" s="31" t="s">
        <v>41</v>
      </c>
      <c r="I172" s="61" t="s">
        <v>786</v>
      </c>
      <c r="J172" s="61" t="s">
        <v>786</v>
      </c>
      <c r="K172" s="41" t="s">
        <v>263</v>
      </c>
      <c r="L172" s="41" t="s">
        <v>263</v>
      </c>
      <c r="M172" s="41" t="s">
        <v>263</v>
      </c>
      <c r="N172" s="41" t="s">
        <v>263</v>
      </c>
      <c r="O172" s="41" t="s">
        <v>45</v>
      </c>
      <c r="P172" s="61" t="s">
        <v>266</v>
      </c>
      <c r="Q172" s="31">
        <v>24</v>
      </c>
      <c r="R172" s="32" t="s">
        <v>132</v>
      </c>
      <c r="S172" s="32" t="str">
        <f t="shared" ref="S172:S182" si="44">IF(OR(Q172&lt;39,Q172=50,Q172=51,AND(OR(Q172=46,Q172=47),AQ172&gt;43313)),"Cam Mic",IF(AND(Q172&lt;45,AQ172&lt;42958),"Dolphin Ear",IF(AND(Q172&gt;44,NOT(OR(Q172=46,Q172=47,Q172=50,Q172=51))),"HTI","None")))</f>
        <v>Cam Mic</v>
      </c>
      <c r="T172" s="32" t="s">
        <v>263</v>
      </c>
      <c r="U172" s="61" t="s">
        <v>786</v>
      </c>
      <c r="V172" s="61" t="s">
        <v>786</v>
      </c>
      <c r="W172" s="61" t="s">
        <v>786</v>
      </c>
      <c r="X172" s="61" t="s">
        <v>786</v>
      </c>
      <c r="Y172" s="61" t="s">
        <v>786</v>
      </c>
      <c r="Z172" s="61" t="s">
        <v>786</v>
      </c>
      <c r="AA172" s="61" t="s">
        <v>786</v>
      </c>
      <c r="AB172" s="61" t="s">
        <v>786</v>
      </c>
      <c r="AC172" s="61" t="s">
        <v>41</v>
      </c>
      <c r="AD172" s="61" t="s">
        <v>786</v>
      </c>
      <c r="AE172" s="61" t="s">
        <v>786</v>
      </c>
      <c r="AF172" s="61" t="s">
        <v>786</v>
      </c>
      <c r="AG172" s="61" t="s">
        <v>786</v>
      </c>
      <c r="AH172" s="61" t="s">
        <v>786</v>
      </c>
      <c r="AI172" s="61" t="s">
        <v>786</v>
      </c>
      <c r="AJ172" s="61" t="s">
        <v>786</v>
      </c>
      <c r="AK172" s="61" t="s">
        <v>786</v>
      </c>
      <c r="AL172" s="61" t="s">
        <v>786</v>
      </c>
      <c r="AM172" s="61" t="s">
        <v>786</v>
      </c>
      <c r="AN172" s="61" t="s">
        <v>786</v>
      </c>
      <c r="AO172" s="32"/>
      <c r="AP172" s="61" t="s">
        <v>786</v>
      </c>
      <c r="AQ172" s="30">
        <v>42408</v>
      </c>
      <c r="AR172" s="61" t="s">
        <v>786</v>
      </c>
      <c r="AS172" s="61" t="s">
        <v>786</v>
      </c>
      <c r="AT172" s="144"/>
      <c r="AU172" s="144"/>
      <c r="AV172" s="142" t="s">
        <v>658</v>
      </c>
      <c r="AW172" s="106" t="s">
        <v>796</v>
      </c>
      <c r="AX172" s="30"/>
      <c r="AY172" s="144"/>
      <c r="AZ172" s="144"/>
      <c r="BA172" s="32"/>
      <c r="BB172" s="32"/>
      <c r="BC172" s="32"/>
      <c r="BD172" s="32"/>
      <c r="BE172" s="7"/>
      <c r="BF172" s="7"/>
      <c r="BG172" s="7"/>
    </row>
    <row r="173" spans="1:59">
      <c r="A173" s="32" t="s">
        <v>1105</v>
      </c>
      <c r="B173" s="31" t="s">
        <v>271</v>
      </c>
      <c r="C173" s="193" t="str">
        <f>HYPERLINK("location data/Antarctic/2016/","Antarctic")</f>
        <v>Antarctic</v>
      </c>
      <c r="D173" s="64" t="s">
        <v>513</v>
      </c>
      <c r="E173" s="61" t="s">
        <v>656</v>
      </c>
      <c r="F173" s="85">
        <v>-3</v>
      </c>
      <c r="G173" s="59" t="s">
        <v>459</v>
      </c>
      <c r="H173" s="31" t="s">
        <v>41</v>
      </c>
      <c r="I173" s="61" t="s">
        <v>786</v>
      </c>
      <c r="J173" s="61" t="s">
        <v>786</v>
      </c>
      <c r="K173" s="41" t="s">
        <v>263</v>
      </c>
      <c r="L173" s="41" t="s">
        <v>263</v>
      </c>
      <c r="M173" s="41" t="s">
        <v>263</v>
      </c>
      <c r="N173" s="41" t="s">
        <v>263</v>
      </c>
      <c r="O173" s="41" t="s">
        <v>45</v>
      </c>
      <c r="P173" s="61" t="s">
        <v>266</v>
      </c>
      <c r="Q173" s="31">
        <v>9</v>
      </c>
      <c r="R173" s="32" t="s">
        <v>133</v>
      </c>
      <c r="S173" s="32" t="str">
        <f t="shared" si="44"/>
        <v>Cam Mic</v>
      </c>
      <c r="T173" s="32" t="s">
        <v>263</v>
      </c>
      <c r="U173" s="61" t="s">
        <v>786</v>
      </c>
      <c r="V173" s="61" t="s">
        <v>786</v>
      </c>
      <c r="W173" s="61" t="s">
        <v>786</v>
      </c>
      <c r="X173" s="61" t="s">
        <v>786</v>
      </c>
      <c r="Y173" s="61" t="s">
        <v>786</v>
      </c>
      <c r="Z173" s="61" t="s">
        <v>786</v>
      </c>
      <c r="AA173" s="61" t="s">
        <v>786</v>
      </c>
      <c r="AB173" s="61" t="s">
        <v>786</v>
      </c>
      <c r="AC173" s="61" t="s">
        <v>41</v>
      </c>
      <c r="AD173" s="61" t="s">
        <v>786</v>
      </c>
      <c r="AE173" s="61" t="s">
        <v>786</v>
      </c>
      <c r="AF173" s="61" t="s">
        <v>786</v>
      </c>
      <c r="AG173" s="61" t="s">
        <v>786</v>
      </c>
      <c r="AH173" s="61" t="s">
        <v>786</v>
      </c>
      <c r="AI173" s="61" t="s">
        <v>786</v>
      </c>
      <c r="AJ173" s="61" t="s">
        <v>786</v>
      </c>
      <c r="AK173" s="61" t="s">
        <v>786</v>
      </c>
      <c r="AL173" s="61" t="s">
        <v>786</v>
      </c>
      <c r="AM173" s="61" t="s">
        <v>786</v>
      </c>
      <c r="AN173" s="61" t="s">
        <v>786</v>
      </c>
      <c r="AO173" s="32"/>
      <c r="AP173" s="61" t="s">
        <v>786</v>
      </c>
      <c r="AQ173" s="30">
        <v>42408.639155092591</v>
      </c>
      <c r="AR173" s="61" t="s">
        <v>786</v>
      </c>
      <c r="AS173" s="61" t="s">
        <v>786</v>
      </c>
      <c r="AT173" s="144"/>
      <c r="AU173" s="144"/>
      <c r="AV173" s="142" t="s">
        <v>658</v>
      </c>
      <c r="AW173" s="106" t="s">
        <v>796</v>
      </c>
      <c r="AX173" s="30"/>
      <c r="AY173" s="144"/>
      <c r="AZ173" s="144"/>
      <c r="BA173" s="32"/>
      <c r="BB173" s="32"/>
      <c r="BC173" s="32"/>
      <c r="BD173" s="32"/>
      <c r="BE173" s="7"/>
      <c r="BF173" s="7"/>
      <c r="BG173" s="7"/>
    </row>
    <row r="174" spans="1:59">
      <c r="A174" s="55" t="str">
        <f>HYPERLINK("tag_data/Quicklook/mn160419-21Quicklook.jpg","mn160419-21")</f>
        <v>mn160419-21</v>
      </c>
      <c r="B174" s="26" t="str">
        <f>LEFT(A174,2)</f>
        <v>mn</v>
      </c>
      <c r="C174" s="42" t="str">
        <f t="shared" ref="C174:C179" si="45">HYPERLINK("location data/Monterey/2016/","Monterey")</f>
        <v>Monterey</v>
      </c>
      <c r="D174" s="64" t="s">
        <v>465</v>
      </c>
      <c r="E174" s="61" t="s">
        <v>466</v>
      </c>
      <c r="F174" s="61">
        <v>-7</v>
      </c>
      <c r="G174" s="60" t="s">
        <v>455</v>
      </c>
      <c r="H174" s="31" t="s">
        <v>39</v>
      </c>
      <c r="I174" s="42" t="str">
        <f>HYPERLINK("tag_data/mn160419-21 (Monterey)","Link")</f>
        <v>Link</v>
      </c>
      <c r="J174" s="42" t="str">
        <f>HYPERLINK("tag_data_raw/Monterey/2016/mn160419-21","Link")</f>
        <v>Link</v>
      </c>
      <c r="K174" s="42" t="str">
        <f>HYPERLINK("tag_data/mn160419-21 (Monterey)/Pics&amp;Vids","Link")</f>
        <v>Link</v>
      </c>
      <c r="L174" s="41" t="s">
        <v>263</v>
      </c>
      <c r="M174" s="41" t="s">
        <v>263</v>
      </c>
      <c r="N174" s="42" t="str">
        <f>HYPERLINK("location data/Monterey/2016/Notes/April/Field Notes, Monterey Bay Humpback Tagging, 4-19 through 4-21-2016.xlsx","Link")</f>
        <v>Link</v>
      </c>
      <c r="O174" s="54" t="s">
        <v>553</v>
      </c>
      <c r="P174" s="31" t="s">
        <v>39</v>
      </c>
      <c r="Q174" s="31">
        <v>21</v>
      </c>
      <c r="R174" s="32" t="s">
        <v>132</v>
      </c>
      <c r="S174" s="32" t="str">
        <f t="shared" si="44"/>
        <v>Cam Mic</v>
      </c>
      <c r="T174" s="32" t="s">
        <v>337</v>
      </c>
      <c r="U174" s="17">
        <f>AR174-AQ174</f>
        <v>0.19576388888526708</v>
      </c>
      <c r="V174" s="17">
        <f>MIN(AR174,AS174)-MAX(AP174,AQ174)</f>
        <v>0.19576388888526708</v>
      </c>
      <c r="W174" s="56">
        <v>0.19571759259259258</v>
      </c>
      <c r="X174" s="93">
        <v>0</v>
      </c>
      <c r="Y174" s="54"/>
      <c r="Z174" s="31" t="s">
        <v>39</v>
      </c>
      <c r="AA174" s="31" t="s">
        <v>39</v>
      </c>
      <c r="AB174" s="33" t="s">
        <v>1040</v>
      </c>
      <c r="AC174" s="31" t="s">
        <v>39</v>
      </c>
      <c r="AD174" s="31" t="s">
        <v>39</v>
      </c>
      <c r="AE174" s="31" t="s">
        <v>41</v>
      </c>
      <c r="AF174" s="31" t="s">
        <v>39</v>
      </c>
      <c r="AG174" s="31" t="s">
        <v>41</v>
      </c>
      <c r="AH174" s="31" t="s">
        <v>41</v>
      </c>
      <c r="AI174" s="31" t="s">
        <v>41</v>
      </c>
      <c r="AJ174" s="31" t="s">
        <v>39</v>
      </c>
      <c r="AK174" s="31" t="s">
        <v>39</v>
      </c>
      <c r="AL174" s="31" t="s">
        <v>41</v>
      </c>
      <c r="AM174" s="31" t="s">
        <v>41</v>
      </c>
      <c r="AN174" s="32" t="s">
        <v>1018</v>
      </c>
      <c r="AO174" s="32" t="s">
        <v>463</v>
      </c>
      <c r="AP174" s="30">
        <v>42479.303796296299</v>
      </c>
      <c r="AQ174" s="30">
        <v>42479.350671296299</v>
      </c>
      <c r="AR174" s="92">
        <v>42479.546435185184</v>
      </c>
      <c r="AS174" s="92" t="s">
        <v>651</v>
      </c>
      <c r="AT174" s="107">
        <f>36+48.4/60</f>
        <v>36.806666666666665</v>
      </c>
      <c r="AU174" s="107">
        <f>-121-58.828/60</f>
        <v>-121.98046666666667</v>
      </c>
      <c r="AV174" s="142" t="s">
        <v>312</v>
      </c>
      <c r="AW174" s="106" t="s">
        <v>340</v>
      </c>
      <c r="AX174" s="30">
        <v>42479.632488425923</v>
      </c>
      <c r="AY174" s="107">
        <f>36+48.45/60</f>
        <v>36.807499999999997</v>
      </c>
      <c r="AZ174" s="107">
        <f>-121-55.03/60</f>
        <v>-121.91716666666667</v>
      </c>
      <c r="BA174" s="32" t="s">
        <v>1017</v>
      </c>
      <c r="BB174" s="49" t="s">
        <v>1305</v>
      </c>
      <c r="BC174" s="7"/>
      <c r="BD174" s="7"/>
      <c r="BE174" s="40"/>
      <c r="BF174" s="40"/>
      <c r="BG174" s="40"/>
    </row>
    <row r="175" spans="1:59">
      <c r="A175" s="55" t="str">
        <f>HYPERLINK("tag_data/Quicklook/mn160419-8Quicklook.jpg","mn160419-8")</f>
        <v>mn160419-8</v>
      </c>
      <c r="B175" s="26" t="str">
        <f>LEFT(A175,2)</f>
        <v>mn</v>
      </c>
      <c r="C175" s="42" t="str">
        <f t="shared" si="45"/>
        <v>Monterey</v>
      </c>
      <c r="D175" s="64" t="s">
        <v>465</v>
      </c>
      <c r="E175" s="61" t="s">
        <v>466</v>
      </c>
      <c r="F175" s="61">
        <v>-7</v>
      </c>
      <c r="G175" s="60" t="s">
        <v>455</v>
      </c>
      <c r="H175" s="31" t="s">
        <v>39</v>
      </c>
      <c r="I175" s="42" t="str">
        <f>HYPERLINK("tag_data/mn160419-8 (Monterey)","Link")</f>
        <v>Link</v>
      </c>
      <c r="J175" s="42" t="str">
        <f>HYPERLINK("tag_data_raw/Monterey/2016/mn160419-8","Link")</f>
        <v>Link</v>
      </c>
      <c r="K175" s="42" t="str">
        <f>HYPERLINK("tag_data/mn160419-8 (Monterey)/Pics&amp;Vids","Link")</f>
        <v>Link</v>
      </c>
      <c r="L175" s="42" t="str">
        <f>HYPERLINK("location data/Monterey/2016/Pics and Videos/04.19/GoPro/GOPR0717.MP4","Link")</f>
        <v>Link</v>
      </c>
      <c r="M175" s="41" t="s">
        <v>263</v>
      </c>
      <c r="N175" s="42" t="str">
        <f>HYPERLINK("location data/Monterey/2016/Notes/April/Field Notes, Monterey Bay Humpback Tagging, 4-19 through 4-21-2016.xlsx","Link")</f>
        <v>Link</v>
      </c>
      <c r="O175" s="54" t="str">
        <f>HYPERLINK("https://www.happywhale.com/individual/5201;enc=8539","MN0500118")</f>
        <v>MN0500118</v>
      </c>
      <c r="P175" s="31" t="s">
        <v>41</v>
      </c>
      <c r="Q175" s="31">
        <v>8</v>
      </c>
      <c r="R175" s="32" t="s">
        <v>133</v>
      </c>
      <c r="S175" s="32" t="str">
        <f t="shared" si="44"/>
        <v>Cam Mic</v>
      </c>
      <c r="T175" s="32" t="s">
        <v>330</v>
      </c>
      <c r="U175" s="17">
        <f>AR175-AQ175</f>
        <v>0.23633101851737592</v>
      </c>
      <c r="V175" s="17">
        <f>MIN(AR175,AS175)-MAX(AP175,AQ175)</f>
        <v>0.23633101851737592</v>
      </c>
      <c r="W175" s="56">
        <v>0.23280092592592594</v>
      </c>
      <c r="X175" s="46" t="str">
        <f>HYPERLINK("tag_data/mn160419-8 (Monterey)/mn160419-8 Map.bmp","5")</f>
        <v>5</v>
      </c>
      <c r="Y175" s="54"/>
      <c r="Z175" s="31" t="s">
        <v>39</v>
      </c>
      <c r="AA175" s="31" t="s">
        <v>39</v>
      </c>
      <c r="AB175" s="31" t="s">
        <v>277</v>
      </c>
      <c r="AC175" s="31" t="s">
        <v>39</v>
      </c>
      <c r="AD175" s="31" t="s">
        <v>39</v>
      </c>
      <c r="AE175" s="31" t="s">
        <v>39</v>
      </c>
      <c r="AF175" s="31" t="s">
        <v>39</v>
      </c>
      <c r="AG175" s="31" t="s">
        <v>41</v>
      </c>
      <c r="AH175" s="33" t="s">
        <v>481</v>
      </c>
      <c r="AI175" s="31" t="s">
        <v>39</v>
      </c>
      <c r="AJ175" s="31" t="s">
        <v>39</v>
      </c>
      <c r="AK175" s="31" t="s">
        <v>39</v>
      </c>
      <c r="AL175" s="31" t="s">
        <v>41</v>
      </c>
      <c r="AM175" s="31" t="s">
        <v>41</v>
      </c>
      <c r="AN175" s="32" t="s">
        <v>505</v>
      </c>
      <c r="AO175" s="32" t="s">
        <v>463</v>
      </c>
      <c r="AP175" s="30">
        <v>42479.388715277775</v>
      </c>
      <c r="AQ175" s="30">
        <v>42479.47519675926</v>
      </c>
      <c r="AR175" s="92">
        <v>42479.711527777778</v>
      </c>
      <c r="AS175" s="92" t="s">
        <v>651</v>
      </c>
      <c r="AT175" s="107">
        <v>36.812163691000002</v>
      </c>
      <c r="AU175" s="107">
        <v>-122.001411842</v>
      </c>
      <c r="AV175" s="142" t="s">
        <v>312</v>
      </c>
      <c r="AW175" s="106" t="s">
        <v>340</v>
      </c>
      <c r="AX175" s="30">
        <v>42480.377083333333</v>
      </c>
      <c r="AY175" s="107">
        <f>36.752</f>
        <v>36.752000000000002</v>
      </c>
      <c r="AZ175" s="107">
        <f>-122.0513</f>
        <v>-122.0513</v>
      </c>
      <c r="BA175" s="32" t="s">
        <v>1019</v>
      </c>
      <c r="BB175" s="49" t="s">
        <v>173</v>
      </c>
      <c r="BC175" s="7"/>
      <c r="BD175" s="7"/>
      <c r="BE175" s="7"/>
      <c r="BF175" s="7"/>
      <c r="BG175" s="7"/>
    </row>
    <row r="176" spans="1:59">
      <c r="A176" s="55" t="str">
        <f>HYPERLINK("tag_data/Quicklook/mn160420-21Quicklook.jpg","mn160420-21")</f>
        <v>mn160420-21</v>
      </c>
      <c r="B176" s="26" t="str">
        <f>LEFT(A176,2)</f>
        <v>mn</v>
      </c>
      <c r="C176" s="42" t="str">
        <f t="shared" si="45"/>
        <v>Monterey</v>
      </c>
      <c r="D176" s="64" t="s">
        <v>465</v>
      </c>
      <c r="E176" s="61" t="s">
        <v>466</v>
      </c>
      <c r="F176" s="61">
        <v>-7</v>
      </c>
      <c r="G176" s="60" t="s">
        <v>455</v>
      </c>
      <c r="H176" s="31" t="s">
        <v>39</v>
      </c>
      <c r="I176" s="42" t="str">
        <f>HYPERLINK("tag_data/mn160420-21 (Monterey)","Link")</f>
        <v>Link</v>
      </c>
      <c r="J176" s="42" t="str">
        <f>HYPERLINK("tag_data_raw/Monterey/2016/mn160420-21","Link")</f>
        <v>Link</v>
      </c>
      <c r="K176" s="42" t="str">
        <f>HYPERLINK("tag_data/mn160420-21 (Monterey)/Pics&amp;Vids","Link")</f>
        <v>Link</v>
      </c>
      <c r="L176" s="41" t="s">
        <v>263</v>
      </c>
      <c r="M176" s="41" t="s">
        <v>263</v>
      </c>
      <c r="N176" s="42" t="str">
        <f>HYPERLINK("location data/Monterey/2016/Notes/April/Field Notes, Monterey Bay Humpback Tagging, 4-19 through 4-21-2016.xlsx","Link")</f>
        <v>Link</v>
      </c>
      <c r="O176" s="31" t="s">
        <v>45</v>
      </c>
      <c r="P176" s="31" t="s">
        <v>41</v>
      </c>
      <c r="Q176" s="31">
        <v>21</v>
      </c>
      <c r="R176" s="32" t="s">
        <v>132</v>
      </c>
      <c r="S176" s="32" t="str">
        <f t="shared" si="44"/>
        <v>Cam Mic</v>
      </c>
      <c r="T176" s="32" t="s">
        <v>273</v>
      </c>
      <c r="U176" s="17">
        <f>AR176-AQ176</f>
        <v>8.0344907401013188E-3</v>
      </c>
      <c r="V176" s="17">
        <f>MIN(AR176,AS176)-MAX(AP176,AQ176)</f>
        <v>8.0344907401013188E-3</v>
      </c>
      <c r="W176" s="56">
        <v>5.3240740740740748E-3</v>
      </c>
      <c r="X176" s="31">
        <v>0</v>
      </c>
      <c r="Y176" s="54"/>
      <c r="Z176" s="31" t="s">
        <v>41</v>
      </c>
      <c r="AA176" s="31" t="s">
        <v>41</v>
      </c>
      <c r="AB176" s="31" t="s">
        <v>263</v>
      </c>
      <c r="AC176" s="31" t="s">
        <v>39</v>
      </c>
      <c r="AD176" s="31" t="s">
        <v>41</v>
      </c>
      <c r="AE176" s="31" t="s">
        <v>41</v>
      </c>
      <c r="AF176" s="31" t="s">
        <v>41</v>
      </c>
      <c r="AG176" s="31" t="s">
        <v>39</v>
      </c>
      <c r="AH176" s="31" t="s">
        <v>41</v>
      </c>
      <c r="AI176" s="31" t="s">
        <v>41</v>
      </c>
      <c r="AJ176" s="31" t="s">
        <v>39</v>
      </c>
      <c r="AK176" s="31" t="s">
        <v>41</v>
      </c>
      <c r="AL176" s="31" t="s">
        <v>41</v>
      </c>
      <c r="AM176" s="31" t="s">
        <v>41</v>
      </c>
      <c r="AN176" s="32" t="s">
        <v>1020</v>
      </c>
      <c r="AO176" s="32" t="s">
        <v>1022</v>
      </c>
      <c r="AP176" s="30">
        <v>42480.398842592593</v>
      </c>
      <c r="AQ176" s="30">
        <v>42480.452833564814</v>
      </c>
      <c r="AR176" s="92">
        <v>42480.460868055554</v>
      </c>
      <c r="AS176" s="92" t="s">
        <v>651</v>
      </c>
      <c r="AT176" s="107">
        <f>36 + 48.088/60</f>
        <v>36.80146666666667</v>
      </c>
      <c r="AU176" s="107">
        <f>-121-55.902/60</f>
        <v>-121.93170000000001</v>
      </c>
      <c r="AV176" s="142" t="s">
        <v>312</v>
      </c>
      <c r="AW176" s="106" t="s">
        <v>312</v>
      </c>
      <c r="AX176" s="30">
        <v>42480.462013888886</v>
      </c>
      <c r="AY176" s="107">
        <v>36.802580086514297</v>
      </c>
      <c r="AZ176" s="107">
        <v>-121.92398219369301</v>
      </c>
      <c r="BA176" s="32" t="s">
        <v>1021</v>
      </c>
      <c r="BB176" s="49"/>
      <c r="BC176" s="7"/>
      <c r="BD176" s="7"/>
      <c r="BE176" s="7"/>
      <c r="BF176" s="7"/>
      <c r="BG176" s="7"/>
    </row>
    <row r="177" spans="1:59">
      <c r="A177" s="55" t="str">
        <f>HYPERLINK("tag_data/Quicklook/mn160421-3Quicklook.jpg","mn160421-3")</f>
        <v>mn160421-3</v>
      </c>
      <c r="B177" s="26" t="str">
        <f>LEFT(A177,2)</f>
        <v>mn</v>
      </c>
      <c r="C177" s="42" t="str">
        <f t="shared" si="45"/>
        <v>Monterey</v>
      </c>
      <c r="D177" s="64" t="s">
        <v>465</v>
      </c>
      <c r="E177" s="61" t="s">
        <v>466</v>
      </c>
      <c r="F177" s="61">
        <v>-7</v>
      </c>
      <c r="G177" s="60" t="s">
        <v>455</v>
      </c>
      <c r="H177" s="31" t="s">
        <v>39</v>
      </c>
      <c r="I177" s="42" t="str">
        <f>HYPERLINK("tag_data/mn160421-3 (Monterey)","Link")</f>
        <v>Link</v>
      </c>
      <c r="J177" s="42" t="str">
        <f>HYPERLINK("tag_data_raw/Monterey/2016/mn160421-3","Link")</f>
        <v>Link</v>
      </c>
      <c r="K177" s="42" t="str">
        <f>HYPERLINK("tag_data/mn160421-3 (Monterey)/Pics&amp;Vids","Link")</f>
        <v>Link</v>
      </c>
      <c r="L177" s="42" t="str">
        <f>HYPERLINK("location data/Monterey/2016/Pics and Videos/04.21/Video/First Tag (3).MP4","Link")</f>
        <v>Link</v>
      </c>
      <c r="M177" s="79" t="str">
        <f>HYPERLINK("tag_data\mn161117-10 (Monterey)\Pics&amp;Vids\drone","see 161117-10")</f>
        <v>see 161117-10</v>
      </c>
      <c r="N177" s="42" t="str">
        <f>HYPERLINK("location data/Monterey/2016/Notes/April/Field Notes, Monterey Bay Humpback Tagging, 4-19 through 4-21-2016.xlsx","Link")</f>
        <v>Link</v>
      </c>
      <c r="O177" s="79" t="str">
        <f>HYPERLINK("https://happywhale.com/individual/125;enc=8360","Inverse (CRC-12443)")</f>
        <v>Inverse (CRC-12443)</v>
      </c>
      <c r="P177" s="31" t="s">
        <v>41</v>
      </c>
      <c r="Q177" s="31">
        <v>3</v>
      </c>
      <c r="R177" s="32" t="s">
        <v>34</v>
      </c>
      <c r="S177" s="32" t="str">
        <f t="shared" si="44"/>
        <v>Cam Mic</v>
      </c>
      <c r="T177" s="32" t="s">
        <v>330</v>
      </c>
      <c r="U177" s="17">
        <f>AR177-AQ177</f>
        <v>0.2485879629603005</v>
      </c>
      <c r="V177" s="17">
        <f>MIN(AR177,AS177)-MAX(AP177,AQ177)</f>
        <v>0.2485879629603005</v>
      </c>
      <c r="W177" s="56">
        <v>8.965277777777779E-2</v>
      </c>
      <c r="X177" s="42"/>
      <c r="Y177" s="54"/>
      <c r="Z177" s="31" t="s">
        <v>41</v>
      </c>
      <c r="AA177" s="31" t="s">
        <v>41</v>
      </c>
      <c r="AB177" s="31"/>
      <c r="AC177" s="31" t="s">
        <v>41</v>
      </c>
      <c r="AD177" s="31" t="s">
        <v>41</v>
      </c>
      <c r="AE177" s="31" t="s">
        <v>41</v>
      </c>
      <c r="AF177" s="31" t="s">
        <v>41</v>
      </c>
      <c r="AG177" s="33" t="s">
        <v>290</v>
      </c>
      <c r="AH177" s="31" t="s">
        <v>41</v>
      </c>
      <c r="AI177" s="31" t="s">
        <v>39</v>
      </c>
      <c r="AJ177" s="31" t="s">
        <v>39</v>
      </c>
      <c r="AK177" s="31" t="s">
        <v>41</v>
      </c>
      <c r="AL177" s="31" t="s">
        <v>39</v>
      </c>
      <c r="AM177" s="31" t="s">
        <v>41</v>
      </c>
      <c r="AN177" s="32" t="s">
        <v>1024</v>
      </c>
      <c r="AO177" s="32" t="s">
        <v>1022</v>
      </c>
      <c r="AP177" s="30">
        <v>42481.339733796296</v>
      </c>
      <c r="AQ177" s="30">
        <v>42481.362708333334</v>
      </c>
      <c r="AR177" s="92">
        <v>42481.611296296294</v>
      </c>
      <c r="AS177" s="92" t="s">
        <v>651</v>
      </c>
      <c r="AT177" s="144">
        <f>36+49.046/60</f>
        <v>36.817433333333334</v>
      </c>
      <c r="AU177" s="144">
        <f>-121-57.051/60</f>
        <v>-121.95085</v>
      </c>
      <c r="AV177" s="142" t="s">
        <v>312</v>
      </c>
      <c r="AW177" s="106" t="s">
        <v>341</v>
      </c>
      <c r="AX177" s="30">
        <v>42483.458333333336</v>
      </c>
      <c r="AY177" s="107">
        <f>36+53/60+50.72/60/60</f>
        <v>36.897422222222225</v>
      </c>
      <c r="AZ177" s="107">
        <f>-121-50/60-25.55/60/60</f>
        <v>-121.84043055555556</v>
      </c>
      <c r="BA177" s="32" t="s">
        <v>1072</v>
      </c>
      <c r="BB177" s="49" t="s">
        <v>1306</v>
      </c>
      <c r="BC177" s="7"/>
      <c r="BD177" s="7"/>
      <c r="BE177" s="7"/>
      <c r="BF177" s="7"/>
      <c r="BG177" s="7"/>
    </row>
    <row r="178" spans="1:59">
      <c r="A178" s="32" t="s">
        <v>802</v>
      </c>
      <c r="B178" s="31" t="s">
        <v>271</v>
      </c>
      <c r="C178" s="61" t="str">
        <f t="shared" si="45"/>
        <v>Monterey</v>
      </c>
      <c r="D178" s="64" t="s">
        <v>465</v>
      </c>
      <c r="E178" s="61" t="s">
        <v>466</v>
      </c>
      <c r="F178" s="61">
        <v>-7</v>
      </c>
      <c r="G178" s="65" t="s">
        <v>455</v>
      </c>
      <c r="H178" s="31" t="s">
        <v>41</v>
      </c>
      <c r="I178" s="61" t="s">
        <v>786</v>
      </c>
      <c r="J178" s="61" t="s">
        <v>786</v>
      </c>
      <c r="K178" s="193" t="str">
        <f>HYPERLINK("location data/Monterey/2016/Pics and Videos/04.21/Orange Crush (Liz)/ID_DEC_0020.jpg","Link")</f>
        <v>Link</v>
      </c>
      <c r="L178" s="193" t="str">
        <f>HYPERLINK("location data/Monterey/2016/Pics and Videos/04.21/Video/Second Tag (4) SlowMo.MOV","Link")</f>
        <v>Link</v>
      </c>
      <c r="M178" s="61" t="s">
        <v>263</v>
      </c>
      <c r="N178" s="42" t="str">
        <f>HYPERLINK("location data/Monterey/2016/Notes/April/Field Notes, Monterey Bay Humpback Tagging, 4-19 through 4-21-2016.xlsx","Link")</f>
        <v>Link</v>
      </c>
      <c r="O178" s="193" t="str">
        <f>HYPERLINK("https://happywhale.com/encounter/36496;event=70340","U")</f>
        <v>U</v>
      </c>
      <c r="P178" s="31" t="s">
        <v>41</v>
      </c>
      <c r="Q178" s="31">
        <v>4</v>
      </c>
      <c r="R178" s="32" t="s">
        <v>34</v>
      </c>
      <c r="S178" s="32" t="str">
        <f t="shared" si="44"/>
        <v>Cam Mic</v>
      </c>
      <c r="T178" s="198" t="s">
        <v>786</v>
      </c>
      <c r="U178" s="199" t="s">
        <v>786</v>
      </c>
      <c r="V178" s="199" t="s">
        <v>786</v>
      </c>
      <c r="W178" s="61" t="s">
        <v>786</v>
      </c>
      <c r="X178" s="198" t="s">
        <v>786</v>
      </c>
      <c r="Y178" s="198" t="s">
        <v>786</v>
      </c>
      <c r="Z178" s="198" t="s">
        <v>786</v>
      </c>
      <c r="AA178" s="198" t="s">
        <v>786</v>
      </c>
      <c r="AB178" s="61" t="s">
        <v>786</v>
      </c>
      <c r="AC178" s="61" t="s">
        <v>41</v>
      </c>
      <c r="AD178" s="61" t="s">
        <v>786</v>
      </c>
      <c r="AE178" s="61" t="s">
        <v>786</v>
      </c>
      <c r="AF178" s="61" t="s">
        <v>786</v>
      </c>
      <c r="AG178" s="61" t="s">
        <v>39</v>
      </c>
      <c r="AH178" s="61" t="s">
        <v>786</v>
      </c>
      <c r="AI178" s="61" t="s">
        <v>786</v>
      </c>
      <c r="AJ178" s="61" t="s">
        <v>786</v>
      </c>
      <c r="AK178" s="61" t="s">
        <v>786</v>
      </c>
      <c r="AL178" s="61" t="s">
        <v>786</v>
      </c>
      <c r="AM178" s="61" t="s">
        <v>786</v>
      </c>
      <c r="AN178" s="198" t="s">
        <v>786</v>
      </c>
      <c r="AO178" s="32" t="s">
        <v>1022</v>
      </c>
      <c r="AP178" s="30"/>
      <c r="AQ178" s="30">
        <v>42481.396527777775</v>
      </c>
      <c r="AR178" s="92"/>
      <c r="AS178" s="92"/>
      <c r="AT178" s="107">
        <f>36+49.994/60</f>
        <v>36.833233333333332</v>
      </c>
      <c r="AU178" s="107">
        <f>-121-58.999/60</f>
        <v>-121.98331666666667</v>
      </c>
      <c r="AV178" s="142" t="s">
        <v>312</v>
      </c>
      <c r="AW178" s="106" t="s">
        <v>796</v>
      </c>
      <c r="AX178" s="171" t="s">
        <v>263</v>
      </c>
      <c r="AY178" s="171" t="s">
        <v>263</v>
      </c>
      <c r="AZ178" s="171" t="s">
        <v>263</v>
      </c>
      <c r="BA178" s="32" t="s">
        <v>1023</v>
      </c>
      <c r="BB178" s="32"/>
      <c r="BC178" s="32"/>
      <c r="BD178" s="32"/>
      <c r="BE178" s="7"/>
      <c r="BF178" s="7"/>
      <c r="BG178" s="7"/>
    </row>
    <row r="179" spans="1:59">
      <c r="A179" s="55" t="str">
        <f>HYPERLINK("tag_data/Quicklook/mn160429-37Quicklook.jpg","mn160429-37")</f>
        <v>mn160429-37</v>
      </c>
      <c r="B179" s="26" t="str">
        <f t="shared" ref="B179:B210" si="46">LEFT(A179,2)</f>
        <v>mn</v>
      </c>
      <c r="C179" s="42" t="str">
        <f t="shared" si="45"/>
        <v>Monterey</v>
      </c>
      <c r="D179" s="64" t="s">
        <v>465</v>
      </c>
      <c r="E179" s="61" t="s">
        <v>466</v>
      </c>
      <c r="F179" s="61">
        <v>-7</v>
      </c>
      <c r="G179" s="60" t="s">
        <v>455</v>
      </c>
      <c r="H179" s="31" t="s">
        <v>39</v>
      </c>
      <c r="I179" s="42" t="str">
        <f>HYPERLINK("tag_data/mn160429-37 (Monterey)","Link")</f>
        <v>Link</v>
      </c>
      <c r="J179" s="42" t="str">
        <f>HYPERLINK("tag_data_raw/Monterey/2016/mn160429-37","Link")</f>
        <v>Link</v>
      </c>
      <c r="K179" s="42" t="str">
        <f>HYPERLINK("tag_data/mn160429-37 (Monterey)/Pics&amp;Vids","Link")</f>
        <v>Link</v>
      </c>
      <c r="L179" s="41" t="s">
        <v>263</v>
      </c>
      <c r="M179" s="41" t="s">
        <v>263</v>
      </c>
      <c r="N179" s="42" t="str">
        <f>HYPERLINK("location data/Monterey/2016/Notes/April/20160429-MUS.mdb","Link")</f>
        <v>Link</v>
      </c>
      <c r="O179" s="79" t="str">
        <f>HYPERLINK("https://happywhale.com/individual/3253;enc=32883","Morse (MN0500228)")</f>
        <v>Morse (MN0500228)</v>
      </c>
      <c r="P179" s="31" t="s">
        <v>41</v>
      </c>
      <c r="Q179" s="31">
        <v>37</v>
      </c>
      <c r="R179" s="32" t="s">
        <v>306</v>
      </c>
      <c r="S179" s="32" t="str">
        <f t="shared" si="44"/>
        <v>Cam Mic</v>
      </c>
      <c r="T179" s="32" t="s">
        <v>38</v>
      </c>
      <c r="U179" s="17">
        <f t="shared" ref="U179:U210" si="47">AR179-AQ179</f>
        <v>0.44438657407590654</v>
      </c>
      <c r="V179" s="17">
        <f t="shared" ref="V179:V197" si="48">MIN(AR179,AS179)-MAX(AP179,AQ179)</f>
        <v>0.44438657407590654</v>
      </c>
      <c r="W179" s="56">
        <v>0.11523148148148148</v>
      </c>
      <c r="X179" s="42"/>
      <c r="Y179" s="54" t="str">
        <f>HYPERLINK("tag_data/mn160429-37 (Monterey)/krill lunge notes.txt","Link")</f>
        <v>Link</v>
      </c>
      <c r="Z179" s="31" t="s">
        <v>39</v>
      </c>
      <c r="AA179" s="31" t="s">
        <v>39</v>
      </c>
      <c r="AB179" s="31" t="s">
        <v>277</v>
      </c>
      <c r="AC179" s="31" t="s">
        <v>39</v>
      </c>
      <c r="AD179" s="31" t="s">
        <v>39</v>
      </c>
      <c r="AE179" s="31" t="s">
        <v>41</v>
      </c>
      <c r="AF179" s="31" t="s">
        <v>41</v>
      </c>
      <c r="AG179" s="33" t="s">
        <v>290</v>
      </c>
      <c r="AH179" s="31" t="s">
        <v>41</v>
      </c>
      <c r="AI179" s="31" t="s">
        <v>39</v>
      </c>
      <c r="AJ179" s="31" t="s">
        <v>41</v>
      </c>
      <c r="AK179" s="31" t="s">
        <v>41</v>
      </c>
      <c r="AL179" s="31" t="s">
        <v>41</v>
      </c>
      <c r="AM179" s="31" t="s">
        <v>39</v>
      </c>
      <c r="AN179" s="32" t="s">
        <v>1025</v>
      </c>
      <c r="AO179" s="32" t="s">
        <v>345</v>
      </c>
      <c r="AP179" s="30">
        <v>42489.297094907408</v>
      </c>
      <c r="AQ179" s="30">
        <v>42489.30164351852</v>
      </c>
      <c r="AR179" s="92">
        <v>42489.746030092596</v>
      </c>
      <c r="AS179" s="92" t="s">
        <v>651</v>
      </c>
      <c r="AT179" s="107">
        <v>36.806399999999996</v>
      </c>
      <c r="AU179" s="107">
        <v>-121.8377</v>
      </c>
      <c r="AV179" s="142" t="s">
        <v>312</v>
      </c>
      <c r="AW179" s="106" t="s">
        <v>312</v>
      </c>
      <c r="AX179" s="30">
        <v>42490.375</v>
      </c>
      <c r="AY179" s="107">
        <f>36+52/60</f>
        <v>36.866666666666667</v>
      </c>
      <c r="AZ179" s="107">
        <f>-121-53/60</f>
        <v>-121.88333333333334</v>
      </c>
      <c r="BA179" s="32" t="s">
        <v>1026</v>
      </c>
      <c r="BB179" s="49" t="s">
        <v>1307</v>
      </c>
      <c r="BC179" s="7"/>
      <c r="BD179" s="7"/>
      <c r="BE179" s="7"/>
      <c r="BF179" s="7"/>
      <c r="BG179" s="7"/>
    </row>
    <row r="180" spans="1:59">
      <c r="A180" s="55" t="str">
        <f>HYPERLINK("tag_data/Quicklook/mn160615-36Quicklook.jpg","mn160615-36")</f>
        <v>mn160615-36</v>
      </c>
      <c r="B180" s="26" t="str">
        <f t="shared" si="46"/>
        <v>mn</v>
      </c>
      <c r="C180" s="42" t="str">
        <f t="shared" ref="C180:C189" si="49">HYPERLINK("location data/Stellwagen/2016/","Stellwagen")</f>
        <v>Stellwagen</v>
      </c>
      <c r="D180" s="64" t="s">
        <v>558</v>
      </c>
      <c r="E180" s="61" t="s">
        <v>559</v>
      </c>
      <c r="F180" s="85">
        <v>-4</v>
      </c>
      <c r="G180" s="59" t="s">
        <v>460</v>
      </c>
      <c r="H180" s="31" t="s">
        <v>39</v>
      </c>
      <c r="I180" s="42" t="str">
        <f>HYPERLINK("tag_data/mn160615-36 (Stellwagen)","Link")</f>
        <v>Link</v>
      </c>
      <c r="J180" s="42" t="str">
        <f>HYPERLINK("tag_data_raw/Stellwagen/2016/mn160615-36","Link")</f>
        <v>Link</v>
      </c>
      <c r="K180" s="42" t="str">
        <f>HYPERLINK("tag_data/mn160615-36 (Stellwagen)/Pics&amp;Vids","Link")</f>
        <v>Link</v>
      </c>
      <c r="L180" s="42" t="str">
        <f>HYPERLINK("location data/Stellwagen/2016/Stellwagen_Tagging_2016/Videos/2016_06_15th_167/GOPR0171.MP4","Link")</f>
        <v>Link</v>
      </c>
      <c r="M180" s="41" t="s">
        <v>263</v>
      </c>
      <c r="N180" s="42" t="str">
        <f t="shared" ref="N180:N189" si="50">HYPERLINK("location data/Stellwagen/2016/Stellwagen_Tagging_2016/Tag_Log/Master_Tag_Log_2016_06_25th_v1.xlsx","Link")</f>
        <v>Link</v>
      </c>
      <c r="O180" s="31" t="s">
        <v>61</v>
      </c>
      <c r="P180" s="31" t="s">
        <v>266</v>
      </c>
      <c r="Q180" s="31">
        <v>36</v>
      </c>
      <c r="R180" s="32" t="s">
        <v>306</v>
      </c>
      <c r="S180" s="32" t="str">
        <f t="shared" si="44"/>
        <v>Cam Mic</v>
      </c>
      <c r="T180" s="32" t="s">
        <v>38</v>
      </c>
      <c r="U180" s="17">
        <f t="shared" si="47"/>
        <v>1.4477430555562023</v>
      </c>
      <c r="V180" s="17">
        <f t="shared" si="48"/>
        <v>1.4477430555562023</v>
      </c>
      <c r="W180" s="56">
        <v>0.21094907407407407</v>
      </c>
      <c r="X180" s="46" t="str">
        <f>HYPERLINK("tag_data/mn160615-36 (Stellwagen)/mn160615-36 Map.bmp","203")</f>
        <v>203</v>
      </c>
      <c r="Y180" s="54" t="str">
        <f>HYPERLINK("tag_data/mn160615-36 (Stellwagen)/Mn160615.docx","Link")</f>
        <v>Link</v>
      </c>
      <c r="Z180" s="31" t="s">
        <v>39</v>
      </c>
      <c r="AA180" s="31" t="s">
        <v>41</v>
      </c>
      <c r="AB180" s="31" t="s">
        <v>40</v>
      </c>
      <c r="AC180" s="31" t="s">
        <v>41</v>
      </c>
      <c r="AD180" s="31" t="s">
        <v>39</v>
      </c>
      <c r="AE180" s="31" t="s">
        <v>41</v>
      </c>
      <c r="AF180" s="31" t="s">
        <v>39</v>
      </c>
      <c r="AG180" s="31" t="s">
        <v>41</v>
      </c>
      <c r="AH180" s="31" t="s">
        <v>41</v>
      </c>
      <c r="AI180" s="31" t="s">
        <v>41</v>
      </c>
      <c r="AJ180" s="31" t="s">
        <v>39</v>
      </c>
      <c r="AK180" s="31" t="s">
        <v>41</v>
      </c>
      <c r="AL180" s="31" t="s">
        <v>41</v>
      </c>
      <c r="AM180" s="31" t="s">
        <v>41</v>
      </c>
      <c r="AN180" s="32" t="s">
        <v>579</v>
      </c>
      <c r="AO180" s="32" t="s">
        <v>908</v>
      </c>
      <c r="AP180" s="30">
        <v>42536.570567129631</v>
      </c>
      <c r="AQ180" s="30">
        <v>42536.577627314815</v>
      </c>
      <c r="AR180" s="92">
        <v>42538.025370370371</v>
      </c>
      <c r="AS180" s="92" t="s">
        <v>651</v>
      </c>
      <c r="AT180" s="107">
        <v>41.708916670000001</v>
      </c>
      <c r="AU180" s="107">
        <v>-69.799583330000004</v>
      </c>
      <c r="AV180" s="142" t="s">
        <v>299</v>
      </c>
      <c r="AW180" s="106" t="s">
        <v>907</v>
      </c>
      <c r="AX180" s="30">
        <v>42538.40625</v>
      </c>
      <c r="AY180" s="107">
        <v>41.741383329999998</v>
      </c>
      <c r="AZ180" s="107">
        <v>-69.92486667</v>
      </c>
      <c r="BA180" s="32" t="s">
        <v>906</v>
      </c>
      <c r="BB180" s="49" t="s">
        <v>1308</v>
      </c>
      <c r="BC180" s="7"/>
      <c r="BD180" s="7"/>
      <c r="BE180" s="7"/>
      <c r="BF180" s="7"/>
      <c r="BG180" s="7"/>
    </row>
    <row r="181" spans="1:59">
      <c r="A181" s="55" t="str">
        <f>HYPERLINK("tag_data/Quicklook/mn160615-37Quicklook.jpg","mn160615-37")</f>
        <v>mn160615-37</v>
      </c>
      <c r="B181" s="26" t="str">
        <f t="shared" si="46"/>
        <v>mn</v>
      </c>
      <c r="C181" s="42" t="str">
        <f t="shared" si="49"/>
        <v>Stellwagen</v>
      </c>
      <c r="D181" s="64" t="s">
        <v>558</v>
      </c>
      <c r="E181" s="61" t="s">
        <v>559</v>
      </c>
      <c r="F181" s="85">
        <v>-4</v>
      </c>
      <c r="G181" s="59" t="s">
        <v>460</v>
      </c>
      <c r="H181" s="31" t="s">
        <v>39</v>
      </c>
      <c r="I181" s="42" t="str">
        <f>HYPERLINK("tag_data/mn160615-37 (Stellwagen)","Link")</f>
        <v>Link</v>
      </c>
      <c r="J181" s="42" t="str">
        <f>HYPERLINK("tag_data_raw/Stellwagen/2016/mn160615-37","Link")</f>
        <v>Link</v>
      </c>
      <c r="K181" s="42" t="str">
        <f>HYPERLINK("tag_data/mn160615-37 (Stellwagen)/Pics&amp;Vids","Link")</f>
        <v>Link</v>
      </c>
      <c r="L181" s="42" t="str">
        <f>HYPERLINK("location data/Stellwagen/2016/Stellwagen_Tagging_2016/Videos/2016_06_15th_167/GOPR0172.MP4","Link")</f>
        <v>Link</v>
      </c>
      <c r="M181" s="41" t="s">
        <v>263</v>
      </c>
      <c r="N181" s="42" t="str">
        <f t="shared" si="50"/>
        <v>Link</v>
      </c>
      <c r="O181" s="31" t="s">
        <v>62</v>
      </c>
      <c r="P181" s="31" t="s">
        <v>266</v>
      </c>
      <c r="Q181" s="31">
        <v>37</v>
      </c>
      <c r="R181" s="32" t="s">
        <v>306</v>
      </c>
      <c r="S181" s="32" t="str">
        <f t="shared" si="44"/>
        <v>Cam Mic</v>
      </c>
      <c r="T181" s="32" t="s">
        <v>38</v>
      </c>
      <c r="U181" s="17">
        <f t="shared" si="47"/>
        <v>0.14555555555853061</v>
      </c>
      <c r="V181" s="17">
        <f t="shared" si="48"/>
        <v>0.14555555555853061</v>
      </c>
      <c r="W181" s="56">
        <v>7.8993055555555566E-2</v>
      </c>
      <c r="X181" s="46" t="str">
        <f>HYPERLINK("tag_data/mn160615-37 (Stellwagen)/mn160615-37 Map.bmp","97")</f>
        <v>97</v>
      </c>
      <c r="Y181" s="31"/>
      <c r="Z181" s="31" t="s">
        <v>41</v>
      </c>
      <c r="AA181" s="31" t="s">
        <v>41</v>
      </c>
      <c r="AB181" s="31" t="s">
        <v>40</v>
      </c>
      <c r="AC181" s="31" t="s">
        <v>41</v>
      </c>
      <c r="AD181" s="31" t="s">
        <v>41</v>
      </c>
      <c r="AE181" s="31" t="s">
        <v>41</v>
      </c>
      <c r="AF181" s="31" t="s">
        <v>39</v>
      </c>
      <c r="AG181" s="31" t="s">
        <v>41</v>
      </c>
      <c r="AH181" s="31" t="s">
        <v>41</v>
      </c>
      <c r="AI181" s="31" t="s">
        <v>41</v>
      </c>
      <c r="AJ181" s="31" t="s">
        <v>41</v>
      </c>
      <c r="AK181" s="31" t="s">
        <v>41</v>
      </c>
      <c r="AL181" s="31" t="s">
        <v>41</v>
      </c>
      <c r="AM181" s="31" t="s">
        <v>41</v>
      </c>
      <c r="AN181" s="32" t="s">
        <v>830</v>
      </c>
      <c r="AO181" s="32" t="s">
        <v>908</v>
      </c>
      <c r="AP181" s="30">
        <v>42536.578472222223</v>
      </c>
      <c r="AQ181" s="30">
        <v>42536.582812499997</v>
      </c>
      <c r="AR181" s="92">
        <v>42536.728368055556</v>
      </c>
      <c r="AS181" s="92" t="s">
        <v>651</v>
      </c>
      <c r="AT181" s="107">
        <v>41.708733330000001</v>
      </c>
      <c r="AU181" s="107">
        <v>-69.804833329999994</v>
      </c>
      <c r="AV181" s="142" t="s">
        <v>299</v>
      </c>
      <c r="AW181" s="106" t="s">
        <v>268</v>
      </c>
      <c r="AX181" s="30">
        <v>42537.474340277775</v>
      </c>
      <c r="AY181" s="107">
        <v>41.665349999999997</v>
      </c>
      <c r="AZ181" s="107">
        <v>-69.737716669999998</v>
      </c>
      <c r="BA181" s="32" t="s">
        <v>913</v>
      </c>
      <c r="BB181" s="49" t="s">
        <v>1309</v>
      </c>
      <c r="BC181" s="7"/>
      <c r="BD181" s="7"/>
      <c r="BE181" s="7"/>
      <c r="BF181" s="7"/>
      <c r="BG181" s="7"/>
    </row>
    <row r="182" spans="1:59">
      <c r="A182" s="55" t="str">
        <f>HYPERLINK("tag_data/Quicklook/mn160616-26Quicklook.jpg","mn160616-26")</f>
        <v>mn160616-26</v>
      </c>
      <c r="B182" s="26" t="str">
        <f t="shared" si="46"/>
        <v>mn</v>
      </c>
      <c r="C182" s="42" t="str">
        <f t="shared" si="49"/>
        <v>Stellwagen</v>
      </c>
      <c r="D182" s="64" t="s">
        <v>558</v>
      </c>
      <c r="E182" s="61" t="s">
        <v>559</v>
      </c>
      <c r="F182" s="85">
        <v>-4</v>
      </c>
      <c r="G182" s="59" t="s">
        <v>460</v>
      </c>
      <c r="H182" s="31" t="s">
        <v>41</v>
      </c>
      <c r="I182" s="42" t="str">
        <f>HYPERLINK("tag_data/mn160616-26 (Stellwagen)","Link")</f>
        <v>Link</v>
      </c>
      <c r="J182" s="42" t="str">
        <f>HYPERLINK("tag_data_raw/Stellwagen/2016/mn160616-26","Link")</f>
        <v>Link</v>
      </c>
      <c r="K182" s="42" t="str">
        <f>HYPERLINK("tag_data/mn160616-26 (Stellwagen)/Pics&amp;Vids","Link")</f>
        <v>Link</v>
      </c>
      <c r="L182" s="42" t="str">
        <f>HYPERLINK("location data/Stellwagen/2016/Stellwagen_Tagging_2016/Videos/2016_06_16th_168/GOPR0218.MP4","Link")</f>
        <v>Link</v>
      </c>
      <c r="M182" s="41" t="s">
        <v>263</v>
      </c>
      <c r="N182" s="42" t="str">
        <f t="shared" si="50"/>
        <v>Link</v>
      </c>
      <c r="O182" s="31" t="s">
        <v>64</v>
      </c>
      <c r="P182" s="31" t="s">
        <v>266</v>
      </c>
      <c r="Q182" s="31">
        <v>26</v>
      </c>
      <c r="R182" s="32" t="s">
        <v>316</v>
      </c>
      <c r="S182" s="32" t="str">
        <f t="shared" si="44"/>
        <v>Cam Mic</v>
      </c>
      <c r="T182" s="32" t="s">
        <v>318</v>
      </c>
      <c r="U182" s="17">
        <f t="shared" si="47"/>
        <v>0.26994212962745223</v>
      </c>
      <c r="V182" s="17">
        <f t="shared" si="48"/>
        <v>0.26994212962745223</v>
      </c>
      <c r="W182" s="56">
        <v>0.14530092592592592</v>
      </c>
      <c r="X182" s="31">
        <v>0</v>
      </c>
      <c r="Y182" s="31"/>
      <c r="Z182" s="31" t="s">
        <v>39</v>
      </c>
      <c r="AA182" s="31" t="s">
        <v>39</v>
      </c>
      <c r="AB182" s="31" t="s">
        <v>40</v>
      </c>
      <c r="AC182" s="31" t="s">
        <v>41</v>
      </c>
      <c r="AD182" s="31" t="s">
        <v>39</v>
      </c>
      <c r="AE182" s="31" t="s">
        <v>41</v>
      </c>
      <c r="AF182" s="31" t="s">
        <v>41</v>
      </c>
      <c r="AG182" s="31" t="s">
        <v>41</v>
      </c>
      <c r="AH182" s="31" t="s">
        <v>41</v>
      </c>
      <c r="AI182" s="31" t="s">
        <v>41</v>
      </c>
      <c r="AJ182" s="31" t="s">
        <v>41</v>
      </c>
      <c r="AK182" s="31" t="s">
        <v>41</v>
      </c>
      <c r="AL182" s="31" t="s">
        <v>41</v>
      </c>
      <c r="AM182" s="31" t="s">
        <v>41</v>
      </c>
      <c r="AN182" s="32" t="s">
        <v>914</v>
      </c>
      <c r="AO182" s="32" t="s">
        <v>909</v>
      </c>
      <c r="AP182" s="30">
        <v>42537.546099537038</v>
      </c>
      <c r="AQ182" s="30">
        <v>42537.677303240744</v>
      </c>
      <c r="AR182" s="30">
        <v>42537.947245370371</v>
      </c>
      <c r="AS182" s="92" t="s">
        <v>651</v>
      </c>
      <c r="AT182" s="144">
        <v>41.957766669999998</v>
      </c>
      <c r="AU182" s="144">
        <v>-69.911083329999997</v>
      </c>
      <c r="AV182" s="142" t="s">
        <v>299</v>
      </c>
      <c r="AW182" s="106" t="s">
        <v>268</v>
      </c>
      <c r="AX182" s="30">
        <v>42538.439375000002</v>
      </c>
      <c r="AY182" s="144">
        <v>41.916233329999997</v>
      </c>
      <c r="AZ182" s="144">
        <v>-69.862766669999999</v>
      </c>
      <c r="BA182" s="32" t="s">
        <v>915</v>
      </c>
      <c r="BB182" s="49"/>
      <c r="BC182" s="7"/>
      <c r="BD182" s="7"/>
      <c r="BE182" s="7"/>
      <c r="BF182" s="7"/>
      <c r="BG182" s="7"/>
    </row>
    <row r="183" spans="1:59">
      <c r="A183" s="55" t="str">
        <f>HYPERLINK("tag_data/Quicklook/mn160617-25Quicklook.jpg","mn160617-25")</f>
        <v>mn160617-25</v>
      </c>
      <c r="B183" s="26" t="str">
        <f t="shared" si="46"/>
        <v>mn</v>
      </c>
      <c r="C183" s="42" t="str">
        <f t="shared" si="49"/>
        <v>Stellwagen</v>
      </c>
      <c r="D183" s="64" t="s">
        <v>558</v>
      </c>
      <c r="E183" s="61" t="s">
        <v>559</v>
      </c>
      <c r="F183" s="85">
        <v>-4</v>
      </c>
      <c r="G183" s="59" t="s">
        <v>460</v>
      </c>
      <c r="H183" s="31" t="s">
        <v>39</v>
      </c>
      <c r="I183" s="42" t="str">
        <f>HYPERLINK("tag_data/mn160617-25 (Stellwagen)","Link")</f>
        <v>Link</v>
      </c>
      <c r="J183" s="42" t="str">
        <f>HYPERLINK("tag_data_raw/Stellwagen/2016/mn160617-25","Link")</f>
        <v>Link</v>
      </c>
      <c r="K183" s="42" t="str">
        <f>HYPERLINK("tag_data/mn160617-25 (Stellwagen)/Pics&amp;Vids","Link")</f>
        <v>Link</v>
      </c>
      <c r="L183" s="41" t="s">
        <v>263</v>
      </c>
      <c r="M183" s="41" t="s">
        <v>263</v>
      </c>
      <c r="N183" s="42" t="str">
        <f t="shared" si="50"/>
        <v>Link</v>
      </c>
      <c r="O183" s="31" t="s">
        <v>65</v>
      </c>
      <c r="P183" s="31" t="s">
        <v>266</v>
      </c>
      <c r="Q183" s="31">
        <v>25</v>
      </c>
      <c r="R183" s="32" t="s">
        <v>132</v>
      </c>
      <c r="S183" s="32" t="s">
        <v>1393</v>
      </c>
      <c r="T183" s="32" t="s">
        <v>263</v>
      </c>
      <c r="U183" s="17">
        <f t="shared" si="47"/>
        <v>0.19689814814773854</v>
      </c>
      <c r="V183" s="17">
        <f t="shared" si="48"/>
        <v>0.19689814814773854</v>
      </c>
      <c r="W183" s="56" t="s">
        <v>346</v>
      </c>
      <c r="X183" s="31">
        <v>0</v>
      </c>
      <c r="Y183" s="31" t="s">
        <v>263</v>
      </c>
      <c r="Z183" s="31" t="s">
        <v>39</v>
      </c>
      <c r="AA183" s="31" t="s">
        <v>41</v>
      </c>
      <c r="AB183" s="31" t="s">
        <v>40</v>
      </c>
      <c r="AC183" s="31" t="s">
        <v>41</v>
      </c>
      <c r="AD183" s="31" t="s">
        <v>41</v>
      </c>
      <c r="AE183" s="31" t="s">
        <v>41</v>
      </c>
      <c r="AF183" s="31" t="s">
        <v>41</v>
      </c>
      <c r="AG183" s="31" t="s">
        <v>41</v>
      </c>
      <c r="AH183" s="31" t="s">
        <v>41</v>
      </c>
      <c r="AI183" s="31" t="s">
        <v>41</v>
      </c>
      <c r="AJ183" s="31" t="s">
        <v>41</v>
      </c>
      <c r="AK183" s="31" t="s">
        <v>41</v>
      </c>
      <c r="AL183" s="31" t="s">
        <v>41</v>
      </c>
      <c r="AM183" s="31" t="s">
        <v>41</v>
      </c>
      <c r="AN183" s="32" t="s">
        <v>922</v>
      </c>
      <c r="AO183" s="32" t="s">
        <v>910</v>
      </c>
      <c r="AP183" s="30">
        <v>42538.70685185185</v>
      </c>
      <c r="AQ183" s="30">
        <v>42538.730833333335</v>
      </c>
      <c r="AR183" s="92">
        <v>42538.927731481483</v>
      </c>
      <c r="AS183" s="92" t="s">
        <v>651</v>
      </c>
      <c r="AT183" s="107">
        <v>42.056600000000003</v>
      </c>
      <c r="AU183" s="107">
        <v>-70.007850000000005</v>
      </c>
      <c r="AV183" s="142" t="s">
        <v>299</v>
      </c>
      <c r="AW183" s="106" t="s">
        <v>907</v>
      </c>
      <c r="AX183" s="30">
        <v>42539.52847222222</v>
      </c>
      <c r="AY183" s="107">
        <v>41.832883330000001</v>
      </c>
      <c r="AZ183" s="107">
        <v>-69.818466670000007</v>
      </c>
      <c r="BA183" s="32" t="s">
        <v>923</v>
      </c>
      <c r="BB183" s="49" t="s">
        <v>1310</v>
      </c>
      <c r="BC183" s="7"/>
      <c r="BD183" s="7"/>
      <c r="BE183" s="7"/>
      <c r="BF183" s="7"/>
      <c r="BG183" s="7"/>
    </row>
    <row r="184" spans="1:59">
      <c r="A184" s="55" t="str">
        <f>HYPERLINK("tag_data/Quicklook/mn160617-37Quicklook.jpg","mn160617-37")</f>
        <v>mn160617-37</v>
      </c>
      <c r="B184" s="26" t="str">
        <f t="shared" si="46"/>
        <v>mn</v>
      </c>
      <c r="C184" s="42" t="str">
        <f t="shared" si="49"/>
        <v>Stellwagen</v>
      </c>
      <c r="D184" s="64" t="s">
        <v>558</v>
      </c>
      <c r="E184" s="61" t="s">
        <v>559</v>
      </c>
      <c r="F184" s="85">
        <v>-4</v>
      </c>
      <c r="G184" s="59" t="s">
        <v>460</v>
      </c>
      <c r="H184" s="31" t="s">
        <v>39</v>
      </c>
      <c r="I184" s="42" t="str">
        <f>HYPERLINK("tag_data/mn160617-37 (Stellwagen)","Link")</f>
        <v>Link</v>
      </c>
      <c r="J184" s="42" t="str">
        <f>HYPERLINK("tag_data_raw/Stellwagen/2016/mn160617-37","Link")</f>
        <v>Link</v>
      </c>
      <c r="K184" s="46" t="str">
        <f>HYPERLINK("tag_data/mn160617-37 (Stellwagen)/Pics&amp;Vids","Link")</f>
        <v>Link</v>
      </c>
      <c r="L184" s="41" t="s">
        <v>263</v>
      </c>
      <c r="M184" s="41" t="s">
        <v>263</v>
      </c>
      <c r="N184" s="42" t="str">
        <f t="shared" si="50"/>
        <v>Link</v>
      </c>
      <c r="O184" s="31" t="s">
        <v>59</v>
      </c>
      <c r="P184" s="31" t="s">
        <v>266</v>
      </c>
      <c r="Q184" s="31">
        <v>37</v>
      </c>
      <c r="R184" s="32" t="s">
        <v>306</v>
      </c>
      <c r="S184" s="32" t="str">
        <f>IF(OR(Q184&lt;39,Q184=50,Q184=51,AND(OR(Q184=46,Q184=47),AQ184&gt;43313)),"Cam Mic",IF(AND(Q184&lt;45,AQ184&lt;42958),"Dolphin Ear",IF(AND(Q184&gt;44,NOT(OR(Q184=46,Q184=47,Q184=50,Q184=51))),"HTI","None")))</f>
        <v>Cam Mic</v>
      </c>
      <c r="T184" s="32" t="s">
        <v>63</v>
      </c>
      <c r="U184" s="17">
        <f t="shared" si="47"/>
        <v>0.16348379629926058</v>
      </c>
      <c r="V184" s="17">
        <f t="shared" si="48"/>
        <v>0.16348379629926058</v>
      </c>
      <c r="W184" s="56">
        <v>8.7881944444444457E-2</v>
      </c>
      <c r="X184" s="46" t="str">
        <f>HYPERLINK("tag_data/mn160617-37 (Stellwagen)/mn160617-37 Map.bmp","165")</f>
        <v>165</v>
      </c>
      <c r="Y184" s="31"/>
      <c r="Z184" s="31" t="s">
        <v>39</v>
      </c>
      <c r="AA184" s="31" t="s">
        <v>39</v>
      </c>
      <c r="AB184" s="31" t="s">
        <v>40</v>
      </c>
      <c r="AC184" s="31" t="s">
        <v>41</v>
      </c>
      <c r="AD184" s="31" t="s">
        <v>39</v>
      </c>
      <c r="AE184" s="31" t="s">
        <v>41</v>
      </c>
      <c r="AF184" s="31" t="s">
        <v>39</v>
      </c>
      <c r="AG184" s="31" t="s">
        <v>41</v>
      </c>
      <c r="AH184" s="33" t="s">
        <v>789</v>
      </c>
      <c r="AI184" s="31" t="s">
        <v>39</v>
      </c>
      <c r="AJ184" s="31" t="s">
        <v>39</v>
      </c>
      <c r="AK184" s="31" t="s">
        <v>41</v>
      </c>
      <c r="AL184" s="31" t="s">
        <v>41</v>
      </c>
      <c r="AM184" s="31" t="s">
        <v>41</v>
      </c>
      <c r="AN184" s="32" t="s">
        <v>538</v>
      </c>
      <c r="AO184" s="32" t="s">
        <v>910</v>
      </c>
      <c r="AP184" s="30">
        <v>42538.662314814814</v>
      </c>
      <c r="AQ184" s="30">
        <v>42538.684386574074</v>
      </c>
      <c r="AR184" s="92">
        <v>42538.847870370373</v>
      </c>
      <c r="AS184" s="92" t="s">
        <v>651</v>
      </c>
      <c r="AT184" s="107">
        <v>42.051283329999997</v>
      </c>
      <c r="AU184" s="107">
        <v>-69.946483330000007</v>
      </c>
      <c r="AV184" s="142" t="s">
        <v>299</v>
      </c>
      <c r="AW184" s="106" t="s">
        <v>268</v>
      </c>
      <c r="AX184" s="30">
        <v>42539.521886574075</v>
      </c>
      <c r="AY184" s="107">
        <v>41.8628</v>
      </c>
      <c r="AZ184" s="107">
        <v>-69.810966669999999</v>
      </c>
      <c r="BA184" s="32" t="s">
        <v>916</v>
      </c>
      <c r="BB184" s="49" t="s">
        <v>1273</v>
      </c>
      <c r="BC184" s="7"/>
      <c r="BD184" s="7"/>
      <c r="BE184" s="7"/>
      <c r="BF184" s="7"/>
      <c r="BG184" s="7"/>
    </row>
    <row r="185" spans="1:59">
      <c r="A185" s="55" t="str">
        <f>HYPERLINK("tag_data/Quicklook/mn160619-21Quicklook.jpg","mn160619-21")</f>
        <v>mn160619-21</v>
      </c>
      <c r="B185" s="26" t="str">
        <f t="shared" si="46"/>
        <v>mn</v>
      </c>
      <c r="C185" s="42" t="str">
        <f t="shared" si="49"/>
        <v>Stellwagen</v>
      </c>
      <c r="D185" s="64" t="s">
        <v>558</v>
      </c>
      <c r="E185" s="61" t="s">
        <v>559</v>
      </c>
      <c r="F185" s="85">
        <v>-4</v>
      </c>
      <c r="G185" s="59" t="s">
        <v>460</v>
      </c>
      <c r="H185" s="31" t="s">
        <v>39</v>
      </c>
      <c r="I185" s="42" t="str">
        <f>HYPERLINK("tag_data/mn160619-21 (Stellwagen)","Link")</f>
        <v>Link</v>
      </c>
      <c r="J185" s="42" t="str">
        <f>HYPERLINK("tag_data_raw/Stellwagen/2016/mn160619-21","Link")</f>
        <v>Link</v>
      </c>
      <c r="K185" s="42" t="str">
        <f>HYPERLINK("tag_data/mn160619-21 (Stellwagen)/Pics&amp;Vids","Link")</f>
        <v>Link</v>
      </c>
      <c r="L185" s="42" t="str">
        <f>HYPERLINK("location data/Stellwagen/2016/Pics and Videos (dave)/GoPro/06.19/Deployment 2.MP4","Link")</f>
        <v>Link</v>
      </c>
      <c r="M185" s="41" t="s">
        <v>263</v>
      </c>
      <c r="N185" s="42" t="str">
        <f t="shared" si="50"/>
        <v>Link</v>
      </c>
      <c r="O185" s="31" t="s">
        <v>66</v>
      </c>
      <c r="P185" s="31" t="s">
        <v>266</v>
      </c>
      <c r="Q185" s="31">
        <v>21</v>
      </c>
      <c r="R185" s="38" t="s">
        <v>132</v>
      </c>
      <c r="S185" s="38" t="s">
        <v>1393</v>
      </c>
      <c r="T185" s="32" t="s">
        <v>263</v>
      </c>
      <c r="U185" s="17">
        <f t="shared" si="47"/>
        <v>0.27164351852115942</v>
      </c>
      <c r="V185" s="17">
        <f t="shared" si="48"/>
        <v>0.27164351852115942</v>
      </c>
      <c r="W185" s="56" t="s">
        <v>346</v>
      </c>
      <c r="X185" s="46" t="str">
        <f>HYPERLINK("tag_data/mn160619-21 (Stellwagen)/mn160619-21 Map.bmp","312")</f>
        <v>312</v>
      </c>
      <c r="Y185" s="31"/>
      <c r="Z185" s="31" t="s">
        <v>39</v>
      </c>
      <c r="AA185" s="31" t="s">
        <v>41</v>
      </c>
      <c r="AB185" s="31" t="s">
        <v>40</v>
      </c>
      <c r="AC185" s="31" t="s">
        <v>41</v>
      </c>
      <c r="AD185" s="31" t="s">
        <v>41</v>
      </c>
      <c r="AE185" s="31" t="s">
        <v>41</v>
      </c>
      <c r="AF185" s="31" t="s">
        <v>41</v>
      </c>
      <c r="AG185" s="31" t="s">
        <v>39</v>
      </c>
      <c r="AH185" s="31" t="s">
        <v>41</v>
      </c>
      <c r="AI185" s="31" t="s">
        <v>41</v>
      </c>
      <c r="AJ185" s="31" t="s">
        <v>41</v>
      </c>
      <c r="AK185" s="31" t="s">
        <v>41</v>
      </c>
      <c r="AL185" s="31" t="s">
        <v>41</v>
      </c>
      <c r="AM185" s="31" t="s">
        <v>41</v>
      </c>
      <c r="AN185" s="32" t="s">
        <v>494</v>
      </c>
      <c r="AO185" s="32" t="s">
        <v>912</v>
      </c>
      <c r="AP185" s="30">
        <v>42540.327326388891</v>
      </c>
      <c r="AQ185" s="30">
        <v>42540.338726851849</v>
      </c>
      <c r="AR185" s="92">
        <v>42540.61037037037</v>
      </c>
      <c r="AS185" s="92" t="s">
        <v>651</v>
      </c>
      <c r="AT185" s="107">
        <f>42+11.344/60</f>
        <v>42.189066666666669</v>
      </c>
      <c r="AU185" s="107">
        <v>-70.109733300000002</v>
      </c>
      <c r="AV185" s="142" t="s">
        <v>299</v>
      </c>
      <c r="AW185" s="106" t="s">
        <v>268</v>
      </c>
      <c r="AX185" s="30">
        <v>42541.479861111111</v>
      </c>
      <c r="AY185" s="107">
        <v>42.243516669999998</v>
      </c>
      <c r="AZ185" s="107">
        <v>-69.997150000000005</v>
      </c>
      <c r="BA185" s="32" t="s">
        <v>970</v>
      </c>
      <c r="BB185" s="49" t="s">
        <v>1311</v>
      </c>
      <c r="BC185" s="7"/>
      <c r="BD185" s="7"/>
      <c r="BE185" s="7"/>
      <c r="BF185" s="7"/>
      <c r="BG185" s="7"/>
    </row>
    <row r="186" spans="1:59" s="103" customFormat="1">
      <c r="A186" s="55" t="str">
        <f>HYPERLINK("tag_data/Quicklook/mn160619-25bQuicklook.jpg","mn160619-25b")</f>
        <v>mn160619-25b</v>
      </c>
      <c r="B186" s="26" t="str">
        <f t="shared" si="46"/>
        <v>mn</v>
      </c>
      <c r="C186" s="42" t="str">
        <f t="shared" si="49"/>
        <v>Stellwagen</v>
      </c>
      <c r="D186" s="64" t="s">
        <v>558</v>
      </c>
      <c r="E186" s="61" t="s">
        <v>559</v>
      </c>
      <c r="F186" s="85">
        <v>-4</v>
      </c>
      <c r="G186" s="59" t="s">
        <v>460</v>
      </c>
      <c r="H186" s="31" t="s">
        <v>39</v>
      </c>
      <c r="I186" s="42" t="str">
        <f>HYPERLINK("tag_data/mn160619-25b (Stellwagen)","Link")</f>
        <v>Link</v>
      </c>
      <c r="J186" s="42" t="str">
        <f>HYPERLINK("tag_data_raw/Stellwagen/2016/mn160619-25","Link")</f>
        <v>Link</v>
      </c>
      <c r="K186" s="42" t="str">
        <f>HYPERLINK("tag_data/mn160619-25b (Stellwagen)/Pics&amp;Vids","Link")</f>
        <v>Link</v>
      </c>
      <c r="L186" s="41" t="s">
        <v>263</v>
      </c>
      <c r="M186" s="41" t="s">
        <v>263</v>
      </c>
      <c r="N186" s="42" t="str">
        <f t="shared" si="50"/>
        <v>Link</v>
      </c>
      <c r="O186" s="31" t="s">
        <v>975</v>
      </c>
      <c r="P186" s="31" t="s">
        <v>563</v>
      </c>
      <c r="Q186" s="31">
        <v>25</v>
      </c>
      <c r="R186" s="32" t="s">
        <v>132</v>
      </c>
      <c r="S186" s="32" t="s">
        <v>1393</v>
      </c>
      <c r="T186" s="32" t="s">
        <v>263</v>
      </c>
      <c r="U186" s="17">
        <f t="shared" si="47"/>
        <v>0.40330902777350275</v>
      </c>
      <c r="V186" s="17">
        <f t="shared" si="48"/>
        <v>0.40330902777350275</v>
      </c>
      <c r="W186" s="56" t="s">
        <v>346</v>
      </c>
      <c r="X186" s="42" t="str">
        <f>HYPERLINK("/CATS/Data/Processed (PRH)/MN/Stellwagen/2016.06.19/25/mn160619-25b Map.bmp","672")</f>
        <v>672</v>
      </c>
      <c r="Y186" s="31"/>
      <c r="Z186" s="31" t="s">
        <v>39</v>
      </c>
      <c r="AA186" s="31" t="s">
        <v>41</v>
      </c>
      <c r="AB186" s="31" t="s">
        <v>40</v>
      </c>
      <c r="AC186" s="31" t="s">
        <v>41</v>
      </c>
      <c r="AD186" s="31" t="s">
        <v>41</v>
      </c>
      <c r="AE186" s="31" t="s">
        <v>41</v>
      </c>
      <c r="AF186" s="31" t="s">
        <v>41</v>
      </c>
      <c r="AG186" s="31" t="s">
        <v>41</v>
      </c>
      <c r="AH186" s="31" t="s">
        <v>41</v>
      </c>
      <c r="AI186" s="31" t="s">
        <v>41</v>
      </c>
      <c r="AJ186" s="31" t="s">
        <v>41</v>
      </c>
      <c r="AK186" s="31" t="s">
        <v>41</v>
      </c>
      <c r="AL186" s="31" t="s">
        <v>41</v>
      </c>
      <c r="AM186" s="31" t="s">
        <v>41</v>
      </c>
      <c r="AN186" s="32" t="s">
        <v>710</v>
      </c>
      <c r="AO186" s="32" t="s">
        <v>912</v>
      </c>
      <c r="AP186" s="30">
        <v>42540.34747685185</v>
      </c>
      <c r="AQ186" s="30">
        <v>42540.35938425926</v>
      </c>
      <c r="AR186" s="92">
        <v>42540.762693287033</v>
      </c>
      <c r="AS186" s="92" t="s">
        <v>651</v>
      </c>
      <c r="AT186" s="107">
        <v>42.194933329999998</v>
      </c>
      <c r="AU186" s="107">
        <v>-70.117850000000004</v>
      </c>
      <c r="AV186" s="142" t="s">
        <v>299</v>
      </c>
      <c r="AW186" s="106" t="s">
        <v>268</v>
      </c>
      <c r="AX186" s="30">
        <v>42541.461805555555</v>
      </c>
      <c r="AY186" s="107">
        <v>42.25126667</v>
      </c>
      <c r="AZ186" s="107">
        <v>-70.049933330000002</v>
      </c>
      <c r="BA186" s="32" t="s">
        <v>976</v>
      </c>
      <c r="BB186" s="49" t="s">
        <v>1312</v>
      </c>
      <c r="BC186" s="7"/>
      <c r="BD186" s="7"/>
      <c r="BE186" s="96"/>
      <c r="BF186" s="96"/>
      <c r="BG186" s="96"/>
    </row>
    <row r="187" spans="1:59">
      <c r="A187" s="55" t="str">
        <f>HYPERLINK("tag_data/Quicklook/mn160619-36Quicklook.jpg","mn160619-36")</f>
        <v>mn160619-36</v>
      </c>
      <c r="B187" s="26" t="str">
        <f t="shared" si="46"/>
        <v>mn</v>
      </c>
      <c r="C187" s="42" t="str">
        <f t="shared" si="49"/>
        <v>Stellwagen</v>
      </c>
      <c r="D187" s="64" t="s">
        <v>558</v>
      </c>
      <c r="E187" s="61" t="s">
        <v>559</v>
      </c>
      <c r="F187" s="85">
        <v>-4</v>
      </c>
      <c r="G187" s="59" t="s">
        <v>460</v>
      </c>
      <c r="H187" s="31" t="s">
        <v>39</v>
      </c>
      <c r="I187" s="42" t="str">
        <f>HYPERLINK("tag_data/mn160619-36 (Stellwagen)","Link")</f>
        <v>Link</v>
      </c>
      <c r="J187" s="42" t="str">
        <f>HYPERLINK("tag_data_raw/Stellwagen/2016/mn160619-36","Link")</f>
        <v>Link</v>
      </c>
      <c r="K187" s="42" t="str">
        <f>HYPERLINK("tag_data/mn160619-36 (Stellwagen)/Pics&amp;Vids","Link")</f>
        <v>Link</v>
      </c>
      <c r="L187" s="42" t="str">
        <f>HYPERLINK("location data/Stellwagen/2016/Pics and Videos (dave)/GoPro/06.19/Deployment 1.MP4","Link")</f>
        <v>Link</v>
      </c>
      <c r="M187" s="41" t="s">
        <v>263</v>
      </c>
      <c r="N187" s="42" t="str">
        <f t="shared" si="50"/>
        <v>Link</v>
      </c>
      <c r="O187" s="31" t="s">
        <v>67</v>
      </c>
      <c r="P187" s="31" t="s">
        <v>266</v>
      </c>
      <c r="Q187" s="31">
        <v>36</v>
      </c>
      <c r="R187" s="32" t="s">
        <v>306</v>
      </c>
      <c r="S187" s="32" t="str">
        <f>IF(OR(Q187&lt;39,Q187=50,Q187=51,AND(OR(Q187=46,Q187=47),AQ187&gt;43313)),"Cam Mic",IF(AND(Q187&lt;45,AQ187&lt;42958),"Dolphin Ear",IF(AND(Q187&gt;44,NOT(OR(Q187=46,Q187=47,Q187=50,Q187=51))),"HTI","None")))</f>
        <v>Cam Mic</v>
      </c>
      <c r="T187" s="32" t="s">
        <v>38</v>
      </c>
      <c r="U187" s="17">
        <f t="shared" si="47"/>
        <v>0.82375254629732808</v>
      </c>
      <c r="V187" s="17">
        <f t="shared" si="48"/>
        <v>0.82375254629732808</v>
      </c>
      <c r="W187" s="56">
        <v>0.32162037037037039</v>
      </c>
      <c r="X187" s="46" t="str">
        <f>HYPERLINK("/CATS/tag_data/mn160619-36 (Stellwagen)/mn160619-36 Map.bmp","26")</f>
        <v>26</v>
      </c>
      <c r="Y187" s="31"/>
      <c r="Z187" s="31" t="s">
        <v>39</v>
      </c>
      <c r="AA187" s="31" t="s">
        <v>39</v>
      </c>
      <c r="AB187" s="31" t="s">
        <v>40</v>
      </c>
      <c r="AC187" s="31" t="s">
        <v>41</v>
      </c>
      <c r="AD187" s="31" t="s">
        <v>39</v>
      </c>
      <c r="AE187" s="31" t="s">
        <v>266</v>
      </c>
      <c r="AF187" s="31" t="s">
        <v>39</v>
      </c>
      <c r="AG187" s="31" t="s">
        <v>41</v>
      </c>
      <c r="AH187" s="31" t="s">
        <v>41</v>
      </c>
      <c r="AI187" s="31" t="s">
        <v>39</v>
      </c>
      <c r="AJ187" s="33" t="s">
        <v>57</v>
      </c>
      <c r="AK187" s="31" t="s">
        <v>41</v>
      </c>
      <c r="AL187" s="31" t="s">
        <v>41</v>
      </c>
      <c r="AM187" s="31" t="s">
        <v>41</v>
      </c>
      <c r="AN187" s="32" t="s">
        <v>585</v>
      </c>
      <c r="AO187" s="32" t="s">
        <v>912</v>
      </c>
      <c r="AP187" s="30">
        <v>42540.327916666669</v>
      </c>
      <c r="AQ187" s="30">
        <v>42540.333391203705</v>
      </c>
      <c r="AR187" s="92">
        <v>42541.157143750002</v>
      </c>
      <c r="AS187" s="92" t="s">
        <v>651</v>
      </c>
      <c r="AT187" s="144">
        <v>42.186916670000002</v>
      </c>
      <c r="AU187" s="144">
        <v>-70.110583329999997</v>
      </c>
      <c r="AV187" s="142" t="s">
        <v>299</v>
      </c>
      <c r="AW187" s="106" t="s">
        <v>268</v>
      </c>
      <c r="AX187" s="30">
        <v>42541.434027777781</v>
      </c>
      <c r="AY187" s="144">
        <v>42.260566670000003</v>
      </c>
      <c r="AZ187" s="144">
        <v>-70.125616669999999</v>
      </c>
      <c r="BA187" s="32" t="s">
        <v>928</v>
      </c>
      <c r="BB187" s="49" t="s">
        <v>1313</v>
      </c>
      <c r="BC187" s="7"/>
      <c r="BD187" s="7"/>
      <c r="BE187" s="7"/>
      <c r="BF187" s="7"/>
      <c r="BG187" s="7"/>
    </row>
    <row r="188" spans="1:59">
      <c r="A188" s="55" t="str">
        <f>HYPERLINK("tag_data/Quicklook/mn160622-25Quicklook.jpg","mn160622-25")</f>
        <v>mn160622-25</v>
      </c>
      <c r="B188" s="26" t="str">
        <f t="shared" si="46"/>
        <v>mn</v>
      </c>
      <c r="C188" s="42" t="str">
        <f t="shared" si="49"/>
        <v>Stellwagen</v>
      </c>
      <c r="D188" s="64" t="s">
        <v>558</v>
      </c>
      <c r="E188" s="61" t="s">
        <v>559</v>
      </c>
      <c r="F188" s="85">
        <v>-4</v>
      </c>
      <c r="G188" s="59" t="s">
        <v>460</v>
      </c>
      <c r="H188" s="31" t="s">
        <v>39</v>
      </c>
      <c r="I188" s="42" t="str">
        <f>HYPERLINK("tag_data/mn160622-25 (Stellwagen)","Link")</f>
        <v>Link</v>
      </c>
      <c r="J188" s="42" t="str">
        <f>HYPERLINK("tag_data_raw/Stellwagen/2016/mn160622-25","Link")</f>
        <v>Link</v>
      </c>
      <c r="K188" s="42" t="str">
        <f>HYPERLINK("tag_data/mn160622-25 (Stellwagen)/Pics&amp;Vids","Link")</f>
        <v>Link</v>
      </c>
      <c r="L188" s="42" t="str">
        <f>HYPERLINK("location data/Stellwagen/2016/Stellwagen_Tagging_2016/Videos/2016_06_22nd_174/GOPR0247.MP4","Link")</f>
        <v>Link</v>
      </c>
      <c r="M188" s="41" t="s">
        <v>263</v>
      </c>
      <c r="N188" s="42" t="str">
        <f t="shared" si="50"/>
        <v>Link</v>
      </c>
      <c r="O188" s="31" t="s">
        <v>129</v>
      </c>
      <c r="P188" s="31" t="s">
        <v>266</v>
      </c>
      <c r="Q188" s="31">
        <v>21</v>
      </c>
      <c r="R188" s="32" t="s">
        <v>132</v>
      </c>
      <c r="S188" s="32" t="s">
        <v>1393</v>
      </c>
      <c r="T188" s="32" t="s">
        <v>263</v>
      </c>
      <c r="U188" s="17">
        <f t="shared" si="47"/>
        <v>0.156215277776937</v>
      </c>
      <c r="V188" s="17">
        <f t="shared" si="48"/>
        <v>0.156215277776937</v>
      </c>
      <c r="W188" s="56" t="s">
        <v>346</v>
      </c>
      <c r="X188" s="46" t="str">
        <f>HYPERLINK("tag_data/mn160622-25 (Stellwagen)/mn160622-25 Map.bmp","149")</f>
        <v>149</v>
      </c>
      <c r="Y188" s="31"/>
      <c r="Z188" s="31" t="s">
        <v>39</v>
      </c>
      <c r="AA188" s="31" t="s">
        <v>41</v>
      </c>
      <c r="AB188" s="31" t="s">
        <v>40</v>
      </c>
      <c r="AC188" s="31" t="s">
        <v>41</v>
      </c>
      <c r="AD188" s="31" t="s">
        <v>41</v>
      </c>
      <c r="AE188" s="31" t="s">
        <v>41</v>
      </c>
      <c r="AF188" s="31" t="s">
        <v>41</v>
      </c>
      <c r="AG188" s="31" t="s">
        <v>41</v>
      </c>
      <c r="AH188" s="31" t="s">
        <v>41</v>
      </c>
      <c r="AI188" s="31" t="s">
        <v>41</v>
      </c>
      <c r="AJ188" s="31" t="s">
        <v>41</v>
      </c>
      <c r="AK188" s="31" t="s">
        <v>41</v>
      </c>
      <c r="AL188" s="31" t="s">
        <v>41</v>
      </c>
      <c r="AM188" s="31" t="s">
        <v>41</v>
      </c>
      <c r="AN188" s="32" t="s">
        <v>977</v>
      </c>
      <c r="AO188" s="32" t="s">
        <v>912</v>
      </c>
      <c r="AP188" s="30">
        <v>42543.342210648145</v>
      </c>
      <c r="AQ188" s="30">
        <v>42543.452384259261</v>
      </c>
      <c r="AR188" s="92">
        <v>42543.608599537038</v>
      </c>
      <c r="AS188" s="92" t="s">
        <v>651</v>
      </c>
      <c r="AT188" s="107">
        <v>42.186283330000002</v>
      </c>
      <c r="AU188" s="107">
        <v>-70.166166669999996</v>
      </c>
      <c r="AV188" s="142" t="s">
        <v>299</v>
      </c>
      <c r="AW188" s="106" t="s">
        <v>907</v>
      </c>
      <c r="AX188" s="30">
        <v>42543.615543981483</v>
      </c>
      <c r="AY188" s="107">
        <v>42.262466670000002</v>
      </c>
      <c r="AZ188" s="107">
        <v>-70.183400000000006</v>
      </c>
      <c r="BA188" s="32" t="s">
        <v>978</v>
      </c>
      <c r="BB188" s="49" t="s">
        <v>1314</v>
      </c>
      <c r="BC188" s="7"/>
      <c r="BD188" s="7"/>
      <c r="BE188" s="7"/>
      <c r="BF188" s="7"/>
      <c r="BG188" s="7"/>
    </row>
    <row r="189" spans="1:59">
      <c r="A189" s="55" t="str">
        <f>HYPERLINK("tag_data/Quicklook/mn160622-36Quicklook.jpg","mn160622-36")</f>
        <v>mn160622-36</v>
      </c>
      <c r="B189" s="26" t="str">
        <f t="shared" si="46"/>
        <v>mn</v>
      </c>
      <c r="C189" s="42" t="str">
        <f t="shared" si="49"/>
        <v>Stellwagen</v>
      </c>
      <c r="D189" s="64" t="s">
        <v>558</v>
      </c>
      <c r="E189" s="61" t="s">
        <v>559</v>
      </c>
      <c r="F189" s="85">
        <v>-4</v>
      </c>
      <c r="G189" s="59" t="s">
        <v>460</v>
      </c>
      <c r="H189" s="31" t="s">
        <v>39</v>
      </c>
      <c r="I189" s="42" t="str">
        <f>HYPERLINK("tag_data/mn160622-36 (Stellwagen)","Link")</f>
        <v>Link</v>
      </c>
      <c r="J189" s="42" t="str">
        <f>HYPERLINK("tag_data_raw/Stellwagen/2016/mn160622-36","Link")</f>
        <v>Link</v>
      </c>
      <c r="K189" s="42" t="str">
        <f>HYPERLINK("tag_data/mn160622-36 (Stellwagen)/Pics&amp;Vids","Link")</f>
        <v>Link</v>
      </c>
      <c r="L189" s="41" t="s">
        <v>263</v>
      </c>
      <c r="M189" s="41" t="s">
        <v>263</v>
      </c>
      <c r="N189" s="42" t="str">
        <f t="shared" si="50"/>
        <v>Link</v>
      </c>
      <c r="O189" s="31" t="s">
        <v>130</v>
      </c>
      <c r="P189" s="31" t="s">
        <v>563</v>
      </c>
      <c r="Q189" s="31">
        <v>36</v>
      </c>
      <c r="R189" s="32" t="s">
        <v>306</v>
      </c>
      <c r="S189" s="32" t="str">
        <f t="shared" ref="S189:S194" si="51">IF(OR(Q189&lt;39,Q189=50,Q189=51,AND(OR(Q189=46,Q189=47),AQ189&gt;43313)),"Cam Mic",IF(AND(Q189&lt;45,AQ189&lt;42958),"Dolphin Ear",IF(AND(Q189&gt;44,NOT(OR(Q189=46,Q189=47,Q189=50,Q189=51))),"HTI","None")))</f>
        <v>Cam Mic</v>
      </c>
      <c r="T189" s="32" t="s">
        <v>131</v>
      </c>
      <c r="U189" s="17">
        <f t="shared" si="47"/>
        <v>1.3188888888907968</v>
      </c>
      <c r="V189" s="17">
        <f t="shared" si="48"/>
        <v>1.1288657407421852</v>
      </c>
      <c r="W189" s="56">
        <v>0.32665509259259257</v>
      </c>
      <c r="X189" s="42" t="str">
        <f>HYPERLINK("/CATS/Data/Processed (PRH)/MN/Stellwagen/2016.06.22/36/mn160622-36 Map.bmp","5")</f>
        <v>5</v>
      </c>
      <c r="Y189" s="31"/>
      <c r="Z189" s="31" t="s">
        <v>39</v>
      </c>
      <c r="AA189" s="31" t="s">
        <v>41</v>
      </c>
      <c r="AB189" s="31" t="s">
        <v>40</v>
      </c>
      <c r="AC189" s="31" t="s">
        <v>41</v>
      </c>
      <c r="AD189" s="31" t="s">
        <v>41</v>
      </c>
      <c r="AE189" s="31" t="s">
        <v>266</v>
      </c>
      <c r="AF189" s="31" t="s">
        <v>39</v>
      </c>
      <c r="AG189" s="31" t="s">
        <v>41</v>
      </c>
      <c r="AH189" s="33" t="s">
        <v>481</v>
      </c>
      <c r="AI189" s="31" t="s">
        <v>41</v>
      </c>
      <c r="AJ189" s="31" t="s">
        <v>41</v>
      </c>
      <c r="AK189" s="31" t="s">
        <v>39</v>
      </c>
      <c r="AL189" s="31" t="s">
        <v>41</v>
      </c>
      <c r="AM189" s="31" t="s">
        <v>41</v>
      </c>
      <c r="AN189" s="32" t="s">
        <v>979</v>
      </c>
      <c r="AO189" s="32" t="s">
        <v>912</v>
      </c>
      <c r="AP189" s="30">
        <v>42543.331678240742</v>
      </c>
      <c r="AQ189" s="30">
        <v>42543.335162037038</v>
      </c>
      <c r="AR189" s="30">
        <v>42544.654050925928</v>
      </c>
      <c r="AS189" s="92">
        <v>42544.46402777778</v>
      </c>
      <c r="AT189" s="107">
        <v>42.188216670000003</v>
      </c>
      <c r="AU189" s="107">
        <v>-70.162599999999998</v>
      </c>
      <c r="AV189" s="142" t="s">
        <v>299</v>
      </c>
      <c r="AW189" s="106" t="s">
        <v>268</v>
      </c>
      <c r="AX189" s="30">
        <v>42544.656377314815</v>
      </c>
      <c r="AY189" s="107">
        <v>42.18171667</v>
      </c>
      <c r="AZ189" s="107">
        <v>-70.212666670000004</v>
      </c>
      <c r="BA189" s="32" t="s">
        <v>980</v>
      </c>
      <c r="BB189" s="49" t="s">
        <v>1315</v>
      </c>
      <c r="BC189" s="7"/>
      <c r="BD189" s="7"/>
      <c r="BE189" s="7"/>
      <c r="BF189" s="7"/>
      <c r="BG189" s="7"/>
    </row>
    <row r="190" spans="1:59">
      <c r="A190" s="55" t="str">
        <f>HYPERLINK("tag_data/Quicklook/mn160725-36aQuicklook.jpg","mn160725-36a")</f>
        <v>mn160725-36a</v>
      </c>
      <c r="B190" s="26" t="str">
        <f t="shared" si="46"/>
        <v>mn</v>
      </c>
      <c r="C190" s="42" t="str">
        <f t="shared" ref="C190:C196" si="52">HYPERLINK("location data/Monterey/2016/","Monterey")</f>
        <v>Monterey</v>
      </c>
      <c r="D190" s="64" t="s">
        <v>465</v>
      </c>
      <c r="E190" s="61" t="s">
        <v>466</v>
      </c>
      <c r="F190" s="85">
        <v>-7</v>
      </c>
      <c r="G190" s="60" t="s">
        <v>455</v>
      </c>
      <c r="H190" s="31" t="s">
        <v>39</v>
      </c>
      <c r="I190" s="42" t="str">
        <f>HYPERLINK("tag_data/mn160725-36a (Monterey)","Link")</f>
        <v>Link</v>
      </c>
      <c r="J190" s="42" t="str">
        <f>HYPERLINK("tag_data_raw/Monterey/2016/mn160725-36","Link")</f>
        <v>Link</v>
      </c>
      <c r="K190" s="46" t="str">
        <f>HYPERLINK("tag_data/mn160725-36a (Monterey)/Pics&amp;Vids","Link")</f>
        <v>Link</v>
      </c>
      <c r="L190" s="41" t="s">
        <v>263</v>
      </c>
      <c r="M190" s="41" t="s">
        <v>263</v>
      </c>
      <c r="N190" s="42" t="str">
        <f>HYPERLINK("location data/Monterey/2016/Notes/July/20160725-MUS.mdb","Link")</f>
        <v>Link</v>
      </c>
      <c r="O190" s="31" t="s">
        <v>45</v>
      </c>
      <c r="P190" s="31" t="s">
        <v>41</v>
      </c>
      <c r="Q190" s="31">
        <v>36</v>
      </c>
      <c r="R190" s="32" t="s">
        <v>306</v>
      </c>
      <c r="S190" s="32" t="str">
        <f t="shared" si="51"/>
        <v>Cam Mic</v>
      </c>
      <c r="T190" s="33" t="s">
        <v>38</v>
      </c>
      <c r="U190" s="17">
        <f t="shared" si="47"/>
        <v>3.1597222259733826E-3</v>
      </c>
      <c r="V190" s="17">
        <f t="shared" si="48"/>
        <v>3.1597222259733826E-3</v>
      </c>
      <c r="W190" s="56">
        <v>3.1481481481481482E-3</v>
      </c>
      <c r="X190" s="54" t="str">
        <f>HYPERLINK("tag_data/mn160725-36a (Monterey)/mn160725-36a Map.bmp","5")</f>
        <v>5</v>
      </c>
      <c r="Y190" s="31"/>
      <c r="Z190" s="31" t="s">
        <v>39</v>
      </c>
      <c r="AA190" s="31" t="s">
        <v>39</v>
      </c>
      <c r="AB190" s="33" t="s">
        <v>1040</v>
      </c>
      <c r="AC190" s="31" t="s">
        <v>39</v>
      </c>
      <c r="AD190" s="31" t="s">
        <v>41</v>
      </c>
      <c r="AE190" s="31" t="s">
        <v>41</v>
      </c>
      <c r="AF190" s="31" t="s">
        <v>41</v>
      </c>
      <c r="AG190" s="31" t="s">
        <v>41</v>
      </c>
      <c r="AH190" s="31" t="s">
        <v>41</v>
      </c>
      <c r="AI190" s="31" t="s">
        <v>39</v>
      </c>
      <c r="AJ190" s="31" t="s">
        <v>41</v>
      </c>
      <c r="AK190" s="31" t="s">
        <v>41</v>
      </c>
      <c r="AL190" s="31" t="s">
        <v>39</v>
      </c>
      <c r="AM190" s="31" t="s">
        <v>41</v>
      </c>
      <c r="AN190" s="32" t="s">
        <v>1027</v>
      </c>
      <c r="AO190" s="32" t="s">
        <v>463</v>
      </c>
      <c r="AP190" s="30">
        <v>42576.349918981483</v>
      </c>
      <c r="AQ190" s="30">
        <v>42576.371006944442</v>
      </c>
      <c r="AR190" s="92">
        <v>42576.374166666668</v>
      </c>
      <c r="AS190" s="92" t="s">
        <v>651</v>
      </c>
      <c r="AT190" s="144">
        <v>36.850499999999997</v>
      </c>
      <c r="AU190" s="144">
        <v>-121.94289999999999</v>
      </c>
      <c r="AV190" s="142" t="s">
        <v>312</v>
      </c>
      <c r="AW190" s="106" t="s">
        <v>312</v>
      </c>
      <c r="AX190" s="30">
        <v>42576.375694444447</v>
      </c>
      <c r="AY190" s="144">
        <v>36.850993121000002</v>
      </c>
      <c r="AZ190" s="144">
        <v>-121.9434398599</v>
      </c>
      <c r="BA190" s="32" t="s">
        <v>1028</v>
      </c>
      <c r="BB190" s="49" t="s">
        <v>172</v>
      </c>
      <c r="BC190" s="7"/>
      <c r="BD190" s="7"/>
      <c r="BE190" s="7"/>
      <c r="BF190" s="7"/>
      <c r="BG190" s="7"/>
    </row>
    <row r="191" spans="1:59" ht="14.75" customHeight="1">
      <c r="A191" s="55" t="str">
        <f>HYPERLINK("tag_data/Quicklook/mn160725-36bQuicklook.jpg","mn160725-36b")</f>
        <v>mn160725-36b</v>
      </c>
      <c r="B191" s="26" t="str">
        <f t="shared" si="46"/>
        <v>mn</v>
      </c>
      <c r="C191" s="42" t="str">
        <f t="shared" si="52"/>
        <v>Monterey</v>
      </c>
      <c r="D191" s="64" t="s">
        <v>465</v>
      </c>
      <c r="E191" s="61" t="s">
        <v>466</v>
      </c>
      <c r="F191" s="85">
        <v>-7</v>
      </c>
      <c r="G191" s="60" t="s">
        <v>455</v>
      </c>
      <c r="H191" s="31" t="s">
        <v>39</v>
      </c>
      <c r="I191" s="42" t="str">
        <f>HYPERLINK("tag_data/mn160725-36b (Monterey)","Link")</f>
        <v>Link</v>
      </c>
      <c r="J191" s="42" t="str">
        <f>HYPERLINK("tag_data_raw/Monterey/2016/mn160725-36","Link")</f>
        <v>Link</v>
      </c>
      <c r="K191" s="42" t="str">
        <f>HYPERLINK("tag_data/mn160725-36b (Monterey)/Pics&amp;Vids","Link")</f>
        <v>Link</v>
      </c>
      <c r="L191" s="41" t="s">
        <v>263</v>
      </c>
      <c r="M191" s="41" t="s">
        <v>263</v>
      </c>
      <c r="N191" s="42" t="str">
        <f>HYPERLINK("location data/Monterey/2016/Notes/July/20160725-MUS.mdb","Link")</f>
        <v>Link</v>
      </c>
      <c r="O191" s="79" t="s">
        <v>1459</v>
      </c>
      <c r="P191" s="31" t="s">
        <v>41</v>
      </c>
      <c r="Q191" s="31">
        <v>36</v>
      </c>
      <c r="R191" s="32" t="s">
        <v>306</v>
      </c>
      <c r="S191" s="32" t="str">
        <f t="shared" si="51"/>
        <v>Cam Mic</v>
      </c>
      <c r="T191" s="32" t="s">
        <v>336</v>
      </c>
      <c r="U191" s="17">
        <f t="shared" si="47"/>
        <v>8.7766203701903578E-2</v>
      </c>
      <c r="V191" s="17">
        <f t="shared" si="48"/>
        <v>8.7766203701903578E-2</v>
      </c>
      <c r="W191" s="56">
        <v>8.7187499999999987E-2</v>
      </c>
      <c r="X191" s="54" t="str">
        <f>HYPERLINK("tag_data/mn160725-36b (Monterey)/mn160725-36b Map.bmp","30")</f>
        <v>30</v>
      </c>
      <c r="Y191" s="31"/>
      <c r="Z191" s="31" t="s">
        <v>39</v>
      </c>
      <c r="AA191" s="31" t="s">
        <v>39</v>
      </c>
      <c r="AB191" s="33" t="s">
        <v>1040</v>
      </c>
      <c r="AC191" s="31" t="s">
        <v>39</v>
      </c>
      <c r="AD191" s="31" t="s">
        <v>39</v>
      </c>
      <c r="AE191" s="31" t="s">
        <v>41</v>
      </c>
      <c r="AF191" s="31" t="s">
        <v>41</v>
      </c>
      <c r="AG191" s="31" t="s">
        <v>39</v>
      </c>
      <c r="AH191" s="31" t="s">
        <v>41</v>
      </c>
      <c r="AI191" s="31" t="s">
        <v>39</v>
      </c>
      <c r="AJ191" s="31" t="s">
        <v>39</v>
      </c>
      <c r="AK191" s="31" t="s">
        <v>39</v>
      </c>
      <c r="AL191" s="31" t="s">
        <v>41</v>
      </c>
      <c r="AM191" s="31" t="s">
        <v>41</v>
      </c>
      <c r="AN191" s="32" t="s">
        <v>1029</v>
      </c>
      <c r="AO191" s="32" t="s">
        <v>463</v>
      </c>
      <c r="AP191" s="30">
        <v>42576.375381944446</v>
      </c>
      <c r="AQ191" s="30">
        <v>42576.380393518521</v>
      </c>
      <c r="AR191" s="92">
        <v>42576.468159722222</v>
      </c>
      <c r="AS191" s="92" t="s">
        <v>651</v>
      </c>
      <c r="AT191" s="107">
        <v>36.85</v>
      </c>
      <c r="AU191" s="107">
        <v>-121.94289999999999</v>
      </c>
      <c r="AV191" s="142" t="s">
        <v>312</v>
      </c>
      <c r="AW191" s="106" t="s">
        <v>342</v>
      </c>
      <c r="AX191" s="30">
        <v>42576.518680555557</v>
      </c>
      <c r="AY191" s="107">
        <v>36.852007698000001</v>
      </c>
      <c r="AZ191" s="107">
        <v>-121.94022023799999</v>
      </c>
      <c r="BA191" s="32" t="s">
        <v>1030</v>
      </c>
      <c r="BB191" s="49" t="s">
        <v>1316</v>
      </c>
      <c r="BC191" s="7"/>
      <c r="BD191" s="7"/>
      <c r="BE191" s="7"/>
      <c r="BF191" s="7"/>
      <c r="BG191" s="7"/>
    </row>
    <row r="192" spans="1:59" ht="14.75" customHeight="1">
      <c r="A192" s="55" t="str">
        <f>HYPERLINK("tag_data/Quicklook/mn160727-11Quicklook.jpg","mn160727-11")</f>
        <v>mn160727-11</v>
      </c>
      <c r="B192" s="26" t="str">
        <f t="shared" si="46"/>
        <v>mn</v>
      </c>
      <c r="C192" s="42" t="str">
        <f t="shared" si="52"/>
        <v>Monterey</v>
      </c>
      <c r="D192" s="64" t="s">
        <v>465</v>
      </c>
      <c r="E192" s="61" t="s">
        <v>466</v>
      </c>
      <c r="F192" s="85">
        <v>-7</v>
      </c>
      <c r="G192" s="60" t="s">
        <v>455</v>
      </c>
      <c r="H192" s="31" t="s">
        <v>39</v>
      </c>
      <c r="I192" s="42" t="str">
        <f>HYPERLINK("tag_data/mn160727-11 (Monterey)","Link")</f>
        <v>Link</v>
      </c>
      <c r="J192" s="42" t="str">
        <f>HYPERLINK("tag_data_raw/Monterey/2016/mn160727-11","Link")</f>
        <v>Link</v>
      </c>
      <c r="K192" s="42" t="str">
        <f>HYPERLINK("tag_data/mn160727-11 (Monterey)/Pics&amp;Vids","Link")</f>
        <v>Link</v>
      </c>
      <c r="L192" s="42" t="str">
        <f>HYPERLINK("location data/Monterey/2016/Pics and Videos/07.27/20160727-MUS-MN DEPLOYMENT-GOPR0043.MP4","Link")</f>
        <v>Link</v>
      </c>
      <c r="M192" s="41" t="s">
        <v>263</v>
      </c>
      <c r="N192" s="46" t="str">
        <f>HYPERLINK("location data/Monterey/2016/Notes/July/20160727-MUS.mdb","Link")</f>
        <v>Link</v>
      </c>
      <c r="O192" s="79" t="s">
        <v>1458</v>
      </c>
      <c r="P192" s="31" t="s">
        <v>41</v>
      </c>
      <c r="Q192" s="31">
        <v>11</v>
      </c>
      <c r="R192" s="32" t="s">
        <v>133</v>
      </c>
      <c r="S192" s="32" t="str">
        <f t="shared" si="51"/>
        <v>Cam Mic</v>
      </c>
      <c r="T192" s="32" t="s">
        <v>296</v>
      </c>
      <c r="U192" s="17">
        <f t="shared" si="47"/>
        <v>0.36126157407124992</v>
      </c>
      <c r="V192" s="17">
        <f t="shared" si="48"/>
        <v>0.36126157407124992</v>
      </c>
      <c r="W192" s="56">
        <v>0.12491898148148149</v>
      </c>
      <c r="X192" s="31">
        <v>0</v>
      </c>
      <c r="Y192" s="31"/>
      <c r="Z192" s="31" t="s">
        <v>39</v>
      </c>
      <c r="AA192" s="31" t="s">
        <v>39</v>
      </c>
      <c r="AB192" s="31" t="s">
        <v>277</v>
      </c>
      <c r="AC192" s="31" t="s">
        <v>39</v>
      </c>
      <c r="AD192" s="31" t="s">
        <v>39</v>
      </c>
      <c r="AE192" s="31" t="s">
        <v>41</v>
      </c>
      <c r="AF192" s="31" t="s">
        <v>41</v>
      </c>
      <c r="AG192" s="31" t="s">
        <v>41</v>
      </c>
      <c r="AH192" s="31" t="s">
        <v>41</v>
      </c>
      <c r="AI192" s="31" t="s">
        <v>39</v>
      </c>
      <c r="AJ192" s="31" t="s">
        <v>167</v>
      </c>
      <c r="AK192" s="31" t="s">
        <v>39</v>
      </c>
      <c r="AL192" s="33" t="s">
        <v>461</v>
      </c>
      <c r="AM192" s="33" t="s">
        <v>452</v>
      </c>
      <c r="AN192" s="32" t="s">
        <v>462</v>
      </c>
      <c r="AO192" s="32" t="s">
        <v>463</v>
      </c>
      <c r="AP192" s="30">
        <v>42578.395578703705</v>
      </c>
      <c r="AQ192" s="30">
        <v>42578.41070601852</v>
      </c>
      <c r="AR192" s="92">
        <v>42578.771967592591</v>
      </c>
      <c r="AS192" s="92" t="s">
        <v>651</v>
      </c>
      <c r="AT192" s="107">
        <v>36.853400000000001</v>
      </c>
      <c r="AU192" s="107">
        <v>-121.9682</v>
      </c>
      <c r="AV192" s="142" t="s">
        <v>313</v>
      </c>
      <c r="AW192" s="106" t="s">
        <v>313</v>
      </c>
      <c r="AX192" s="30">
        <v>42579.375138888892</v>
      </c>
      <c r="AY192" s="107">
        <v>36.822200000000002</v>
      </c>
      <c r="AZ192" s="107">
        <v>-122.0021</v>
      </c>
      <c r="BA192" s="106" t="s">
        <v>453</v>
      </c>
      <c r="BB192" s="49" t="s">
        <v>1317</v>
      </c>
      <c r="BC192" s="7"/>
      <c r="BD192" s="7"/>
      <c r="BE192" s="7"/>
      <c r="BF192" s="7"/>
      <c r="BG192" s="7"/>
    </row>
    <row r="193" spans="1:59" s="197" customFormat="1" ht="14.75" customHeight="1">
      <c r="A193" s="55" t="str">
        <f>HYPERLINK("tag_data/Quicklook/mn161004-36Quicklook.jpg","mn161004-36")</f>
        <v>mn161004-36</v>
      </c>
      <c r="B193" s="26" t="str">
        <f t="shared" si="46"/>
        <v>mn</v>
      </c>
      <c r="C193" s="42" t="str">
        <f t="shared" si="52"/>
        <v>Monterey</v>
      </c>
      <c r="D193" s="64" t="s">
        <v>465</v>
      </c>
      <c r="E193" s="61" t="s">
        <v>466</v>
      </c>
      <c r="F193" s="85">
        <v>-7</v>
      </c>
      <c r="G193" s="60" t="s">
        <v>455</v>
      </c>
      <c r="H193" s="31" t="s">
        <v>39</v>
      </c>
      <c r="I193" s="42" t="str">
        <f>HYPERLINK("tag_data/mn161004-36 (Monterey)","Link")</f>
        <v>Link</v>
      </c>
      <c r="J193" s="42" t="str">
        <f>HYPERLINK("tag_data_raw/Monterey/2016/mn161004-36","Link")</f>
        <v>Link</v>
      </c>
      <c r="K193" s="42" t="str">
        <f>HYPERLINK("tag_data/mn161004-36 (Monterey)/Pics&amp;Vids","Link")</f>
        <v>Link</v>
      </c>
      <c r="L193" s="54" t="str">
        <f>HYPERLINK("tag_data/mn161004-36 (Monterey)/Pics&amp;Vids/IMG_1080.JPG","Pic")</f>
        <v>Pic</v>
      </c>
      <c r="M193" s="41" t="s">
        <v>263</v>
      </c>
      <c r="N193" s="42" t="str">
        <f>HYPERLINK("location data/Monterey/2016/Notes/October/Oct4-7 Data/20161004-MUS.mdb","Link")</f>
        <v>Link</v>
      </c>
      <c r="O193" s="79" t="str">
        <f>HYPERLINK("https://happywhale.com/individual/7;enc=38636;event=74074","Fran (CRC-12049)")</f>
        <v>Fran (CRC-12049)</v>
      </c>
      <c r="P193" s="31" t="s">
        <v>41</v>
      </c>
      <c r="Q193" s="31">
        <v>36</v>
      </c>
      <c r="R193" s="32" t="s">
        <v>306</v>
      </c>
      <c r="S193" s="32" t="str">
        <f t="shared" si="51"/>
        <v>Cam Mic</v>
      </c>
      <c r="T193" s="32" t="s">
        <v>295</v>
      </c>
      <c r="U193" s="17">
        <f t="shared" si="47"/>
        <v>0.10636574074305827</v>
      </c>
      <c r="V193" s="17">
        <f t="shared" si="48"/>
        <v>0.10636574074305827</v>
      </c>
      <c r="W193" s="56">
        <v>8.396990740740741E-2</v>
      </c>
      <c r="X193" s="42" t="str">
        <f>HYPERLINK("tag_data/mn161004-36 (Monterey)/mn161004-36 Map.bmp","126")</f>
        <v>126</v>
      </c>
      <c r="Y193" s="31"/>
      <c r="Z193" s="31" t="s">
        <v>41</v>
      </c>
      <c r="AA193" s="31" t="s">
        <v>41</v>
      </c>
      <c r="AB193" s="31" t="s">
        <v>263</v>
      </c>
      <c r="AC193" s="31" t="s">
        <v>39</v>
      </c>
      <c r="AD193" s="31" t="s">
        <v>41</v>
      </c>
      <c r="AE193" s="31" t="s">
        <v>41</v>
      </c>
      <c r="AF193" s="31" t="s">
        <v>41</v>
      </c>
      <c r="AG193" s="31" t="s">
        <v>39</v>
      </c>
      <c r="AH193" s="31" t="s">
        <v>41</v>
      </c>
      <c r="AI193" s="31" t="s">
        <v>41</v>
      </c>
      <c r="AJ193" s="31" t="s">
        <v>41</v>
      </c>
      <c r="AK193" s="31" t="s">
        <v>41</v>
      </c>
      <c r="AL193" s="31" t="s">
        <v>41</v>
      </c>
      <c r="AM193" s="31" t="s">
        <v>41</v>
      </c>
      <c r="AN193" s="32" t="s">
        <v>1045</v>
      </c>
      <c r="AO193" s="32" t="s">
        <v>1058</v>
      </c>
      <c r="AP193" s="30">
        <v>42647.371180555558</v>
      </c>
      <c r="AQ193" s="30">
        <v>42647.490752314814</v>
      </c>
      <c r="AR193" s="92">
        <v>42647.597118055557</v>
      </c>
      <c r="AS193" s="92" t="s">
        <v>651</v>
      </c>
      <c r="AT193" s="107">
        <v>36.695937295999997</v>
      </c>
      <c r="AU193" s="107">
        <v>-121.83372801500001</v>
      </c>
      <c r="AV193" s="142" t="s">
        <v>312</v>
      </c>
      <c r="AW193" s="106" t="s">
        <v>313</v>
      </c>
      <c r="AX193" s="30">
        <v>42647.60052083333</v>
      </c>
      <c r="AY193" s="107">
        <v>36.661299999999997</v>
      </c>
      <c r="AZ193" s="107">
        <v>-121.842</v>
      </c>
      <c r="BA193" s="32" t="s">
        <v>1047</v>
      </c>
      <c r="BB193" s="49" t="s">
        <v>1318</v>
      </c>
      <c r="BC193" s="7"/>
      <c r="BD193" s="7"/>
      <c r="BE193" s="32"/>
      <c r="BF193" s="32"/>
      <c r="BG193" s="32"/>
    </row>
    <row r="194" spans="1:59" s="103" customFormat="1" ht="14.75" customHeight="1">
      <c r="A194" s="55" t="str">
        <f>HYPERLINK("tag_data/Quicklook/mn161005-36Quicklook.jpg","mn161005-36")</f>
        <v>mn161005-36</v>
      </c>
      <c r="B194" s="26" t="str">
        <f t="shared" si="46"/>
        <v>mn</v>
      </c>
      <c r="C194" s="42" t="str">
        <f t="shared" si="52"/>
        <v>Monterey</v>
      </c>
      <c r="D194" s="64" t="s">
        <v>465</v>
      </c>
      <c r="E194" s="61" t="s">
        <v>466</v>
      </c>
      <c r="F194" s="85">
        <v>-7</v>
      </c>
      <c r="G194" s="60" t="s">
        <v>455</v>
      </c>
      <c r="H194" s="31" t="s">
        <v>39</v>
      </c>
      <c r="I194" s="42" t="str">
        <f>HYPERLINK("tag_data/mn161005-36 (Monterey)","Link")</f>
        <v>Link</v>
      </c>
      <c r="J194" s="42" t="str">
        <f>HYPERLINK("tag_data_raw/Monterey/2016/mn161005-36","Link")</f>
        <v>Link</v>
      </c>
      <c r="K194" s="42" t="str">
        <f>HYPERLINK("tag_data/mn161005-36 (Monterey)/Pics&amp;Vids","Link")</f>
        <v>Link</v>
      </c>
      <c r="L194" s="54" t="str">
        <f>HYPERLINK("tag_data/mn161005-36 (Monterey)/Pics&amp;Vids/20161005-JAF-0053.JPG","Pic")</f>
        <v>Pic</v>
      </c>
      <c r="M194" s="41" t="s">
        <v>263</v>
      </c>
      <c r="N194" s="42" t="str">
        <f>HYPERLINK("location data/Monterey/2016/Notes/October/Oct4-7 Data/20161005-MUS.mdb","Link")</f>
        <v>Link</v>
      </c>
      <c r="O194" s="79" t="str">
        <f>HYPERLINK("https://happywhale.com/individual/4571;enc=38634;event=74390","Rip Curl (CRC-10965, MN0500697)")</f>
        <v>Rip Curl (CRC-10965, MN0500697)</v>
      </c>
      <c r="P194" s="31" t="s">
        <v>563</v>
      </c>
      <c r="Q194" s="31">
        <v>36</v>
      </c>
      <c r="R194" s="32" t="s">
        <v>306</v>
      </c>
      <c r="S194" s="32" t="str">
        <f t="shared" si="51"/>
        <v>Cam Mic</v>
      </c>
      <c r="T194" s="32" t="s">
        <v>317</v>
      </c>
      <c r="U194" s="17">
        <f t="shared" si="47"/>
        <v>0.12540856481791707</v>
      </c>
      <c r="V194" s="17">
        <f t="shared" si="48"/>
        <v>0.12540856481791707</v>
      </c>
      <c r="W194" s="56">
        <v>0.12465277777777778</v>
      </c>
      <c r="X194" s="42" t="str">
        <f>HYPERLINK("tag_data/mn161005-36 (Monterey)/mn161005-36 Map.bmp","272")</f>
        <v>272</v>
      </c>
      <c r="Y194" s="31"/>
      <c r="Z194" s="31" t="s">
        <v>39</v>
      </c>
      <c r="AA194" s="31" t="s">
        <v>41</v>
      </c>
      <c r="AB194" s="31" t="s">
        <v>276</v>
      </c>
      <c r="AC194" s="31" t="s">
        <v>39</v>
      </c>
      <c r="AD194" s="31" t="s">
        <v>41</v>
      </c>
      <c r="AE194" s="31" t="s">
        <v>41</v>
      </c>
      <c r="AF194" s="31" t="s">
        <v>39</v>
      </c>
      <c r="AG194" s="31" t="s">
        <v>41</v>
      </c>
      <c r="AH194" s="31" t="s">
        <v>41</v>
      </c>
      <c r="AI194" s="31" t="s">
        <v>41</v>
      </c>
      <c r="AJ194" s="31" t="s">
        <v>39</v>
      </c>
      <c r="AK194" s="31" t="s">
        <v>41</v>
      </c>
      <c r="AL194" s="33" t="s">
        <v>779</v>
      </c>
      <c r="AM194" s="31" t="s">
        <v>41</v>
      </c>
      <c r="AN194" s="32" t="s">
        <v>1059</v>
      </c>
      <c r="AO194" s="32" t="s">
        <v>1062</v>
      </c>
      <c r="AP194" s="30">
        <v>42648.317708333336</v>
      </c>
      <c r="AQ194" s="30">
        <v>42648.345089120368</v>
      </c>
      <c r="AR194" s="92">
        <v>42648.470497685186</v>
      </c>
      <c r="AS194" s="92" t="s">
        <v>651</v>
      </c>
      <c r="AT194" s="107">
        <v>36.7789</v>
      </c>
      <c r="AU194" s="107">
        <v>-121.8081</v>
      </c>
      <c r="AV194" s="142" t="s">
        <v>312</v>
      </c>
      <c r="AW194" s="106" t="s">
        <v>313</v>
      </c>
      <c r="AX194" s="30">
        <v>42648.502187500002</v>
      </c>
      <c r="AY194" s="107">
        <v>36.731197182999999</v>
      </c>
      <c r="AZ194" s="107">
        <v>-121.81741594499999</v>
      </c>
      <c r="BA194" s="32" t="s">
        <v>1060</v>
      </c>
      <c r="BB194" s="49" t="s">
        <v>1319</v>
      </c>
      <c r="BC194" s="7"/>
      <c r="BD194" s="7"/>
      <c r="BE194" s="7"/>
      <c r="BF194" s="7"/>
      <c r="BG194" s="7"/>
    </row>
    <row r="195" spans="1:59" ht="14.75" customHeight="1">
      <c r="A195" s="55" t="str">
        <f>HYPERLINK("tag_data/Quicklook/mn161005-37Quicklook.jpg","mn161005-37")</f>
        <v>mn161005-37</v>
      </c>
      <c r="B195" s="26" t="str">
        <f t="shared" si="46"/>
        <v>mn</v>
      </c>
      <c r="C195" s="42" t="str">
        <f t="shared" si="52"/>
        <v>Monterey</v>
      </c>
      <c r="D195" s="64" t="s">
        <v>465</v>
      </c>
      <c r="E195" s="61" t="s">
        <v>466</v>
      </c>
      <c r="F195" s="85">
        <v>-7</v>
      </c>
      <c r="G195" s="60" t="s">
        <v>455</v>
      </c>
      <c r="H195" s="31" t="s">
        <v>39</v>
      </c>
      <c r="I195" s="42" t="str">
        <f>HYPERLINK("tag_data/mn161005-37 (Monterey)","Link")</f>
        <v>Link</v>
      </c>
      <c r="J195" s="42" t="str">
        <f>HYPERLINK("tag_data_raw/Monterey/2016/mn161005-37","Link")</f>
        <v>Link</v>
      </c>
      <c r="K195" s="42" t="str">
        <f>HYPERLINK("tag_data/mn161005-37 (Monterey)/Pics&amp;Vids","Link")</f>
        <v>Link</v>
      </c>
      <c r="L195" s="54" t="str">
        <f>HYPERLINK("tag_data/mn161005-37 (Monterey)/Pics&amp;Vids/20161005-JAF-0018.JPG","Pic")</f>
        <v>Pic</v>
      </c>
      <c r="M195" s="41" t="s">
        <v>263</v>
      </c>
      <c r="N195" s="42" t="str">
        <f>HYPERLINK("location data/Monterey/2016/Notes/October/Oct4-7 Data/20161005-MUS.mdb","Link")</f>
        <v>Link</v>
      </c>
      <c r="O195" s="79" t="str">
        <f>HYPERLINK("https://happywhale.com/individual/7;enc=38636;event=74074","Fran (CRC-12049)")</f>
        <v>Fran (CRC-12049)</v>
      </c>
      <c r="P195" s="31" t="s">
        <v>41</v>
      </c>
      <c r="Q195" s="31">
        <v>37</v>
      </c>
      <c r="R195" s="32" t="s">
        <v>306</v>
      </c>
      <c r="S195" s="32" t="s">
        <v>1393</v>
      </c>
      <c r="T195" s="32" t="s">
        <v>263</v>
      </c>
      <c r="U195" s="17">
        <f t="shared" si="47"/>
        <v>0.29200231481809169</v>
      </c>
      <c r="V195" s="17">
        <f t="shared" si="48"/>
        <v>0.29200231481809169</v>
      </c>
      <c r="W195" s="56" t="s">
        <v>346</v>
      </c>
      <c r="X195" s="42" t="str">
        <f>HYPERLINK("tag_data/mn161005-37 (Monterey)/mn161005-37 Map.bmp","984")</f>
        <v>984</v>
      </c>
      <c r="Y195" s="31" t="s">
        <v>263</v>
      </c>
      <c r="Z195" s="31" t="s">
        <v>39</v>
      </c>
      <c r="AA195" s="31" t="s">
        <v>41</v>
      </c>
      <c r="AB195" s="31" t="s">
        <v>276</v>
      </c>
      <c r="AC195" s="31" t="s">
        <v>39</v>
      </c>
      <c r="AD195" s="31" t="s">
        <v>41</v>
      </c>
      <c r="AE195" s="31" t="s">
        <v>41</v>
      </c>
      <c r="AF195" s="31" t="s">
        <v>41</v>
      </c>
      <c r="AG195" s="31" t="s">
        <v>41</v>
      </c>
      <c r="AH195" s="31" t="s">
        <v>41</v>
      </c>
      <c r="AI195" s="31" t="s">
        <v>41</v>
      </c>
      <c r="AJ195" s="31" t="s">
        <v>41</v>
      </c>
      <c r="AK195" s="31" t="s">
        <v>41</v>
      </c>
      <c r="AL195" s="31" t="s">
        <v>41</v>
      </c>
      <c r="AM195" s="31" t="s">
        <v>41</v>
      </c>
      <c r="AN195" s="32" t="s">
        <v>1061</v>
      </c>
      <c r="AO195" s="32" t="s">
        <v>1062</v>
      </c>
      <c r="AP195" s="30">
        <v>42648.326273148145</v>
      </c>
      <c r="AQ195" s="30">
        <v>42648.334027777775</v>
      </c>
      <c r="AR195" s="92">
        <v>42648.626030092593</v>
      </c>
      <c r="AS195" s="92" t="s">
        <v>651</v>
      </c>
      <c r="AT195" s="107">
        <v>36.786270455</v>
      </c>
      <c r="AU195" s="107">
        <v>-121.804505401</v>
      </c>
      <c r="AV195" s="142" t="s">
        <v>312</v>
      </c>
      <c r="AW195" s="106" t="s">
        <v>341</v>
      </c>
      <c r="AX195" s="30">
        <v>42649.415162037039</v>
      </c>
      <c r="AY195" s="107">
        <f>36+40.258/60</f>
        <v>36.670966666666665</v>
      </c>
      <c r="AZ195" s="107">
        <f>-121-49.099/60</f>
        <v>-121.81831666666666</v>
      </c>
      <c r="BA195" s="32" t="s">
        <v>1063</v>
      </c>
      <c r="BB195" s="49" t="s">
        <v>1320</v>
      </c>
      <c r="BC195" s="7"/>
      <c r="BD195" s="7"/>
      <c r="BE195" s="7"/>
      <c r="BF195" s="7"/>
      <c r="BG195" s="7"/>
    </row>
    <row r="196" spans="1:59" ht="14.75" customHeight="1">
      <c r="A196" s="55" t="str">
        <f>HYPERLINK("tag_data/Quicklook/mn161006-11Quicklook.jpg","mn161006-11")</f>
        <v>mn161006-11</v>
      </c>
      <c r="B196" s="26" t="str">
        <f t="shared" si="46"/>
        <v>mn</v>
      </c>
      <c r="C196" s="42" t="str">
        <f t="shared" si="52"/>
        <v>Monterey</v>
      </c>
      <c r="D196" s="64" t="s">
        <v>465</v>
      </c>
      <c r="E196" s="61" t="s">
        <v>466</v>
      </c>
      <c r="F196" s="85">
        <v>-7</v>
      </c>
      <c r="G196" s="60" t="s">
        <v>455</v>
      </c>
      <c r="H196" s="31" t="s">
        <v>39</v>
      </c>
      <c r="I196" s="42" t="str">
        <f>HYPERLINK("tag_data/mn161006-11 (Monterey)","Link")</f>
        <v>Link</v>
      </c>
      <c r="J196" s="42" t="str">
        <f>HYPERLINK("tag_data_raw/Monterey/2016/mn161006-11","Link")</f>
        <v>Link</v>
      </c>
      <c r="K196" s="42" t="str">
        <f>HYPERLINK("tag_data/mn161006-11 (Monterey)/Pics&amp;Vids","Link")</f>
        <v>Link</v>
      </c>
      <c r="L196" s="42" t="str">
        <f>HYPERLINK("location data/Monterey/2016/Pics and Videos/10.06/20161006-MUS-MN DEPLOYMENT-GOPR0127.MP4","Link")</f>
        <v>Link</v>
      </c>
      <c r="M196" s="41" t="s">
        <v>263</v>
      </c>
      <c r="N196" s="42" t="str">
        <f>HYPERLINK("location data/Monterey/2016/Notes/October/Oct4-7 Data/20161006-MUS.mdb","Link")</f>
        <v>Link</v>
      </c>
      <c r="O196" s="79" t="str">
        <f>HYPERLINK("https://happywhale.com/individual/5378;enc=38633;event=74387","CRC-17044 (MN0500883)")</f>
        <v>CRC-17044 (MN0500883)</v>
      </c>
      <c r="P196" s="31" t="s">
        <v>41</v>
      </c>
      <c r="Q196" s="31">
        <v>11</v>
      </c>
      <c r="R196" s="32" t="s">
        <v>133</v>
      </c>
      <c r="S196" s="32" t="str">
        <f t="shared" ref="S196:S202" si="53">IF(OR(Q196&lt;39,Q196=50,Q196=51,AND(OR(Q196=46,Q196=47),AQ196&gt;43313)),"Cam Mic",IF(AND(Q196&lt;45,AQ196&lt;42958),"Dolphin Ear",IF(AND(Q196&gt;44,NOT(OR(Q196=46,Q196=47,Q196=50,Q196=51))),"HTI","None")))</f>
        <v>Cam Mic</v>
      </c>
      <c r="T196" s="32" t="s">
        <v>296</v>
      </c>
      <c r="U196" s="17">
        <f t="shared" si="47"/>
        <v>0.14934837962937308</v>
      </c>
      <c r="V196" s="17">
        <f t="shared" si="48"/>
        <v>0.14934837962937308</v>
      </c>
      <c r="W196" s="56">
        <v>0.10534722222222222</v>
      </c>
      <c r="X196" s="54" t="str">
        <f>HYPERLINK("tag_data/mn161006-11 (Monterey)/mn161006-11 Map.bmp","16")</f>
        <v>16</v>
      </c>
      <c r="Y196" s="31"/>
      <c r="Z196" s="31" t="s">
        <v>39</v>
      </c>
      <c r="AA196" s="31" t="s">
        <v>39</v>
      </c>
      <c r="AB196" s="31" t="s">
        <v>276</v>
      </c>
      <c r="AC196" s="31" t="s">
        <v>39</v>
      </c>
      <c r="AD196" s="31" t="s">
        <v>41</v>
      </c>
      <c r="AE196" s="31" t="s">
        <v>41</v>
      </c>
      <c r="AF196" s="31" t="s">
        <v>41</v>
      </c>
      <c r="AG196" s="31" t="s">
        <v>41</v>
      </c>
      <c r="AH196" s="31" t="s">
        <v>41</v>
      </c>
      <c r="AI196" s="31" t="s">
        <v>41</v>
      </c>
      <c r="AJ196" s="31" t="s">
        <v>39</v>
      </c>
      <c r="AK196" s="31" t="s">
        <v>41</v>
      </c>
      <c r="AL196" s="31" t="s">
        <v>41</v>
      </c>
      <c r="AM196" s="31" t="s">
        <v>41</v>
      </c>
      <c r="AN196" s="32" t="s">
        <v>1046</v>
      </c>
      <c r="AO196" s="32" t="s">
        <v>1058</v>
      </c>
      <c r="AP196" s="30">
        <v>42649.382719907408</v>
      </c>
      <c r="AQ196" s="30">
        <v>42649.427881944444</v>
      </c>
      <c r="AR196" s="92">
        <v>42649.577230324074</v>
      </c>
      <c r="AS196" s="92" t="s">
        <v>651</v>
      </c>
      <c r="AT196" s="107">
        <v>36.635660434999998</v>
      </c>
      <c r="AU196" s="107">
        <v>-121.845000965</v>
      </c>
      <c r="AV196" s="142" t="s">
        <v>313</v>
      </c>
      <c r="AW196" s="106" t="s">
        <v>313</v>
      </c>
      <c r="AX196" s="30">
        <v>42650.334027777775</v>
      </c>
      <c r="AY196" s="107">
        <f>36+37.49/60</f>
        <v>36.624833333333335</v>
      </c>
      <c r="AZ196" s="107">
        <f>-121-51.74/60</f>
        <v>-121.86233333333334</v>
      </c>
      <c r="BA196" s="32" t="s">
        <v>1064</v>
      </c>
      <c r="BB196" s="49" t="s">
        <v>134</v>
      </c>
      <c r="BC196" s="7"/>
      <c r="BD196" s="7"/>
      <c r="BE196" s="7"/>
      <c r="BF196" s="7"/>
      <c r="BG196" s="7"/>
    </row>
    <row r="197" spans="1:59" ht="14.75" customHeight="1">
      <c r="A197" s="55" t="str">
        <f>HYPERLINK("tag_data/Quicklook/mn161105-36quicklook.jpg","mn161105-36")</f>
        <v>mn161105-36</v>
      </c>
      <c r="B197" s="26" t="str">
        <f t="shared" si="46"/>
        <v>mn</v>
      </c>
      <c r="C197" s="42" t="str">
        <f t="shared" ref="C197:C202" si="54">HYPERLINK("location data/South Africa/2016/","South Africa")</f>
        <v>South Africa</v>
      </c>
      <c r="D197" s="64" t="s">
        <v>825</v>
      </c>
      <c r="E197" s="64" t="s">
        <v>826</v>
      </c>
      <c r="F197" s="85">
        <v>2</v>
      </c>
      <c r="G197" s="60" t="s">
        <v>827</v>
      </c>
      <c r="H197" s="31" t="s">
        <v>39</v>
      </c>
      <c r="I197" s="42" t="str">
        <f>HYPERLINK("tag_data/mn161105-36 (South Africa)","Link")</f>
        <v>Link</v>
      </c>
      <c r="J197" s="42" t="str">
        <f>HYPERLINK("tag_data_raw/South Africa/2016/mn161105-36","Link")</f>
        <v>Link</v>
      </c>
      <c r="K197" s="41" t="s">
        <v>263</v>
      </c>
      <c r="L197" s="41" t="s">
        <v>263</v>
      </c>
      <c r="M197" s="41" t="s">
        <v>263</v>
      </c>
      <c r="N197" s="42" t="str">
        <f t="shared" ref="N197:N202" si="55">HYPERLINK("location data/South Africa/2016/West Coast cruise Nov16, South Africa, Deployment notes.xlsx","Link")</f>
        <v>Link</v>
      </c>
      <c r="O197" s="31" t="s">
        <v>45</v>
      </c>
      <c r="P197" s="31" t="s">
        <v>41</v>
      </c>
      <c r="Q197" s="31">
        <v>36</v>
      </c>
      <c r="R197" s="32" t="s">
        <v>306</v>
      </c>
      <c r="S197" s="32" t="str">
        <f t="shared" si="53"/>
        <v>Cam Mic</v>
      </c>
      <c r="T197" s="32" t="s">
        <v>847</v>
      </c>
      <c r="U197" s="17">
        <f t="shared" si="47"/>
        <v>6.9513888891378883E-2</v>
      </c>
      <c r="V197" s="17">
        <f t="shared" si="48"/>
        <v>6.9513888891378883E-2</v>
      </c>
      <c r="W197" s="56">
        <v>6.913194444444444E-2</v>
      </c>
      <c r="X197" s="42" t="str">
        <f>HYPERLINK("tag_data/mn161105-36 (South Africa)/mn161105-36 Map.bmp","43")</f>
        <v>43</v>
      </c>
      <c r="Y197" s="42" t="str">
        <f>HYPERLINK("tag_data/mn161105-36 (South Africa)/mn161105-36 Video Audit.txt","Link")</f>
        <v>Link</v>
      </c>
      <c r="Z197" s="31" t="s">
        <v>39</v>
      </c>
      <c r="AA197" s="31" t="s">
        <v>39</v>
      </c>
      <c r="AB197" s="31" t="s">
        <v>277</v>
      </c>
      <c r="AC197" s="31" t="s">
        <v>39</v>
      </c>
      <c r="AD197" s="31" t="s">
        <v>39</v>
      </c>
      <c r="AE197" s="31" t="s">
        <v>39</v>
      </c>
      <c r="AF197" s="31" t="s">
        <v>39</v>
      </c>
      <c r="AG197" s="31" t="s">
        <v>41</v>
      </c>
      <c r="AH197" s="33" t="s">
        <v>789</v>
      </c>
      <c r="AI197" s="31" t="s">
        <v>39</v>
      </c>
      <c r="AJ197" s="33" t="s">
        <v>831</v>
      </c>
      <c r="AK197" s="33" t="s">
        <v>831</v>
      </c>
      <c r="AL197" s="31" t="s">
        <v>39</v>
      </c>
      <c r="AM197" s="31" t="s">
        <v>39</v>
      </c>
      <c r="AN197" s="32" t="s">
        <v>829</v>
      </c>
      <c r="AO197" s="32" t="s">
        <v>842</v>
      </c>
      <c r="AP197" s="30">
        <v>42679.342824074076</v>
      </c>
      <c r="AQ197" s="30">
        <v>42679.35565972222</v>
      </c>
      <c r="AR197" s="92">
        <v>42679.425173611111</v>
      </c>
      <c r="AS197" s="92" t="s">
        <v>651</v>
      </c>
      <c r="AT197" s="107">
        <f>-33-3.539/60</f>
        <v>-33.05898333333333</v>
      </c>
      <c r="AU197" s="152">
        <f>17+52/60</f>
        <v>17.866666666666667</v>
      </c>
      <c r="AV197" s="106" t="s">
        <v>314</v>
      </c>
      <c r="AW197" s="106" t="s">
        <v>314</v>
      </c>
      <c r="AX197" s="30">
        <v>42679.463831018518</v>
      </c>
      <c r="AY197" s="107">
        <f>-33-4.25/60</f>
        <v>-33.070833333333333</v>
      </c>
      <c r="AZ197" s="107">
        <f>17+53.24/60</f>
        <v>17.887333333333334</v>
      </c>
      <c r="BA197" s="32" t="s">
        <v>848</v>
      </c>
      <c r="BB197" s="49" t="s">
        <v>189</v>
      </c>
      <c r="BC197" s="7"/>
      <c r="BD197" s="7"/>
      <c r="BE197" s="7"/>
      <c r="BF197" s="7"/>
      <c r="BG197" s="7"/>
    </row>
    <row r="198" spans="1:59" ht="14.75" customHeight="1">
      <c r="A198" s="55" t="str">
        <f>HYPERLINK("tag_data/Quicklook/mn161105-37quicklook.jpg","mn161105-37")</f>
        <v>mn161105-37</v>
      </c>
      <c r="B198" s="26" t="str">
        <f t="shared" si="46"/>
        <v>mn</v>
      </c>
      <c r="C198" s="42" t="str">
        <f t="shared" si="54"/>
        <v>South Africa</v>
      </c>
      <c r="D198" s="64" t="s">
        <v>825</v>
      </c>
      <c r="E198" s="64" t="s">
        <v>826</v>
      </c>
      <c r="F198" s="85">
        <v>2</v>
      </c>
      <c r="G198" s="60" t="s">
        <v>827</v>
      </c>
      <c r="H198" s="31" t="s">
        <v>41</v>
      </c>
      <c r="I198" s="42" t="str">
        <f>HYPERLINK("tag_data/mn161105-37 (South Africa- no prh)","Link")</f>
        <v>Link</v>
      </c>
      <c r="J198" s="42" t="str">
        <f>HYPERLINK("tag_data_raw/South Africa/2016/mn161105-37","Link")</f>
        <v>Link</v>
      </c>
      <c r="K198" s="42" t="str">
        <f>HYPERLINK("tag_data/mn161105-37 (South Africa)/Pics&amp;Vids","Link")</f>
        <v>Link</v>
      </c>
      <c r="L198" s="41" t="s">
        <v>263</v>
      </c>
      <c r="M198" s="41" t="s">
        <v>263</v>
      </c>
      <c r="N198" s="42" t="str">
        <f t="shared" si="55"/>
        <v>Link</v>
      </c>
      <c r="O198" s="31" t="s">
        <v>45</v>
      </c>
      <c r="P198" s="31" t="s">
        <v>39</v>
      </c>
      <c r="Q198" s="31">
        <v>37</v>
      </c>
      <c r="R198" s="32" t="s">
        <v>306</v>
      </c>
      <c r="S198" s="32" t="str">
        <f t="shared" si="53"/>
        <v>Cam Mic</v>
      </c>
      <c r="T198" s="32" t="s">
        <v>295</v>
      </c>
      <c r="U198" s="17">
        <f t="shared" si="47"/>
        <v>5.4363425922929309E-2</v>
      </c>
      <c r="V198" s="192" t="s">
        <v>845</v>
      </c>
      <c r="W198" s="56">
        <f>U198-30/60/60/24</f>
        <v>5.4016203700707088E-2</v>
      </c>
      <c r="X198" s="31">
        <v>0</v>
      </c>
      <c r="Y198" s="42" t="str">
        <f>HYPERLINK("tag_data/mn161105-37 (South Africa- no prh)/mn161105-37 Video Audit.txt","Link")</f>
        <v>Link</v>
      </c>
      <c r="Z198" s="31" t="s">
        <v>39</v>
      </c>
      <c r="AA198" s="31" t="s">
        <v>39</v>
      </c>
      <c r="AB198" s="31" t="s">
        <v>263</v>
      </c>
      <c r="AC198" s="31" t="s">
        <v>39</v>
      </c>
      <c r="AD198" s="31" t="s">
        <v>39</v>
      </c>
      <c r="AE198" s="31" t="s">
        <v>39</v>
      </c>
      <c r="AF198" s="31" t="s">
        <v>39</v>
      </c>
      <c r="AG198" s="31" t="s">
        <v>39</v>
      </c>
      <c r="AH198" s="31" t="s">
        <v>41</v>
      </c>
      <c r="AI198" s="31" t="s">
        <v>39</v>
      </c>
      <c r="AJ198" s="31" t="s">
        <v>41</v>
      </c>
      <c r="AK198" s="31" t="s">
        <v>41</v>
      </c>
      <c r="AL198" s="31" t="s">
        <v>39</v>
      </c>
      <c r="AM198" s="31" t="s">
        <v>610</v>
      </c>
      <c r="AN198" s="32" t="s">
        <v>829</v>
      </c>
      <c r="AO198" s="32" t="s">
        <v>842</v>
      </c>
      <c r="AP198" s="30">
        <f>AQ198-6.75/60/24</f>
        <v>42679.392534722225</v>
      </c>
      <c r="AQ198" s="30">
        <v>42679.397222222222</v>
      </c>
      <c r="AR198" s="30">
        <f>AQ198+(41+5/60+43+26/60-6-44/60+30/60)/60/24</f>
        <v>42679.451585648145</v>
      </c>
      <c r="AS198" s="92">
        <f>AP198</f>
        <v>42679.392534722225</v>
      </c>
      <c r="AT198" s="154">
        <f>-33-3.179/60</f>
        <v>-33.05298333333333</v>
      </c>
      <c r="AU198" s="155">
        <f>17+57.051/60</f>
        <v>17.950849999999999</v>
      </c>
      <c r="AV198" s="104" t="s">
        <v>314</v>
      </c>
      <c r="AW198" s="104" t="s">
        <v>314</v>
      </c>
      <c r="AX198" s="30">
        <v>42679.459027777775</v>
      </c>
      <c r="AY198" s="155">
        <f>-33-2.177/60</f>
        <v>-33.03628333333333</v>
      </c>
      <c r="AZ198" s="155">
        <f>17+49.991/60</f>
        <v>17.833183333333334</v>
      </c>
      <c r="BA198" s="32" t="s">
        <v>846</v>
      </c>
      <c r="BB198" s="49"/>
      <c r="BC198" s="7"/>
      <c r="BD198" s="7"/>
      <c r="BE198" s="7"/>
      <c r="BF198" s="7"/>
      <c r="BG198" s="7"/>
    </row>
    <row r="199" spans="1:59" ht="14.75" customHeight="1">
      <c r="A199" s="7" t="s">
        <v>169</v>
      </c>
      <c r="B199" s="26" t="str">
        <f t="shared" si="46"/>
        <v>mn</v>
      </c>
      <c r="C199" s="42" t="str">
        <f t="shared" si="54"/>
        <v>South Africa</v>
      </c>
      <c r="D199" s="64" t="s">
        <v>825</v>
      </c>
      <c r="E199" s="64" t="s">
        <v>826</v>
      </c>
      <c r="F199" s="85">
        <v>2</v>
      </c>
      <c r="G199" s="60" t="s">
        <v>827</v>
      </c>
      <c r="H199" s="31" t="s">
        <v>41</v>
      </c>
      <c r="I199" s="42" t="str">
        <f>HYPERLINK("tag_data/mn161106-36a (South Africa- no prh)","Link")</f>
        <v>Link</v>
      </c>
      <c r="J199" s="42" t="str">
        <f>HYPERLINK("tag_data_raw/South Africa/2016/mn161106-36","Link")</f>
        <v>Link</v>
      </c>
      <c r="K199" s="41" t="s">
        <v>263</v>
      </c>
      <c r="L199" s="41" t="s">
        <v>263</v>
      </c>
      <c r="M199" s="41" t="s">
        <v>263</v>
      </c>
      <c r="N199" s="42" t="str">
        <f t="shared" si="55"/>
        <v>Link</v>
      </c>
      <c r="O199" s="31" t="s">
        <v>45</v>
      </c>
      <c r="P199" s="31" t="s">
        <v>41</v>
      </c>
      <c r="Q199" s="31">
        <v>36</v>
      </c>
      <c r="R199" s="32" t="s">
        <v>306</v>
      </c>
      <c r="S199" s="32" t="str">
        <f t="shared" si="53"/>
        <v>Cam Mic</v>
      </c>
      <c r="T199" s="32" t="s">
        <v>295</v>
      </c>
      <c r="U199" s="17">
        <f t="shared" si="47"/>
        <v>8.101852290565148E-5</v>
      </c>
      <c r="V199" s="17">
        <f t="shared" ref="V199:V230" si="56">MIN(AR199,AS199)-MAX(AP199,AQ199)</f>
        <v>8.101852290565148E-5</v>
      </c>
      <c r="W199" s="56">
        <f>V199</f>
        <v>8.101852290565148E-5</v>
      </c>
      <c r="X199" s="31">
        <v>0</v>
      </c>
      <c r="Y199" s="42" t="str">
        <f>HYPERLINK("tag_data/mn161106-36a (South Africa- no prh)/mn161106-36a Video Audit.txt","Link")</f>
        <v>Link</v>
      </c>
      <c r="Z199" s="31" t="s">
        <v>41</v>
      </c>
      <c r="AA199" s="31" t="s">
        <v>41</v>
      </c>
      <c r="AB199" s="31" t="s">
        <v>263</v>
      </c>
      <c r="AC199" s="31" t="s">
        <v>39</v>
      </c>
      <c r="AD199" s="31" t="s">
        <v>41</v>
      </c>
      <c r="AE199" s="31" t="s">
        <v>39</v>
      </c>
      <c r="AF199" s="31" t="s">
        <v>41</v>
      </c>
      <c r="AG199" s="31" t="s">
        <v>41</v>
      </c>
      <c r="AH199" s="31" t="s">
        <v>41</v>
      </c>
      <c r="AI199" s="31" t="s">
        <v>39</v>
      </c>
      <c r="AJ199" s="31" t="s">
        <v>41</v>
      </c>
      <c r="AK199" s="31" t="s">
        <v>41</v>
      </c>
      <c r="AL199" s="31" t="s">
        <v>39</v>
      </c>
      <c r="AM199" s="31" t="s">
        <v>41</v>
      </c>
      <c r="AN199" s="32" t="s">
        <v>841</v>
      </c>
      <c r="AO199" s="32" t="s">
        <v>842</v>
      </c>
      <c r="AP199" s="30">
        <v>42680.408310185187</v>
      </c>
      <c r="AQ199" s="30">
        <v>42680.41747685185</v>
      </c>
      <c r="AR199" s="30">
        <v>42680.417557870373</v>
      </c>
      <c r="AS199" s="92" t="s">
        <v>651</v>
      </c>
      <c r="AT199" s="154">
        <v>-33.084466859999999</v>
      </c>
      <c r="AU199" s="155">
        <v>17.932247847999999</v>
      </c>
      <c r="AV199" s="104" t="s">
        <v>314</v>
      </c>
      <c r="AW199" s="104" t="s">
        <v>314</v>
      </c>
      <c r="AX199" s="30">
        <v>42680.418287037035</v>
      </c>
      <c r="AY199" s="155">
        <v>-33.084844019999998</v>
      </c>
      <c r="AZ199" s="155">
        <v>17.931570729000001</v>
      </c>
      <c r="BA199" s="32" t="s">
        <v>840</v>
      </c>
      <c r="BB199" s="32"/>
      <c r="BC199" s="7"/>
      <c r="BD199" s="7"/>
      <c r="BE199" s="7"/>
      <c r="BF199" s="7"/>
      <c r="BG199" s="7"/>
    </row>
    <row r="200" spans="1:59" ht="14.75" customHeight="1">
      <c r="A200" s="55" t="str">
        <f>HYPERLINK("tag_data/Quicklook/mn161106-36bquicklook.jpg","mn161106-36b")</f>
        <v>mn161106-36b</v>
      </c>
      <c r="B200" s="26" t="str">
        <f t="shared" si="46"/>
        <v>mn</v>
      </c>
      <c r="C200" s="42" t="str">
        <f t="shared" si="54"/>
        <v>South Africa</v>
      </c>
      <c r="D200" s="64" t="s">
        <v>825</v>
      </c>
      <c r="E200" s="64" t="s">
        <v>826</v>
      </c>
      <c r="F200" s="85">
        <v>2</v>
      </c>
      <c r="G200" s="60" t="s">
        <v>827</v>
      </c>
      <c r="H200" s="31" t="s">
        <v>39</v>
      </c>
      <c r="I200" s="42" t="str">
        <f>HYPERLINK("tag_data/mn161106-36b (South Africa)","Link")</f>
        <v>Link</v>
      </c>
      <c r="J200" s="42" t="str">
        <f>HYPERLINK("tag_data_raw/South Africa/2016/mn161106-36","Link")</f>
        <v>Link</v>
      </c>
      <c r="K200" s="42" t="str">
        <f>HYPERLINK("tag_data/mn161106-36b (South Africa)/Pics&amp;Vids","Link")</f>
        <v>Link</v>
      </c>
      <c r="L200" s="41" t="s">
        <v>263</v>
      </c>
      <c r="M200" s="41" t="s">
        <v>263</v>
      </c>
      <c r="N200" s="42" t="str">
        <f t="shared" si="55"/>
        <v>Link</v>
      </c>
      <c r="O200" s="31" t="s">
        <v>45</v>
      </c>
      <c r="P200" s="31" t="s">
        <v>39</v>
      </c>
      <c r="Q200" s="31">
        <v>36</v>
      </c>
      <c r="R200" s="32" t="s">
        <v>306</v>
      </c>
      <c r="S200" s="32" t="str">
        <f t="shared" si="53"/>
        <v>Cam Mic</v>
      </c>
      <c r="T200" s="32" t="s">
        <v>295</v>
      </c>
      <c r="U200" s="17">
        <f t="shared" si="47"/>
        <v>0.37842592592642177</v>
      </c>
      <c r="V200" s="17">
        <f t="shared" si="56"/>
        <v>0.37842592592642177</v>
      </c>
      <c r="W200" s="56">
        <v>0.21746527777777777</v>
      </c>
      <c r="X200" s="46" t="str">
        <f>HYPERLINK("tag_data/mn161106-36b (South Africa)/mn161106-36b Map.bmp","33")</f>
        <v>33</v>
      </c>
      <c r="Y200" s="46" t="str">
        <f>HYPERLINK("tag_data/mn161106-36b (South Africa)/mn161106-36b Video Audit.txt","Link")</f>
        <v>Link</v>
      </c>
      <c r="Z200" s="31" t="s">
        <v>39</v>
      </c>
      <c r="AA200" s="31" t="s">
        <v>39</v>
      </c>
      <c r="AB200" s="31" t="s">
        <v>277</v>
      </c>
      <c r="AC200" s="31" t="s">
        <v>39</v>
      </c>
      <c r="AD200" s="31" t="s">
        <v>39</v>
      </c>
      <c r="AE200" s="31" t="s">
        <v>39</v>
      </c>
      <c r="AF200" s="31" t="s">
        <v>39</v>
      </c>
      <c r="AG200" s="31" t="s">
        <v>41</v>
      </c>
      <c r="AH200" s="33" t="s">
        <v>789</v>
      </c>
      <c r="AI200" s="31" t="s">
        <v>39</v>
      </c>
      <c r="AJ200" s="31" t="s">
        <v>41</v>
      </c>
      <c r="AK200" s="31" t="s">
        <v>41</v>
      </c>
      <c r="AL200" s="31" t="s">
        <v>39</v>
      </c>
      <c r="AM200" s="31" t="s">
        <v>39</v>
      </c>
      <c r="AN200" s="32" t="s">
        <v>843</v>
      </c>
      <c r="AO200" s="32" t="s">
        <v>842</v>
      </c>
      <c r="AP200" s="30">
        <v>42680.408310185187</v>
      </c>
      <c r="AQ200" s="30">
        <v>42680.419699074075</v>
      </c>
      <c r="AR200" s="92">
        <v>42680.798125000001</v>
      </c>
      <c r="AS200" s="92" t="s">
        <v>651</v>
      </c>
      <c r="AT200" s="152">
        <f>-33-5.151/60</f>
        <v>-33.085850000000001</v>
      </c>
      <c r="AU200" s="107">
        <f>17+55.883/60</f>
        <v>17.931383333333333</v>
      </c>
      <c r="AV200" s="106" t="s">
        <v>314</v>
      </c>
      <c r="AW200" s="106" t="s">
        <v>314</v>
      </c>
      <c r="AX200" s="30">
        <v>42680.840277777781</v>
      </c>
      <c r="AY200" s="152">
        <f>-33-5.5/60</f>
        <v>-33.091666666666669</v>
      </c>
      <c r="AZ200" s="107">
        <f>17+56/60</f>
        <v>17.933333333333334</v>
      </c>
      <c r="BA200" s="49" t="s">
        <v>844</v>
      </c>
      <c r="BB200" s="49" t="s">
        <v>190</v>
      </c>
      <c r="BC200" s="7"/>
      <c r="BD200" s="7"/>
      <c r="BE200" s="7"/>
      <c r="BF200" s="7"/>
      <c r="BG200" s="7"/>
    </row>
    <row r="201" spans="1:59" s="103" customFormat="1" ht="14.75" customHeight="1">
      <c r="A201" s="55" t="str">
        <f>HYPERLINK("tag_data/Quicklook/mn161107-36aquicklook.jpg","mn161107-36a")</f>
        <v>mn161107-36a</v>
      </c>
      <c r="B201" s="26" t="str">
        <f t="shared" si="46"/>
        <v>mn</v>
      </c>
      <c r="C201" s="42" t="str">
        <f t="shared" si="54"/>
        <v>South Africa</v>
      </c>
      <c r="D201" s="64" t="s">
        <v>825</v>
      </c>
      <c r="E201" s="64" t="s">
        <v>826</v>
      </c>
      <c r="F201" s="85">
        <v>2</v>
      </c>
      <c r="G201" s="60" t="s">
        <v>827</v>
      </c>
      <c r="H201" s="31" t="s">
        <v>39</v>
      </c>
      <c r="I201" s="42" t="str">
        <f>HYPERLINK("tag_data/mn161107-36a (South Africa)","Link")</f>
        <v>Link</v>
      </c>
      <c r="J201" s="42" t="str">
        <f>HYPERLINK("tag_data_raw/South Africa/2016/mn161107-36","Link")</f>
        <v>Link</v>
      </c>
      <c r="K201" s="41" t="s">
        <v>263</v>
      </c>
      <c r="L201" s="41" t="s">
        <v>263</v>
      </c>
      <c r="M201" s="41" t="s">
        <v>263</v>
      </c>
      <c r="N201" s="42" t="str">
        <f t="shared" si="55"/>
        <v>Link</v>
      </c>
      <c r="O201" s="31" t="s">
        <v>45</v>
      </c>
      <c r="P201" s="31" t="s">
        <v>41</v>
      </c>
      <c r="Q201" s="31">
        <v>36</v>
      </c>
      <c r="R201" s="32" t="s">
        <v>306</v>
      </c>
      <c r="S201" s="32" t="str">
        <f t="shared" si="53"/>
        <v>Cam Mic</v>
      </c>
      <c r="T201" s="32" t="s">
        <v>295</v>
      </c>
      <c r="U201" s="17">
        <f t="shared" si="47"/>
        <v>5.8784722277778201E-3</v>
      </c>
      <c r="V201" s="17">
        <f t="shared" si="56"/>
        <v>5.8784722277778201E-3</v>
      </c>
      <c r="W201" s="56">
        <v>5.8796296296296296E-3</v>
      </c>
      <c r="X201" s="42" t="str">
        <f>HYPERLINK("tag_data/mn161107-36a (South Africa)/mn161107-36a Map.bmp","5")</f>
        <v>5</v>
      </c>
      <c r="Y201" s="42" t="str">
        <f>HYPERLINK("tag_data/mn161107-36a (South Africa)/mn161107-36a Video Audit","Link")</f>
        <v>Link</v>
      </c>
      <c r="Z201" s="31" t="s">
        <v>41</v>
      </c>
      <c r="AA201" s="31" t="s">
        <v>41</v>
      </c>
      <c r="AB201" s="31" t="s">
        <v>263</v>
      </c>
      <c r="AC201" s="31" t="s">
        <v>39</v>
      </c>
      <c r="AD201" s="31" t="s">
        <v>41</v>
      </c>
      <c r="AE201" s="31" t="s">
        <v>39</v>
      </c>
      <c r="AF201" s="31" t="s">
        <v>41</v>
      </c>
      <c r="AG201" s="31" t="s">
        <v>41</v>
      </c>
      <c r="AH201" s="31" t="s">
        <v>41</v>
      </c>
      <c r="AI201" s="31" t="s">
        <v>39</v>
      </c>
      <c r="AJ201" s="31" t="s">
        <v>41</v>
      </c>
      <c r="AK201" s="31" t="s">
        <v>41</v>
      </c>
      <c r="AL201" s="31" t="s">
        <v>39</v>
      </c>
      <c r="AM201" s="31" t="s">
        <v>41</v>
      </c>
      <c r="AN201" s="32" t="s">
        <v>850</v>
      </c>
      <c r="AO201" s="32" t="s">
        <v>842</v>
      </c>
      <c r="AP201" s="30">
        <v>42681.331967592596</v>
      </c>
      <c r="AQ201" s="30">
        <v>42681.347276388886</v>
      </c>
      <c r="AR201" s="92">
        <v>42681.353154861114</v>
      </c>
      <c r="AS201" s="92" t="s">
        <v>651</v>
      </c>
      <c r="AT201" s="152">
        <f>-33-5.642/60</f>
        <v>-33.094033333333336</v>
      </c>
      <c r="AU201" s="107">
        <f>17+55.975/60</f>
        <v>17.932916666666667</v>
      </c>
      <c r="AV201" s="106" t="s">
        <v>314</v>
      </c>
      <c r="AW201" s="106" t="s">
        <v>314</v>
      </c>
      <c r="AX201" s="30">
        <v>42681.361111111109</v>
      </c>
      <c r="AY201" s="107">
        <v>-33.091179351999997</v>
      </c>
      <c r="AZ201" s="107">
        <v>17.937305181999999</v>
      </c>
      <c r="BA201" s="32" t="s">
        <v>420</v>
      </c>
      <c r="BB201" s="49" t="s">
        <v>191</v>
      </c>
      <c r="BC201" s="7"/>
      <c r="BD201" s="7"/>
      <c r="BE201" s="104"/>
      <c r="BF201" s="104"/>
      <c r="BG201" s="104"/>
    </row>
    <row r="202" spans="1:59" ht="14.75" customHeight="1">
      <c r="A202" s="55" t="str">
        <f>HYPERLINK("tag_data/Quicklook/mn161107-36bquicklook.jpg","mn161107-36b")</f>
        <v>mn161107-36b</v>
      </c>
      <c r="B202" s="26" t="str">
        <f t="shared" si="46"/>
        <v>mn</v>
      </c>
      <c r="C202" s="42" t="str">
        <f t="shared" si="54"/>
        <v>South Africa</v>
      </c>
      <c r="D202" s="64" t="s">
        <v>825</v>
      </c>
      <c r="E202" s="64" t="s">
        <v>826</v>
      </c>
      <c r="F202" s="85">
        <v>2</v>
      </c>
      <c r="G202" s="60" t="s">
        <v>827</v>
      </c>
      <c r="H202" s="31" t="s">
        <v>39</v>
      </c>
      <c r="I202" s="42" t="str">
        <f>HYPERLINK("tag_data/mn161107-36b (South Africa)","Link")</f>
        <v>Link</v>
      </c>
      <c r="J202" s="42" t="str">
        <f>HYPERLINK("tag_data_raw/South Africa/2016/mn161107-36","Link")</f>
        <v>Link</v>
      </c>
      <c r="K202" s="41" t="s">
        <v>263</v>
      </c>
      <c r="L202" s="41" t="s">
        <v>263</v>
      </c>
      <c r="M202" s="41" t="s">
        <v>263</v>
      </c>
      <c r="N202" s="42" t="str">
        <f t="shared" si="55"/>
        <v>Link</v>
      </c>
      <c r="O202" s="31" t="s">
        <v>45</v>
      </c>
      <c r="P202" s="31" t="s">
        <v>41</v>
      </c>
      <c r="Q202" s="31">
        <v>36</v>
      </c>
      <c r="R202" s="32" t="s">
        <v>306</v>
      </c>
      <c r="S202" s="32" t="str">
        <f t="shared" si="53"/>
        <v>Cam Mic</v>
      </c>
      <c r="T202" s="32" t="s">
        <v>295</v>
      </c>
      <c r="U202" s="17">
        <f t="shared" si="47"/>
        <v>0.35733796296699438</v>
      </c>
      <c r="V202" s="17">
        <f t="shared" si="56"/>
        <v>0.35733796296699438</v>
      </c>
      <c r="W202" s="56">
        <v>9.4907407407407408E-4</v>
      </c>
      <c r="X202" s="42" t="str">
        <f>HYPERLINK("tag_data/mn161107-36b (South Africa)/mn161107-36b Map.bmp","371")</f>
        <v>371</v>
      </c>
      <c r="Y202" s="42" t="str">
        <f>HYPERLINK("tag_data/mn161107-36b (South Africa)/mn161107-36b Video Audit","Link")</f>
        <v>Link</v>
      </c>
      <c r="Z202" s="31" t="s">
        <v>39</v>
      </c>
      <c r="AA202" s="31" t="s">
        <v>41</v>
      </c>
      <c r="AB202" s="31" t="s">
        <v>277</v>
      </c>
      <c r="AC202" s="31" t="s">
        <v>39</v>
      </c>
      <c r="AD202" s="31" t="s">
        <v>39</v>
      </c>
      <c r="AE202" s="31" t="s">
        <v>41</v>
      </c>
      <c r="AF202" s="31" t="s">
        <v>39</v>
      </c>
      <c r="AG202" s="31" t="s">
        <v>41</v>
      </c>
      <c r="AH202" s="31" t="s">
        <v>41</v>
      </c>
      <c r="AI202" s="31" t="s">
        <v>41</v>
      </c>
      <c r="AJ202" s="31" t="s">
        <v>41</v>
      </c>
      <c r="AK202" s="31" t="s">
        <v>41</v>
      </c>
      <c r="AL202" s="31" t="s">
        <v>41</v>
      </c>
      <c r="AM202" s="31" t="s">
        <v>41</v>
      </c>
      <c r="AN202" s="32" t="s">
        <v>1065</v>
      </c>
      <c r="AO202" s="32" t="s">
        <v>842</v>
      </c>
      <c r="AP202" s="30">
        <v>42681.331967592596</v>
      </c>
      <c r="AQ202" s="30">
        <v>42681.388182870367</v>
      </c>
      <c r="AR202" s="92">
        <v>42681.745520833334</v>
      </c>
      <c r="AS202" s="92" t="s">
        <v>651</v>
      </c>
      <c r="AT202" s="152">
        <f>-33-5.78/60</f>
        <v>-33.096333333333334</v>
      </c>
      <c r="AU202" s="107">
        <f>17+55.416/60</f>
        <v>17.9236</v>
      </c>
      <c r="AV202" s="106" t="s">
        <v>314</v>
      </c>
      <c r="AW202" s="106" t="s">
        <v>314</v>
      </c>
      <c r="AX202" s="30">
        <v>42681.755555555559</v>
      </c>
      <c r="AY202" s="107">
        <v>-33.092980435999998</v>
      </c>
      <c r="AZ202" s="107">
        <v>17.885078407999998</v>
      </c>
      <c r="BA202" s="32" t="s">
        <v>1066</v>
      </c>
      <c r="BB202" s="49" t="s">
        <v>1321</v>
      </c>
      <c r="BC202" s="7"/>
      <c r="BD202" s="7"/>
      <c r="BE202" s="7"/>
      <c r="BF202" s="7"/>
      <c r="BG202" s="7"/>
    </row>
    <row r="203" spans="1:59" ht="14.75" customHeight="1">
      <c r="A203" s="55" t="str">
        <f>HYPERLINK("tag_data/Quicklook/mn161117-10quicklook.jpg","mn161117-10")</f>
        <v>mn161117-10</v>
      </c>
      <c r="B203" s="26" t="str">
        <f t="shared" si="46"/>
        <v>mn</v>
      </c>
      <c r="C203" s="42" t="str">
        <f>HYPERLINK("location data/Monterey/2016/","Monterey")</f>
        <v>Monterey</v>
      </c>
      <c r="D203" s="64" t="s">
        <v>465</v>
      </c>
      <c r="E203" s="61" t="s">
        <v>549</v>
      </c>
      <c r="F203" s="85">
        <v>-8</v>
      </c>
      <c r="G203" s="60" t="s">
        <v>455</v>
      </c>
      <c r="H203" s="31" t="s">
        <v>39</v>
      </c>
      <c r="I203" s="42" t="str">
        <f>HYPERLINK("tag_data/mn161117-10 (Monterey)","Link")</f>
        <v>Link</v>
      </c>
      <c r="J203" s="42" t="str">
        <f>HYPERLINK("tag_data_raw/Monterey/2016/mn161117-10","Link")</f>
        <v>Link</v>
      </c>
      <c r="K203" s="42" t="str">
        <f>HYPERLINK("tag_data/mn161117-10 (Monterey)/Pics&amp;Vids","Link")</f>
        <v>Link</v>
      </c>
      <c r="L203" s="54" t="str">
        <f>HYPERLINK("location data/Monterey/2016/Pics and Videos/11.17/Cade Tag On Slo Mo.mov","Link")</f>
        <v>Link</v>
      </c>
      <c r="M203" s="54" t="str">
        <f>HYPERLINK("tag_data\mn161117-10 (Monterey)\Pics&amp;Vids\drone","12.71 m*")</f>
        <v>12.71 m*</v>
      </c>
      <c r="N203" s="42" t="str">
        <f>HYPERLINK("location data/Monterey/2016/Notes/October/NoteSheets_20161117_MUSCULUS_JessLudy.xlsx","Link")</f>
        <v>Link</v>
      </c>
      <c r="O203" s="79" t="str">
        <f>HYPERLINK("https://happywhale.com/individual/125;enc=8360","Inverse (CRC-12443)")</f>
        <v>Inverse (CRC-12443)</v>
      </c>
      <c r="P203" s="31" t="s">
        <v>41</v>
      </c>
      <c r="Q203" s="31">
        <v>10</v>
      </c>
      <c r="R203" s="32" t="s">
        <v>133</v>
      </c>
      <c r="S203" s="32" t="s">
        <v>1393</v>
      </c>
      <c r="T203" s="32" t="s">
        <v>296</v>
      </c>
      <c r="U203" s="17">
        <f t="shared" si="47"/>
        <v>0.22187499999563443</v>
      </c>
      <c r="V203" s="17">
        <f t="shared" si="56"/>
        <v>0.22187499999563443</v>
      </c>
      <c r="W203" s="56">
        <v>0.16899305555555555</v>
      </c>
      <c r="X203" s="31">
        <v>0</v>
      </c>
      <c r="Y203" s="31"/>
      <c r="Z203" s="31" t="s">
        <v>41</v>
      </c>
      <c r="AA203" s="31" t="s">
        <v>41</v>
      </c>
      <c r="AB203" s="33" t="s">
        <v>275</v>
      </c>
      <c r="AC203" s="31" t="s">
        <v>39</v>
      </c>
      <c r="AD203" s="31" t="s">
        <v>41</v>
      </c>
      <c r="AE203" s="31" t="s">
        <v>41</v>
      </c>
      <c r="AF203" s="31" t="s">
        <v>39</v>
      </c>
      <c r="AG203" s="31" t="s">
        <v>39</v>
      </c>
      <c r="AH203" s="31" t="s">
        <v>41</v>
      </c>
      <c r="AI203" s="31" t="s">
        <v>41</v>
      </c>
      <c r="AJ203" s="31" t="s">
        <v>41</v>
      </c>
      <c r="AK203" s="31" t="s">
        <v>39</v>
      </c>
      <c r="AL203" s="31" t="s">
        <v>39</v>
      </c>
      <c r="AM203" s="33" t="s">
        <v>58</v>
      </c>
      <c r="AN203" s="32" t="s">
        <v>1071</v>
      </c>
      <c r="AO203" s="32" t="s">
        <v>345</v>
      </c>
      <c r="AP203" s="30">
        <v>42691.457835648151</v>
      </c>
      <c r="AQ203" s="30">
        <v>42691.459456018521</v>
      </c>
      <c r="AR203" s="92">
        <v>42691.681331018517</v>
      </c>
      <c r="AS203" s="92" t="s">
        <v>651</v>
      </c>
      <c r="AT203" s="144">
        <v>36.810600000000001</v>
      </c>
      <c r="AU203" s="144">
        <v>-121.8449</v>
      </c>
      <c r="AV203" s="142" t="s">
        <v>313</v>
      </c>
      <c r="AW203" s="106" t="s">
        <v>312</v>
      </c>
      <c r="AX203" s="30">
        <v>42692.479166666664</v>
      </c>
      <c r="AY203" s="107">
        <v>36.780343999999999</v>
      </c>
      <c r="AZ203" s="107">
        <v>-121.929761</v>
      </c>
      <c r="BA203" s="32" t="s">
        <v>1073</v>
      </c>
      <c r="BB203" s="49" t="s">
        <v>1322</v>
      </c>
      <c r="BC203" s="7"/>
      <c r="BD203" s="7"/>
      <c r="BE203" s="7"/>
      <c r="BF203" s="7"/>
      <c r="BG203" s="7"/>
    </row>
    <row r="204" spans="1:59" ht="14.75" customHeight="1">
      <c r="A204" s="55" t="str">
        <f>HYPERLINK("tag_data/Quicklook/mn161117-20quicklook.jpg","mn161117-20")</f>
        <v>mn161117-20</v>
      </c>
      <c r="B204" s="26" t="str">
        <f t="shared" si="46"/>
        <v>mn</v>
      </c>
      <c r="C204" s="42" t="str">
        <f>HYPERLINK("location data/Monterey/2016/","Monterey")</f>
        <v>Monterey</v>
      </c>
      <c r="D204" s="64" t="s">
        <v>465</v>
      </c>
      <c r="E204" s="61" t="s">
        <v>549</v>
      </c>
      <c r="F204" s="85">
        <v>-8</v>
      </c>
      <c r="G204" s="60" t="s">
        <v>455</v>
      </c>
      <c r="H204" s="31" t="s">
        <v>39</v>
      </c>
      <c r="I204" s="42" t="str">
        <f>HYPERLINK("tag_data/mn161117-20 (Monterey)","Link")</f>
        <v>Link</v>
      </c>
      <c r="J204" s="42" t="str">
        <f>HYPERLINK("tag_data_raw/Monterey/2016/mn161117-20","Link")</f>
        <v>Link</v>
      </c>
      <c r="K204" s="46" t="str">
        <f>HYPERLINK("tag_data/mn161117-20 (Monterey)/Pics&amp;Vids","Link")</f>
        <v>Link</v>
      </c>
      <c r="L204" s="37" t="s">
        <v>263</v>
      </c>
      <c r="M204" s="41" t="s">
        <v>263</v>
      </c>
      <c r="N204" s="42" t="str">
        <f>HYPERLINK("location data/Monterey/2016/Notes/October/NoteSheets_20161117_MUSCULUS_JessLudy.xlsx","Link")</f>
        <v>Link</v>
      </c>
      <c r="O204" s="79" t="str">
        <f>HYPERLINK("https://happywhale.com/user/622;enc=38637","Swoosh (CRC-12093)")</f>
        <v>Swoosh (CRC-12093)</v>
      </c>
      <c r="P204" s="31" t="s">
        <v>41</v>
      </c>
      <c r="Q204" s="31">
        <v>20</v>
      </c>
      <c r="R204" s="32" t="s">
        <v>132</v>
      </c>
      <c r="S204" s="32" t="str">
        <f t="shared" ref="S204:S212" si="57">IF(OR(Q204&lt;39,Q204=50,Q204=51,AND(OR(Q204=46,Q204=47),AQ204&gt;43313)),"Cam Mic",IF(AND(Q204&lt;45,AQ204&lt;42958),"Dolphin Ear",IF(AND(Q204&gt;44,NOT(OR(Q204=46,Q204=47,Q204=50,Q204=51))),"HTI","None")))</f>
        <v>Cam Mic</v>
      </c>
      <c r="T204" s="32" t="s">
        <v>289</v>
      </c>
      <c r="U204" s="17">
        <f t="shared" si="47"/>
        <v>8.1076388887595385E-2</v>
      </c>
      <c r="V204" s="17">
        <f t="shared" si="56"/>
        <v>8.1076388887595385E-2</v>
      </c>
      <c r="W204" s="56">
        <v>7.9328703703703707E-2</v>
      </c>
      <c r="X204" s="31">
        <v>0</v>
      </c>
      <c r="Y204" s="31"/>
      <c r="Z204" s="31" t="s">
        <v>41</v>
      </c>
      <c r="AA204" s="31" t="s">
        <v>41</v>
      </c>
      <c r="AB204" s="31" t="s">
        <v>263</v>
      </c>
      <c r="AC204" s="31" t="s">
        <v>39</v>
      </c>
      <c r="AD204" s="31" t="s">
        <v>41</v>
      </c>
      <c r="AE204" s="31" t="s">
        <v>41</v>
      </c>
      <c r="AF204" s="31" t="s">
        <v>39</v>
      </c>
      <c r="AG204" s="31" t="s">
        <v>41</v>
      </c>
      <c r="AH204" s="31" t="s">
        <v>41</v>
      </c>
      <c r="AI204" s="31" t="s">
        <v>41</v>
      </c>
      <c r="AJ204" s="31" t="s">
        <v>39</v>
      </c>
      <c r="AK204" s="31" t="s">
        <v>41</v>
      </c>
      <c r="AL204" s="31" t="s">
        <v>41</v>
      </c>
      <c r="AM204" s="33" t="s">
        <v>1069</v>
      </c>
      <c r="AN204" s="32" t="s">
        <v>1029</v>
      </c>
      <c r="AO204" s="32" t="s">
        <v>345</v>
      </c>
      <c r="AP204" s="30">
        <v>42691.42796296296</v>
      </c>
      <c r="AQ204" s="30">
        <v>42691.442615740743</v>
      </c>
      <c r="AR204" s="92">
        <v>42691.523692129631</v>
      </c>
      <c r="AS204" s="92" t="s">
        <v>651</v>
      </c>
      <c r="AT204" s="107">
        <v>36.8108</v>
      </c>
      <c r="AU204" s="107">
        <v>-121.8652</v>
      </c>
      <c r="AV204" s="142" t="s">
        <v>313</v>
      </c>
      <c r="AW204" s="142" t="s">
        <v>313</v>
      </c>
      <c r="AX204" s="30">
        <v>42691.537557870368</v>
      </c>
      <c r="AY204" s="107">
        <v>36.809100000000001</v>
      </c>
      <c r="AZ204" s="107">
        <v>-121.8407</v>
      </c>
      <c r="BA204" s="32" t="s">
        <v>1070</v>
      </c>
      <c r="BB204" s="49" t="s">
        <v>1323</v>
      </c>
      <c r="BC204" s="7"/>
      <c r="BD204" s="7"/>
      <c r="BE204" s="7"/>
      <c r="BF204" s="7"/>
      <c r="BG204" s="7"/>
    </row>
    <row r="205" spans="1:59" s="113" customFormat="1" ht="14.75" customHeight="1">
      <c r="A205" s="55" t="str">
        <f>HYPERLINK("tag_data/Quicklook/mn170218-31Quicklook.jpg","mn170218-31")</f>
        <v>mn170218-31</v>
      </c>
      <c r="B205" s="26" t="str">
        <f t="shared" si="46"/>
        <v>mn</v>
      </c>
      <c r="C205" s="46" t="str">
        <f>HYPERLINK("location data/Antarctic/2017/","Antarctic")</f>
        <v>Antarctic</v>
      </c>
      <c r="D205" s="64" t="s">
        <v>513</v>
      </c>
      <c r="E205" s="61" t="s">
        <v>656</v>
      </c>
      <c r="F205" s="85">
        <v>-3</v>
      </c>
      <c r="G205" s="60" t="s">
        <v>459</v>
      </c>
      <c r="H205" s="31" t="s">
        <v>39</v>
      </c>
      <c r="I205" s="46" t="str">
        <f>HYPERLINK("tag_data/mn170218-31 (Antarctic)","Link")</f>
        <v>Link</v>
      </c>
      <c r="J205" s="46" t="str">
        <f>HYPERLINK("tag_data_raw/Antarctic/2017/mn170218-31","Link")</f>
        <v>Link</v>
      </c>
      <c r="K205" s="46" t="str">
        <f>HYPERLINK("tag_data/mn170218-31 (Antarctic)/Pics&amp;Vids","Link")</f>
        <v>Link</v>
      </c>
      <c r="L205" s="41" t="s">
        <v>263</v>
      </c>
      <c r="M205" s="41" t="s">
        <v>263</v>
      </c>
      <c r="N205" s="41" t="s">
        <v>263</v>
      </c>
      <c r="O205" s="31" t="s">
        <v>45</v>
      </c>
      <c r="P205" s="31" t="s">
        <v>266</v>
      </c>
      <c r="Q205" s="31">
        <v>31</v>
      </c>
      <c r="R205" s="32" t="s">
        <v>306</v>
      </c>
      <c r="S205" s="32" t="str">
        <f t="shared" si="57"/>
        <v>Cam Mic</v>
      </c>
      <c r="T205" s="32" t="s">
        <v>38</v>
      </c>
      <c r="U205" s="17">
        <f t="shared" si="47"/>
        <v>1.0382870370376622</v>
      </c>
      <c r="V205" s="17">
        <f t="shared" si="56"/>
        <v>0.73152777778159361</v>
      </c>
      <c r="W205" s="56">
        <v>4.7453703703703703E-3</v>
      </c>
      <c r="X205" s="46" t="str">
        <f>HYPERLINK("tag_data/mn170218-31 (Antarctic)/mn170218-31 Map.bmp","2159")</f>
        <v>2159</v>
      </c>
      <c r="Y205" s="31"/>
      <c r="Z205" s="31" t="s">
        <v>39</v>
      </c>
      <c r="AA205" s="31" t="s">
        <v>41</v>
      </c>
      <c r="AB205" s="33" t="s">
        <v>1040</v>
      </c>
      <c r="AC205" s="31" t="s">
        <v>41</v>
      </c>
      <c r="AD205" s="31" t="s">
        <v>41</v>
      </c>
      <c r="AE205" s="31" t="s">
        <v>41</v>
      </c>
      <c r="AF205" s="31" t="s">
        <v>41</v>
      </c>
      <c r="AG205" s="31" t="s">
        <v>41</v>
      </c>
      <c r="AH205" s="31" t="s">
        <v>41</v>
      </c>
      <c r="AI205" s="31" t="s">
        <v>41</v>
      </c>
      <c r="AJ205" s="31" t="s">
        <v>41</v>
      </c>
      <c r="AK205" s="31" t="s">
        <v>41</v>
      </c>
      <c r="AL205" s="31" t="s">
        <v>39</v>
      </c>
      <c r="AM205" s="31" t="s">
        <v>41</v>
      </c>
      <c r="AN205" s="32" t="s">
        <v>626</v>
      </c>
      <c r="AO205" s="32" t="s">
        <v>583</v>
      </c>
      <c r="AP205" s="30">
        <v>42784.450428240743</v>
      </c>
      <c r="AQ205" s="30">
        <v>42784.461712962962</v>
      </c>
      <c r="AR205" s="30">
        <v>42785.5</v>
      </c>
      <c r="AS205" s="92">
        <v>42785.193240740744</v>
      </c>
      <c r="AT205" s="107">
        <v>-65.173182701499897</v>
      </c>
      <c r="AU205" s="107">
        <v>-64.122432420833306</v>
      </c>
      <c r="AV205" s="142" t="s">
        <v>659</v>
      </c>
      <c r="AW205" s="106" t="s">
        <v>659</v>
      </c>
      <c r="AX205" s="30">
        <v>42785.5</v>
      </c>
      <c r="AY205" s="107" t="s">
        <v>419</v>
      </c>
      <c r="AZ205" s="107" t="s">
        <v>419</v>
      </c>
      <c r="BA205" s="32" t="s">
        <v>1074</v>
      </c>
      <c r="BB205" s="49" t="s">
        <v>1324</v>
      </c>
      <c r="BC205" s="7"/>
      <c r="BD205" s="7"/>
      <c r="BE205" s="7"/>
      <c r="BF205" s="7"/>
      <c r="BG205" s="7"/>
    </row>
    <row r="206" spans="1:59" ht="14.75" customHeight="1">
      <c r="A206" s="55" t="str">
        <f>HYPERLINK("tag_data/Quicklook/mn170220-30Quicklook.jpg","mn170220-30")</f>
        <v>mn170220-30</v>
      </c>
      <c r="B206" s="26" t="str">
        <f t="shared" si="46"/>
        <v>mn</v>
      </c>
      <c r="C206" s="46" t="str">
        <f>HYPERLINK("location data/Antarctic/2017/","Antarctic")</f>
        <v>Antarctic</v>
      </c>
      <c r="D206" s="64" t="s">
        <v>513</v>
      </c>
      <c r="E206" s="61" t="s">
        <v>656</v>
      </c>
      <c r="F206" s="85">
        <v>-3</v>
      </c>
      <c r="G206" s="60" t="s">
        <v>459</v>
      </c>
      <c r="H206" s="31" t="s">
        <v>39</v>
      </c>
      <c r="I206" s="46" t="str">
        <f>HYPERLINK("tag_data/mn170220-30 (Antarctic)","Link")</f>
        <v>Link</v>
      </c>
      <c r="J206" s="46" t="str">
        <f>HYPERLINK("tag_data_raw/Antarctic/2017/mn170220-30","Link")</f>
        <v>Link</v>
      </c>
      <c r="K206" s="41" t="s">
        <v>263</v>
      </c>
      <c r="L206" s="41" t="s">
        <v>263</v>
      </c>
      <c r="M206" s="41" t="s">
        <v>263</v>
      </c>
      <c r="N206" s="41" t="s">
        <v>263</v>
      </c>
      <c r="O206" s="31" t="s">
        <v>45</v>
      </c>
      <c r="P206" s="31" t="s">
        <v>266</v>
      </c>
      <c r="Q206" s="31">
        <v>30</v>
      </c>
      <c r="R206" s="32" t="s">
        <v>306</v>
      </c>
      <c r="S206" s="32" t="str">
        <f t="shared" si="57"/>
        <v>Cam Mic</v>
      </c>
      <c r="T206" s="32" t="s">
        <v>63</v>
      </c>
      <c r="U206" s="17">
        <f t="shared" si="47"/>
        <v>1.0826504629658302</v>
      </c>
      <c r="V206" s="17">
        <f t="shared" si="56"/>
        <v>0.10245370370830642</v>
      </c>
      <c r="W206" s="56">
        <v>8.6354166666666662E-2</v>
      </c>
      <c r="X206" s="31">
        <v>0</v>
      </c>
      <c r="Y206" s="31"/>
      <c r="Z206" s="31" t="s">
        <v>39</v>
      </c>
      <c r="AA206" s="31" t="s">
        <v>39</v>
      </c>
      <c r="AB206" s="31" t="s">
        <v>277</v>
      </c>
      <c r="AC206" s="31" t="s">
        <v>41</v>
      </c>
      <c r="AD206" s="31" t="s">
        <v>39</v>
      </c>
      <c r="AE206" s="31" t="s">
        <v>266</v>
      </c>
      <c r="AF206" s="31" t="s">
        <v>39</v>
      </c>
      <c r="AG206" s="31" t="s">
        <v>41</v>
      </c>
      <c r="AH206" s="31" t="s">
        <v>41</v>
      </c>
      <c r="AI206" s="31" t="s">
        <v>39</v>
      </c>
      <c r="AJ206" s="31" t="s">
        <v>41</v>
      </c>
      <c r="AK206" s="31" t="s">
        <v>41</v>
      </c>
      <c r="AL206" s="31" t="s">
        <v>41</v>
      </c>
      <c r="AM206" s="31" t="s">
        <v>41</v>
      </c>
      <c r="AN206" s="32" t="s">
        <v>627</v>
      </c>
      <c r="AO206" s="32" t="s">
        <v>583</v>
      </c>
      <c r="AP206" s="30">
        <v>42786.408946759257</v>
      </c>
      <c r="AQ206" s="30">
        <v>42786.417349537034</v>
      </c>
      <c r="AR206" s="30">
        <v>42787.5</v>
      </c>
      <c r="AS206" s="92">
        <v>42786.519803240742</v>
      </c>
      <c r="AT206" s="107" t="s">
        <v>419</v>
      </c>
      <c r="AU206" s="107" t="s">
        <v>419</v>
      </c>
      <c r="AV206" s="142" t="s">
        <v>659</v>
      </c>
      <c r="AW206" s="106" t="s">
        <v>660</v>
      </c>
      <c r="AX206" s="30">
        <v>42787.5</v>
      </c>
      <c r="AY206" s="107" t="s">
        <v>419</v>
      </c>
      <c r="AZ206" s="107" t="s">
        <v>419</v>
      </c>
      <c r="BA206" s="32" t="s">
        <v>1075</v>
      </c>
      <c r="BB206" s="49" t="s">
        <v>1325</v>
      </c>
      <c r="BC206" s="7"/>
      <c r="BD206" s="7"/>
      <c r="BE206" s="7"/>
      <c r="BF206" s="7"/>
      <c r="BG206" s="7"/>
    </row>
    <row r="207" spans="1:59" ht="14.75" customHeight="1">
      <c r="A207" s="55" t="str">
        <f>HYPERLINK("tag_data/Quicklook/mn170320-30Quicklook.jpg","mn170320-30")</f>
        <v>mn170320-30</v>
      </c>
      <c r="B207" s="26" t="str">
        <f t="shared" si="46"/>
        <v>mn</v>
      </c>
      <c r="C207" s="46" t="str">
        <f>HYPERLINK("location data/Antarctic/2017/","Antarctic")</f>
        <v>Antarctic</v>
      </c>
      <c r="D207" s="64" t="s">
        <v>641</v>
      </c>
      <c r="E207" s="61" t="s">
        <v>656</v>
      </c>
      <c r="F207" s="85">
        <v>-3</v>
      </c>
      <c r="G207" s="60" t="s">
        <v>459</v>
      </c>
      <c r="H207" s="31" t="s">
        <v>39</v>
      </c>
      <c r="I207" s="46" t="str">
        <f>HYPERLINK("tag_data/mn170320-30 (Antarctic)","Link")</f>
        <v>Link</v>
      </c>
      <c r="J207" s="46" t="str">
        <f>HYPERLINK("tag_data_raw/Antarctic/2017/mn170320-30","Link")</f>
        <v>Link</v>
      </c>
      <c r="K207" s="41" t="s">
        <v>263</v>
      </c>
      <c r="L207" s="41" t="s">
        <v>263</v>
      </c>
      <c r="M207" s="46" t="str">
        <f>HYPERLINK("tag_data/mn170320-30 (Antarctic)/Pics&amp;Vids/drone","?? m")</f>
        <v>?? m</v>
      </c>
      <c r="N207" s="41" t="s">
        <v>263</v>
      </c>
      <c r="O207" s="31" t="s">
        <v>45</v>
      </c>
      <c r="P207" s="31" t="s">
        <v>266</v>
      </c>
      <c r="Q207" s="31">
        <v>30</v>
      </c>
      <c r="R207" s="32" t="s">
        <v>306</v>
      </c>
      <c r="S207" s="32" t="str">
        <f t="shared" si="57"/>
        <v>Cam Mic</v>
      </c>
      <c r="T207" s="32" t="s">
        <v>38</v>
      </c>
      <c r="U207" s="17">
        <f t="shared" si="47"/>
        <v>1.294537037036207</v>
      </c>
      <c r="V207" s="17">
        <f t="shared" si="56"/>
        <v>1.294537037036207</v>
      </c>
      <c r="W207" s="56">
        <v>0.22918981481481482</v>
      </c>
      <c r="X207" s="46" t="str">
        <f>HYPERLINK("tag_data/mn170320-30 (Antarctic)/mn170320-30 Map.bmp","4261")</f>
        <v>4261</v>
      </c>
      <c r="Y207" s="54" t="str">
        <f>HYPERLINK("tag_data/mn170320-30 (Antarctic)/VidAudit.xlsx","Link")</f>
        <v>Link</v>
      </c>
      <c r="Z207" s="31" t="s">
        <v>39</v>
      </c>
      <c r="AA207" s="31" t="s">
        <v>41</v>
      </c>
      <c r="AB207" s="31" t="s">
        <v>277</v>
      </c>
      <c r="AC207" s="31" t="s">
        <v>41</v>
      </c>
      <c r="AD207" s="31" t="s">
        <v>41</v>
      </c>
      <c r="AE207" s="31" t="s">
        <v>266</v>
      </c>
      <c r="AF207" s="31" t="s">
        <v>39</v>
      </c>
      <c r="AG207" s="31" t="s">
        <v>41</v>
      </c>
      <c r="AH207" s="31" t="s">
        <v>41</v>
      </c>
      <c r="AI207" s="31" t="s">
        <v>39</v>
      </c>
      <c r="AJ207" s="31" t="s">
        <v>41</v>
      </c>
      <c r="AK207" s="31" t="s">
        <v>41</v>
      </c>
      <c r="AL207" s="31" t="s">
        <v>39</v>
      </c>
      <c r="AM207" s="31" t="s">
        <v>41</v>
      </c>
      <c r="AN207" s="32" t="s">
        <v>628</v>
      </c>
      <c r="AO207" s="32" t="s">
        <v>583</v>
      </c>
      <c r="AP207" s="30">
        <v>42814.579571759263</v>
      </c>
      <c r="AQ207" s="30">
        <v>42814.58357638889</v>
      </c>
      <c r="AR207" s="30">
        <v>42815.878113425926</v>
      </c>
      <c r="AS207" s="92" t="s">
        <v>651</v>
      </c>
      <c r="AT207" s="107">
        <v>-64.634200000000007</v>
      </c>
      <c r="AU207" s="107">
        <v>-62.611899999999999</v>
      </c>
      <c r="AV207" s="142" t="s">
        <v>659</v>
      </c>
      <c r="AW207" s="142" t="s">
        <v>659</v>
      </c>
      <c r="AX207" s="92" t="s">
        <v>419</v>
      </c>
      <c r="AY207" s="107" t="s">
        <v>419</v>
      </c>
      <c r="AZ207" s="107" t="s">
        <v>419</v>
      </c>
      <c r="BA207" s="91" t="s">
        <v>629</v>
      </c>
      <c r="BB207" s="49" t="s">
        <v>630</v>
      </c>
      <c r="BC207" s="7"/>
      <c r="BD207" s="7"/>
      <c r="BE207" s="7"/>
      <c r="BF207" s="7"/>
      <c r="BG207" s="7"/>
    </row>
    <row r="208" spans="1:59" ht="14.75" customHeight="1">
      <c r="A208" s="55" t="str">
        <f>HYPERLINK("tag_data/Quicklook/mn170322-30Quicklook.jpg","mn170322-30")</f>
        <v>mn170322-30</v>
      </c>
      <c r="B208" s="26" t="str">
        <f t="shared" si="46"/>
        <v>mn</v>
      </c>
      <c r="C208" s="46" t="str">
        <f>HYPERLINK("location data/Antarctic/2017/","Antarctic")</f>
        <v>Antarctic</v>
      </c>
      <c r="D208" s="64" t="s">
        <v>641</v>
      </c>
      <c r="E208" s="61" t="s">
        <v>656</v>
      </c>
      <c r="F208" s="85">
        <v>-3</v>
      </c>
      <c r="G208" s="60" t="s">
        <v>459</v>
      </c>
      <c r="H208" s="31" t="s">
        <v>39</v>
      </c>
      <c r="I208" s="46" t="str">
        <f>HYPERLINK("tag_data/mn170322-30 (Antarctic)","Link")</f>
        <v>Link</v>
      </c>
      <c r="J208" s="46" t="str">
        <f>HYPERLINK("tag_data_raw/Antarctic/2017/mn170322-30","Link")</f>
        <v>Link</v>
      </c>
      <c r="K208" s="46" t="str">
        <f>HYPERLINK("tag_data/mn170322-30 (Antarctic)/Pics&amp;Vids","Link")</f>
        <v>Link</v>
      </c>
      <c r="L208" s="41" t="s">
        <v>263</v>
      </c>
      <c r="M208" s="46" t="str">
        <f>HYPERLINK("tag_data/mn170322-30 (Antarctic)/Pics&amp;Vids/drone","?? m")</f>
        <v>?? m</v>
      </c>
      <c r="N208" s="41" t="s">
        <v>263</v>
      </c>
      <c r="O208" s="31" t="s">
        <v>45</v>
      </c>
      <c r="P208" s="31" t="s">
        <v>266</v>
      </c>
      <c r="Q208" s="31">
        <v>30</v>
      </c>
      <c r="R208" s="32" t="s">
        <v>306</v>
      </c>
      <c r="S208" s="32" t="str">
        <f t="shared" si="57"/>
        <v>Cam Mic</v>
      </c>
      <c r="T208" s="32" t="s">
        <v>38</v>
      </c>
      <c r="U208" s="17">
        <f t="shared" si="47"/>
        <v>0.27074074074334931</v>
      </c>
      <c r="V208" s="17">
        <f t="shared" si="56"/>
        <v>0.27074074074334931</v>
      </c>
      <c r="W208" s="56">
        <v>7.5624999999999998E-2</v>
      </c>
      <c r="X208" s="46" t="str">
        <f>HYPERLINK("tag_data/mn170322-30 (Antarctic)/mn170322-30 Map.bmp","299")</f>
        <v>299</v>
      </c>
      <c r="Y208" s="54" t="str">
        <f>HYPERLINK("tag_data/mn170322-30 (Antarctic)/VidAudit.xlsx","Link")</f>
        <v>Link</v>
      </c>
      <c r="Z208" s="31" t="s">
        <v>39</v>
      </c>
      <c r="AA208" s="31" t="s">
        <v>41</v>
      </c>
      <c r="AB208" s="31" t="s">
        <v>277</v>
      </c>
      <c r="AC208" s="31" t="s">
        <v>41</v>
      </c>
      <c r="AD208" s="31" t="s">
        <v>41</v>
      </c>
      <c r="AE208" s="31" t="s">
        <v>266</v>
      </c>
      <c r="AF208" s="31" t="s">
        <v>39</v>
      </c>
      <c r="AG208" s="31" t="s">
        <v>41</v>
      </c>
      <c r="AH208" s="31" t="s">
        <v>41</v>
      </c>
      <c r="AI208" s="31" t="s">
        <v>39</v>
      </c>
      <c r="AJ208" s="31" t="s">
        <v>41</v>
      </c>
      <c r="AK208" s="31" t="s">
        <v>41</v>
      </c>
      <c r="AL208" s="31" t="s">
        <v>39</v>
      </c>
      <c r="AM208" s="31" t="s">
        <v>41</v>
      </c>
      <c r="AN208" s="32" t="s">
        <v>628</v>
      </c>
      <c r="AO208" s="32" t="s">
        <v>583</v>
      </c>
      <c r="AP208" s="30">
        <v>42816.709386574075</v>
      </c>
      <c r="AQ208" s="30">
        <v>42816.71837962963</v>
      </c>
      <c r="AR208" s="30">
        <v>42816.989120370374</v>
      </c>
      <c r="AS208" s="92" t="s">
        <v>651</v>
      </c>
      <c r="AT208" s="107" t="s">
        <v>1076</v>
      </c>
      <c r="AU208" s="107" t="s">
        <v>1076</v>
      </c>
      <c r="AV208" s="142" t="s">
        <v>659</v>
      </c>
      <c r="AW208" s="142" t="s">
        <v>659</v>
      </c>
      <c r="AX208" s="92" t="s">
        <v>419</v>
      </c>
      <c r="AY208" s="107" t="s">
        <v>419</v>
      </c>
      <c r="AZ208" s="107" t="s">
        <v>419</v>
      </c>
      <c r="BA208" s="32" t="s">
        <v>1077</v>
      </c>
      <c r="BB208" s="49" t="s">
        <v>1326</v>
      </c>
      <c r="BC208" s="7"/>
      <c r="BD208" s="7"/>
      <c r="BE208" s="7"/>
      <c r="BF208" s="7"/>
      <c r="BG208" s="7"/>
    </row>
    <row r="209" spans="1:59" ht="14.75" customHeight="1">
      <c r="A209" s="55" t="str">
        <f>HYPERLINK("tag_data/Quicklook/mn170410-11Quicklook.jpg","mn170410-11")</f>
        <v>mn170410-11</v>
      </c>
      <c r="B209" s="26" t="str">
        <f t="shared" si="46"/>
        <v>mn</v>
      </c>
      <c r="C209" s="46" t="str">
        <f>HYPERLINK("location data/Monterey/2017/","Monterey")</f>
        <v>Monterey</v>
      </c>
      <c r="D209" s="64" t="s">
        <v>465</v>
      </c>
      <c r="E209" s="61" t="s">
        <v>549</v>
      </c>
      <c r="F209" s="85">
        <v>-7</v>
      </c>
      <c r="G209" s="60" t="s">
        <v>455</v>
      </c>
      <c r="H209" s="31" t="s">
        <v>39</v>
      </c>
      <c r="I209" s="46" t="str">
        <f>HYPERLINK("tag_data/mn170410-11 (Monterey)","Link")</f>
        <v>Link</v>
      </c>
      <c r="J209" s="46" t="str">
        <f>HYPERLINK("tag_data_raw/Monterey/2017/mn170410-11","Link")</f>
        <v>Link</v>
      </c>
      <c r="K209" s="46" t="str">
        <f>HYPERLINK("tag_data/mn170410-11 (Monterey)/Pics&amp;Vids","Link")</f>
        <v>Link</v>
      </c>
      <c r="L209" s="41" t="s">
        <v>263</v>
      </c>
      <c r="M209" s="41" t="s">
        <v>263</v>
      </c>
      <c r="N209" s="46" t="str">
        <f>HYPERLINK("E:/CATS/location data/Monterey/2017/notes/CRC Mobile Data Compiler-9-11 April 2017-MB.mdb","Link")</f>
        <v>Link</v>
      </c>
      <c r="O209" s="54" t="str">
        <f>HYPERLINK("https://happywhale.com/user/622;enc=38639","CRC-12297")</f>
        <v>CRC-12297</v>
      </c>
      <c r="P209" s="31" t="s">
        <v>41</v>
      </c>
      <c r="Q209" s="31">
        <v>11</v>
      </c>
      <c r="R209" s="32" t="s">
        <v>133</v>
      </c>
      <c r="S209" s="32" t="str">
        <f t="shared" si="57"/>
        <v>Cam Mic</v>
      </c>
      <c r="T209" s="32" t="s">
        <v>592</v>
      </c>
      <c r="U209" s="17">
        <f t="shared" si="47"/>
        <v>2.6184027777781012</v>
      </c>
      <c r="V209" s="17">
        <f t="shared" si="56"/>
        <v>0.55466435185371665</v>
      </c>
      <c r="W209" s="56">
        <v>9.9224537037037042E-2</v>
      </c>
      <c r="X209" s="46" t="str">
        <f>HYPERLINK("tag_data/mn170410-11 (Monterey)/mn170410-11 Map.bmp","35")</f>
        <v>35</v>
      </c>
      <c r="Y209" s="54" t="str">
        <f>HYPERLINK("tag_data/mn170410-11 (Monterey)/vid audit.xlsx","Link")</f>
        <v>Link</v>
      </c>
      <c r="Z209" s="31" t="s">
        <v>39</v>
      </c>
      <c r="AA209" s="31" t="s">
        <v>39</v>
      </c>
      <c r="AB209" s="31" t="s">
        <v>380</v>
      </c>
      <c r="AC209" s="31" t="s">
        <v>39</v>
      </c>
      <c r="AD209" s="31" t="s">
        <v>39</v>
      </c>
      <c r="AE209" s="31" t="s">
        <v>266</v>
      </c>
      <c r="AF209" s="31" t="s">
        <v>41</v>
      </c>
      <c r="AG209" s="31" t="s">
        <v>41</v>
      </c>
      <c r="AH209" s="31" t="s">
        <v>41</v>
      </c>
      <c r="AI209" s="31" t="s">
        <v>39</v>
      </c>
      <c r="AJ209" s="31" t="s">
        <v>41</v>
      </c>
      <c r="AK209" s="31" t="s">
        <v>39</v>
      </c>
      <c r="AL209" s="31" t="s">
        <v>41</v>
      </c>
      <c r="AM209" s="31" t="s">
        <v>41</v>
      </c>
      <c r="AN209" s="32" t="s">
        <v>593</v>
      </c>
      <c r="AO209" s="32" t="s">
        <v>345</v>
      </c>
      <c r="AP209" s="30">
        <v>42835.332638888889</v>
      </c>
      <c r="AQ209" s="30">
        <v>42835.381597222222</v>
      </c>
      <c r="AR209" s="30">
        <v>42838</v>
      </c>
      <c r="AS209" s="92">
        <v>42835.936261574076</v>
      </c>
      <c r="AT209" s="154">
        <v>36.801220219999998</v>
      </c>
      <c r="AU209" s="155">
        <v>-121.809059856</v>
      </c>
      <c r="AV209" s="104" t="s">
        <v>313</v>
      </c>
      <c r="AW209" s="104" t="s">
        <v>312</v>
      </c>
      <c r="AX209" s="120">
        <v>42838.361111111109</v>
      </c>
      <c r="AY209" s="155">
        <f>36+49.7/60</f>
        <v>36.828333333333333</v>
      </c>
      <c r="AZ209" s="155">
        <f>-121-48.4/60</f>
        <v>-121.80666666666667</v>
      </c>
      <c r="BA209" s="32" t="s">
        <v>601</v>
      </c>
      <c r="BB209" s="49" t="s">
        <v>594</v>
      </c>
      <c r="BC209" s="7"/>
      <c r="BD209" s="7"/>
      <c r="BE209" s="7"/>
      <c r="BF209" s="7"/>
      <c r="BG209" s="7"/>
    </row>
    <row r="210" spans="1:59" ht="14.75" customHeight="1">
      <c r="A210" s="55" t="str">
        <f>HYPERLINK("tag_data/Quicklook/mn170410-20Quicklook.jpg","mn170410-20")</f>
        <v>mn170410-20</v>
      </c>
      <c r="B210" s="26" t="str">
        <f t="shared" si="46"/>
        <v>mn</v>
      </c>
      <c r="C210" s="46" t="str">
        <f>HYPERLINK("location data/Monterey/2017/","Monterey")</f>
        <v>Monterey</v>
      </c>
      <c r="D210" s="64" t="s">
        <v>465</v>
      </c>
      <c r="E210" s="61" t="s">
        <v>549</v>
      </c>
      <c r="F210" s="85">
        <v>-7</v>
      </c>
      <c r="G210" s="60" t="s">
        <v>455</v>
      </c>
      <c r="H210" s="31" t="s">
        <v>39</v>
      </c>
      <c r="I210" s="46" t="str">
        <f>HYPERLINK("tag_data/mn170410-20 (Monterey)","Link")</f>
        <v>Link</v>
      </c>
      <c r="J210" s="46" t="str">
        <f>HYPERLINK("tag_data_raw/Monterey/2017/mn170410-20","Link")</f>
        <v>Link</v>
      </c>
      <c r="K210" s="46" t="str">
        <f>HYPERLINK("tag_data/mn170410-20 (Monterey)/Pics&amp;Vids","Link")</f>
        <v>Link</v>
      </c>
      <c r="L210" s="54" t="str">
        <f>HYPERLINK("E:/CATS/location data/Monterey/2017/Pics&amp;Vids/04.10/20170410-MUS-MNdeployTag20-GOPR0010.MP4","Link")</f>
        <v>Link</v>
      </c>
      <c r="M210" s="41" t="s">
        <v>263</v>
      </c>
      <c r="N210" s="46" t="str">
        <f>HYPERLINK("E:/CATS/location data/Monterey/2017/notes/CRC Mobile Data Compiler-9-11 April 2017-MB.mdb","Link")</f>
        <v>Link</v>
      </c>
      <c r="O210" s="54" t="str">
        <f>HYPERLINK("https://happywhale.com/user/622;enc=38638","CRC-10026")</f>
        <v>CRC-10026</v>
      </c>
      <c r="P210" s="31" t="s">
        <v>39</v>
      </c>
      <c r="Q210" s="31">
        <v>20</v>
      </c>
      <c r="R210" s="32" t="s">
        <v>132</v>
      </c>
      <c r="S210" s="32" t="str">
        <f t="shared" si="57"/>
        <v>Cam Mic</v>
      </c>
      <c r="T210" s="32" t="s">
        <v>595</v>
      </c>
      <c r="U210" s="17">
        <f t="shared" si="47"/>
        <v>0.46405092592613073</v>
      </c>
      <c r="V210" s="17">
        <f t="shared" si="56"/>
        <v>0.46405092592613073</v>
      </c>
      <c r="W210" s="56">
        <v>0.24839120370370371</v>
      </c>
      <c r="X210" s="46" t="str">
        <f>HYPERLINK("tag_data/mn170410-20 (Monterey)/mn170410-20 Map.bmp","63")</f>
        <v>63</v>
      </c>
      <c r="Y210" s="54" t="str">
        <f>HYPERLINK("tag_data/mn170410-20 (Monterey)/vid audit.xlsx","Link")</f>
        <v>Link</v>
      </c>
      <c r="Z210" s="31" t="s">
        <v>39</v>
      </c>
      <c r="AA210" s="31" t="s">
        <v>41</v>
      </c>
      <c r="AB210" s="33" t="s">
        <v>1040</v>
      </c>
      <c r="AC210" s="31" t="s">
        <v>39</v>
      </c>
      <c r="AD210" s="31" t="s">
        <v>41</v>
      </c>
      <c r="AE210" s="31" t="s">
        <v>266</v>
      </c>
      <c r="AF210" s="31" t="s">
        <v>39</v>
      </c>
      <c r="AG210" s="31" t="s">
        <v>41</v>
      </c>
      <c r="AH210" s="31" t="s">
        <v>41</v>
      </c>
      <c r="AI210" s="31" t="s">
        <v>41</v>
      </c>
      <c r="AJ210" s="31" t="s">
        <v>41</v>
      </c>
      <c r="AK210" s="31" t="s">
        <v>39</v>
      </c>
      <c r="AL210" s="31" t="s">
        <v>41</v>
      </c>
      <c r="AM210" s="31" t="s">
        <v>41</v>
      </c>
      <c r="AN210" s="32" t="s">
        <v>596</v>
      </c>
      <c r="AO210" s="32" t="s">
        <v>345</v>
      </c>
      <c r="AP210" s="30">
        <v>42835.447592592594</v>
      </c>
      <c r="AQ210" s="30">
        <v>42835.553865740738</v>
      </c>
      <c r="AR210" s="30">
        <v>42836.017916666664</v>
      </c>
      <c r="AS210" s="92" t="s">
        <v>651</v>
      </c>
      <c r="AT210" s="154">
        <v>36.793999999999997</v>
      </c>
      <c r="AU210" s="155">
        <v>-121.8301</v>
      </c>
      <c r="AV210" s="104" t="s">
        <v>313</v>
      </c>
      <c r="AW210" s="104" t="s">
        <v>313</v>
      </c>
      <c r="AX210" s="120">
        <v>42836.535451388889</v>
      </c>
      <c r="AY210" s="155">
        <v>36.787500000000001</v>
      </c>
      <c r="AZ210" s="155">
        <v>-122.2422</v>
      </c>
      <c r="BA210" s="32" t="s">
        <v>597</v>
      </c>
      <c r="BB210" s="49" t="s">
        <v>598</v>
      </c>
      <c r="BC210" s="7"/>
      <c r="BD210" s="7"/>
      <c r="BE210" s="7"/>
      <c r="BF210" s="7"/>
      <c r="BG210" s="7"/>
    </row>
    <row r="211" spans="1:59">
      <c r="A211" s="7" t="s">
        <v>298</v>
      </c>
      <c r="B211" s="26" t="s">
        <v>271</v>
      </c>
      <c r="C211" s="42" t="str">
        <f t="shared" ref="C211:C220" si="58">HYPERLINK("location data/Stellwagen/2017/","Stellwagen")</f>
        <v>Stellwagen</v>
      </c>
      <c r="D211" s="64" t="s">
        <v>558</v>
      </c>
      <c r="E211" s="61" t="s">
        <v>559</v>
      </c>
      <c r="F211" s="85">
        <v>-4</v>
      </c>
      <c r="G211" s="60" t="s">
        <v>460</v>
      </c>
      <c r="H211" s="31" t="s">
        <v>41</v>
      </c>
      <c r="I211" s="46" t="str">
        <f>HYPERLINK("tag_data/mn170612-10a (Stellwagen- no prh)","Link")</f>
        <v>Link</v>
      </c>
      <c r="J211" s="46" t="str">
        <f>HYPERLINK("tag_data_raw/Stellwagen/2017/mn170612-10a","Link")</f>
        <v>Link</v>
      </c>
      <c r="K211" s="46" t="str">
        <f>HYPERLINK("tag_data/mn170612-10a (Stellwagen- no prh)/Pics&amp;Vids","Link")</f>
        <v>Link</v>
      </c>
      <c r="L211" s="46" t="str">
        <f>HYPERLINK("location data/Stellwagen/2017/Videos/11.mp4","6")</f>
        <v>6</v>
      </c>
      <c r="M211" s="41" t="s">
        <v>263</v>
      </c>
      <c r="N211" s="42" t="str">
        <f>HYPERLINK("location data/Stellwagen/2017/20170612_SEQUENCING_R&amp;B_BALENA.xlsx","Link")</f>
        <v>Link</v>
      </c>
      <c r="O211" s="31" t="s">
        <v>303</v>
      </c>
      <c r="P211" s="31" t="s">
        <v>266</v>
      </c>
      <c r="Q211" s="31">
        <v>10</v>
      </c>
      <c r="R211" s="32" t="s">
        <v>133</v>
      </c>
      <c r="S211" s="32" t="str">
        <f t="shared" si="57"/>
        <v>Cam Mic</v>
      </c>
      <c r="T211" s="32" t="s">
        <v>296</v>
      </c>
      <c r="U211" s="17">
        <f t="shared" ref="U211:U242" si="59">AR211-AQ211</f>
        <v>2.8935185400769114E-4</v>
      </c>
      <c r="V211" s="17">
        <f t="shared" si="56"/>
        <v>2.8935185400769114E-4</v>
      </c>
      <c r="W211" s="56">
        <f>V211</f>
        <v>2.8935185400769114E-4</v>
      </c>
      <c r="X211" s="46">
        <v>0</v>
      </c>
      <c r="Y211" s="31" t="s">
        <v>263</v>
      </c>
      <c r="Z211" s="31" t="s">
        <v>41</v>
      </c>
      <c r="AA211" s="31" t="s">
        <v>41</v>
      </c>
      <c r="AB211" s="31" t="s">
        <v>40</v>
      </c>
      <c r="AC211" s="31" t="s">
        <v>41</v>
      </c>
      <c r="AD211" s="31" t="s">
        <v>41</v>
      </c>
      <c r="AE211" s="31" t="s">
        <v>41</v>
      </c>
      <c r="AF211" s="31" t="s">
        <v>41</v>
      </c>
      <c r="AG211" s="31" t="s">
        <v>41</v>
      </c>
      <c r="AH211" s="31" t="s">
        <v>41</v>
      </c>
      <c r="AI211" s="31" t="s">
        <v>41</v>
      </c>
      <c r="AJ211" s="31" t="s">
        <v>41</v>
      </c>
      <c r="AK211" s="31" t="s">
        <v>39</v>
      </c>
      <c r="AL211" s="31" t="s">
        <v>41</v>
      </c>
      <c r="AM211" s="31" t="s">
        <v>41</v>
      </c>
      <c r="AN211" s="32" t="s">
        <v>301</v>
      </c>
      <c r="AO211" s="32" t="s">
        <v>578</v>
      </c>
      <c r="AP211" s="30">
        <v>42898.400497685187</v>
      </c>
      <c r="AQ211" s="30">
        <v>42898.450312499997</v>
      </c>
      <c r="AR211" s="30">
        <v>42898.450601851851</v>
      </c>
      <c r="AS211" s="92" t="s">
        <v>651</v>
      </c>
      <c r="AT211" s="154">
        <f>41+38.583/60</f>
        <v>41.643050000000002</v>
      </c>
      <c r="AU211" s="155">
        <f>-69 - 36.436/60</f>
        <v>-69.607266666666661</v>
      </c>
      <c r="AV211" s="104" t="s">
        <v>299</v>
      </c>
      <c r="AW211" s="104" t="s">
        <v>299</v>
      </c>
      <c r="AX211" s="120">
        <v>42898.452789351853</v>
      </c>
      <c r="AY211" s="155">
        <f>41+38.622/60</f>
        <v>41.643700000000003</v>
      </c>
      <c r="AZ211" s="155">
        <f>-69-36.439/60</f>
        <v>-69.607316666666662</v>
      </c>
      <c r="BA211" s="32" t="s">
        <v>300</v>
      </c>
      <c r="BB211" s="32"/>
      <c r="BC211" s="7"/>
      <c r="BD211" s="7"/>
      <c r="BE211" s="7"/>
      <c r="BF211" s="7"/>
      <c r="BG211" s="7"/>
    </row>
    <row r="212" spans="1:59">
      <c r="A212" s="55" t="str">
        <f>HYPERLINK("tag_data/Quicklook/mn170612-10bQuicklook.jpg","mn170612-10b")</f>
        <v>mn170612-10b</v>
      </c>
      <c r="B212" s="26" t="s">
        <v>271</v>
      </c>
      <c r="C212" s="42" t="str">
        <f t="shared" si="58"/>
        <v>Stellwagen</v>
      </c>
      <c r="D212" s="64" t="s">
        <v>558</v>
      </c>
      <c r="E212" s="61" t="s">
        <v>559</v>
      </c>
      <c r="F212" s="85">
        <v>-4</v>
      </c>
      <c r="G212" s="60" t="s">
        <v>460</v>
      </c>
      <c r="H212" s="31" t="s">
        <v>39</v>
      </c>
      <c r="I212" s="42" t="str">
        <f>HYPERLINK("tag_data/mn170612-10b (Stellwagen)","Link")</f>
        <v>Link</v>
      </c>
      <c r="J212" s="42" t="str">
        <f>HYPERLINK("tag_data_raw/Stellwagen/2017/mn170612-10b","Link")</f>
        <v>Link</v>
      </c>
      <c r="K212" s="42" t="str">
        <f>HYPERLINK("tag_data/mn170612-10b (Stellwagen)/pics&amp;vids","Link")</f>
        <v>Link</v>
      </c>
      <c r="L212" s="42" t="str">
        <f>HYPERLINK("location data/Stellwagen/2017/Videos/11.mp4","7")</f>
        <v>7</v>
      </c>
      <c r="M212" s="41" t="s">
        <v>263</v>
      </c>
      <c r="N212" s="42" t="str">
        <f>HYPERLINK("location data/Stellwagen/2017/20170612_SEQUENCING_R&amp;B_BALENA.xlsx","Link")</f>
        <v>Link</v>
      </c>
      <c r="O212" s="31" t="s">
        <v>288</v>
      </c>
      <c r="P212" s="31" t="s">
        <v>266</v>
      </c>
      <c r="Q212" s="31">
        <v>10</v>
      </c>
      <c r="R212" s="32" t="s">
        <v>133</v>
      </c>
      <c r="S212" s="32" t="str">
        <f t="shared" si="57"/>
        <v>Cam Mic</v>
      </c>
      <c r="T212" s="32" t="s">
        <v>289</v>
      </c>
      <c r="U212" s="17">
        <f t="shared" si="59"/>
        <v>0.97363425925868796</v>
      </c>
      <c r="V212" s="17">
        <f t="shared" si="56"/>
        <v>0.97363425925868796</v>
      </c>
      <c r="W212" s="56">
        <v>0.26630787037037035</v>
      </c>
      <c r="X212" s="42" t="str">
        <f>HYPERLINK("tag_data/mn170612-10b (Stellwagen)/mn170612-10b Map.bmp","21")</f>
        <v>21</v>
      </c>
      <c r="Y212" s="42" t="str">
        <f>HYPERLINK("/tag_data_raw/Stellwagen/2017/mn170612-10b/mn170612-10b.xlsx","Link")</f>
        <v>Link</v>
      </c>
      <c r="Z212" s="31" t="s">
        <v>39</v>
      </c>
      <c r="AA212" s="31" t="s">
        <v>39</v>
      </c>
      <c r="AB212" s="31" t="s">
        <v>40</v>
      </c>
      <c r="AC212" s="31" t="s">
        <v>41</v>
      </c>
      <c r="AD212" s="31" t="s">
        <v>39</v>
      </c>
      <c r="AE212" s="31" t="s">
        <v>41</v>
      </c>
      <c r="AF212" s="31" t="s">
        <v>39</v>
      </c>
      <c r="AG212" s="33" t="s">
        <v>290</v>
      </c>
      <c r="AH212" s="33" t="s">
        <v>481</v>
      </c>
      <c r="AI212" s="33" t="s">
        <v>291</v>
      </c>
      <c r="AJ212" s="31" t="s">
        <v>39</v>
      </c>
      <c r="AK212" s="31" t="s">
        <v>41</v>
      </c>
      <c r="AL212" s="31" t="s">
        <v>41</v>
      </c>
      <c r="AM212" s="31" t="s">
        <v>41</v>
      </c>
      <c r="AN212" s="32" t="s">
        <v>292</v>
      </c>
      <c r="AO212" s="32" t="s">
        <v>578</v>
      </c>
      <c r="AP212" s="30">
        <v>42898.400497685187</v>
      </c>
      <c r="AQ212" s="30">
        <v>42898.497766203705</v>
      </c>
      <c r="AR212" s="30">
        <v>42899.471400462964</v>
      </c>
      <c r="AS212" s="92" t="s">
        <v>651</v>
      </c>
      <c r="AT212" s="154">
        <v>41.646650000000001</v>
      </c>
      <c r="AU212" s="155">
        <v>-69.608350000000002</v>
      </c>
      <c r="AV212" s="104" t="s">
        <v>299</v>
      </c>
      <c r="AW212" s="104" t="s">
        <v>293</v>
      </c>
      <c r="AX212" s="120">
        <v>42899.486134259256</v>
      </c>
      <c r="AY212" s="155">
        <v>41.620716666666667</v>
      </c>
      <c r="AZ212" s="155">
        <v>-69.589716666666703</v>
      </c>
      <c r="BA212" s="32" t="s">
        <v>294</v>
      </c>
      <c r="BB212" s="49" t="s">
        <v>1327</v>
      </c>
      <c r="BC212" s="7"/>
      <c r="BD212" s="7"/>
      <c r="BE212" s="7"/>
      <c r="BF212" s="7"/>
      <c r="BG212" s="7"/>
    </row>
    <row r="213" spans="1:59">
      <c r="A213" s="55" t="str">
        <f>HYPERLINK("tag_data/Quicklook/mn170612-21Quicklook.jpg","mn170612-21")</f>
        <v>mn170612-21</v>
      </c>
      <c r="B213" s="26" t="str">
        <f>LEFT(A213,2)</f>
        <v>mn</v>
      </c>
      <c r="C213" s="42" t="str">
        <f t="shared" si="58"/>
        <v>Stellwagen</v>
      </c>
      <c r="D213" s="64" t="s">
        <v>558</v>
      </c>
      <c r="E213" s="61" t="s">
        <v>559</v>
      </c>
      <c r="F213" s="85">
        <v>-4</v>
      </c>
      <c r="G213" s="60" t="s">
        <v>460</v>
      </c>
      <c r="H213" s="31" t="s">
        <v>39</v>
      </c>
      <c r="I213" s="42" t="str">
        <f>HYPERLINK("tag_data/mn170612-21 (Stellwagen)","Link")</f>
        <v>Link</v>
      </c>
      <c r="J213" s="42" t="str">
        <f>HYPERLINK("tag_data_raw/Stellwagen/2017/mn170612-21","Link")</f>
        <v>Link</v>
      </c>
      <c r="K213" s="42" t="str">
        <f>HYPERLINK("tag_data/mn170612-21 (Stellwagen)/pics&amp;vids","Link")</f>
        <v>Link</v>
      </c>
      <c r="L213" s="42" t="str">
        <f>HYPERLINK("location data/Stellwagen/2017/Videos/11.mp4","8")</f>
        <v>8</v>
      </c>
      <c r="M213" s="41" t="s">
        <v>263</v>
      </c>
      <c r="N213" s="42" t="str">
        <f>HYPERLINK("location data/Stellwagen/2017/20170612_SEQUENCING_R&amp;B_BALENA.xlsx","Link")</f>
        <v>Link</v>
      </c>
      <c r="O213" s="31" t="s">
        <v>261</v>
      </c>
      <c r="P213" s="31" t="s">
        <v>266</v>
      </c>
      <c r="Q213" s="31">
        <v>21</v>
      </c>
      <c r="R213" s="32" t="s">
        <v>264</v>
      </c>
      <c r="S213" s="32" t="s">
        <v>1393</v>
      </c>
      <c r="T213" s="32" t="s">
        <v>263</v>
      </c>
      <c r="U213" s="17">
        <f t="shared" si="59"/>
        <v>0.31406250000145519</v>
      </c>
      <c r="V213" s="17">
        <f t="shared" si="56"/>
        <v>0.31406250000145519</v>
      </c>
      <c r="W213" s="56" t="s">
        <v>346</v>
      </c>
      <c r="X213" s="42" t="str">
        <f>HYPERLINK("tag_data/mn170612-21 (Stellwagen)/mn170612-21 Map.bmp","556")</f>
        <v>556</v>
      </c>
      <c r="Y213" s="31" t="s">
        <v>263</v>
      </c>
      <c r="Z213" s="31" t="s">
        <v>39</v>
      </c>
      <c r="AA213" s="31" t="s">
        <v>41</v>
      </c>
      <c r="AB213" s="31" t="s">
        <v>40</v>
      </c>
      <c r="AC213" s="31" t="s">
        <v>41</v>
      </c>
      <c r="AD213" s="31" t="s">
        <v>41</v>
      </c>
      <c r="AE213" s="31" t="s">
        <v>266</v>
      </c>
      <c r="AF213" s="31" t="s">
        <v>41</v>
      </c>
      <c r="AG213" s="31" t="s">
        <v>266</v>
      </c>
      <c r="AH213" s="31" t="s">
        <v>41</v>
      </c>
      <c r="AI213" s="31" t="s">
        <v>41</v>
      </c>
      <c r="AJ213" s="31" t="s">
        <v>41</v>
      </c>
      <c r="AK213" s="31" t="s">
        <v>41</v>
      </c>
      <c r="AL213" s="31" t="s">
        <v>41</v>
      </c>
      <c r="AM213" s="31" t="s">
        <v>41</v>
      </c>
      <c r="AN213" s="32" t="s">
        <v>267</v>
      </c>
      <c r="AO213" s="32" t="s">
        <v>578</v>
      </c>
      <c r="AP213" s="30">
        <v>42898.499328703707</v>
      </c>
      <c r="AQ213" s="30">
        <v>42898.532175925924</v>
      </c>
      <c r="AR213" s="30">
        <v>42898.846238425926</v>
      </c>
      <c r="AS213" s="92" t="s">
        <v>651</v>
      </c>
      <c r="AT213" s="154">
        <f>41+38.006/60</f>
        <v>41.633433333333336</v>
      </c>
      <c r="AU213" s="155">
        <f>-69-38.174/60</f>
        <v>-69.636233333333337</v>
      </c>
      <c r="AV213" s="104" t="s">
        <v>299</v>
      </c>
      <c r="AW213" s="104" t="s">
        <v>268</v>
      </c>
      <c r="AX213" s="120">
        <v>42899.37976851852</v>
      </c>
      <c r="AY213" s="155">
        <v>41.503466666666668</v>
      </c>
      <c r="AZ213" s="155">
        <v>-69.4791666666667</v>
      </c>
      <c r="BA213" s="32" t="s">
        <v>587</v>
      </c>
      <c r="BB213" s="49" t="s">
        <v>270</v>
      </c>
      <c r="BC213" s="7"/>
      <c r="BD213" s="7"/>
      <c r="BE213" s="7"/>
      <c r="BF213" s="7"/>
      <c r="BG213" s="7"/>
    </row>
    <row r="214" spans="1:59">
      <c r="A214" s="55" t="str">
        <f>HYPERLINK("tag_data/Quicklook/mn170612-30Quicklook.jpg","mn170612-30")</f>
        <v>mn170612-30</v>
      </c>
      <c r="B214" s="26" t="str">
        <f>LEFT(A214,2)</f>
        <v>mn</v>
      </c>
      <c r="C214" s="42" t="str">
        <f t="shared" si="58"/>
        <v>Stellwagen</v>
      </c>
      <c r="D214" s="64" t="s">
        <v>558</v>
      </c>
      <c r="E214" s="61" t="s">
        <v>559</v>
      </c>
      <c r="F214" s="85">
        <v>-4</v>
      </c>
      <c r="G214" s="60" t="s">
        <v>460</v>
      </c>
      <c r="H214" s="31" t="s">
        <v>39</v>
      </c>
      <c r="I214" s="42" t="str">
        <f>HYPERLINK("tag_data/mn170612-30 (Stellwagen)","Link")</f>
        <v>Link</v>
      </c>
      <c r="J214" s="42" t="str">
        <f>HYPERLINK("tag_data_raw/Stellwagen/2017/mn170612-30","Link")</f>
        <v>Link</v>
      </c>
      <c r="K214" s="42" t="str">
        <f>HYPERLINK("tag_data/mn170612-30 (Stellwagen)/pics&amp;vids","Link")</f>
        <v>Link</v>
      </c>
      <c r="L214" s="42" t="str">
        <f>HYPERLINK("location data/Stellwagen/2017/Videos/11.mp4","3")</f>
        <v>3</v>
      </c>
      <c r="M214" s="41" t="s">
        <v>263</v>
      </c>
      <c r="N214" s="42" t="str">
        <f>HYPERLINK("location data/Stellwagen/2017/Behavioral_Sequencing/2017_06_12th_163/SBNMS_DTAG_Sequencing_20170612_LUNA_LMC.xls","Link")</f>
        <v>Link</v>
      </c>
      <c r="O214" s="31" t="s">
        <v>311</v>
      </c>
      <c r="P214" s="31" t="s">
        <v>266</v>
      </c>
      <c r="Q214" s="31">
        <v>30</v>
      </c>
      <c r="R214" s="32" t="s">
        <v>306</v>
      </c>
      <c r="S214" s="32" t="str">
        <f>IF(OR(Q214&lt;39,Q214=50,Q214=51,AND(OR(Q214=46,Q214=47),AQ214&gt;43313)),"Cam Mic",IF(AND(Q214&lt;45,AQ214&lt;42958),"Dolphin Ear",IF(AND(Q214&gt;44,NOT(OR(Q214=46,Q214=47,Q214=50,Q214=51))),"HTI","None")))</f>
        <v>Cam Mic</v>
      </c>
      <c r="T214" s="32" t="s">
        <v>307</v>
      </c>
      <c r="U214" s="17">
        <f t="shared" si="59"/>
        <v>0.28074074073811062</v>
      </c>
      <c r="V214" s="17">
        <f t="shared" si="56"/>
        <v>0.28074074073811062</v>
      </c>
      <c r="W214" s="56">
        <v>0.28037037037037038</v>
      </c>
      <c r="X214" s="42" t="str">
        <f>HYPERLINK("tag_data/mn170612-30 (Stellwagen)/mn170612-30 Map.bmp","0")</f>
        <v>0</v>
      </c>
      <c r="Y214" s="42" t="str">
        <f>HYPERLINK("tag_data_raw/Stellwagen/2017/mn170612-30/mn170612-30.xlsx","Link")</f>
        <v>Link</v>
      </c>
      <c r="Z214" s="31" t="s">
        <v>39</v>
      </c>
      <c r="AA214" s="31" t="s">
        <v>39</v>
      </c>
      <c r="AB214" s="31" t="s">
        <v>308</v>
      </c>
      <c r="AC214" s="31" t="s">
        <v>41</v>
      </c>
      <c r="AD214" s="31" t="s">
        <v>39</v>
      </c>
      <c r="AE214" s="31" t="s">
        <v>41</v>
      </c>
      <c r="AF214" s="31" t="s">
        <v>39</v>
      </c>
      <c r="AG214" s="31" t="s">
        <v>39</v>
      </c>
      <c r="AH214" s="31" t="s">
        <v>41</v>
      </c>
      <c r="AI214" s="31" t="s">
        <v>41</v>
      </c>
      <c r="AJ214" s="31" t="s">
        <v>39</v>
      </c>
      <c r="AK214" s="31" t="s">
        <v>41</v>
      </c>
      <c r="AL214" s="31" t="s">
        <v>41</v>
      </c>
      <c r="AM214" s="31" t="s">
        <v>41</v>
      </c>
      <c r="AN214" s="32" t="s">
        <v>309</v>
      </c>
      <c r="AO214" s="32" t="s">
        <v>578</v>
      </c>
      <c r="AP214" s="30">
        <v>42898.372662037036</v>
      </c>
      <c r="AQ214" s="30">
        <v>42898.380243055559</v>
      </c>
      <c r="AR214" s="30">
        <v>42898.660983796297</v>
      </c>
      <c r="AS214" s="92" t="s">
        <v>651</v>
      </c>
      <c r="AT214" s="154">
        <f>41+38.166/60</f>
        <v>41.636099999999999</v>
      </c>
      <c r="AU214" s="155">
        <f>-69-38.047/60</f>
        <v>-69.634116666666671</v>
      </c>
      <c r="AV214" s="104" t="s">
        <v>299</v>
      </c>
      <c r="AW214" s="104" t="s">
        <v>268</v>
      </c>
      <c r="AX214" s="120">
        <v>42898.682997685188</v>
      </c>
      <c r="AY214" s="155">
        <v>41.5593</v>
      </c>
      <c r="AZ214" s="155">
        <v>-69.560699999999997</v>
      </c>
      <c r="BA214" s="32" t="s">
        <v>310</v>
      </c>
      <c r="BB214" s="49" t="s">
        <v>1328</v>
      </c>
      <c r="BC214" s="7"/>
      <c r="BD214" s="7"/>
      <c r="BE214" s="7"/>
      <c r="BF214" s="7"/>
      <c r="BG214" s="7"/>
    </row>
    <row r="215" spans="1:59">
      <c r="A215" s="55" t="str">
        <f>HYPERLINK("tag_data/Quicklook/mn170612-40Quicklook.jpg","mn170612-40")</f>
        <v>mn170612-40</v>
      </c>
      <c r="B215" s="26" t="s">
        <v>271</v>
      </c>
      <c r="C215" s="42" t="str">
        <f t="shared" si="58"/>
        <v>Stellwagen</v>
      </c>
      <c r="D215" s="64" t="s">
        <v>558</v>
      </c>
      <c r="E215" s="61" t="s">
        <v>559</v>
      </c>
      <c r="F215" s="85">
        <v>-4</v>
      </c>
      <c r="G215" s="60" t="s">
        <v>460</v>
      </c>
      <c r="H215" s="31" t="s">
        <v>39</v>
      </c>
      <c r="I215" s="42" t="str">
        <f>HYPERLINK("tag_data/mn170612-40 (Stellwagen)","Link")</f>
        <v>Link</v>
      </c>
      <c r="J215" s="42" t="str">
        <f>HYPERLINK("tag_data_raw/Stellwagen/2017/mn170612-40","Link")</f>
        <v>Link</v>
      </c>
      <c r="K215" s="42" t="str">
        <f>HYPERLINK("tag_data/mn170612-40 (Stellwagen)/pics&amp;vids","Link")</f>
        <v>Link</v>
      </c>
      <c r="L215" s="42" t="str">
        <f>HYPERLINK("location data/Stellwagen/2017/Videos/11.mp4","2")</f>
        <v>2</v>
      </c>
      <c r="M215" s="41" t="s">
        <v>263</v>
      </c>
      <c r="N215" s="42" t="str">
        <f>HYPERLINK("location data/Stellwagen/2017/20170612_SEQUENCING_R&amp;B_BALENA.xlsx","Link")</f>
        <v>Link</v>
      </c>
      <c r="O215" s="31" t="s">
        <v>319</v>
      </c>
      <c r="P215" s="31" t="s">
        <v>266</v>
      </c>
      <c r="Q215" s="31">
        <v>40</v>
      </c>
      <c r="R215" s="32" t="s">
        <v>347</v>
      </c>
      <c r="S215" s="32" t="s">
        <v>1393</v>
      </c>
      <c r="T215" s="32" t="s">
        <v>295</v>
      </c>
      <c r="U215" s="17">
        <f t="shared" si="59"/>
        <v>4.019675926247146E-2</v>
      </c>
      <c r="V215" s="17">
        <f t="shared" si="56"/>
        <v>4.019675926247146E-2</v>
      </c>
      <c r="W215" s="56">
        <v>3.8055555555555558E-2</v>
      </c>
      <c r="X215" s="42" t="str">
        <f>HYPERLINK("tag_data/mn170612-40 (Stellwagen)/mn170612-40 Map.bmp","24")</f>
        <v>24</v>
      </c>
      <c r="Y215" s="42" t="str">
        <f>HYPERLINK("tag_data_raw/Stellwagen/2017/mn170612-40/mn170612-40.xlsx","Link")</f>
        <v>Link</v>
      </c>
      <c r="Z215" s="31" t="s">
        <v>39</v>
      </c>
      <c r="AA215" s="31" t="s">
        <v>39</v>
      </c>
      <c r="AB215" s="31" t="s">
        <v>40</v>
      </c>
      <c r="AC215" s="31" t="s">
        <v>41</v>
      </c>
      <c r="AD215" s="31" t="s">
        <v>39</v>
      </c>
      <c r="AE215" s="31" t="s">
        <v>41</v>
      </c>
      <c r="AF215" s="31" t="s">
        <v>39</v>
      </c>
      <c r="AG215" s="31" t="s">
        <v>41</v>
      </c>
      <c r="AH215" s="33" t="s">
        <v>481</v>
      </c>
      <c r="AI215" s="31" t="s">
        <v>39</v>
      </c>
      <c r="AJ215" s="31" t="s">
        <v>39</v>
      </c>
      <c r="AK215" s="31" t="s">
        <v>41</v>
      </c>
      <c r="AL215" s="31" t="s">
        <v>41</v>
      </c>
      <c r="AM215" s="31" t="s">
        <v>41</v>
      </c>
      <c r="AN215" s="32" t="s">
        <v>320</v>
      </c>
      <c r="AO215" s="32" t="s">
        <v>578</v>
      </c>
      <c r="AP215" s="30">
        <v>42898.341597222221</v>
      </c>
      <c r="AQ215" s="30">
        <v>42898.371249999997</v>
      </c>
      <c r="AR215" s="30">
        <v>42898.411446759259</v>
      </c>
      <c r="AS215" s="92" t="s">
        <v>651</v>
      </c>
      <c r="AT215" s="154">
        <f>41+38.048/60</f>
        <v>41.634133333333331</v>
      </c>
      <c r="AU215" s="155">
        <f>-69-38.065/60</f>
        <v>-69.634416666666667</v>
      </c>
      <c r="AV215" s="104" t="s">
        <v>299</v>
      </c>
      <c r="AW215" s="104" t="s">
        <v>293</v>
      </c>
      <c r="AX215" s="120">
        <v>42898.413194444445</v>
      </c>
      <c r="AY215" s="155">
        <f>41+38.327/60</f>
        <v>41.638783333333336</v>
      </c>
      <c r="AZ215" s="155">
        <f>-69-37.537/60</f>
        <v>-69.625616666666673</v>
      </c>
      <c r="BA215" s="32" t="s">
        <v>322</v>
      </c>
      <c r="BB215" s="49" t="s">
        <v>321</v>
      </c>
      <c r="BC215" s="7"/>
      <c r="BD215" s="7"/>
      <c r="BE215" s="7"/>
      <c r="BF215" s="7"/>
      <c r="BG215" s="7"/>
    </row>
    <row r="216" spans="1:59" s="113" customFormat="1">
      <c r="A216" s="55" t="str">
        <f>HYPERLINK("tag_data/Quicklook/mn170613-20Quicklook.jpg","mn170613-20")</f>
        <v>mn170613-20</v>
      </c>
      <c r="B216" s="26" t="s">
        <v>271</v>
      </c>
      <c r="C216" s="42" t="str">
        <f t="shared" si="58"/>
        <v>Stellwagen</v>
      </c>
      <c r="D216" s="64" t="s">
        <v>558</v>
      </c>
      <c r="E216" s="61" t="s">
        <v>559</v>
      </c>
      <c r="F216" s="85">
        <v>-4</v>
      </c>
      <c r="G216" s="60" t="s">
        <v>460</v>
      </c>
      <c r="H216" s="31" t="s">
        <v>39</v>
      </c>
      <c r="I216" s="42" t="str">
        <f>HYPERLINK("tag_data/mn170613-20 (Stellwagen)","Link")</f>
        <v>Link</v>
      </c>
      <c r="J216" s="42" t="str">
        <f>HYPERLINK("tag_data_raw/Stellwagen/2017/mn170613-20","Link")</f>
        <v>Link</v>
      </c>
      <c r="K216" s="42" t="str">
        <f>HYPERLINK("tag_data/mn170613-20 (Stellwagen)/pics&amp;vids","Link")</f>
        <v>Link</v>
      </c>
      <c r="L216" s="42" t="str">
        <f>HYPERLINK("location data/Stellwagen/2017/Videos/11.mp4","12")</f>
        <v>12</v>
      </c>
      <c r="M216" s="41" t="s">
        <v>263</v>
      </c>
      <c r="N216" s="42" t="str">
        <f>HYPERLINK("location data/Stellwagen/2017/Tag_Log_2017.xlsx","Link")</f>
        <v>Link</v>
      </c>
      <c r="O216" s="31" t="s">
        <v>272</v>
      </c>
      <c r="P216" s="31" t="s">
        <v>563</v>
      </c>
      <c r="Q216" s="31">
        <v>20</v>
      </c>
      <c r="R216" s="32" t="s">
        <v>132</v>
      </c>
      <c r="S216" s="32" t="str">
        <f>IF(OR(Q216&lt;39,Q216=50,Q216=51,AND(OR(Q216=46,Q216=47),AQ216&gt;43313)),"Cam Mic",IF(AND(Q216&lt;45,AQ216&lt;42958),"Dolphin Ear",IF(AND(Q216&gt;44,NOT(OR(Q216=46,Q216=47,Q216=50,Q216=51))),"HTI","None")))</f>
        <v>Cam Mic</v>
      </c>
      <c r="T216" s="32" t="s">
        <v>273</v>
      </c>
      <c r="U216" s="17">
        <f t="shared" si="59"/>
        <v>0.10336805555562023</v>
      </c>
      <c r="V216" s="17">
        <f t="shared" si="56"/>
        <v>0.10336805555562023</v>
      </c>
      <c r="W216" s="56">
        <v>4.7731481481481486E-2</v>
      </c>
      <c r="X216" s="42" t="str">
        <f>HYPERLINK("tag_data/mn170613-20 (Stellwagen)/mn170613-20 Map.bmp","114")</f>
        <v>114</v>
      </c>
      <c r="Y216" s="31"/>
      <c r="Z216" s="31" t="s">
        <v>39</v>
      </c>
      <c r="AA216" s="31" t="s">
        <v>39</v>
      </c>
      <c r="AB216" s="31" t="s">
        <v>40</v>
      </c>
      <c r="AC216" s="31" t="s">
        <v>41</v>
      </c>
      <c r="AD216" s="31" t="s">
        <v>41</v>
      </c>
      <c r="AE216" s="31" t="s">
        <v>39</v>
      </c>
      <c r="AF216" s="31" t="s">
        <v>39</v>
      </c>
      <c r="AG216" s="31" t="s">
        <v>41</v>
      </c>
      <c r="AH216" s="31" t="s">
        <v>41</v>
      </c>
      <c r="AI216" s="31" t="s">
        <v>39</v>
      </c>
      <c r="AJ216" s="31" t="s">
        <v>304</v>
      </c>
      <c r="AK216" s="31" t="s">
        <v>41</v>
      </c>
      <c r="AL216" s="31" t="s">
        <v>41</v>
      </c>
      <c r="AM216" s="33" t="s">
        <v>561</v>
      </c>
      <c r="AN216" s="32" t="s">
        <v>274</v>
      </c>
      <c r="AO216" s="32" t="s">
        <v>578</v>
      </c>
      <c r="AP216" s="30">
        <v>42899.485312500001</v>
      </c>
      <c r="AQ216" s="30">
        <v>42899.496678240743</v>
      </c>
      <c r="AR216" s="30">
        <v>42899.600046296298</v>
      </c>
      <c r="AS216" s="92" t="s">
        <v>651</v>
      </c>
      <c r="AT216" s="154">
        <v>41.605350000000001</v>
      </c>
      <c r="AU216" s="155">
        <v>-69.615966670000006</v>
      </c>
      <c r="AV216" s="104" t="s">
        <v>299</v>
      </c>
      <c r="AW216" s="104" t="s">
        <v>268</v>
      </c>
      <c r="AX216" s="120">
        <v>42900.419444444444</v>
      </c>
      <c r="AY216" s="155">
        <v>41.370716666666667</v>
      </c>
      <c r="AZ216" s="155">
        <v>-69.585400000000007</v>
      </c>
      <c r="BA216" s="32" t="s">
        <v>305</v>
      </c>
      <c r="BB216" s="49" t="s">
        <v>562</v>
      </c>
      <c r="BC216" s="7"/>
      <c r="BD216" s="7"/>
      <c r="BE216" s="7"/>
      <c r="BF216" s="7"/>
      <c r="BG216" s="7"/>
    </row>
    <row r="217" spans="1:59">
      <c r="A217" s="55" t="str">
        <f>HYPERLINK("tag_data/Quicklook/mn170613-40Quicklook.jpg","mn170613-40")</f>
        <v>mn170613-40</v>
      </c>
      <c r="B217" s="26" t="s">
        <v>271</v>
      </c>
      <c r="C217" s="42" t="str">
        <f t="shared" si="58"/>
        <v>Stellwagen</v>
      </c>
      <c r="D217" s="64" t="s">
        <v>558</v>
      </c>
      <c r="E217" s="61" t="s">
        <v>559</v>
      </c>
      <c r="F217" s="85">
        <v>-4</v>
      </c>
      <c r="G217" s="60" t="s">
        <v>460</v>
      </c>
      <c r="H217" s="31" t="s">
        <v>39</v>
      </c>
      <c r="I217" s="46" t="str">
        <f>HYPERLINK("tag_data/mn170613-40 (Stellwagen)","Link")</f>
        <v>Link</v>
      </c>
      <c r="J217" s="46" t="str">
        <f>HYPERLINK("tag_data_raw/Stellwagen/2017/mn170613-40","Link")</f>
        <v>Link</v>
      </c>
      <c r="K217" s="46" t="str">
        <f>HYPERLINK("tag_data/mn170613-40 (Stellwagen)/pics&amp;vids","Link")</f>
        <v>Link</v>
      </c>
      <c r="L217" s="46" t="str">
        <f>HYPERLINK("location data/Stellwagen/2017/Videos/11.mp4","14")</f>
        <v>14</v>
      </c>
      <c r="M217" s="41" t="s">
        <v>263</v>
      </c>
      <c r="N217" s="42" t="str">
        <f>HYPERLINK("location data/Stellwagen/2017/Tag_Log_2017.xlsx","Link")</f>
        <v>Link</v>
      </c>
      <c r="O217" s="31" t="s">
        <v>311</v>
      </c>
      <c r="P217" s="31" t="s">
        <v>266</v>
      </c>
      <c r="Q217" s="31">
        <v>40</v>
      </c>
      <c r="R217" s="32" t="s">
        <v>347</v>
      </c>
      <c r="S217" s="32" t="s">
        <v>1393</v>
      </c>
      <c r="T217" s="32" t="s">
        <v>480</v>
      </c>
      <c r="U217" s="17">
        <f t="shared" si="59"/>
        <v>0.19010416667151731</v>
      </c>
      <c r="V217" s="17">
        <f t="shared" si="56"/>
        <v>0.19010416667151731</v>
      </c>
      <c r="W217" s="56">
        <v>0.17658564814814814</v>
      </c>
      <c r="X217" s="46" t="str">
        <f>HYPERLINK("tag_data/mn170613-40 (Stellwagen)/mn170613-40 Map.bmp","67")</f>
        <v>67</v>
      </c>
      <c r="Y217" s="31"/>
      <c r="Z217" s="31" t="s">
        <v>39</v>
      </c>
      <c r="AA217" s="31" t="s">
        <v>39</v>
      </c>
      <c r="AB217" s="31" t="s">
        <v>308</v>
      </c>
      <c r="AC217" s="31" t="s">
        <v>41</v>
      </c>
      <c r="AD217" s="31" t="s">
        <v>39</v>
      </c>
      <c r="AE217" s="31" t="s">
        <v>41</v>
      </c>
      <c r="AF217" s="31" t="s">
        <v>39</v>
      </c>
      <c r="AG217" s="31" t="s">
        <v>39</v>
      </c>
      <c r="AH217" s="31" t="s">
        <v>41</v>
      </c>
      <c r="AI217" s="31" t="s">
        <v>39</v>
      </c>
      <c r="AJ217" s="31" t="s">
        <v>41</v>
      </c>
      <c r="AK217" s="31" t="s">
        <v>41</v>
      </c>
      <c r="AL217" s="31" t="s">
        <v>39</v>
      </c>
      <c r="AM217" s="31" t="s">
        <v>41</v>
      </c>
      <c r="AN217" s="32" t="s">
        <v>560</v>
      </c>
      <c r="AO217" s="32" t="s">
        <v>578</v>
      </c>
      <c r="AP217" s="30">
        <v>42899.474722222221</v>
      </c>
      <c r="AQ217" s="30">
        <v>42899.553715277776</v>
      </c>
      <c r="AR217" s="30">
        <v>42899.743819444448</v>
      </c>
      <c r="AS217" s="92" t="s">
        <v>651</v>
      </c>
      <c r="AT217" s="154">
        <v>41.60241666666667</v>
      </c>
      <c r="AU217" s="155">
        <v>-69.5961833333333</v>
      </c>
      <c r="AV217" s="104" t="s">
        <v>299</v>
      </c>
      <c r="AW217" s="104" t="s">
        <v>268</v>
      </c>
      <c r="AX217" s="120">
        <v>42900.402777777781</v>
      </c>
      <c r="AY217" s="155">
        <v>41.418550000000003</v>
      </c>
      <c r="AZ217" s="155">
        <v>-69.627700000000004</v>
      </c>
      <c r="BA217" s="32" t="s">
        <v>564</v>
      </c>
      <c r="BB217" s="49" t="s">
        <v>1329</v>
      </c>
      <c r="BC217" s="7"/>
      <c r="BD217" s="7"/>
      <c r="BE217" s="7"/>
      <c r="BF217" s="7"/>
      <c r="BG217" s="7"/>
    </row>
    <row r="218" spans="1:59">
      <c r="A218" s="55" t="str">
        <f>HYPERLINK("tag_data/Quicklook/mn170615-30Quicklook.jpg","mn170615-30")</f>
        <v>mn170615-30</v>
      </c>
      <c r="B218" s="26" t="str">
        <f>LEFT(A218,2)</f>
        <v>mn</v>
      </c>
      <c r="C218" s="42" t="str">
        <f t="shared" si="58"/>
        <v>Stellwagen</v>
      </c>
      <c r="D218" s="64" t="s">
        <v>558</v>
      </c>
      <c r="E218" s="61" t="s">
        <v>559</v>
      </c>
      <c r="F218" s="85">
        <v>-4</v>
      </c>
      <c r="G218" s="60" t="s">
        <v>460</v>
      </c>
      <c r="H218" s="31" t="s">
        <v>39</v>
      </c>
      <c r="I218" s="46" t="str">
        <f>HYPERLINK("tag_data/mn170615-30 (Stellwagen)","Link")</f>
        <v>Link</v>
      </c>
      <c r="J218" s="46" t="str">
        <f>HYPERLINK("tag_data_raw/Stellwagen/2017/mn170615-30","Link")</f>
        <v>Link</v>
      </c>
      <c r="K218" s="46" t="str">
        <f>HYPERLINK("tag_data/mn170615-30 (Stellwagen)/Pics&amp;Vids", "Link")</f>
        <v>Link</v>
      </c>
      <c r="L218" s="46" t="str">
        <f>HYPERLINK("location data/Stellwagen/2017/Videos/6.15/Balaena- Dave/GOPR0041.MP4","Link")</f>
        <v>Link</v>
      </c>
      <c r="M218" s="41" t="s">
        <v>263</v>
      </c>
      <c r="N218" s="42" t="str">
        <f>HYPERLINK("location data/Stellwagen/2017/Tag_Log_2017.xlsx","Link")</f>
        <v>Link</v>
      </c>
      <c r="O218" s="31" t="s">
        <v>315</v>
      </c>
      <c r="P218" s="31" t="s">
        <v>266</v>
      </c>
      <c r="Q218" s="31">
        <v>30</v>
      </c>
      <c r="R218" s="32" t="s">
        <v>306</v>
      </c>
      <c r="S218" s="32" t="str">
        <f>IF(OR(Q218&lt;39,Q218=50,Q218=51,AND(OR(Q218=46,Q218=47),AQ218&gt;43313)),"Cam Mic",IF(AND(Q218&lt;45,AQ218&lt;42958),"Dolphin Ear",IF(AND(Q218&gt;44,NOT(OR(Q218=46,Q218=47,Q218=50,Q218=51))),"HTI","None")))</f>
        <v>Cam Mic</v>
      </c>
      <c r="T218" s="32" t="s">
        <v>566</v>
      </c>
      <c r="U218" s="17">
        <f t="shared" si="59"/>
        <v>5.4652777776937E-2</v>
      </c>
      <c r="V218" s="17">
        <f t="shared" si="56"/>
        <v>5.4652777776937E-2</v>
      </c>
      <c r="W218" s="56">
        <v>5.4652777777777772E-2</v>
      </c>
      <c r="X218" s="31">
        <v>0</v>
      </c>
      <c r="Y218" s="54" t="str">
        <f>HYPERLINK("tag_data/mn170615-30 (Stellwagen)/Video Audit.xlsx","Link")</f>
        <v>Link</v>
      </c>
      <c r="Z218" s="31" t="s">
        <v>39</v>
      </c>
      <c r="AA218" s="31" t="s">
        <v>39</v>
      </c>
      <c r="AB218" s="31" t="s">
        <v>40</v>
      </c>
      <c r="AC218" s="31" t="s">
        <v>41</v>
      </c>
      <c r="AD218" s="31" t="s">
        <v>39</v>
      </c>
      <c r="AE218" s="31" t="s">
        <v>266</v>
      </c>
      <c r="AF218" s="31" t="s">
        <v>39</v>
      </c>
      <c r="AG218" s="31" t="s">
        <v>39</v>
      </c>
      <c r="AH218" s="31" t="s">
        <v>41</v>
      </c>
      <c r="AI218" s="31" t="s">
        <v>39</v>
      </c>
      <c r="AJ218" s="31" t="s">
        <v>41</v>
      </c>
      <c r="AK218" s="31" t="s">
        <v>41</v>
      </c>
      <c r="AL218" s="31" t="s">
        <v>41</v>
      </c>
      <c r="AM218" s="31" t="s">
        <v>41</v>
      </c>
      <c r="AN218" s="32" t="s">
        <v>579</v>
      </c>
      <c r="AO218" s="32" t="s">
        <v>578</v>
      </c>
      <c r="AP218" s="30">
        <v>42901.393414351849</v>
      </c>
      <c r="AQ218" s="30">
        <v>42901.415092592593</v>
      </c>
      <c r="AR218" s="30">
        <v>42901.46974537037</v>
      </c>
      <c r="AS218" s="92" t="s">
        <v>651</v>
      </c>
      <c r="AT218" s="154">
        <v>41.593383333333335</v>
      </c>
      <c r="AU218" s="155">
        <v>-69.633216666666698</v>
      </c>
      <c r="AV218" s="104" t="s">
        <v>299</v>
      </c>
      <c r="AW218" s="104" t="s">
        <v>285</v>
      </c>
      <c r="AX218" s="120">
        <v>42901.488113425927</v>
      </c>
      <c r="AY218" s="155">
        <v>41.588083330000003</v>
      </c>
      <c r="AZ218" s="155">
        <v>-69.633399999999995</v>
      </c>
      <c r="BA218" s="32" t="s">
        <v>580</v>
      </c>
      <c r="BB218" s="49" t="s">
        <v>581</v>
      </c>
      <c r="BC218" s="7"/>
      <c r="BD218" s="7"/>
      <c r="BE218" s="7"/>
      <c r="BF218" s="7"/>
      <c r="BG218" s="7"/>
    </row>
    <row r="219" spans="1:59">
      <c r="A219" s="7" t="s">
        <v>575</v>
      </c>
      <c r="B219" s="26" t="s">
        <v>271</v>
      </c>
      <c r="C219" s="42" t="str">
        <f t="shared" si="58"/>
        <v>Stellwagen</v>
      </c>
      <c r="D219" s="64" t="s">
        <v>558</v>
      </c>
      <c r="E219" s="61" t="s">
        <v>559</v>
      </c>
      <c r="F219" s="85">
        <v>-4</v>
      </c>
      <c r="G219" s="60" t="s">
        <v>460</v>
      </c>
      <c r="H219" s="31" t="s">
        <v>41</v>
      </c>
      <c r="I219" s="46" t="str">
        <f>HYPERLINK("tag_data/mn170615-40a (Stellwagen)","Link")</f>
        <v>Link</v>
      </c>
      <c r="J219" s="46" t="str">
        <f>HYPERLINK("tag_data_raw/Stellwagen/2017/mn170615-40","Link")</f>
        <v>Link</v>
      </c>
      <c r="K219" s="46" t="str">
        <f>HYPERLINK("tag_data/mn170615-40a (Stellwagen)/Pics&amp;Vids", "Link")</f>
        <v>Link</v>
      </c>
      <c r="L219" s="61" t="s">
        <v>263</v>
      </c>
      <c r="M219" s="41" t="s">
        <v>263</v>
      </c>
      <c r="N219" s="42" t="str">
        <f>HYPERLINK("location data/Stellwagen/2017/Tag_Log_2017.xlsx","Link")</f>
        <v>Link</v>
      </c>
      <c r="O219" s="33" t="s">
        <v>576</v>
      </c>
      <c r="P219" s="31" t="s">
        <v>266</v>
      </c>
      <c r="Q219" s="31">
        <v>40</v>
      </c>
      <c r="R219" s="32" t="s">
        <v>347</v>
      </c>
      <c r="S219" s="32" t="s">
        <v>1393</v>
      </c>
      <c r="T219" s="32" t="s">
        <v>566</v>
      </c>
      <c r="U219" s="17">
        <f t="shared" si="59"/>
        <v>1.7361110803904012E-4</v>
      </c>
      <c r="V219" s="17">
        <f t="shared" si="56"/>
        <v>1.7361110803904012E-4</v>
      </c>
      <c r="W219" s="56">
        <v>1.7361110803904012E-4</v>
      </c>
      <c r="X219" s="31">
        <v>0</v>
      </c>
      <c r="Y219" s="31"/>
      <c r="Z219" s="31" t="s">
        <v>41</v>
      </c>
      <c r="AA219" s="31" t="s">
        <v>41</v>
      </c>
      <c r="AB219" s="31" t="s">
        <v>40</v>
      </c>
      <c r="AC219" s="31" t="s">
        <v>41</v>
      </c>
      <c r="AD219" s="31" t="s">
        <v>41</v>
      </c>
      <c r="AE219" s="31" t="s">
        <v>41</v>
      </c>
      <c r="AF219" s="31" t="s">
        <v>41</v>
      </c>
      <c r="AG219" s="31" t="s">
        <v>41</v>
      </c>
      <c r="AH219" s="31" t="s">
        <v>41</v>
      </c>
      <c r="AI219" s="31" t="s">
        <v>41</v>
      </c>
      <c r="AJ219" s="31" t="s">
        <v>41</v>
      </c>
      <c r="AK219" s="31" t="s">
        <v>41</v>
      </c>
      <c r="AL219" s="31" t="s">
        <v>41</v>
      </c>
      <c r="AM219" s="31" t="s">
        <v>41</v>
      </c>
      <c r="AN219" s="32" t="s">
        <v>588</v>
      </c>
      <c r="AO219" s="32" t="s">
        <v>578</v>
      </c>
      <c r="AP219" s="30">
        <v>42901.504363425927</v>
      </c>
      <c r="AQ219" s="30">
        <v>42901.530543981484</v>
      </c>
      <c r="AR219" s="30">
        <v>42901.530717592592</v>
      </c>
      <c r="AS219" s="92" t="s">
        <v>651</v>
      </c>
      <c r="AT219" s="154">
        <v>41.597616670000001</v>
      </c>
      <c r="AU219" s="155">
        <v>-69.621883330000003</v>
      </c>
      <c r="AV219" s="104" t="s">
        <v>299</v>
      </c>
      <c r="AW219" s="104" t="s">
        <v>299</v>
      </c>
      <c r="AX219" s="120">
        <v>42901.53125</v>
      </c>
      <c r="AY219" s="155">
        <v>41.597616670000001</v>
      </c>
      <c r="AZ219" s="155">
        <v>-69.621883330000003</v>
      </c>
      <c r="BA219" s="32" t="s">
        <v>588</v>
      </c>
      <c r="BB219" s="32"/>
      <c r="BC219" s="7"/>
      <c r="BD219" s="7"/>
      <c r="BE219" s="7"/>
      <c r="BF219" s="7"/>
      <c r="BG219" s="7"/>
    </row>
    <row r="220" spans="1:59">
      <c r="A220" s="55" t="str">
        <f>HYPERLINK("tag_data/Quicklook/mn170615-40bQuicklook.jpg","mn170615-40b")</f>
        <v>mn170615-40b</v>
      </c>
      <c r="B220" s="26" t="s">
        <v>271</v>
      </c>
      <c r="C220" s="42" t="str">
        <f t="shared" si="58"/>
        <v>Stellwagen</v>
      </c>
      <c r="D220" s="64" t="s">
        <v>558</v>
      </c>
      <c r="E220" s="61" t="s">
        <v>559</v>
      </c>
      <c r="F220" s="85">
        <v>-4</v>
      </c>
      <c r="G220" s="60" t="s">
        <v>460</v>
      </c>
      <c r="H220" s="31" t="s">
        <v>39</v>
      </c>
      <c r="I220" s="46" t="str">
        <f>HYPERLINK("tag_data/mn170615-40b (Stellwagen)","Link")</f>
        <v>Link</v>
      </c>
      <c r="J220" s="46" t="str">
        <f>HYPERLINK("tag_data_raw/Stellwagen/2017/mn170615-40","Link")</f>
        <v>Link</v>
      </c>
      <c r="K220" s="46" t="str">
        <f>HYPERLINK("tag_data/mn170615-40b (Stellwagen)/Pics&amp;Vids", "Link")</f>
        <v>Link</v>
      </c>
      <c r="L220" s="42" t="str">
        <f>HYPERLINK("location data/Stellwagen/2017/Videos/6.15/Balaena- Dave/GOPR0183.MP4", "Link")</f>
        <v>Link</v>
      </c>
      <c r="M220" s="41" t="s">
        <v>263</v>
      </c>
      <c r="N220" s="42" t="str">
        <f>HYPERLINK("location data/Stellwagen/2017/Tag_Log_2017.xlsx","Link")</f>
        <v>Link</v>
      </c>
      <c r="O220" s="31" t="s">
        <v>577</v>
      </c>
      <c r="P220" s="31" t="s">
        <v>266</v>
      </c>
      <c r="Q220" s="31">
        <v>40</v>
      </c>
      <c r="R220" s="32" t="s">
        <v>347</v>
      </c>
      <c r="S220" s="32" t="s">
        <v>1393</v>
      </c>
      <c r="T220" s="32" t="s">
        <v>533</v>
      </c>
      <c r="U220" s="17">
        <f t="shared" si="59"/>
        <v>1.1818055555559113</v>
      </c>
      <c r="V220" s="17">
        <f t="shared" si="56"/>
        <v>1.1319791666683159</v>
      </c>
      <c r="W220" s="56">
        <v>0.35708333333333336</v>
      </c>
      <c r="X220" s="46" t="str">
        <f>HYPERLINK("tag_data/mn170615-40b (Stellwagen)/mn170615-40b Map.bmp","66")</f>
        <v>66</v>
      </c>
      <c r="Y220" s="31"/>
      <c r="Z220" s="31" t="s">
        <v>39</v>
      </c>
      <c r="AA220" s="31" t="s">
        <v>39</v>
      </c>
      <c r="AB220" s="31" t="s">
        <v>40</v>
      </c>
      <c r="AC220" s="31" t="s">
        <v>41</v>
      </c>
      <c r="AD220" s="31" t="s">
        <v>39</v>
      </c>
      <c r="AE220" s="31" t="s">
        <v>41</v>
      </c>
      <c r="AF220" s="31" t="s">
        <v>39</v>
      </c>
      <c r="AG220" s="31" t="s">
        <v>41</v>
      </c>
      <c r="AH220" s="33" t="s">
        <v>481</v>
      </c>
      <c r="AI220" s="33" t="s">
        <v>291</v>
      </c>
      <c r="AJ220" s="31" t="s">
        <v>39</v>
      </c>
      <c r="AK220" s="31" t="s">
        <v>41</v>
      </c>
      <c r="AL220" s="31" t="s">
        <v>41</v>
      </c>
      <c r="AM220" s="31" t="s">
        <v>41</v>
      </c>
      <c r="AN220" s="32" t="s">
        <v>589</v>
      </c>
      <c r="AO220" s="32" t="s">
        <v>578</v>
      </c>
      <c r="AP220" s="30">
        <v>42901.504363425927</v>
      </c>
      <c r="AQ220" s="30">
        <v>42901.568194444444</v>
      </c>
      <c r="AR220" s="30">
        <v>42902.75</v>
      </c>
      <c r="AS220" s="92">
        <v>42902.700173611112</v>
      </c>
      <c r="AT220" s="154">
        <v>41.59118333</v>
      </c>
      <c r="AU220" s="155">
        <v>-69.627716669999998</v>
      </c>
      <c r="AV220" s="104" t="s">
        <v>299</v>
      </c>
      <c r="AW220" s="104" t="s">
        <v>268</v>
      </c>
      <c r="AX220" s="120">
        <v>42903.5</v>
      </c>
      <c r="AY220" s="155">
        <v>41.692549999999997</v>
      </c>
      <c r="AZ220" s="155">
        <v>-69.586849999999998</v>
      </c>
      <c r="BA220" s="32" t="s">
        <v>625</v>
      </c>
      <c r="BB220" s="49" t="s">
        <v>624</v>
      </c>
      <c r="BC220" s="7"/>
      <c r="BD220" s="7"/>
      <c r="BE220" s="7"/>
      <c r="BF220" s="7"/>
      <c r="BG220" s="7"/>
    </row>
    <row r="221" spans="1:59">
      <c r="A221" s="55" t="str">
        <f>HYPERLINK("tag_data/Quicklook/mn170703-38Quicklook.jpg","mn170703-38")</f>
        <v>mn170703-38</v>
      </c>
      <c r="B221" s="26" t="s">
        <v>271</v>
      </c>
      <c r="C221" s="46" t="str">
        <f>HYPERLINK("location data/SoCal/2017_BBC","SoCal")</f>
        <v>SoCal</v>
      </c>
      <c r="D221" s="65" t="s">
        <v>470</v>
      </c>
      <c r="E221" s="89" t="s">
        <v>599</v>
      </c>
      <c r="F221" s="86">
        <v>-7</v>
      </c>
      <c r="G221" s="60" t="s">
        <v>457</v>
      </c>
      <c r="H221" s="31" t="s">
        <v>39</v>
      </c>
      <c r="I221" s="46" t="str">
        <f>HYPERLINK("tag_data/mn170703-38 (SoCal_BBC)","Link")</f>
        <v>Link</v>
      </c>
      <c r="J221" s="46" t="str">
        <f>HYPERLINK("tag_data_raw/SoCal/2017_BBC/mn170703-38","Link")</f>
        <v>Link</v>
      </c>
      <c r="K221" s="46" t="str">
        <f>HYPERLINK("tag_data/mn170703-38 (SoCal_BBC)/Pics&amp;Vids","Link")</f>
        <v>Link</v>
      </c>
      <c r="L221" s="54" t="str">
        <f>HYPERLINK("location data/SoCal/2017_BBC/20170703-MUS-MN-Deploy2K-GOPR0310.MP4","Link")</f>
        <v>Link</v>
      </c>
      <c r="M221" s="41" t="s">
        <v>263</v>
      </c>
      <c r="N221" s="54" t="str">
        <f>HYPERLINK("location data/SoCal/2017_BBC/20170703-MUS.mdb","Link")</f>
        <v>Link</v>
      </c>
      <c r="O221" s="31" t="s">
        <v>45</v>
      </c>
      <c r="P221" s="31" t="s">
        <v>266</v>
      </c>
      <c r="Q221" s="31">
        <v>38</v>
      </c>
      <c r="R221" s="32" t="s">
        <v>306</v>
      </c>
      <c r="S221" s="32" t="s">
        <v>1393</v>
      </c>
      <c r="T221" s="32" t="s">
        <v>263</v>
      </c>
      <c r="U221" s="17">
        <f t="shared" si="59"/>
        <v>9.8958333328482695E-3</v>
      </c>
      <c r="V221" s="17">
        <f t="shared" si="56"/>
        <v>9.8958333328482695E-3</v>
      </c>
      <c r="W221" s="56" t="s">
        <v>346</v>
      </c>
      <c r="X221" s="46" t="str">
        <f>HYPERLINK("tag_data/mn170703-38 (SoCal_BBC)/mn170703-38 Map.bmp","9")</f>
        <v>9</v>
      </c>
      <c r="Y221" s="31" t="s">
        <v>263</v>
      </c>
      <c r="Z221" s="31" t="s">
        <v>39</v>
      </c>
      <c r="AA221" s="31" t="s">
        <v>41</v>
      </c>
      <c r="AB221" s="33" t="s">
        <v>365</v>
      </c>
      <c r="AC221" s="31" t="s">
        <v>41</v>
      </c>
      <c r="AD221" s="31" t="s">
        <v>41</v>
      </c>
      <c r="AE221" s="31" t="s">
        <v>41</v>
      </c>
      <c r="AF221" s="31" t="s">
        <v>41</v>
      </c>
      <c r="AG221" s="31" t="s">
        <v>41</v>
      </c>
      <c r="AH221" s="31" t="s">
        <v>41</v>
      </c>
      <c r="AI221" s="31" t="s">
        <v>41</v>
      </c>
      <c r="AJ221" s="31" t="s">
        <v>41</v>
      </c>
      <c r="AK221" s="31" t="s">
        <v>41</v>
      </c>
      <c r="AL221" s="31" t="s">
        <v>41</v>
      </c>
      <c r="AM221" s="31" t="s">
        <v>41</v>
      </c>
      <c r="AN221" s="32" t="s">
        <v>366</v>
      </c>
      <c r="AO221" s="32" t="s">
        <v>343</v>
      </c>
      <c r="AP221" s="30">
        <v>42919.509050925924</v>
      </c>
      <c r="AQ221" s="30">
        <v>42919.570127314815</v>
      </c>
      <c r="AR221" s="30">
        <v>42919.580023148148</v>
      </c>
      <c r="AS221" s="92" t="s">
        <v>651</v>
      </c>
      <c r="AT221" s="154">
        <f>34+19/60+5.3/60/60</f>
        <v>34.318138888888889</v>
      </c>
      <c r="AU221" s="155">
        <f>-119-41/60-15.4/60/60</f>
        <v>-119.68761111111111</v>
      </c>
      <c r="AV221" s="104" t="s">
        <v>313</v>
      </c>
      <c r="AW221" s="104" t="s">
        <v>313</v>
      </c>
      <c r="AX221" s="120">
        <v>42919.584502314814</v>
      </c>
      <c r="AY221" s="155">
        <f>34+19/60+4.7/60/60</f>
        <v>34.317972222222224</v>
      </c>
      <c r="AZ221" s="155">
        <f>-119-41/60-49.4/60/60</f>
        <v>-119.69705555555556</v>
      </c>
      <c r="BA221" s="32" t="s">
        <v>368</v>
      </c>
      <c r="BB221" s="49" t="s">
        <v>367</v>
      </c>
      <c r="BC221" s="7"/>
      <c r="BD221" s="7"/>
      <c r="BE221" s="7"/>
      <c r="BF221" s="7"/>
      <c r="BG221" s="7"/>
    </row>
    <row r="222" spans="1:59">
      <c r="A222" s="55" t="str">
        <f>HYPERLINK("tag_data/Quicklook/mn170703-40Quicklook.jpg","mn170703-40")</f>
        <v>mn170703-40</v>
      </c>
      <c r="B222" s="26" t="str">
        <f>LEFT(A222,2)</f>
        <v>mn</v>
      </c>
      <c r="C222" s="46" t="str">
        <f>HYPERLINK("location data/Monterey/2017/","Monterey")</f>
        <v>Monterey</v>
      </c>
      <c r="D222" s="64" t="s">
        <v>465</v>
      </c>
      <c r="E222" s="61" t="s">
        <v>549</v>
      </c>
      <c r="F222" s="85">
        <v>-7</v>
      </c>
      <c r="G222" s="60" t="s">
        <v>455</v>
      </c>
      <c r="H222" s="31" t="s">
        <v>39</v>
      </c>
      <c r="I222" s="46" t="str">
        <f>HYPERLINK("tag_data/mn170703-40 (Monterey)","Link")</f>
        <v>Link</v>
      </c>
      <c r="J222" s="46" t="str">
        <f>HYPERLINK("tag_data_raw/Monterey/2017/mn170703-40","Link")</f>
        <v>Link</v>
      </c>
      <c r="K222" s="46" t="str">
        <f>HYPERLINK("tag_data/mn170703-40 (Monterey)/Pics&amp;Vids","Link")</f>
        <v>Link</v>
      </c>
      <c r="L222" s="41" t="s">
        <v>263</v>
      </c>
      <c r="M222" s="54" t="str">
        <f>HYPERLINK("tag_data/mn170703-40 (Monterey)/Pics&amp;Vids/drone","10.1 m")</f>
        <v>10.1 m</v>
      </c>
      <c r="N222" s="41" t="s">
        <v>263</v>
      </c>
      <c r="O222" s="54" t="str">
        <f>HYPERLINK("https://happywhale.com/user/622;enc=38640","U")</f>
        <v>U</v>
      </c>
      <c r="P222" s="31" t="s">
        <v>41</v>
      </c>
      <c r="Q222" s="31">
        <v>40</v>
      </c>
      <c r="R222" s="32" t="s">
        <v>347</v>
      </c>
      <c r="S222" s="32" t="s">
        <v>1393</v>
      </c>
      <c r="T222" s="32" t="s">
        <v>533</v>
      </c>
      <c r="U222" s="17">
        <f t="shared" si="59"/>
        <v>0.4334374999962165</v>
      </c>
      <c r="V222" s="17">
        <f t="shared" si="56"/>
        <v>0.4334374999962165</v>
      </c>
      <c r="W222" s="56">
        <v>0.21456018518518519</v>
      </c>
      <c r="X222" s="31">
        <v>0</v>
      </c>
      <c r="Y222" s="31"/>
      <c r="Z222" s="31" t="s">
        <v>39</v>
      </c>
      <c r="AA222" s="31" t="s">
        <v>41</v>
      </c>
      <c r="AB222" s="31" t="s">
        <v>277</v>
      </c>
      <c r="AC222" s="31" t="s">
        <v>41</v>
      </c>
      <c r="AD222" s="31" t="s">
        <v>41</v>
      </c>
      <c r="AE222" s="31" t="s">
        <v>41</v>
      </c>
      <c r="AF222" s="31" t="s">
        <v>39</v>
      </c>
      <c r="AG222" s="31" t="s">
        <v>41</v>
      </c>
      <c r="AH222" s="31" t="s">
        <v>41</v>
      </c>
      <c r="AI222" s="31" t="s">
        <v>39</v>
      </c>
      <c r="AJ222" s="31" t="s">
        <v>39</v>
      </c>
      <c r="AK222" s="31" t="s">
        <v>41</v>
      </c>
      <c r="AL222" s="31" t="s">
        <v>41</v>
      </c>
      <c r="AM222" s="31" t="s">
        <v>41</v>
      </c>
      <c r="AN222" s="32" t="s">
        <v>631</v>
      </c>
      <c r="AO222" s="32" t="s">
        <v>360</v>
      </c>
      <c r="AP222" s="30">
        <v>42919.376620370371</v>
      </c>
      <c r="AQ222" s="30">
        <v>42919.478194444448</v>
      </c>
      <c r="AR222" s="30">
        <v>42919.911631944444</v>
      </c>
      <c r="AS222" s="92" t="s">
        <v>651</v>
      </c>
      <c r="AT222" s="154">
        <v>36.826965473592203</v>
      </c>
      <c r="AU222" s="155">
        <v>-122.14540625922299</v>
      </c>
      <c r="AV222" s="104" t="s">
        <v>312</v>
      </c>
      <c r="AW222" s="104" t="s">
        <v>312</v>
      </c>
      <c r="AX222" s="120">
        <v>42920.494444444441</v>
      </c>
      <c r="AY222" s="155">
        <f>36+54.7/60</f>
        <v>36.911666666666669</v>
      </c>
      <c r="AZ222" s="155">
        <f>-122-18/60</f>
        <v>-122.3</v>
      </c>
      <c r="BA222" s="32" t="s">
        <v>632</v>
      </c>
      <c r="BB222" s="49" t="s">
        <v>1330</v>
      </c>
      <c r="BC222" s="7"/>
      <c r="BD222" s="7"/>
      <c r="BE222" s="7"/>
      <c r="BF222" s="7"/>
      <c r="BG222" s="7"/>
    </row>
    <row r="223" spans="1:59">
      <c r="A223" s="55" t="str">
        <f>HYPERLINK("tag_data/Quicklook/mn170807-40Quicklook.jpg","mn170807-40")</f>
        <v>mn170807-40</v>
      </c>
      <c r="B223" s="26" t="s">
        <v>271</v>
      </c>
      <c r="C223" s="46" t="str">
        <f t="shared" ref="C223:C236" si="60">HYPERLINK("location data/IOS_Scaling/2017","SoCal")</f>
        <v>SoCal</v>
      </c>
      <c r="D223" s="64" t="s">
        <v>849</v>
      </c>
      <c r="E223" s="69" t="s">
        <v>1154</v>
      </c>
      <c r="F223" s="85">
        <v>-7</v>
      </c>
      <c r="G223" s="60" t="s">
        <v>456</v>
      </c>
      <c r="H223" s="31" t="s">
        <v>39</v>
      </c>
      <c r="I223" s="46" t="str">
        <f>HYPERLINK("tag_data/mn170807-40 (IOS_SoCal)","Link")</f>
        <v>Link</v>
      </c>
      <c r="J223" s="46" t="str">
        <f>HYPERLINK("tag_data_raw/IOS_Scaling/2017/mn170807-40","Link")</f>
        <v>Link</v>
      </c>
      <c r="K223" s="46" t="str">
        <f>HYPERLINK("tag_data/mn170807-40 (IOS_SoCal)/Pics&amp;Vids","Link")</f>
        <v>Link</v>
      </c>
      <c r="L223" s="63" t="s">
        <v>263</v>
      </c>
      <c r="M223" s="54" t="str">
        <f>HYPERLINK("tag_data/mn170807-40 (IOS_SoCal)/Pics&amp;Vids/drone","10.44 m")</f>
        <v>10.44 m</v>
      </c>
      <c r="N223" s="46" t="str">
        <f t="shared" ref="N223:N242" si="61">HYPERLINK("location data/IOS_Scaling/2017/Stanford-IOS-CompiledMobile Data-7-18Aug2017.mdb","Link")</f>
        <v>Link</v>
      </c>
      <c r="O223" s="54" t="s">
        <v>45</v>
      </c>
      <c r="P223" s="31" t="s">
        <v>41</v>
      </c>
      <c r="Q223" s="31">
        <v>40</v>
      </c>
      <c r="R223" s="32" t="s">
        <v>347</v>
      </c>
      <c r="S223" s="32" t="s">
        <v>1393</v>
      </c>
      <c r="T223" s="32" t="s">
        <v>38</v>
      </c>
      <c r="U223" s="17">
        <f t="shared" si="59"/>
        <v>0.16207175925956108</v>
      </c>
      <c r="V223" s="17">
        <f t="shared" si="56"/>
        <v>0.16207175925956108</v>
      </c>
      <c r="W223" s="56">
        <v>0.15982638888888889</v>
      </c>
      <c r="X223" s="46" t="str">
        <f>HYPERLINK("tag_data/mn170807-40 (IOS_SoCal)/mn170807-40 Map.bmp","8")</f>
        <v>8</v>
      </c>
      <c r="Y223" s="54" t="str">
        <f>HYPERLINK("tag_data/mn170807-40 (IOS_SoCal)/Video Audit.xlsx","Link")</f>
        <v>Link</v>
      </c>
      <c r="Z223" s="31" t="s">
        <v>39</v>
      </c>
      <c r="AA223" s="31" t="s">
        <v>39</v>
      </c>
      <c r="AB223" s="31" t="s">
        <v>380</v>
      </c>
      <c r="AC223" s="31" t="s">
        <v>41</v>
      </c>
      <c r="AD223" s="31" t="s">
        <v>39</v>
      </c>
      <c r="AE223" s="31" t="s">
        <v>41</v>
      </c>
      <c r="AF223" s="31" t="s">
        <v>266</v>
      </c>
      <c r="AG223" s="31" t="s">
        <v>41</v>
      </c>
      <c r="AH223" s="31" t="s">
        <v>41</v>
      </c>
      <c r="AI223" s="31" t="s">
        <v>39</v>
      </c>
      <c r="AJ223" s="31" t="s">
        <v>39</v>
      </c>
      <c r="AK223" s="31" t="s">
        <v>41</v>
      </c>
      <c r="AL223" s="33" t="s">
        <v>606</v>
      </c>
      <c r="AM223" s="33" t="s">
        <v>604</v>
      </c>
      <c r="AN223" s="32" t="s">
        <v>605</v>
      </c>
      <c r="AO223" s="32" t="s">
        <v>343</v>
      </c>
      <c r="AP223" s="30">
        <v>42954.494444444441</v>
      </c>
      <c r="AQ223" s="30">
        <v>42954.534166666665</v>
      </c>
      <c r="AR223" s="30">
        <v>42954.696238425924</v>
      </c>
      <c r="AS223" s="92" t="s">
        <v>651</v>
      </c>
      <c r="AT223" s="154">
        <v>34.354599999999998</v>
      </c>
      <c r="AU223" s="155">
        <v>-119.7184</v>
      </c>
      <c r="AV223" s="104" t="s">
        <v>339</v>
      </c>
      <c r="AW223" s="104" t="s">
        <v>339</v>
      </c>
      <c r="AX223" s="120">
        <v>42955.322916666664</v>
      </c>
      <c r="AY223" s="155">
        <v>34.242600000000003</v>
      </c>
      <c r="AZ223" s="155">
        <v>-119.8004</v>
      </c>
      <c r="BA223" s="32" t="s">
        <v>607</v>
      </c>
      <c r="BB223" s="49" t="s">
        <v>1331</v>
      </c>
      <c r="BC223" s="7"/>
      <c r="BD223" s="7"/>
      <c r="BE223" s="7"/>
      <c r="BF223" s="7"/>
      <c r="BG223" s="7"/>
    </row>
    <row r="224" spans="1:59">
      <c r="A224" s="55" t="str">
        <f>HYPERLINK("tag_data/Quicklook/mn170807-41Quicklook.jpg","mn170807-41")</f>
        <v>mn170807-41</v>
      </c>
      <c r="B224" s="26" t="s">
        <v>271</v>
      </c>
      <c r="C224" s="46" t="str">
        <f t="shared" si="60"/>
        <v>SoCal</v>
      </c>
      <c r="D224" s="64" t="s">
        <v>849</v>
      </c>
      <c r="E224" s="69" t="s">
        <v>1154</v>
      </c>
      <c r="F224" s="85">
        <v>-7</v>
      </c>
      <c r="G224" s="60" t="s">
        <v>456</v>
      </c>
      <c r="H224" s="31" t="s">
        <v>39</v>
      </c>
      <c r="I224" s="46" t="str">
        <f>HYPERLINK("tag_data/mn170807-41 (IOS_SoCal)","Link")</f>
        <v>Link</v>
      </c>
      <c r="J224" s="46" t="str">
        <f>HYPERLINK("tag_data_raw/IOS_Scaling/2017/mn170807-41","Link")</f>
        <v>Link</v>
      </c>
      <c r="K224" s="46" t="str">
        <f>HYPERLINK("tag_data/mn170807-41 (IOS_SoCal)/Pics&amp;Vids","Link")</f>
        <v>Link</v>
      </c>
      <c r="L224" s="46" t="str">
        <f>HYPERLINK("location data/IOS_Scaling/2017/Pics&amp;Vids/08.07/Ziphiid Videos/20170807-ZIP-Tag41-Depl-GOPR0029.MP4","Link")</f>
        <v>Link</v>
      </c>
      <c r="M224" s="54" t="str">
        <f>HYPERLINK("tag_data/mn170807-41 (IOS_SoCal)/Pics&amp;Vids/drone","12.17 m")</f>
        <v>12.17 m</v>
      </c>
      <c r="N224" s="46" t="str">
        <f t="shared" si="61"/>
        <v>Link</v>
      </c>
      <c r="O224" s="54" t="str">
        <f>HYPERLINK("https://happywhale.com/individual/22325;enc=27439;event=107569","CRC-16752")</f>
        <v>CRC-16752</v>
      </c>
      <c r="P224" s="31" t="s">
        <v>41</v>
      </c>
      <c r="Q224" s="31">
        <v>41</v>
      </c>
      <c r="R224" s="32" t="s">
        <v>347</v>
      </c>
      <c r="S224" s="32" t="str">
        <f t="shared" ref="S224:S233" si="62">IF(OR(Q224&lt;39,Q224=50,Q224=51,AND(OR(Q224=46,Q224=47),AQ224&gt;43313)),"Cam Mic",IF(AND(Q224&lt;45,AQ224&lt;42958),"Dolphin Ear",IF(AND(Q224&gt;44,NOT(OR(Q224=46,Q224=47,Q224=50,Q224=51))),"HTI","None")))</f>
        <v>Dolphin Ear</v>
      </c>
      <c r="T224" s="32" t="s">
        <v>480</v>
      </c>
      <c r="U224" s="17">
        <f t="shared" si="59"/>
        <v>6.5937499995925464E-2</v>
      </c>
      <c r="V224" s="17">
        <f t="shared" si="56"/>
        <v>6.5937499995925464E-2</v>
      </c>
      <c r="W224" s="56">
        <v>6.4930555555555561E-2</v>
      </c>
      <c r="X224" s="46" t="str">
        <f>HYPERLINK("tag_data/mn170807-41 (IOS_SoCal)/mn170807-41 Map.bmp","11")</f>
        <v>11</v>
      </c>
      <c r="Y224" s="54"/>
      <c r="Z224" s="31" t="s">
        <v>39</v>
      </c>
      <c r="AA224" s="31" t="s">
        <v>39</v>
      </c>
      <c r="AB224" s="31" t="s">
        <v>380</v>
      </c>
      <c r="AC224" s="31" t="s">
        <v>41</v>
      </c>
      <c r="AD224" s="31" t="s">
        <v>39</v>
      </c>
      <c r="AE224" s="31" t="s">
        <v>266</v>
      </c>
      <c r="AF224" s="31" t="s">
        <v>39</v>
      </c>
      <c r="AG224" s="31" t="s">
        <v>41</v>
      </c>
      <c r="AH224" s="31" t="s">
        <v>41</v>
      </c>
      <c r="AI224" s="31" t="s">
        <v>39</v>
      </c>
      <c r="AJ224" s="31" t="s">
        <v>41</v>
      </c>
      <c r="AK224" s="31" t="s">
        <v>41</v>
      </c>
      <c r="AL224" s="31" t="s">
        <v>41</v>
      </c>
      <c r="AM224" s="33" t="s">
        <v>519</v>
      </c>
      <c r="AN224" s="32" t="s">
        <v>518</v>
      </c>
      <c r="AO224" s="32" t="s">
        <v>343</v>
      </c>
      <c r="AP224" s="30">
        <v>42954.368784722225</v>
      </c>
      <c r="AQ224" s="30">
        <v>42954.390381944446</v>
      </c>
      <c r="AR224" s="30">
        <v>42954.456319444442</v>
      </c>
      <c r="AS224" s="92" t="s">
        <v>651</v>
      </c>
      <c r="AT224" s="214">
        <v>34.264899999999997</v>
      </c>
      <c r="AU224" s="166">
        <v>-119.8049</v>
      </c>
      <c r="AV224" s="104" t="s">
        <v>339</v>
      </c>
      <c r="AW224" s="104" t="s">
        <v>339</v>
      </c>
      <c r="AX224" s="120">
        <v>42954.460416666669</v>
      </c>
      <c r="AY224" s="155">
        <v>34.291200000000003</v>
      </c>
      <c r="AZ224" s="155">
        <v>-119.7413</v>
      </c>
      <c r="BA224" s="32" t="s">
        <v>528</v>
      </c>
      <c r="BB224" s="49"/>
      <c r="BC224" s="7"/>
      <c r="BD224" s="7"/>
      <c r="BE224" s="7"/>
      <c r="BF224" s="7"/>
      <c r="BG224" s="7"/>
    </row>
    <row r="225" spans="1:59">
      <c r="A225" s="55" t="str">
        <f>HYPERLINK("tag_data/Quicklook/mn170807-50cQuicklook.jpg","mn170807-50c")</f>
        <v>mn170807-50c</v>
      </c>
      <c r="B225" s="26" t="s">
        <v>271</v>
      </c>
      <c r="C225" s="46" t="str">
        <f t="shared" si="60"/>
        <v>SoCal</v>
      </c>
      <c r="D225" s="64" t="s">
        <v>849</v>
      </c>
      <c r="E225" s="69" t="s">
        <v>1154</v>
      </c>
      <c r="F225" s="85">
        <v>-7</v>
      </c>
      <c r="G225" s="60" t="s">
        <v>456</v>
      </c>
      <c r="H225" s="31" t="s">
        <v>39</v>
      </c>
      <c r="I225" s="46" t="str">
        <f>HYPERLINK("tag_data/mn170807-50c (IOS_SoCal)","Link")</f>
        <v>Link</v>
      </c>
      <c r="J225" s="46" t="str">
        <f>HYPERLINK("tag_data_raw/IOS_Scaling/2017/mn170807-50","Link")</f>
        <v>Link</v>
      </c>
      <c r="K225" s="46" t="str">
        <f>HYPERLINK("tag_data/mn170807-50c (IOS_SoCal)/Pics&amp;Vids","Link")</f>
        <v>Link</v>
      </c>
      <c r="L225" s="46" t="str">
        <f>HYPERLINK("location data/IOS_Scaling/2017/Pics&amp;Vids/08.07/Ziphiid Videos/20170807-ZIP-Tag50C-Depl-GOPR0340.MP4","Link")</f>
        <v>Link</v>
      </c>
      <c r="M225" s="54" t="str">
        <f>HYPERLINK("tag_data/mn170807-50c (IOS_SoCal)/Pics&amp;Vids/drone","10.49 m")</f>
        <v>10.49 m</v>
      </c>
      <c r="N225" s="46" t="str">
        <f t="shared" si="61"/>
        <v>Link</v>
      </c>
      <c r="O225" s="79" t="s">
        <v>1454</v>
      </c>
      <c r="P225" s="31" t="s">
        <v>41</v>
      </c>
      <c r="Q225" s="31">
        <v>50</v>
      </c>
      <c r="R225" s="32" t="s">
        <v>475</v>
      </c>
      <c r="S225" s="32" t="str">
        <f t="shared" si="62"/>
        <v>Cam Mic</v>
      </c>
      <c r="T225" s="32" t="s">
        <v>474</v>
      </c>
      <c r="U225" s="17">
        <f t="shared" si="59"/>
        <v>2.1076388889923692E-2</v>
      </c>
      <c r="V225" s="17">
        <f t="shared" si="56"/>
        <v>2.1076388889923692E-2</v>
      </c>
      <c r="W225" s="56">
        <v>2.1076388888888891E-2</v>
      </c>
      <c r="X225" s="46" t="str">
        <f>HYPERLINK("tag_data/mn170807-50c (IOS_SoCal)/mn170807-50c Map.bmp","4")</f>
        <v>4</v>
      </c>
      <c r="Y225" s="54" t="str">
        <f>HYPERLINK("tag_data/mn170807-50c (IOS_SoCal)/vidaudit.xlsx","Link")</f>
        <v>Link</v>
      </c>
      <c r="Z225" s="31" t="s">
        <v>41</v>
      </c>
      <c r="AA225" s="31" t="s">
        <v>41</v>
      </c>
      <c r="AB225" s="31" t="s">
        <v>380</v>
      </c>
      <c r="AC225" s="31" t="s">
        <v>41</v>
      </c>
      <c r="AD225" s="31" t="s">
        <v>41</v>
      </c>
      <c r="AE225" s="31" t="s">
        <v>39</v>
      </c>
      <c r="AF225" s="31" t="s">
        <v>39</v>
      </c>
      <c r="AG225" s="31" t="s">
        <v>41</v>
      </c>
      <c r="AH225" s="31" t="s">
        <v>41</v>
      </c>
      <c r="AI225" s="31" t="s">
        <v>41</v>
      </c>
      <c r="AJ225" s="31" t="s">
        <v>41</v>
      </c>
      <c r="AK225" s="31" t="s">
        <v>39</v>
      </c>
      <c r="AL225" s="31" t="s">
        <v>41</v>
      </c>
      <c r="AM225" s="33" t="s">
        <v>394</v>
      </c>
      <c r="AN225" s="32" t="s">
        <v>608</v>
      </c>
      <c r="AO225" s="32" t="s">
        <v>343</v>
      </c>
      <c r="AP225" s="30">
        <v>42954.326238425929</v>
      </c>
      <c r="AQ225" s="30">
        <v>42954.426979166667</v>
      </c>
      <c r="AR225" s="30">
        <v>42954.448055555556</v>
      </c>
      <c r="AS225" s="92" t="s">
        <v>651</v>
      </c>
      <c r="AT225" s="154">
        <v>34.275500000000001</v>
      </c>
      <c r="AU225" s="155">
        <v>-119.7856</v>
      </c>
      <c r="AV225" s="104" t="s">
        <v>339</v>
      </c>
      <c r="AW225" s="104" t="s">
        <v>339</v>
      </c>
      <c r="AX225" s="120">
        <v>42954.46597222222</v>
      </c>
      <c r="AY225" s="155">
        <v>34.303400000000003</v>
      </c>
      <c r="AZ225" s="155">
        <v>-119.74769999999999</v>
      </c>
      <c r="BA225" s="32" t="s">
        <v>609</v>
      </c>
      <c r="BB225" s="49" t="s">
        <v>582</v>
      </c>
      <c r="BC225" s="7"/>
      <c r="BD225" s="7"/>
      <c r="BE225" s="7"/>
      <c r="BF225" s="7"/>
      <c r="BG225" s="7"/>
    </row>
    <row r="226" spans="1:59">
      <c r="A226" s="55" t="str">
        <f>HYPERLINK("tag_data/Quicklook/mn170808-42Quicklook.jpg","mn170808-42")</f>
        <v>mn170808-42</v>
      </c>
      <c r="B226" s="68" t="s">
        <v>271</v>
      </c>
      <c r="C226" s="46" t="str">
        <f t="shared" si="60"/>
        <v>SoCal</v>
      </c>
      <c r="D226" s="64" t="s">
        <v>849</v>
      </c>
      <c r="E226" s="69" t="s">
        <v>1154</v>
      </c>
      <c r="F226" s="87">
        <v>-7</v>
      </c>
      <c r="G226" s="70" t="s">
        <v>456</v>
      </c>
      <c r="H226" s="31" t="s">
        <v>39</v>
      </c>
      <c r="I226" s="46" t="str">
        <f>HYPERLINK("tag_data/mn170808-42 (IOS_SoCal)","Link")</f>
        <v>Link</v>
      </c>
      <c r="J226" s="46" t="str">
        <f>HYPERLINK("tag_data_raw/IOS_Scaling/2017/mn170808-42","Link")</f>
        <v>Link</v>
      </c>
      <c r="K226" s="46" t="str">
        <f>HYPERLINK("tag_data/mn170808-42 (IOS_SoCal)/Pics&amp;Vids","Link")</f>
        <v>Link</v>
      </c>
      <c r="L226" s="46" t="str">
        <f>HYPERLINK("location data/IOS_Scaling/2017/Pics&amp;Vids/08.08/Ziphiid Videos/20170808-ZIP-Tag42-Depl-GOPR0346.MP4","Link")</f>
        <v>Link</v>
      </c>
      <c r="M226" s="54" t="str">
        <f>HYPERLINK("tag_data/mn170808-42 (IOS_SoCal)/Pics&amp;Vids/drone","8.22 m")</f>
        <v>8.22 m</v>
      </c>
      <c r="N226" s="46" t="str">
        <f t="shared" si="61"/>
        <v>Link</v>
      </c>
      <c r="O226" s="55" t="str">
        <f>HYPERLINK("https://happywhale.com/individual/3761;enc=27441","CRC-16577 (MN0500495)")</f>
        <v>CRC-16577 (MN0500495)</v>
      </c>
      <c r="P226" s="71" t="s">
        <v>39</v>
      </c>
      <c r="Q226" s="71">
        <v>42</v>
      </c>
      <c r="R226" s="38" t="s">
        <v>347</v>
      </c>
      <c r="S226" s="32" t="str">
        <f t="shared" si="62"/>
        <v>Dolphin Ear</v>
      </c>
      <c r="T226" s="38" t="s">
        <v>38</v>
      </c>
      <c r="U226" s="17">
        <f t="shared" si="59"/>
        <v>0.16202546295971842</v>
      </c>
      <c r="V226" s="17">
        <f t="shared" si="56"/>
        <v>0.16202546295971842</v>
      </c>
      <c r="W226" s="56">
        <v>0.15964120370370369</v>
      </c>
      <c r="X226" s="61">
        <v>0</v>
      </c>
      <c r="Y226" s="54"/>
      <c r="Z226" s="31" t="s">
        <v>39</v>
      </c>
      <c r="AA226" s="31" t="s">
        <v>39</v>
      </c>
      <c r="AB226" s="31" t="s">
        <v>380</v>
      </c>
      <c r="AC226" s="31" t="s">
        <v>41</v>
      </c>
      <c r="AD226" s="31" t="s">
        <v>39</v>
      </c>
      <c r="AE226" s="31" t="s">
        <v>266</v>
      </c>
      <c r="AF226" s="31" t="s">
        <v>41</v>
      </c>
      <c r="AG226" s="31" t="s">
        <v>41</v>
      </c>
      <c r="AH226" s="31" t="s">
        <v>41</v>
      </c>
      <c r="AI226" s="31" t="s">
        <v>39</v>
      </c>
      <c r="AJ226" s="31" t="s">
        <v>41</v>
      </c>
      <c r="AK226" s="31" t="s">
        <v>41</v>
      </c>
      <c r="AL226" s="31" t="s">
        <v>41</v>
      </c>
      <c r="AM226" s="33" t="s">
        <v>520</v>
      </c>
      <c r="AN226" s="32" t="s">
        <v>518</v>
      </c>
      <c r="AO226" s="38" t="s">
        <v>343</v>
      </c>
      <c r="AP226" s="30">
        <v>42955.342280092591</v>
      </c>
      <c r="AQ226" s="30">
        <v>42955.36010416667</v>
      </c>
      <c r="AR226" s="30">
        <v>42955.522129629629</v>
      </c>
      <c r="AS226" s="92" t="s">
        <v>651</v>
      </c>
      <c r="AT226" s="154">
        <v>34.293700000000001</v>
      </c>
      <c r="AU226" s="155">
        <v>-119.8994</v>
      </c>
      <c r="AV226" s="104" t="s">
        <v>339</v>
      </c>
      <c r="AW226" s="104" t="s">
        <v>339</v>
      </c>
      <c r="AX226" s="120">
        <v>42955.587500000001</v>
      </c>
      <c r="AY226" s="155">
        <v>34.381300000000003</v>
      </c>
      <c r="AZ226" s="155">
        <v>-119.9772</v>
      </c>
      <c r="BA226" s="32" t="s">
        <v>529</v>
      </c>
      <c r="BB226" s="49" t="s">
        <v>1332</v>
      </c>
      <c r="BC226" s="67"/>
      <c r="BD226" s="67"/>
      <c r="BE226" s="7"/>
      <c r="BF226" s="7"/>
      <c r="BG226" s="7"/>
    </row>
    <row r="227" spans="1:59">
      <c r="A227" s="55" t="str">
        <f>HYPERLINK("tag_data/Quicklook/mn170808-43Quicklook.jpg","mn170808-43")</f>
        <v>mn170808-43</v>
      </c>
      <c r="B227" s="26" t="s">
        <v>271</v>
      </c>
      <c r="C227" s="46" t="str">
        <f t="shared" si="60"/>
        <v>SoCal</v>
      </c>
      <c r="D227" s="64" t="s">
        <v>849</v>
      </c>
      <c r="E227" s="69" t="s">
        <v>1154</v>
      </c>
      <c r="F227" s="85">
        <v>-7</v>
      </c>
      <c r="G227" s="60" t="s">
        <v>456</v>
      </c>
      <c r="H227" s="31" t="s">
        <v>39</v>
      </c>
      <c r="I227" s="46" t="str">
        <f>HYPERLINK("tag_data/mn170808-43 (IOS_SoCal)","Link")</f>
        <v>Link</v>
      </c>
      <c r="J227" s="46" t="str">
        <f>HYPERLINK("tag_data_raw/IOS_Scaling/2017/mn170808-43","Link")</f>
        <v>Link</v>
      </c>
      <c r="K227" s="46" t="str">
        <f>HYPERLINK("tag_data/mn170808-43 (IOS_SoCal)/Pics&amp;Vids","Link")</f>
        <v>Link</v>
      </c>
      <c r="L227" s="46" t="str">
        <f>HYPERLINK("location data/IOS_Scaling/2017/Pics&amp;Vids/08.08/Ziphiid Videos/20170808-ZIP-Tag43-Depl-GOPR0361.MP4","Link")</f>
        <v>Link</v>
      </c>
      <c r="M227" s="29" t="s">
        <v>263</v>
      </c>
      <c r="N227" s="46" t="str">
        <f t="shared" si="61"/>
        <v>Link</v>
      </c>
      <c r="O227" s="55" t="str">
        <f>HYPERLINK("https://happywhale.com/individual/5908;enc=27442","CRC-17348 (MN0501046)")</f>
        <v>CRC-17348 (MN0501046)</v>
      </c>
      <c r="P227" s="31" t="s">
        <v>41</v>
      </c>
      <c r="Q227" s="31">
        <v>43</v>
      </c>
      <c r="R227" s="32" t="s">
        <v>347</v>
      </c>
      <c r="S227" s="32" t="str">
        <f t="shared" si="62"/>
        <v>Dolphin Ear</v>
      </c>
      <c r="T227" s="32" t="s">
        <v>523</v>
      </c>
      <c r="U227" s="17">
        <f t="shared" si="59"/>
        <v>4.7534722223645076E-2</v>
      </c>
      <c r="V227" s="17">
        <f t="shared" si="56"/>
        <v>4.7534722223645076E-2</v>
      </c>
      <c r="W227" s="56">
        <v>4.5682870370370367E-2</v>
      </c>
      <c r="X227" s="46" t="str">
        <f>HYPERLINK("tag_data/mn170808-43 (IOS_SoCal)/mn170808-43 Map.bmp","7")</f>
        <v>7</v>
      </c>
      <c r="Y227" s="54"/>
      <c r="Z227" s="31" t="s">
        <v>39</v>
      </c>
      <c r="AA227" s="31" t="s">
        <v>39</v>
      </c>
      <c r="AB227" s="31" t="s">
        <v>380</v>
      </c>
      <c r="AC227" s="31" t="s">
        <v>41</v>
      </c>
      <c r="AD227" s="31" t="s">
        <v>39</v>
      </c>
      <c r="AE227" s="31" t="s">
        <v>266</v>
      </c>
      <c r="AF227" s="31" t="s">
        <v>41</v>
      </c>
      <c r="AG227" s="31" t="s">
        <v>41</v>
      </c>
      <c r="AH227" s="31" t="s">
        <v>39</v>
      </c>
      <c r="AI227" s="31" t="s">
        <v>41</v>
      </c>
      <c r="AJ227" s="31" t="s">
        <v>39</v>
      </c>
      <c r="AK227" s="31" t="s">
        <v>39</v>
      </c>
      <c r="AL227" s="31" t="s">
        <v>41</v>
      </c>
      <c r="AM227" s="33" t="s">
        <v>520</v>
      </c>
      <c r="AN227" s="32" t="s">
        <v>522</v>
      </c>
      <c r="AO227" s="32" t="s">
        <v>343</v>
      </c>
      <c r="AP227" s="30">
        <v>42955.444849537038</v>
      </c>
      <c r="AQ227" s="30">
        <v>42955.487824074073</v>
      </c>
      <c r="AR227" s="30">
        <v>42955.535358796296</v>
      </c>
      <c r="AS227" s="92" t="s">
        <v>651</v>
      </c>
      <c r="AT227" s="154">
        <v>34.3476</v>
      </c>
      <c r="AU227" s="155">
        <v>-119.9391</v>
      </c>
      <c r="AV227" s="104" t="s">
        <v>339</v>
      </c>
      <c r="AW227" s="104" t="s">
        <v>339</v>
      </c>
      <c r="AX227" s="120">
        <v>42955.553472222222</v>
      </c>
      <c r="AY227" s="155">
        <v>34.317500000000003</v>
      </c>
      <c r="AZ227" s="155">
        <v>-119.9025</v>
      </c>
      <c r="BA227" s="32" t="s">
        <v>521</v>
      </c>
      <c r="BB227" s="49" t="s">
        <v>1333</v>
      </c>
      <c r="BC227" s="7"/>
      <c r="BD227" s="7"/>
      <c r="BE227" s="7"/>
      <c r="BF227" s="7"/>
      <c r="BG227" s="7"/>
    </row>
    <row r="228" spans="1:59">
      <c r="A228" s="55" t="str">
        <f>HYPERLINK("tag_data/Quicklook/mn170809-41Quicklook.jpg","mn170809-41")</f>
        <v>mn170809-41</v>
      </c>
      <c r="B228" s="26" t="s">
        <v>271</v>
      </c>
      <c r="C228" s="46" t="str">
        <f t="shared" si="60"/>
        <v>SoCal</v>
      </c>
      <c r="D228" s="64" t="s">
        <v>849</v>
      </c>
      <c r="E228" s="69" t="s">
        <v>1154</v>
      </c>
      <c r="F228" s="85">
        <v>-7</v>
      </c>
      <c r="G228" s="60" t="s">
        <v>456</v>
      </c>
      <c r="H228" s="31" t="s">
        <v>39</v>
      </c>
      <c r="I228" s="46" t="str">
        <f>HYPERLINK("tag_data/mn170809-41 (IOS_SoCal)","Link")</f>
        <v>Link</v>
      </c>
      <c r="J228" s="46" t="str">
        <f>HYPERLINK("tag_data_raw/IOS_Scaling/2017/mn170809-41","Link")</f>
        <v>Link</v>
      </c>
      <c r="K228" s="46" t="str">
        <f>HYPERLINK("tag_data/mn170809-41 (IOS_SoCal)/Pics&amp;Vids","Link")</f>
        <v>Link</v>
      </c>
      <c r="L228" s="46" t="str">
        <f>HYPERLINK("location data/IOS_Scaling/2017/Pics&amp;Vids/08.09/Ziphiid Videos/20170809-ZIP-Deploy 41-GOPR0365-cut.mp4","Link")</f>
        <v>Link</v>
      </c>
      <c r="M228" s="54" t="str">
        <f>HYPERLINK("tag_data/mn170809-41 (IOS_SoCal)/Pics&amp;Vids/drone","8.8 m")</f>
        <v>8.8 m</v>
      </c>
      <c r="N228" s="46" t="str">
        <f t="shared" si="61"/>
        <v>Link</v>
      </c>
      <c r="O228" s="54" t="s">
        <v>45</v>
      </c>
      <c r="P228" s="31" t="s">
        <v>41</v>
      </c>
      <c r="Q228" s="31">
        <v>41</v>
      </c>
      <c r="R228" s="32" t="s">
        <v>347</v>
      </c>
      <c r="S228" s="32" t="str">
        <f t="shared" si="62"/>
        <v>Dolphin Ear</v>
      </c>
      <c r="T228" s="32" t="s">
        <v>38</v>
      </c>
      <c r="U228" s="17">
        <f t="shared" si="59"/>
        <v>0.1289236111115315</v>
      </c>
      <c r="V228" s="17">
        <f t="shared" si="56"/>
        <v>0.1289236111115315</v>
      </c>
      <c r="W228" s="56">
        <v>0.12699074074074074</v>
      </c>
      <c r="X228" s="61">
        <v>0</v>
      </c>
      <c r="Y228" s="54" t="str">
        <f>HYPERLINK("tag_data/mn170809-41 (IOS_SoCal)/beastmode.txt","Link")</f>
        <v>Link</v>
      </c>
      <c r="Z228" s="31" t="s">
        <v>39</v>
      </c>
      <c r="AA228" s="31" t="s">
        <v>39</v>
      </c>
      <c r="AB228" s="31" t="s">
        <v>380</v>
      </c>
      <c r="AC228" s="31" t="s">
        <v>41</v>
      </c>
      <c r="AD228" s="31" t="s">
        <v>39</v>
      </c>
      <c r="AE228" s="31" t="s">
        <v>266</v>
      </c>
      <c r="AF228" s="31" t="s">
        <v>41</v>
      </c>
      <c r="AG228" s="31" t="s">
        <v>41</v>
      </c>
      <c r="AH228" s="31" t="s">
        <v>41</v>
      </c>
      <c r="AI228" s="31" t="s">
        <v>39</v>
      </c>
      <c r="AJ228" s="31" t="s">
        <v>41</v>
      </c>
      <c r="AK228" s="31" t="s">
        <v>41</v>
      </c>
      <c r="AL228" s="31" t="s">
        <v>39</v>
      </c>
      <c r="AM228" s="31" t="s">
        <v>394</v>
      </c>
      <c r="AN228" s="32" t="s">
        <v>570</v>
      </c>
      <c r="AO228" s="32" t="s">
        <v>343</v>
      </c>
      <c r="AP228" s="30">
        <v>42956.35564814815</v>
      </c>
      <c r="AQ228" s="30">
        <v>42956.384039351855</v>
      </c>
      <c r="AR228" s="30">
        <v>42956.512962962966</v>
      </c>
      <c r="AS228" s="92" t="s">
        <v>651</v>
      </c>
      <c r="AT228" s="154">
        <v>34.3386</v>
      </c>
      <c r="AU228" s="155">
        <v>-120.0659</v>
      </c>
      <c r="AV228" s="104" t="s">
        <v>339</v>
      </c>
      <c r="AW228" s="104" t="s">
        <v>313</v>
      </c>
      <c r="AX228" s="120">
        <v>42956.645138888889</v>
      </c>
      <c r="AY228" s="155">
        <v>34.293300000000002</v>
      </c>
      <c r="AZ228" s="155">
        <v>-120.3895</v>
      </c>
      <c r="BA228" s="32" t="s">
        <v>571</v>
      </c>
      <c r="BB228" s="49"/>
      <c r="BC228" s="7"/>
      <c r="BD228" s="7"/>
      <c r="BE228" s="7"/>
      <c r="BF228" s="7"/>
      <c r="BG228" s="7"/>
    </row>
    <row r="229" spans="1:59">
      <c r="A229" s="55" t="str">
        <f>HYPERLINK("tag_data/Quicklook/mn170809-43Quicklook.jpg","mn170809-43")</f>
        <v>mn170809-43</v>
      </c>
      <c r="B229" s="26" t="s">
        <v>271</v>
      </c>
      <c r="C229" s="46" t="str">
        <f t="shared" si="60"/>
        <v>SoCal</v>
      </c>
      <c r="D229" s="64" t="s">
        <v>849</v>
      </c>
      <c r="E229" s="69" t="s">
        <v>1154</v>
      </c>
      <c r="F229" s="85">
        <v>-7</v>
      </c>
      <c r="G229" s="60" t="s">
        <v>456</v>
      </c>
      <c r="H229" s="31" t="s">
        <v>39</v>
      </c>
      <c r="I229" s="46" t="str">
        <f>HYPERLINK("tag_data/mn170809-43 (IOS_SoCal)","Link")</f>
        <v>Link</v>
      </c>
      <c r="J229" s="46" t="str">
        <f>HYPERLINK("tag_data_raw/IOS_Scaling/2017/mn170809-43","Link")</f>
        <v>Link</v>
      </c>
      <c r="K229" s="46" t="str">
        <f>HYPERLINK("tag_data/mn170809-43 (IOS_SoCal)/Pics&amp;Vids","Link")</f>
        <v>Link</v>
      </c>
      <c r="L229" s="46" t="str">
        <f>HYPERLINK("location data/IOS_Scaling/2017/Pics&amp;Vids/08.09/Ziphiid Videos/20170809-ZIP-Deploy 43-GOPR0374.MP4","Link")</f>
        <v>Link</v>
      </c>
      <c r="M229" s="54" t="str">
        <f>HYPERLINK("tag_data/mn170809-43 (IOS_SoCal)/Pics&amp;Vids/drone","10.2 m")</f>
        <v>10.2 m</v>
      </c>
      <c r="N229" s="46" t="str">
        <f t="shared" si="61"/>
        <v>Link</v>
      </c>
      <c r="O229" s="54" t="str">
        <f>HYPERLINK("https://happywhale.com/individual/18227;enc=27445;event=91183","MN0501281")</f>
        <v>MN0501281</v>
      </c>
      <c r="P229" s="31" t="s">
        <v>41</v>
      </c>
      <c r="Q229" s="31">
        <v>43</v>
      </c>
      <c r="R229" s="32" t="s">
        <v>347</v>
      </c>
      <c r="S229" s="32" t="str">
        <f t="shared" si="62"/>
        <v>Dolphin Ear</v>
      </c>
      <c r="T229" s="32" t="s">
        <v>38</v>
      </c>
      <c r="U229" s="17">
        <f t="shared" si="59"/>
        <v>8.5057870368473232E-2</v>
      </c>
      <c r="V229" s="17">
        <f t="shared" si="56"/>
        <v>8.5057870368473232E-2</v>
      </c>
      <c r="W229" s="56">
        <v>5.6064814814814817E-2</v>
      </c>
      <c r="X229" s="46" t="str">
        <f>HYPERLINK("tag_data/mn170809-43 (IOS_SoCal)/mn170809-43 Map.bmp","28")</f>
        <v>28</v>
      </c>
      <c r="Y229" s="54"/>
      <c r="Z229" s="31" t="s">
        <v>39</v>
      </c>
      <c r="AA229" s="31" t="s">
        <v>39</v>
      </c>
      <c r="AB229" s="31" t="s">
        <v>380</v>
      </c>
      <c r="AC229" s="31" t="s">
        <v>41</v>
      </c>
      <c r="AD229" s="31" t="s">
        <v>39</v>
      </c>
      <c r="AE229" s="31" t="s">
        <v>266</v>
      </c>
      <c r="AF229" s="31" t="s">
        <v>41</v>
      </c>
      <c r="AG229" s="31" t="s">
        <v>41</v>
      </c>
      <c r="AH229" s="31" t="s">
        <v>41</v>
      </c>
      <c r="AI229" s="31" t="s">
        <v>39</v>
      </c>
      <c r="AJ229" s="31" t="s">
        <v>41</v>
      </c>
      <c r="AK229" s="31" t="s">
        <v>41</v>
      </c>
      <c r="AL229" s="31" t="s">
        <v>39</v>
      </c>
      <c r="AM229" s="31" t="s">
        <v>394</v>
      </c>
      <c r="AN229" s="32" t="s">
        <v>530</v>
      </c>
      <c r="AO229" s="32" t="s">
        <v>343</v>
      </c>
      <c r="AP229" s="30">
        <v>42956.419583333336</v>
      </c>
      <c r="AQ229" s="30">
        <v>42956.427037037036</v>
      </c>
      <c r="AR229" s="30">
        <v>42956.512094907404</v>
      </c>
      <c r="AS229" s="92" t="s">
        <v>651</v>
      </c>
      <c r="AT229" s="154">
        <v>34.304299999999998</v>
      </c>
      <c r="AU229" s="155">
        <v>-120.0239</v>
      </c>
      <c r="AV229" s="104" t="s">
        <v>339</v>
      </c>
      <c r="AW229" s="104" t="s">
        <v>313</v>
      </c>
      <c r="AX229" s="120">
        <v>42956.618055555555</v>
      </c>
      <c r="AY229" s="155">
        <v>34.359400000000001</v>
      </c>
      <c r="AZ229" s="155">
        <v>-120.0565</v>
      </c>
      <c r="BA229" s="32" t="s">
        <v>532</v>
      </c>
      <c r="BB229" s="49" t="s">
        <v>531</v>
      </c>
      <c r="BC229" s="7"/>
      <c r="BD229" s="7"/>
      <c r="BE229" s="7"/>
      <c r="BF229" s="7"/>
      <c r="BG229" s="7"/>
    </row>
    <row r="230" spans="1:59">
      <c r="A230" s="55" t="str">
        <f>HYPERLINK("tag_data/Quicklook/mn170809-44Quicklook.jpg","mn170809-44")</f>
        <v>mn170809-44</v>
      </c>
      <c r="B230" s="26" t="s">
        <v>271</v>
      </c>
      <c r="C230" s="46" t="str">
        <f t="shared" si="60"/>
        <v>SoCal</v>
      </c>
      <c r="D230" s="64" t="s">
        <v>849</v>
      </c>
      <c r="E230" s="69" t="s">
        <v>1154</v>
      </c>
      <c r="F230" s="85">
        <v>-7</v>
      </c>
      <c r="G230" s="60" t="s">
        <v>456</v>
      </c>
      <c r="H230" s="31" t="s">
        <v>39</v>
      </c>
      <c r="I230" s="46" t="str">
        <f>HYPERLINK("tag_data/mn170809-44 (IOS_SoCal)","Link")</f>
        <v>Link</v>
      </c>
      <c r="J230" s="46" t="str">
        <f>HYPERLINK("tag_data_raw/IOS_Scaling/2017/mn170809-44","Link")</f>
        <v>Link</v>
      </c>
      <c r="K230" s="46" t="str">
        <f>HYPERLINK("tag_data/mn170809-44 (IOS_SoCal)/Pics&amp;Vids","Link")</f>
        <v>Link</v>
      </c>
      <c r="L230" s="46" t="str">
        <f>HYPERLINK("location data/IOS_Scaling/2017/Pics&amp;Vids/08.09/Ziphiid Videos/20170809-ZIP-Deploy 44-GOPR0375.MP4","Link")</f>
        <v>Link</v>
      </c>
      <c r="M230" s="54" t="str">
        <f>HYPERLINK("tag_data/mn170809-44 (IOS_SoCal)/Pics&amp;Vids/drone","12.73 m")</f>
        <v>12.73 m</v>
      </c>
      <c r="N230" s="46" t="str">
        <f t="shared" si="61"/>
        <v>Link</v>
      </c>
      <c r="O230" s="54" t="str">
        <f>HYPERLINK("https://happywhale.com/individual/2463;enc=27444;event=106853","CRC-11624")</f>
        <v>CRC-11624</v>
      </c>
      <c r="P230" s="31" t="s">
        <v>39</v>
      </c>
      <c r="Q230" s="31">
        <v>44</v>
      </c>
      <c r="R230" s="32" t="s">
        <v>347</v>
      </c>
      <c r="S230" s="32" t="str">
        <f t="shared" si="62"/>
        <v>Dolphin Ear</v>
      </c>
      <c r="T230" s="32" t="s">
        <v>533</v>
      </c>
      <c r="U230" s="17">
        <f t="shared" si="59"/>
        <v>0.12313657407503342</v>
      </c>
      <c r="V230" s="17">
        <f t="shared" si="56"/>
        <v>0.12313657407503342</v>
      </c>
      <c r="W230" s="56">
        <v>9.4895833333333332E-2</v>
      </c>
      <c r="X230" s="46" t="str">
        <f>HYPERLINK("tag_data/mn170809-44 (IOS_SoCal)/mn170809-44 Map.bmp","166")</f>
        <v>166</v>
      </c>
      <c r="Y230" s="54" t="str">
        <f>HYPERLINK("tag_data/mn170809-44 (IOS_SoCal)/fishies.txt","Link")</f>
        <v>Link</v>
      </c>
      <c r="Z230" s="31" t="s">
        <v>39</v>
      </c>
      <c r="AA230" s="31" t="s">
        <v>39</v>
      </c>
      <c r="AB230" s="31" t="s">
        <v>380</v>
      </c>
      <c r="AC230" s="31" t="s">
        <v>41</v>
      </c>
      <c r="AD230" s="31" t="s">
        <v>39</v>
      </c>
      <c r="AE230" s="31" t="s">
        <v>39</v>
      </c>
      <c r="AF230" s="31" t="s">
        <v>39</v>
      </c>
      <c r="AG230" s="31" t="s">
        <v>41</v>
      </c>
      <c r="AH230" s="31" t="s">
        <v>41</v>
      </c>
      <c r="AI230" s="31" t="s">
        <v>39</v>
      </c>
      <c r="AJ230" s="31" t="s">
        <v>41</v>
      </c>
      <c r="AK230" s="31" t="s">
        <v>41</v>
      </c>
      <c r="AL230" s="31" t="s">
        <v>41</v>
      </c>
      <c r="AM230" s="31" t="s">
        <v>536</v>
      </c>
      <c r="AN230" s="32" t="s">
        <v>534</v>
      </c>
      <c r="AO230" s="32" t="s">
        <v>343</v>
      </c>
      <c r="AP230" s="30">
        <v>42956.42900462963</v>
      </c>
      <c r="AQ230" s="30">
        <v>42956.434074074074</v>
      </c>
      <c r="AR230" s="30">
        <v>42956.557210648149</v>
      </c>
      <c r="AS230" s="92" t="s">
        <v>651</v>
      </c>
      <c r="AT230" s="154">
        <v>34.301400000000001</v>
      </c>
      <c r="AU230" s="155">
        <v>-120.0189</v>
      </c>
      <c r="AV230" s="104" t="s">
        <v>339</v>
      </c>
      <c r="AW230" s="104" t="s">
        <v>339</v>
      </c>
      <c r="AX230" s="120">
        <v>42956.675694444442</v>
      </c>
      <c r="AY230" s="155">
        <v>34.370699999999999</v>
      </c>
      <c r="AZ230" s="155">
        <v>-120.04940000000001</v>
      </c>
      <c r="BA230" s="32" t="s">
        <v>535</v>
      </c>
      <c r="BB230" s="49" t="s">
        <v>1334</v>
      </c>
      <c r="BC230" s="7"/>
      <c r="BD230" s="7"/>
      <c r="BE230" s="7"/>
      <c r="BF230" s="7"/>
      <c r="BG230" s="7"/>
    </row>
    <row r="231" spans="1:59">
      <c r="A231" s="55" t="str">
        <f>HYPERLINK("tag_data/Quicklook/mn170809-50Quicklook.jpg","mn170809-50")</f>
        <v>mn170809-50</v>
      </c>
      <c r="B231" s="68" t="s">
        <v>271</v>
      </c>
      <c r="C231" s="46" t="str">
        <f t="shared" si="60"/>
        <v>SoCal</v>
      </c>
      <c r="D231" s="64" t="s">
        <v>849</v>
      </c>
      <c r="E231" s="69" t="s">
        <v>1154</v>
      </c>
      <c r="F231" s="87">
        <v>-7</v>
      </c>
      <c r="G231" s="70" t="s">
        <v>456</v>
      </c>
      <c r="H231" s="31" t="s">
        <v>39</v>
      </c>
      <c r="I231" s="46" t="str">
        <f>HYPERLINK("tag_data/mn170809-50 (IOS_SoCal)","Link")</f>
        <v>Link</v>
      </c>
      <c r="J231" s="46" t="str">
        <f>HYPERLINK("tag_data_raw/IOS_Scaling/2017/mn170809-50","Link")</f>
        <v>Link</v>
      </c>
      <c r="K231" s="46" t="str">
        <f>HYPERLINK("tag_data/mn170809-50 (IOS_SoCal)/Pics&amp;Vids","Link")</f>
        <v>Link</v>
      </c>
      <c r="L231" s="46" t="str">
        <f>HYPERLINK("location data/IOS_Scaling/2017/Pics&amp;Vids/08.09/Ziphiid Videos/20170809-ZIP-Deploy 50-GOPR0388.MP4","Link")</f>
        <v>Link</v>
      </c>
      <c r="M231" s="79" t="str">
        <f>HYPERLINK("tag_data/mn170809-50 (IOS_SoCal)/Pics&amp;Vids/drone","see 10-41")</f>
        <v>see 10-41</v>
      </c>
      <c r="N231" s="46" t="str">
        <f t="shared" si="61"/>
        <v>Link</v>
      </c>
      <c r="O231" s="79" t="s">
        <v>554</v>
      </c>
      <c r="P231" s="71" t="s">
        <v>39</v>
      </c>
      <c r="Q231" s="71">
        <v>50</v>
      </c>
      <c r="R231" s="38" t="s">
        <v>475</v>
      </c>
      <c r="S231" s="32" t="str">
        <f t="shared" si="62"/>
        <v>Cam Mic</v>
      </c>
      <c r="T231" s="38" t="s">
        <v>474</v>
      </c>
      <c r="U231" s="17">
        <f t="shared" si="59"/>
        <v>4.9571759263926651E-2</v>
      </c>
      <c r="V231" s="17">
        <f t="shared" ref="V231:V262" si="63">MIN(AR231,AS231)-MAX(AP231,AQ231)</f>
        <v>4.9571759263926651E-2</v>
      </c>
      <c r="W231" s="56">
        <v>4.6909722222222221E-2</v>
      </c>
      <c r="X231" s="46" t="str">
        <f>HYPERLINK("tag_data/mn170809-50 (IOS_SoCal)/mn170809-50 Map.bmp","6")</f>
        <v>6</v>
      </c>
      <c r="Y231" s="54"/>
      <c r="Z231" s="31" t="s">
        <v>39</v>
      </c>
      <c r="AA231" s="31" t="s">
        <v>39</v>
      </c>
      <c r="AB231" s="31" t="s">
        <v>380</v>
      </c>
      <c r="AC231" s="31" t="s">
        <v>41</v>
      </c>
      <c r="AD231" s="31" t="s">
        <v>39</v>
      </c>
      <c r="AE231" s="31" t="s">
        <v>39</v>
      </c>
      <c r="AF231" s="31" t="s">
        <v>41</v>
      </c>
      <c r="AG231" s="31" t="s">
        <v>41</v>
      </c>
      <c r="AH231" s="31" t="s">
        <v>41</v>
      </c>
      <c r="AI231" s="31" t="s">
        <v>39</v>
      </c>
      <c r="AJ231" s="31" t="s">
        <v>41</v>
      </c>
      <c r="AK231" s="31" t="s">
        <v>39</v>
      </c>
      <c r="AL231" s="31" t="s">
        <v>39</v>
      </c>
      <c r="AM231" s="31" t="s">
        <v>610</v>
      </c>
      <c r="AN231" s="32" t="s">
        <v>611</v>
      </c>
      <c r="AO231" s="38" t="s">
        <v>343</v>
      </c>
      <c r="AP231" s="30">
        <v>42956.394803240742</v>
      </c>
      <c r="AQ231" s="30">
        <v>42956.536099537036</v>
      </c>
      <c r="AR231" s="30">
        <v>42956.5856712963</v>
      </c>
      <c r="AS231" s="92" t="s">
        <v>651</v>
      </c>
      <c r="AT231" s="154">
        <v>34.351999999999997</v>
      </c>
      <c r="AU231" s="155">
        <v>-119.9965</v>
      </c>
      <c r="AV231" s="104" t="s">
        <v>339</v>
      </c>
      <c r="AW231" s="104" t="s">
        <v>339</v>
      </c>
      <c r="AX231" s="120">
        <v>42956.586805555555</v>
      </c>
      <c r="AY231" s="155">
        <v>34.373800000000003</v>
      </c>
      <c r="AZ231" s="155">
        <v>-119.93429999999999</v>
      </c>
      <c r="BA231" s="32" t="s">
        <v>1068</v>
      </c>
      <c r="BB231" s="49" t="s">
        <v>537</v>
      </c>
      <c r="BC231" s="67"/>
      <c r="BD231" s="67"/>
      <c r="BE231" s="7"/>
      <c r="BF231" s="7"/>
      <c r="BG231" s="7"/>
    </row>
    <row r="232" spans="1:59">
      <c r="A232" s="55" t="str">
        <f>HYPERLINK("tag_data/Quicklook/mn170809-51Quicklook.jpg","mn170809-51")</f>
        <v>mn170809-51</v>
      </c>
      <c r="B232" s="26" t="s">
        <v>271</v>
      </c>
      <c r="C232" s="46" t="str">
        <f t="shared" si="60"/>
        <v>SoCal</v>
      </c>
      <c r="D232" s="64" t="s">
        <v>849</v>
      </c>
      <c r="E232" s="69" t="s">
        <v>1154</v>
      </c>
      <c r="F232" s="85">
        <v>-7</v>
      </c>
      <c r="G232" s="60" t="s">
        <v>456</v>
      </c>
      <c r="H232" s="31" t="s">
        <v>39</v>
      </c>
      <c r="I232" s="46" t="str">
        <f>HYPERLINK("tag_data/mn170809-51 (IOS_SoCal)","Link")</f>
        <v>Link</v>
      </c>
      <c r="J232" s="46" t="str">
        <f>HYPERLINK("tag_data_raw/IOS_Scaling/2017/mn170809-51","Link")</f>
        <v>Link</v>
      </c>
      <c r="K232" s="46" t="str">
        <f>HYPERLINK("tag_data/mn170809-51 (IOS_SoCal)/Pics&amp;Vids","Link")</f>
        <v>Link</v>
      </c>
      <c r="L232" s="46" t="str">
        <f>HYPERLINK("location data/IOS_Scaling/2017/Pics&amp;Vids/08.09/Ziphiid Videos/20170809-ZIP-Deploy 51-GOPR0046.MP4","Link")</f>
        <v>Link</v>
      </c>
      <c r="M232" s="54" t="str">
        <f>HYPERLINK("tag_data/mn170809-51 (IOS_SoCal)/Pics&amp;Vids/drone","10.55 m")</f>
        <v>10.55 m</v>
      </c>
      <c r="N232" s="46" t="str">
        <f t="shared" si="61"/>
        <v>Link</v>
      </c>
      <c r="O232" s="54" t="str">
        <f>HYPERLINK("https://happywhale.com/individual/22324;enc=27446;event=107566","CRC-16747")</f>
        <v>CRC-16747</v>
      </c>
      <c r="P232" s="31" t="s">
        <v>39</v>
      </c>
      <c r="Q232" s="31">
        <v>51</v>
      </c>
      <c r="R232" s="32" t="s">
        <v>475</v>
      </c>
      <c r="S232" s="32" t="str">
        <f t="shared" si="62"/>
        <v>Cam Mic</v>
      </c>
      <c r="T232" s="38" t="s">
        <v>474</v>
      </c>
      <c r="U232" s="17">
        <f t="shared" si="59"/>
        <v>0.33083333333343035</v>
      </c>
      <c r="V232" s="17">
        <f t="shared" si="63"/>
        <v>0.33083333333343035</v>
      </c>
      <c r="W232" s="56">
        <v>0.13980324074074074</v>
      </c>
      <c r="X232" s="61">
        <v>0</v>
      </c>
      <c r="Y232" s="54" t="str">
        <f>HYPERLINK("tag_data/mn170809-51 (IOS_SoCal)/Video Audit.xlsx","Link")</f>
        <v>Link</v>
      </c>
      <c r="Z232" s="31" t="s">
        <v>39</v>
      </c>
      <c r="AA232" s="31" t="s">
        <v>39</v>
      </c>
      <c r="AB232" s="31" t="s">
        <v>380</v>
      </c>
      <c r="AC232" s="31" t="s">
        <v>41</v>
      </c>
      <c r="AD232" s="31" t="s">
        <v>39</v>
      </c>
      <c r="AE232" s="31" t="s">
        <v>266</v>
      </c>
      <c r="AF232" s="31" t="s">
        <v>39</v>
      </c>
      <c r="AG232" s="31" t="s">
        <v>41</v>
      </c>
      <c r="AH232" s="31" t="s">
        <v>41</v>
      </c>
      <c r="AI232" s="31" t="s">
        <v>39</v>
      </c>
      <c r="AJ232" s="31" t="s">
        <v>39</v>
      </c>
      <c r="AK232" s="31" t="s">
        <v>39</v>
      </c>
      <c r="AL232" s="31" t="s">
        <v>41</v>
      </c>
      <c r="AM232" s="33" t="s">
        <v>520</v>
      </c>
      <c r="AN232" s="32" t="s">
        <v>617</v>
      </c>
      <c r="AO232" s="32" t="s">
        <v>343</v>
      </c>
      <c r="AP232" s="30">
        <v>42956.504259259258</v>
      </c>
      <c r="AQ232" s="30">
        <v>42956.52144675926</v>
      </c>
      <c r="AR232" s="30">
        <v>42956.852280092593</v>
      </c>
      <c r="AS232" s="92" t="s">
        <v>651</v>
      </c>
      <c r="AT232" s="154">
        <v>34.350700000000003</v>
      </c>
      <c r="AU232" s="155">
        <v>-120.00539999999999</v>
      </c>
      <c r="AV232" s="104" t="s">
        <v>339</v>
      </c>
      <c r="AW232" s="104" t="s">
        <v>339</v>
      </c>
      <c r="AX232" s="120">
        <v>42957.353472222225</v>
      </c>
      <c r="AY232" s="155">
        <v>34.249899999999997</v>
      </c>
      <c r="AZ232" s="155">
        <v>-119.98439999999999</v>
      </c>
      <c r="BA232" s="32" t="s">
        <v>616</v>
      </c>
      <c r="BB232" s="49" t="s">
        <v>615</v>
      </c>
      <c r="BC232" s="7"/>
      <c r="BD232" s="7"/>
      <c r="BE232" s="7"/>
      <c r="BF232" s="7"/>
      <c r="BG232" s="7"/>
    </row>
    <row r="233" spans="1:59">
      <c r="A233" s="55" t="str">
        <f>HYPERLINK("tag_data/Quicklook/mn170810-30Quicklook.jpg","mn170810-30")</f>
        <v>mn170810-30</v>
      </c>
      <c r="B233" s="26" t="s">
        <v>271</v>
      </c>
      <c r="C233" s="46" t="str">
        <f t="shared" si="60"/>
        <v>SoCal</v>
      </c>
      <c r="D233" s="64" t="s">
        <v>849</v>
      </c>
      <c r="E233" s="69" t="s">
        <v>1154</v>
      </c>
      <c r="F233" s="85">
        <v>-7</v>
      </c>
      <c r="G233" s="60" t="s">
        <v>456</v>
      </c>
      <c r="H233" s="31" t="s">
        <v>39</v>
      </c>
      <c r="I233" s="46" t="str">
        <f>HYPERLINK("tag_data/mn170810-30 (IOS_SoCal)","Link")</f>
        <v>Link</v>
      </c>
      <c r="J233" s="46" t="str">
        <f>HYPERLINK("tag_data_raw/IOS_Scaling/2017/mn170810-30","Link")</f>
        <v>Link</v>
      </c>
      <c r="K233" s="46" t="str">
        <f>HYPERLINK("tag_data/mn170810-30 (IOS_SoCal)/Pics&amp;Vids","Link")</f>
        <v>Link</v>
      </c>
      <c r="L233" s="63" t="s">
        <v>263</v>
      </c>
      <c r="M233" s="54" t="str">
        <f>HYPERLINK("tag_data/mn170810-30 (IOS_SoCal)/Pics&amp;Vids/drone","14.76 m")</f>
        <v>14.76 m</v>
      </c>
      <c r="N233" s="46" t="str">
        <f t="shared" si="61"/>
        <v>Link</v>
      </c>
      <c r="O233" s="54" t="str">
        <f>HYPERLINK("https://happywhale.com/individual/563;enc=27449","CRC-10646")</f>
        <v>CRC-10646</v>
      </c>
      <c r="P233" s="31" t="s">
        <v>563</v>
      </c>
      <c r="Q233" s="31">
        <v>30</v>
      </c>
      <c r="R233" s="32" t="s">
        <v>306</v>
      </c>
      <c r="S233" s="32" t="str">
        <f t="shared" si="62"/>
        <v>Cam Mic</v>
      </c>
      <c r="T233" s="32" t="s">
        <v>38</v>
      </c>
      <c r="U233" s="17">
        <f t="shared" si="59"/>
        <v>0.32972222221724223</v>
      </c>
      <c r="V233" s="17">
        <f t="shared" si="63"/>
        <v>0.32972222221724223</v>
      </c>
      <c r="W233" s="56">
        <v>0.13806712962962964</v>
      </c>
      <c r="X233" s="61">
        <v>0</v>
      </c>
      <c r="Y233" s="54" t="str">
        <f>HYPERLINK("tag_data/mn170810-30 (IOS_SoCal)/vid audit.xlsx","Link")</f>
        <v>Link</v>
      </c>
      <c r="Z233" s="31" t="s">
        <v>39</v>
      </c>
      <c r="AA233" s="31" t="s">
        <v>39</v>
      </c>
      <c r="AB233" s="31" t="s">
        <v>380</v>
      </c>
      <c r="AC233" s="31" t="s">
        <v>41</v>
      </c>
      <c r="AD233" s="31" t="s">
        <v>39</v>
      </c>
      <c r="AE233" s="31" t="s">
        <v>266</v>
      </c>
      <c r="AF233" s="31" t="s">
        <v>266</v>
      </c>
      <c r="AG233" s="31" t="s">
        <v>39</v>
      </c>
      <c r="AH233" s="31" t="s">
        <v>41</v>
      </c>
      <c r="AI233" s="31" t="s">
        <v>39</v>
      </c>
      <c r="AJ233" s="31" t="s">
        <v>41</v>
      </c>
      <c r="AK233" s="31" t="s">
        <v>41</v>
      </c>
      <c r="AL233" s="31" t="s">
        <v>41</v>
      </c>
      <c r="AM233" s="31" t="s">
        <v>394</v>
      </c>
      <c r="AN233" s="32" t="s">
        <v>574</v>
      </c>
      <c r="AO233" s="32" t="s">
        <v>343</v>
      </c>
      <c r="AP233" s="30">
        <v>42957.398321759261</v>
      </c>
      <c r="AQ233" s="30">
        <v>42957.415659722225</v>
      </c>
      <c r="AR233" s="30">
        <v>42957.745381944442</v>
      </c>
      <c r="AS233" s="92" t="s">
        <v>651</v>
      </c>
      <c r="AT233" s="154">
        <v>34.380800000000001</v>
      </c>
      <c r="AU233" s="155">
        <v>-120.1279</v>
      </c>
      <c r="AV233" s="104" t="s">
        <v>313</v>
      </c>
      <c r="AW233" s="104" t="s">
        <v>313</v>
      </c>
      <c r="AX233" s="120">
        <v>42958.407638888886</v>
      </c>
      <c r="AY233" s="155">
        <v>34.334200000000003</v>
      </c>
      <c r="AZ233" s="155">
        <v>-120.1104</v>
      </c>
      <c r="BA233" s="32" t="s">
        <v>573</v>
      </c>
      <c r="BB233" s="49" t="s">
        <v>572</v>
      </c>
      <c r="BC233" s="7"/>
      <c r="BD233" s="7"/>
      <c r="BE233" s="7"/>
      <c r="BF233" s="7"/>
      <c r="BG233" s="7"/>
    </row>
    <row r="234" spans="1:59">
      <c r="A234" s="55" t="str">
        <f>HYPERLINK("tag_data/Quicklook/mn170810-40Quicklook.jpg","mn170810-40")</f>
        <v>mn170810-40</v>
      </c>
      <c r="B234" s="68" t="s">
        <v>271</v>
      </c>
      <c r="C234" s="46" t="str">
        <f t="shared" si="60"/>
        <v>SoCal</v>
      </c>
      <c r="D234" s="64" t="s">
        <v>849</v>
      </c>
      <c r="E234" s="69" t="s">
        <v>1154</v>
      </c>
      <c r="F234" s="87">
        <v>-7</v>
      </c>
      <c r="G234" s="70" t="s">
        <v>456</v>
      </c>
      <c r="H234" s="31" t="s">
        <v>39</v>
      </c>
      <c r="I234" s="46" t="str">
        <f>HYPERLINK("tag_data/mn170810-40 (IOS_SoCal)","Link")</f>
        <v>Link</v>
      </c>
      <c r="J234" s="46" t="str">
        <f>HYPERLINK("tag_data_raw/IOS_Scaling/2017/mn170810-40","Link")</f>
        <v>Link</v>
      </c>
      <c r="K234" s="46" t="str">
        <f>HYPERLINK("tag_data/mn170810-40 (IOS_SoCal)/Pics&amp;Vids","Link")</f>
        <v>Link</v>
      </c>
      <c r="L234" s="46" t="str">
        <f>HYPERLINK("location data/IOS_Scaling/2017/Pics&amp;Vids/08.10/Ziphiid Videos/20170810-ZIP-Deploy-40-FILE0118.MP4","Link")</f>
        <v>Link</v>
      </c>
      <c r="M234" s="54" t="str">
        <f>HYPERLINK("tag_data/mn170810-40 (IOS_SoCal)/Pics&amp;Vids/drone","7.07 m")</f>
        <v>7.07 m</v>
      </c>
      <c r="N234" s="46" t="str">
        <f t="shared" si="61"/>
        <v>Link</v>
      </c>
      <c r="O234" s="79" t="s">
        <v>1455</v>
      </c>
      <c r="P234" s="71" t="s">
        <v>41</v>
      </c>
      <c r="Q234" s="71">
        <v>40</v>
      </c>
      <c r="R234" s="38" t="s">
        <v>347</v>
      </c>
      <c r="S234" s="32" t="s">
        <v>1393</v>
      </c>
      <c r="T234" s="38" t="s">
        <v>63</v>
      </c>
      <c r="U234" s="17">
        <f t="shared" si="59"/>
        <v>0.21218750000116415</v>
      </c>
      <c r="V234" s="17">
        <f t="shared" si="63"/>
        <v>0.21218750000116415</v>
      </c>
      <c r="W234" s="56">
        <v>0.20745370370370372</v>
      </c>
      <c r="X234" s="61">
        <v>0</v>
      </c>
      <c r="Y234" s="54" t="str">
        <f>HYPERLINK("tag_data/mn170810-40 (IOS_SoCal)/vidaudit.xlsx","Link")</f>
        <v>Link</v>
      </c>
      <c r="Z234" s="31" t="s">
        <v>39</v>
      </c>
      <c r="AA234" s="31" t="s">
        <v>39</v>
      </c>
      <c r="AB234" s="31" t="s">
        <v>380</v>
      </c>
      <c r="AC234" s="31" t="s">
        <v>41</v>
      </c>
      <c r="AD234" s="31" t="s">
        <v>39</v>
      </c>
      <c r="AE234" s="31" t="s">
        <v>41</v>
      </c>
      <c r="AF234" s="31" t="s">
        <v>39</v>
      </c>
      <c r="AG234" s="31" t="s">
        <v>39</v>
      </c>
      <c r="AH234" s="33" t="s">
        <v>481</v>
      </c>
      <c r="AI234" s="31" t="s">
        <v>39</v>
      </c>
      <c r="AJ234" s="31" t="s">
        <v>41</v>
      </c>
      <c r="AK234" s="31" t="s">
        <v>41</v>
      </c>
      <c r="AL234" s="31" t="s">
        <v>41</v>
      </c>
      <c r="AM234" s="31" t="s">
        <v>394</v>
      </c>
      <c r="AN234" s="32" t="s">
        <v>545</v>
      </c>
      <c r="AO234" s="38" t="s">
        <v>343</v>
      </c>
      <c r="AP234" s="30">
        <v>42957.406006944446</v>
      </c>
      <c r="AQ234" s="30">
        <v>42957.449594907404</v>
      </c>
      <c r="AR234" s="30">
        <v>42957.661782407406</v>
      </c>
      <c r="AS234" s="92" t="s">
        <v>651</v>
      </c>
      <c r="AT234" s="154">
        <v>34.3431</v>
      </c>
      <c r="AU234" s="155">
        <v>-120.1345</v>
      </c>
      <c r="AV234" s="104" t="s">
        <v>339</v>
      </c>
      <c r="AW234" s="104" t="s">
        <v>339</v>
      </c>
      <c r="AX234" s="120">
        <v>42958.357638888891</v>
      </c>
      <c r="AY234" s="155">
        <v>34.413200000000003</v>
      </c>
      <c r="AZ234" s="155">
        <v>-120.2625</v>
      </c>
      <c r="BA234" s="32" t="s">
        <v>622</v>
      </c>
      <c r="BB234" s="49"/>
      <c r="BC234" s="67"/>
      <c r="BD234" s="67"/>
      <c r="BE234" s="7"/>
      <c r="BF234" s="7"/>
      <c r="BG234" s="7"/>
    </row>
    <row r="235" spans="1:59">
      <c r="A235" s="55" t="str">
        <f>HYPERLINK("tag_data/Quicklook/mn170810-41Quicklook.jpg","mn170810-41")</f>
        <v>mn170810-41</v>
      </c>
      <c r="B235" s="68" t="s">
        <v>271</v>
      </c>
      <c r="C235" s="46" t="str">
        <f t="shared" si="60"/>
        <v>SoCal</v>
      </c>
      <c r="D235" s="64" t="s">
        <v>849</v>
      </c>
      <c r="E235" s="69" t="s">
        <v>1154</v>
      </c>
      <c r="F235" s="87">
        <v>-7</v>
      </c>
      <c r="G235" s="70" t="s">
        <v>456</v>
      </c>
      <c r="H235" s="31" t="s">
        <v>39</v>
      </c>
      <c r="I235" s="46" t="str">
        <f>HYPERLINK("tag_data/mn170810-41 (IOS_SoCal)","Link")</f>
        <v>Link</v>
      </c>
      <c r="J235" s="46" t="str">
        <f>HYPERLINK("tag_data_raw/IOS_Scaling/2017/mn170810-41","Link")</f>
        <v>Link</v>
      </c>
      <c r="K235" s="46" t="str">
        <f>HYPERLINK("tag_data/mn170810-41 (IOS_SoCal)/Pics&amp;Vids","Link")</f>
        <v>Link</v>
      </c>
      <c r="L235" s="63" t="s">
        <v>263</v>
      </c>
      <c r="M235" s="54" t="str">
        <f>HYPERLINK("tag_data/mn170810-41 (IOS_SoCal)/Pics&amp;Vids/drone","11.76 m")</f>
        <v>11.76 m</v>
      </c>
      <c r="N235" s="46" t="str">
        <f t="shared" si="61"/>
        <v>Link</v>
      </c>
      <c r="O235" s="79" t="s">
        <v>554</v>
      </c>
      <c r="P235" s="71" t="s">
        <v>41</v>
      </c>
      <c r="Q235" s="71">
        <v>41</v>
      </c>
      <c r="R235" s="38" t="s">
        <v>347</v>
      </c>
      <c r="S235" s="32" t="str">
        <f>IF(OR(Q235&lt;39,Q235=50,Q235=51,AND(OR(Q235=46,Q235=47),AQ235&gt;43313)),"Cam Mic",IF(AND(Q235&lt;45,AQ235&lt;42958),"Dolphin Ear",IF(AND(Q235&gt;44,NOT(OR(Q235=46,Q235=47,Q235=50,Q235=51))),"HTI","None")))</f>
        <v>Dolphin Ear</v>
      </c>
      <c r="T235" s="38" t="s">
        <v>544</v>
      </c>
      <c r="U235" s="17">
        <f t="shared" si="59"/>
        <v>3.0694444445543922E-2</v>
      </c>
      <c r="V235" s="17">
        <f t="shared" si="63"/>
        <v>3.0694444445543922E-2</v>
      </c>
      <c r="W235" s="56">
        <v>3.0462962962962966E-2</v>
      </c>
      <c r="X235" s="61">
        <v>0</v>
      </c>
      <c r="Y235" s="54"/>
      <c r="Z235" s="31" t="s">
        <v>39</v>
      </c>
      <c r="AA235" s="31" t="s">
        <v>39</v>
      </c>
      <c r="AB235" s="31" t="s">
        <v>380</v>
      </c>
      <c r="AC235" s="31" t="s">
        <v>41</v>
      </c>
      <c r="AD235" s="31" t="s">
        <v>39</v>
      </c>
      <c r="AE235" s="31" t="s">
        <v>266</v>
      </c>
      <c r="AF235" s="31" t="s">
        <v>39</v>
      </c>
      <c r="AG235" s="31" t="s">
        <v>41</v>
      </c>
      <c r="AH235" s="31" t="s">
        <v>41</v>
      </c>
      <c r="AI235" s="31" t="s">
        <v>39</v>
      </c>
      <c r="AJ235" s="31" t="s">
        <v>41</v>
      </c>
      <c r="AK235" s="31" t="s">
        <v>41</v>
      </c>
      <c r="AL235" s="31" t="s">
        <v>41</v>
      </c>
      <c r="AM235" s="31" t="s">
        <v>394</v>
      </c>
      <c r="AN235" s="32" t="s">
        <v>545</v>
      </c>
      <c r="AO235" s="38" t="s">
        <v>343</v>
      </c>
      <c r="AP235" s="30">
        <v>42957.365312499998</v>
      </c>
      <c r="AQ235" s="30">
        <v>42957.392465277779</v>
      </c>
      <c r="AR235" s="30">
        <v>42957.423159722224</v>
      </c>
      <c r="AS235" s="92" t="s">
        <v>651</v>
      </c>
      <c r="AT235" s="214">
        <v>34.376399999999997</v>
      </c>
      <c r="AU235" s="166">
        <v>-120.1117</v>
      </c>
      <c r="AV235" s="104" t="s">
        <v>313</v>
      </c>
      <c r="AW235" s="104" t="s">
        <v>313</v>
      </c>
      <c r="AX235" s="120">
        <v>42958.334722222222</v>
      </c>
      <c r="AY235" s="155">
        <v>34.293300000000002</v>
      </c>
      <c r="AZ235" s="155">
        <v>-120.3895</v>
      </c>
      <c r="BA235" s="32" t="s">
        <v>1067</v>
      </c>
      <c r="BB235" s="49" t="s">
        <v>546</v>
      </c>
      <c r="BC235" s="67"/>
      <c r="BD235" s="67"/>
      <c r="BE235" s="7"/>
      <c r="BF235" s="7"/>
      <c r="BG235" s="7"/>
    </row>
    <row r="236" spans="1:59">
      <c r="A236" s="55" t="str">
        <f>HYPERLINK("tag_data/Quicklook/mn170810-42Quicklook.jpg","mn170810-42")</f>
        <v>mn170810-42</v>
      </c>
      <c r="B236" s="26" t="s">
        <v>271</v>
      </c>
      <c r="C236" s="46" t="str">
        <f t="shared" si="60"/>
        <v>SoCal</v>
      </c>
      <c r="D236" s="64" t="s">
        <v>849</v>
      </c>
      <c r="E236" s="69" t="s">
        <v>1154</v>
      </c>
      <c r="F236" s="85">
        <v>-7</v>
      </c>
      <c r="G236" s="60" t="s">
        <v>456</v>
      </c>
      <c r="H236" s="31" t="s">
        <v>39</v>
      </c>
      <c r="I236" s="46" t="str">
        <f>HYPERLINK("tag_data/mn170810-42 (IOS_SoCal)","Link")</f>
        <v>Link</v>
      </c>
      <c r="J236" s="46" t="str">
        <f>HYPERLINK("tag_data_raw/IOS_Scaling/2017/mn170810-42","Link")</f>
        <v>Link</v>
      </c>
      <c r="K236" s="46" t="str">
        <f>HYPERLINK("tag_data/mn170810-42 (IOS_SoCal)/Pics&amp;Vids","Link")</f>
        <v>Link</v>
      </c>
      <c r="L236" s="46" t="str">
        <f>HYPERLINK("location data/IOS_Scaling/2017/Pics&amp;Vids/08.10/Ziphiid Videos/20170810-ZIP-Deploy-42-FILE0124.MP4","Link")</f>
        <v>Link</v>
      </c>
      <c r="M236" s="54" t="str">
        <f>HYPERLINK("tag_data/mn170810-42 (IOS_SoCal)/Pics&amp;Vids/drone","9.78 m")</f>
        <v>9.78 m</v>
      </c>
      <c r="N236" s="46" t="str">
        <f t="shared" si="61"/>
        <v>Link</v>
      </c>
      <c r="O236" s="79" t="s">
        <v>1456</v>
      </c>
      <c r="P236" s="31" t="s">
        <v>41</v>
      </c>
      <c r="Q236" s="31">
        <v>42</v>
      </c>
      <c r="R236" s="32" t="s">
        <v>347</v>
      </c>
      <c r="S236" s="32" t="str">
        <f>IF(OR(Q236&lt;39,Q236=50,Q236=51,AND(OR(Q236=46,Q236=47),AQ236&gt;43313)),"Cam Mic",IF(AND(Q236&lt;45,AQ236&lt;42958),"Dolphin Ear",IF(AND(Q236&gt;44,NOT(OR(Q236=46,Q236=47,Q236=50,Q236=51))),"HTI","None")))</f>
        <v>Dolphin Ear</v>
      </c>
      <c r="T236" s="32" t="s">
        <v>38</v>
      </c>
      <c r="U236" s="17">
        <f t="shared" si="59"/>
        <v>0.21818287036876427</v>
      </c>
      <c r="V236" s="17">
        <f t="shared" si="63"/>
        <v>0.21818287036876427</v>
      </c>
      <c r="W236" s="56">
        <v>0.21587962962962962</v>
      </c>
      <c r="X236" s="61">
        <v>0</v>
      </c>
      <c r="Y236" s="54"/>
      <c r="Z236" s="31" t="s">
        <v>39</v>
      </c>
      <c r="AA236" s="31" t="s">
        <v>39</v>
      </c>
      <c r="AB236" s="31" t="s">
        <v>380</v>
      </c>
      <c r="AC236" s="31" t="s">
        <v>41</v>
      </c>
      <c r="AD236" s="31" t="s">
        <v>39</v>
      </c>
      <c r="AE236" s="31" t="s">
        <v>266</v>
      </c>
      <c r="AF236" s="31" t="s">
        <v>41</v>
      </c>
      <c r="AG236" s="31" t="s">
        <v>41</v>
      </c>
      <c r="AH236" s="31" t="s">
        <v>41</v>
      </c>
      <c r="AI236" s="31" t="s">
        <v>39</v>
      </c>
      <c r="AJ236" s="31" t="s">
        <v>41</v>
      </c>
      <c r="AK236" s="31" t="s">
        <v>41</v>
      </c>
      <c r="AL236" s="31" t="s">
        <v>39</v>
      </c>
      <c r="AM236" s="31" t="s">
        <v>568</v>
      </c>
      <c r="AN236" s="32" t="s">
        <v>545</v>
      </c>
      <c r="AO236" s="32" t="s">
        <v>343</v>
      </c>
      <c r="AP236" s="30">
        <v>42957.450497685182</v>
      </c>
      <c r="AQ236" s="30">
        <v>42957.469930555555</v>
      </c>
      <c r="AR236" s="30">
        <v>42957.688113425924</v>
      </c>
      <c r="AS236" s="92" t="s">
        <v>651</v>
      </c>
      <c r="AT236" s="155">
        <v>34.347099999999998</v>
      </c>
      <c r="AU236" s="155">
        <v>-120.11069999999999</v>
      </c>
      <c r="AV236" s="104" t="s">
        <v>339</v>
      </c>
      <c r="AW236" s="104" t="s">
        <v>339</v>
      </c>
      <c r="AX236" s="120">
        <v>42958.386805555558</v>
      </c>
      <c r="AY236" s="155">
        <v>34.399500000000003</v>
      </c>
      <c r="AZ236" s="155">
        <v>-120.27200000000001</v>
      </c>
      <c r="BA236" s="32" t="s">
        <v>569</v>
      </c>
      <c r="BB236" s="49"/>
      <c r="BC236" s="7"/>
      <c r="BD236" s="7"/>
      <c r="BE236" s="7"/>
      <c r="BF236" s="7"/>
      <c r="BG236" s="7"/>
    </row>
    <row r="237" spans="1:59">
      <c r="A237" s="55" t="str">
        <f>HYPERLINK("tag_data/Quicklook/mn170815-10Quicklook.jpg","mn170815-10")</f>
        <v>mn170815-10</v>
      </c>
      <c r="B237" s="26" t="s">
        <v>271</v>
      </c>
      <c r="C237" s="46" t="str">
        <f t="shared" ref="C237:C242" si="64">HYPERLINK("location data/IOS_Scaling/2017","Monterey")</f>
        <v>Monterey</v>
      </c>
      <c r="D237" s="64" t="s">
        <v>849</v>
      </c>
      <c r="E237" s="69" t="s">
        <v>1154</v>
      </c>
      <c r="F237" s="85">
        <v>-7</v>
      </c>
      <c r="G237" s="60" t="s">
        <v>456</v>
      </c>
      <c r="H237" s="31" t="s">
        <v>39</v>
      </c>
      <c r="I237" s="46" t="str">
        <f>HYPERLINK("tag_data/mn170815-10 (IOS_Monterey)","Link")</f>
        <v>Link</v>
      </c>
      <c r="J237" s="46" t="str">
        <f>HYPERLINK("tag_data_raw/IOS_Scaling/2017/mn170815-10","Link")</f>
        <v>Link</v>
      </c>
      <c r="K237" s="46" t="str">
        <f>HYPERLINK("tag_data/mn170815-10 (IOS_Monterey)/Pics&amp;Vids","Link")</f>
        <v>Link</v>
      </c>
      <c r="L237" s="46" t="str">
        <f>HYPERLINK("location data/IOS_Scaling/2017/Pics&amp;Vids/08.15/Ziphiid Videos/20170815-MN-Friendly-GOPR0413-cut (Deploy 10).mp4","Link")</f>
        <v>Link</v>
      </c>
      <c r="M237" s="54" t="str">
        <f>HYPERLINK("tag_data/mn170815-10 (IOS_Monterey)/Pics&amp;Vids/drone","12.21 m")</f>
        <v>12.21 m</v>
      </c>
      <c r="N237" s="46" t="str">
        <f t="shared" si="61"/>
        <v>Link</v>
      </c>
      <c r="O237" s="55" t="str">
        <f>HYPERLINK("https://happywhale.com/individual/7385;enc=53755;event=106892","CRC-12457 (MN0500930)")</f>
        <v>CRC-12457 (MN0500930)</v>
      </c>
      <c r="P237" s="31" t="s">
        <v>39</v>
      </c>
      <c r="Q237" s="31">
        <v>10</v>
      </c>
      <c r="R237" s="32" t="s">
        <v>133</v>
      </c>
      <c r="S237" s="32" t="s">
        <v>1393</v>
      </c>
      <c r="T237" s="32" t="s">
        <v>330</v>
      </c>
      <c r="U237" s="17">
        <f t="shared" si="59"/>
        <v>0.40526620370656019</v>
      </c>
      <c r="V237" s="17">
        <f t="shared" si="63"/>
        <v>0.40526620370656019</v>
      </c>
      <c r="W237" s="56">
        <v>6.4351851851851841E-2</v>
      </c>
      <c r="X237" s="46" t="str">
        <f>HYPERLINK("tag_data/mn170815-10 (IOS_Monterey)/mn170815-10 Map.bmp","567")</f>
        <v>567</v>
      </c>
      <c r="Y237" s="54" t="str">
        <f>HYPERLINK("tag_data/mn170815-10 (IOS_Monterey)/mn170815-10vidnotes.txt","Link")</f>
        <v>Link</v>
      </c>
      <c r="Z237" s="31" t="s">
        <v>39</v>
      </c>
      <c r="AA237" s="31" t="s">
        <v>41</v>
      </c>
      <c r="AB237" s="31" t="s">
        <v>277</v>
      </c>
      <c r="AC237" s="31" t="s">
        <v>39</v>
      </c>
      <c r="AD237" s="31" t="s">
        <v>41</v>
      </c>
      <c r="AE237" s="31" t="s">
        <v>41</v>
      </c>
      <c r="AF237" s="31" t="s">
        <v>39</v>
      </c>
      <c r="AG237" s="31" t="s">
        <v>41</v>
      </c>
      <c r="AH237" s="31" t="s">
        <v>41</v>
      </c>
      <c r="AI237" s="31" t="s">
        <v>39</v>
      </c>
      <c r="AJ237" s="31" t="s">
        <v>41</v>
      </c>
      <c r="AK237" s="31" t="s">
        <v>39</v>
      </c>
      <c r="AL237" s="31" t="s">
        <v>41</v>
      </c>
      <c r="AM237" s="31" t="s">
        <v>41</v>
      </c>
      <c r="AN237" s="32" t="s">
        <v>428</v>
      </c>
      <c r="AO237" s="32" t="s">
        <v>344</v>
      </c>
      <c r="AP237" s="30">
        <v>42962.416168981479</v>
      </c>
      <c r="AQ237" s="30">
        <v>42962.443310185183</v>
      </c>
      <c r="AR237" s="30">
        <v>42962.848576388889</v>
      </c>
      <c r="AS237" s="92" t="s">
        <v>651</v>
      </c>
      <c r="AT237" s="166">
        <v>36.804200000000002</v>
      </c>
      <c r="AU237" s="166">
        <v>-122.08450000000001</v>
      </c>
      <c r="AV237" s="104" t="s">
        <v>339</v>
      </c>
      <c r="AW237" s="104" t="s">
        <v>313</v>
      </c>
      <c r="AX237" s="120">
        <v>42963.355092592596</v>
      </c>
      <c r="AY237" s="157">
        <v>36.726700000000001</v>
      </c>
      <c r="AZ237" s="157">
        <v>-122.11969999999999</v>
      </c>
      <c r="BA237" s="32" t="s">
        <v>427</v>
      </c>
      <c r="BB237" s="49" t="s">
        <v>426</v>
      </c>
      <c r="BC237" s="7"/>
      <c r="BD237" s="7"/>
      <c r="BE237" s="7"/>
      <c r="BF237" s="7"/>
      <c r="BG237" s="7"/>
    </row>
    <row r="238" spans="1:59">
      <c r="A238" s="55" t="str">
        <f>HYPERLINK("tag_data/Quicklook/mn170815-20Quicklook.jpg","mn170815-20")</f>
        <v>mn170815-20</v>
      </c>
      <c r="B238" s="26" t="s">
        <v>271</v>
      </c>
      <c r="C238" s="46" t="str">
        <f t="shared" si="64"/>
        <v>Monterey</v>
      </c>
      <c r="D238" s="64" t="s">
        <v>849</v>
      </c>
      <c r="E238" s="69" t="s">
        <v>1154</v>
      </c>
      <c r="F238" s="85">
        <v>-7</v>
      </c>
      <c r="G238" s="60" t="s">
        <v>456</v>
      </c>
      <c r="H238" s="31" t="s">
        <v>39</v>
      </c>
      <c r="I238" s="46" t="str">
        <f>HYPERLINK("tag_data/mn170815-20 (IOS_Monterey)","Link")</f>
        <v>Link</v>
      </c>
      <c r="J238" s="46" t="str">
        <f>HYPERLINK("tag_data_raw/IOS_Scaling/2017/mn170815-20","Link")</f>
        <v>Link</v>
      </c>
      <c r="K238" s="46" t="str">
        <f>HYPERLINK("tag_data/mn170815-20 (IOS_Monterey)/Pics&amp;Vids","Link")</f>
        <v>Link</v>
      </c>
      <c r="L238" s="46" t="str">
        <f>HYPERLINK("location data/IOS_Scaling/2017/Pics&amp;Vids/08.15/Ziphiid Videos/20170815-MN-Friendly-GOPR0408 (Deploy 20).MP4","Link")</f>
        <v>Link</v>
      </c>
      <c r="M238" s="54" t="str">
        <f>HYPERLINK("tag_data/mn170815-20 (IOS_Monterey)/Pics&amp;Vids/drone","11.19 m")</f>
        <v>11.19 m</v>
      </c>
      <c r="N238" s="46" t="str">
        <f t="shared" si="61"/>
        <v>Link</v>
      </c>
      <c r="O238" s="54" t="str">
        <f>HYPERLINK("https://happywhale.com/individual/22326;enc=27436;event=107570","CRC-16757")</f>
        <v>CRC-16757</v>
      </c>
      <c r="P238" s="31" t="s">
        <v>39</v>
      </c>
      <c r="Q238" s="31">
        <v>20</v>
      </c>
      <c r="R238" s="32" t="s">
        <v>132</v>
      </c>
      <c r="S238" s="32" t="str">
        <f t="shared" ref="S238:S245" si="65">IF(OR(Q238&lt;39,Q238=50,Q238=51,AND(OR(Q238=46,Q238=47),AQ238&gt;43313)),"Cam Mic",IF(AND(Q238&lt;45,AQ238&lt;42958),"Dolphin Ear",IF(AND(Q238&gt;44,NOT(OR(Q238=46,Q238=47,Q238=50,Q238=51))),"HTI","None")))</f>
        <v>Cam Mic</v>
      </c>
      <c r="T238" s="32" t="s">
        <v>63</v>
      </c>
      <c r="U238" s="17">
        <f t="shared" si="59"/>
        <v>0.19864583333401242</v>
      </c>
      <c r="V238" s="17">
        <f t="shared" si="63"/>
        <v>0.19864583333401242</v>
      </c>
      <c r="W238" s="56">
        <v>0.17325231481481482</v>
      </c>
      <c r="X238" s="46" t="str">
        <f>HYPERLINK("tag_data/mn170815-20 (IOS_Monterey)/mn170815-20 Map.bmp","143")</f>
        <v>143</v>
      </c>
      <c r="Y238" s="54" t="str">
        <f>HYPERLINK("tag_data/mn170815-20 (IOS_Monterey)/mn170815-20vidnotes.txt","Link")</f>
        <v>Link</v>
      </c>
      <c r="Z238" s="31" t="s">
        <v>39</v>
      </c>
      <c r="AA238" s="31" t="s">
        <v>41</v>
      </c>
      <c r="AB238" s="33" t="s">
        <v>1042</v>
      </c>
      <c r="AC238" s="31" t="s">
        <v>39</v>
      </c>
      <c r="AD238" s="31" t="s">
        <v>41</v>
      </c>
      <c r="AE238" s="31" t="s">
        <v>266</v>
      </c>
      <c r="AF238" s="31" t="s">
        <v>39</v>
      </c>
      <c r="AG238" s="31" t="s">
        <v>39</v>
      </c>
      <c r="AH238" s="31" t="s">
        <v>41</v>
      </c>
      <c r="AI238" s="31" t="s">
        <v>39</v>
      </c>
      <c r="AJ238" s="31" t="s">
        <v>41</v>
      </c>
      <c r="AK238" s="31" t="s">
        <v>41</v>
      </c>
      <c r="AL238" s="31" t="s">
        <v>39</v>
      </c>
      <c r="AM238" s="33" t="s">
        <v>450</v>
      </c>
      <c r="AN238" s="32" t="s">
        <v>422</v>
      </c>
      <c r="AO238" s="32" t="s">
        <v>344</v>
      </c>
      <c r="AP238" s="30">
        <v>42962.40934027778</v>
      </c>
      <c r="AQ238" s="30">
        <v>42962.424189814818</v>
      </c>
      <c r="AR238" s="30">
        <v>42962.622835648152</v>
      </c>
      <c r="AS238" s="92" t="s">
        <v>651</v>
      </c>
      <c r="AT238" s="155">
        <v>36.803600000000003</v>
      </c>
      <c r="AU238" s="155">
        <v>-122.0908</v>
      </c>
      <c r="AV238" s="104" t="s">
        <v>339</v>
      </c>
      <c r="AW238" s="104" t="s">
        <v>313</v>
      </c>
      <c r="AX238" s="120">
        <v>42962.625590277778</v>
      </c>
      <c r="AY238" s="157">
        <v>36.7881</v>
      </c>
      <c r="AZ238" s="157">
        <v>-122.09950000000001</v>
      </c>
      <c r="BA238" s="32" t="s">
        <v>425</v>
      </c>
      <c r="BB238" s="49" t="s">
        <v>423</v>
      </c>
      <c r="BC238" s="7"/>
      <c r="BD238" s="7"/>
      <c r="BE238" s="7"/>
      <c r="BF238" s="7"/>
      <c r="BG238" s="7"/>
    </row>
    <row r="239" spans="1:59">
      <c r="A239" s="55" t="str">
        <f>HYPERLINK("tag_data/Quicklook/mn170817-30Quicklook.jpg","mn170817-30")</f>
        <v>mn170817-30</v>
      </c>
      <c r="B239" s="26" t="s">
        <v>271</v>
      </c>
      <c r="C239" s="46" t="str">
        <f t="shared" si="64"/>
        <v>Monterey</v>
      </c>
      <c r="D239" s="64" t="s">
        <v>849</v>
      </c>
      <c r="E239" s="69" t="s">
        <v>1154</v>
      </c>
      <c r="F239" s="85">
        <v>-7</v>
      </c>
      <c r="G239" s="60" t="s">
        <v>456</v>
      </c>
      <c r="H239" s="31" t="s">
        <v>39</v>
      </c>
      <c r="I239" s="46" t="str">
        <f>HYPERLINK("tag_data/mn170817-30 (IOS_Monterey)","Link")</f>
        <v>Link</v>
      </c>
      <c r="J239" s="46" t="str">
        <f>HYPERLINK("tag_data_raw/IOS_Scaling/2017/mn170817-30","Link")</f>
        <v>Link</v>
      </c>
      <c r="K239" s="46" t="str">
        <f>HYPERLINK("tag_data/mn170817-30 (IOS_Monterey)/Pics&amp;Vids","Link")</f>
        <v>Link</v>
      </c>
      <c r="L239" s="46" t="str">
        <f>HYPERLINK("location data/IOS_Scaling/2017/Pics&amp;Vids/08.17/Ziphiid Videos/20170817-ZIP-Tag30deploy-FILE0022.MP4","Link")</f>
        <v>Link</v>
      </c>
      <c r="M239" s="54" t="str">
        <f>HYPERLINK("tag_data/mn170817-30 (IOS_Monterey)/Pics&amp;Vids/drone","11.69 m")</f>
        <v>11.69 m</v>
      </c>
      <c r="N239" s="46" t="str">
        <f t="shared" si="61"/>
        <v>Link</v>
      </c>
      <c r="O239" s="79" t="str">
        <f>HYPERLINK("https://happywhale.com/individual/11156;enc=29614","Notes (CRC-12252, MN0501472, FIBB-SBB546, OSUWTG-mnCA-097)")</f>
        <v>Notes (CRC-12252, MN0501472, FIBB-SBB546, OSUWTG-mnCA-097)</v>
      </c>
      <c r="P239" s="31" t="s">
        <v>39</v>
      </c>
      <c r="Q239" s="31">
        <v>30</v>
      </c>
      <c r="R239" s="32" t="s">
        <v>306</v>
      </c>
      <c r="S239" s="32" t="str">
        <f t="shared" si="65"/>
        <v>Cam Mic</v>
      </c>
      <c r="T239" s="32" t="s">
        <v>480</v>
      </c>
      <c r="U239" s="17">
        <f t="shared" si="59"/>
        <v>0.13319444444641704</v>
      </c>
      <c r="V239" s="17">
        <f t="shared" si="63"/>
        <v>0.13319444444641704</v>
      </c>
      <c r="W239" s="56">
        <v>9.6435185185185179E-2</v>
      </c>
      <c r="X239" s="61">
        <v>0</v>
      </c>
      <c r="Y239" s="54" t="str">
        <f>HYPERLINK("tag_data/mn170817-30 (IOS_Monterey)/vid audit.xlsx","Link")</f>
        <v>Link</v>
      </c>
      <c r="Z239" s="31" t="s">
        <v>39</v>
      </c>
      <c r="AA239" s="31" t="s">
        <v>41</v>
      </c>
      <c r="AB239" s="31" t="s">
        <v>372</v>
      </c>
      <c r="AC239" s="31" t="s">
        <v>39</v>
      </c>
      <c r="AD239" s="31" t="s">
        <v>41</v>
      </c>
      <c r="AE239" s="31" t="s">
        <v>39</v>
      </c>
      <c r="AF239" s="31" t="s">
        <v>39</v>
      </c>
      <c r="AG239" s="31" t="s">
        <v>41</v>
      </c>
      <c r="AH239" s="31" t="s">
        <v>41</v>
      </c>
      <c r="AI239" s="31" t="s">
        <v>39</v>
      </c>
      <c r="AJ239" s="31" t="s">
        <v>41</v>
      </c>
      <c r="AK239" s="31" t="s">
        <v>41</v>
      </c>
      <c r="AL239" s="31" t="s">
        <v>41</v>
      </c>
      <c r="AM239" s="33" t="s">
        <v>450</v>
      </c>
      <c r="AN239" s="32" t="s">
        <v>550</v>
      </c>
      <c r="AO239" s="32" t="s">
        <v>345</v>
      </c>
      <c r="AP239" s="30">
        <v>42964.334097222221</v>
      </c>
      <c r="AQ239" s="30">
        <v>42964.351400462961</v>
      </c>
      <c r="AR239" s="30">
        <v>42964.484594907408</v>
      </c>
      <c r="AS239" s="92" t="s">
        <v>651</v>
      </c>
      <c r="AT239" s="158">
        <v>36.801600000000001</v>
      </c>
      <c r="AU239" s="158">
        <v>-121.8112</v>
      </c>
      <c r="AV239" s="104" t="s">
        <v>339</v>
      </c>
      <c r="AW239" s="104" t="s">
        <v>313</v>
      </c>
      <c r="AX239" s="120">
        <v>42964.534375000003</v>
      </c>
      <c r="AY239" s="158">
        <f>36+47.53/60</f>
        <v>36.792166666666667</v>
      </c>
      <c r="AZ239" s="158">
        <f>-121-50.66/60</f>
        <v>-121.84433333333334</v>
      </c>
      <c r="BA239" s="32" t="s">
        <v>591</v>
      </c>
      <c r="BB239" s="49"/>
      <c r="BC239" s="7"/>
      <c r="BD239" s="7"/>
      <c r="BE239" s="7"/>
      <c r="BF239" s="7"/>
      <c r="BG239" s="7"/>
    </row>
    <row r="240" spans="1:59" s="20" customFormat="1">
      <c r="A240" s="55" t="str">
        <f>HYPERLINK("tag_data/Quicklook/mn170817-43Quicklook.jpg","mn170817-43")</f>
        <v>mn170817-43</v>
      </c>
      <c r="B240" s="26" t="s">
        <v>271</v>
      </c>
      <c r="C240" s="46" t="str">
        <f t="shared" si="64"/>
        <v>Monterey</v>
      </c>
      <c r="D240" s="64" t="s">
        <v>849</v>
      </c>
      <c r="E240" s="69" t="s">
        <v>1154</v>
      </c>
      <c r="F240" s="85">
        <v>-7</v>
      </c>
      <c r="G240" s="60" t="s">
        <v>456</v>
      </c>
      <c r="H240" s="31" t="s">
        <v>39</v>
      </c>
      <c r="I240" s="46" t="str">
        <f>HYPERLINK("tag_data/mn170817-43 (IOS_Monterey)","Link")</f>
        <v>Link</v>
      </c>
      <c r="J240" s="46" t="str">
        <f>HYPERLINK("tag_data_raw/IOS_Scaling/2017/mn170817-43","Link")</f>
        <v>Link</v>
      </c>
      <c r="K240" s="46" t="str">
        <f>HYPERLINK("tag_data/mn170817-43 (IOS_Monterey)/Pics&amp;Vids","Link")</f>
        <v>Link</v>
      </c>
      <c r="L240" s="46" t="str">
        <f>HYPERLINK("location data/IOS_Scaling/2017/Pics&amp;Vids/08.17/Ziphiid Videos/20170817-ZIP-Tag43deploy-FILE0024.MP4","Link")</f>
        <v>Link</v>
      </c>
      <c r="M240" s="54" t="str">
        <f>HYPERLINK("tag_data/mn170817-43 (IOS_Monterey)/Pics&amp;Vids/drone","11.97 m")</f>
        <v>11.97 m</v>
      </c>
      <c r="N240" s="46" t="str">
        <f t="shared" si="61"/>
        <v>Link</v>
      </c>
      <c r="O240" s="55" t="str">
        <f>HYPERLINK("https://happywhale.com/individual/1347;enc=27435;event=107903","CRC-15481 (MN0501129, OSUWTG-MnCA051), also seems to be CRC-16539, see: https://happywhale.com/individual/13291")</f>
        <v>CRC-15481 (MN0501129, OSUWTG-MnCA051), also seems to be CRC-16539, see: https://happywhale.com/individual/13291</v>
      </c>
      <c r="P240" s="31" t="s">
        <v>41</v>
      </c>
      <c r="Q240" s="31">
        <v>43</v>
      </c>
      <c r="R240" s="32" t="s">
        <v>347</v>
      </c>
      <c r="S240" s="32" t="str">
        <f t="shared" si="65"/>
        <v>None</v>
      </c>
      <c r="T240" s="32" t="s">
        <v>402</v>
      </c>
      <c r="U240" s="17">
        <f t="shared" si="59"/>
        <v>0.19380787036789116</v>
      </c>
      <c r="V240" s="17">
        <f t="shared" si="63"/>
        <v>0.19380787036789116</v>
      </c>
      <c r="W240" s="56">
        <v>2.7696759259259258E-2</v>
      </c>
      <c r="X240" s="46" t="str">
        <f>HYPERLINK("tag_data/mn170817-43 (IOS_Monterey)/mn170817-43 Map.bmp","215")</f>
        <v>215</v>
      </c>
      <c r="Y240" s="42"/>
      <c r="Z240" s="31" t="s">
        <v>39</v>
      </c>
      <c r="AA240" s="31" t="s">
        <v>41</v>
      </c>
      <c r="AB240" s="31" t="s">
        <v>372</v>
      </c>
      <c r="AC240" s="31" t="s">
        <v>39</v>
      </c>
      <c r="AD240" s="31" t="s">
        <v>41</v>
      </c>
      <c r="AE240" s="31" t="s">
        <v>39</v>
      </c>
      <c r="AF240" s="31" t="s">
        <v>39</v>
      </c>
      <c r="AG240" s="31" t="s">
        <v>41</v>
      </c>
      <c r="AH240" s="31" t="s">
        <v>41</v>
      </c>
      <c r="AI240" s="31" t="s">
        <v>39</v>
      </c>
      <c r="AJ240" s="31" t="s">
        <v>39</v>
      </c>
      <c r="AK240" s="31" t="s">
        <v>41</v>
      </c>
      <c r="AL240" s="31" t="s">
        <v>41</v>
      </c>
      <c r="AM240" s="33" t="s">
        <v>450</v>
      </c>
      <c r="AN240" s="32" t="s">
        <v>550</v>
      </c>
      <c r="AO240" s="32" t="s">
        <v>345</v>
      </c>
      <c r="AP240" s="30">
        <v>42964.353090277778</v>
      </c>
      <c r="AQ240" s="30">
        <v>42964.357974537037</v>
      </c>
      <c r="AR240" s="30">
        <v>42964.551782407405</v>
      </c>
      <c r="AS240" s="92" t="s">
        <v>651</v>
      </c>
      <c r="AT240" s="166">
        <v>36.798200000000001</v>
      </c>
      <c r="AU240" s="166">
        <v>-121.8135</v>
      </c>
      <c r="AV240" s="104" t="s">
        <v>339</v>
      </c>
      <c r="AW240" s="104" t="s">
        <v>341</v>
      </c>
      <c r="AX240" s="120">
        <v>42964.821527777778</v>
      </c>
      <c r="AY240" s="148">
        <f>36+(46/60)+(20/60/60)</f>
        <v>36.772222222222219</v>
      </c>
      <c r="AZ240" s="148">
        <f>-121-(47/60)-(55/60/60)</f>
        <v>-121.79861111111111</v>
      </c>
      <c r="BA240" s="32" t="s">
        <v>551</v>
      </c>
      <c r="BB240" s="49" t="s">
        <v>552</v>
      </c>
      <c r="BC240" s="7"/>
      <c r="BD240" s="7"/>
      <c r="BE240" s="173"/>
      <c r="BF240" s="173"/>
      <c r="BG240" s="173"/>
    </row>
    <row r="241" spans="1:59">
      <c r="A241" s="55" t="str">
        <f>HYPERLINK("tag_data/Quicklook/mn170817-50Quicklook.jpg","mn170817-50")</f>
        <v>mn170817-50</v>
      </c>
      <c r="B241" s="26" t="s">
        <v>271</v>
      </c>
      <c r="C241" s="46" t="str">
        <f t="shared" si="64"/>
        <v>Monterey</v>
      </c>
      <c r="D241" s="64" t="s">
        <v>849</v>
      </c>
      <c r="E241" s="69" t="s">
        <v>1154</v>
      </c>
      <c r="F241" s="85">
        <v>-7</v>
      </c>
      <c r="G241" s="60" t="s">
        <v>456</v>
      </c>
      <c r="H241" s="31" t="s">
        <v>39</v>
      </c>
      <c r="I241" s="46" t="str">
        <f>HYPERLINK("tag_data/mn170817-50 (IOS_Monterey)","Link")</f>
        <v>Link</v>
      </c>
      <c r="J241" s="46" t="str">
        <f>HYPERLINK("tag_data_raw/IOS_Scaling/2017/mn170817-50","Link")</f>
        <v>Link</v>
      </c>
      <c r="K241" s="54" t="str">
        <f>HYPERLINK("tag_data/mn170817-50 (IOS_Monterey)/Pics&amp;Vids","Link")</f>
        <v>Link</v>
      </c>
      <c r="L241" s="46" t="str">
        <f>HYPERLINK("location data/IOS_Scaling/2017/Pics&amp;Vids/08.17/Ziphiid Videos/Deployment 1 (Tag 50) GOPR0019.MP4","Link")</f>
        <v>Link</v>
      </c>
      <c r="M241" s="54" t="str">
        <f>HYPERLINK("tag_data/mn170817-50 (IOS_Monterey)/Pics&amp;Vids/drone","13.13 m")</f>
        <v>13.13 m</v>
      </c>
      <c r="N241" s="46" t="str">
        <f t="shared" si="61"/>
        <v>Link</v>
      </c>
      <c r="O241" s="81" t="s">
        <v>555</v>
      </c>
      <c r="P241" s="31" t="s">
        <v>39</v>
      </c>
      <c r="Q241" s="31">
        <v>50</v>
      </c>
      <c r="R241" s="32" t="s">
        <v>475</v>
      </c>
      <c r="S241" s="32" t="str">
        <f t="shared" si="65"/>
        <v>Cam Mic</v>
      </c>
      <c r="T241" s="32" t="s">
        <v>474</v>
      </c>
      <c r="U241" s="17">
        <f t="shared" si="59"/>
        <v>0.88254629629955161</v>
      </c>
      <c r="V241" s="17">
        <f t="shared" si="63"/>
        <v>0.59861111111240461</v>
      </c>
      <c r="W241" s="56">
        <v>0.19350694444444447</v>
      </c>
      <c r="X241" s="46" t="str">
        <f>HYPERLINK("tag_data/mn170817-50 (IOS_Monterey)/mn170817-50 Map.bmp","3")</f>
        <v>3</v>
      </c>
      <c r="Y241" s="54" t="str">
        <f>HYPERLINK("tag_data/mn170817-50 (IOS_Monterey)/VidAudit.xlsx","Link")</f>
        <v>Link</v>
      </c>
      <c r="Z241" s="31" t="s">
        <v>39</v>
      </c>
      <c r="AA241" s="31" t="s">
        <v>41</v>
      </c>
      <c r="AB241" s="31" t="s">
        <v>372</v>
      </c>
      <c r="AC241" s="31" t="s">
        <v>39</v>
      </c>
      <c r="AD241" s="71" t="s">
        <v>41</v>
      </c>
      <c r="AE241" s="71" t="s">
        <v>39</v>
      </c>
      <c r="AF241" s="71" t="s">
        <v>39</v>
      </c>
      <c r="AG241" s="71" t="s">
        <v>41</v>
      </c>
      <c r="AH241" s="71" t="s">
        <v>41</v>
      </c>
      <c r="AI241" s="71" t="s">
        <v>39</v>
      </c>
      <c r="AJ241" s="71" t="s">
        <v>39</v>
      </c>
      <c r="AK241" s="71" t="s">
        <v>39</v>
      </c>
      <c r="AL241" s="90" t="s">
        <v>606</v>
      </c>
      <c r="AM241" s="31" t="s">
        <v>476</v>
      </c>
      <c r="AN241" s="32" t="s">
        <v>550</v>
      </c>
      <c r="AO241" s="32" t="s">
        <v>345</v>
      </c>
      <c r="AP241" s="30">
        <v>42964.304340277777</v>
      </c>
      <c r="AQ241" s="30">
        <v>42964.325787037036</v>
      </c>
      <c r="AR241" s="30">
        <v>42965.208333333336</v>
      </c>
      <c r="AS241" s="92">
        <v>42964.924398148149</v>
      </c>
      <c r="AT241" s="155">
        <v>36.801299999999998</v>
      </c>
      <c r="AU241" s="155">
        <v>-121.8126</v>
      </c>
      <c r="AV241" s="142" t="s">
        <v>339</v>
      </c>
      <c r="AW241" s="104" t="s">
        <v>339</v>
      </c>
      <c r="AX241" s="120">
        <v>42965.392048611109</v>
      </c>
      <c r="AY241" s="157">
        <v>36.773000000000003</v>
      </c>
      <c r="AZ241" s="157">
        <v>-121.8627</v>
      </c>
      <c r="BA241" s="32" t="s">
        <v>618</v>
      </c>
      <c r="BB241" s="49" t="s">
        <v>619</v>
      </c>
      <c r="BC241" s="7"/>
      <c r="BD241" s="7"/>
      <c r="BE241" s="7"/>
      <c r="BF241" s="7"/>
      <c r="BG241" s="7"/>
    </row>
    <row r="242" spans="1:59">
      <c r="A242" s="55" t="str">
        <f>HYPERLINK("tag_data/Quicklook/mn170817-51Quicklook.jpg","mn170817-51")</f>
        <v>mn170817-51</v>
      </c>
      <c r="B242" s="26" t="s">
        <v>271</v>
      </c>
      <c r="C242" s="46" t="str">
        <f t="shared" si="64"/>
        <v>Monterey</v>
      </c>
      <c r="D242" s="64" t="s">
        <v>849</v>
      </c>
      <c r="E242" s="69" t="s">
        <v>1154</v>
      </c>
      <c r="F242" s="85">
        <v>-7</v>
      </c>
      <c r="G242" s="60" t="s">
        <v>456</v>
      </c>
      <c r="H242" s="31" t="s">
        <v>39</v>
      </c>
      <c r="I242" s="46" t="str">
        <f>HYPERLINK("tag_data/mn170817-51 (IOS_Monterey)","Link")</f>
        <v>Link</v>
      </c>
      <c r="J242" s="46" t="str">
        <f>HYPERLINK("tag_data_raw/IOS_Scaling/2017/mn170817-51","Link")</f>
        <v>Link</v>
      </c>
      <c r="K242" s="54" t="str">
        <f>HYPERLINK("tag_data/mn170817-51 (IOS_Monterey)/Pics&amp;Vids","Link")</f>
        <v>Link</v>
      </c>
      <c r="L242" s="46" t="str">
        <f>HYPERLINK("location data/IOS_Scaling/2017/Pics&amp;Vids/08.17/Ziphiid Videos/20170817-ZIP-Tag51deploy-GOPR0447.MP4","Link")</f>
        <v>Link</v>
      </c>
      <c r="M242" s="54" t="str">
        <f>HYPERLINK("tag_data/mn170817-51 (IOS_Monterey)/Pics&amp;Vids/drone","10.60 m")</f>
        <v>10.60 m</v>
      </c>
      <c r="N242" s="46" t="str">
        <f t="shared" si="61"/>
        <v>Link</v>
      </c>
      <c r="O242" s="81" t="s">
        <v>1457</v>
      </c>
      <c r="P242" s="31" t="s">
        <v>39</v>
      </c>
      <c r="Q242" s="31">
        <v>51</v>
      </c>
      <c r="R242" s="32" t="s">
        <v>475</v>
      </c>
      <c r="S242" s="32" t="str">
        <f t="shared" si="65"/>
        <v>Cam Mic</v>
      </c>
      <c r="T242" s="32" t="s">
        <v>620</v>
      </c>
      <c r="U242" s="17">
        <f t="shared" si="59"/>
        <v>0.1548032407372375</v>
      </c>
      <c r="V242" s="17">
        <f t="shared" si="63"/>
        <v>0.1548032407372375</v>
      </c>
      <c r="W242" s="56">
        <v>0.14760416666666668</v>
      </c>
      <c r="X242" s="31">
        <v>0</v>
      </c>
      <c r="Y242" s="54" t="str">
        <f>HYPERLINK("tag_data/mn170817-51 (IOS_Monterey)/VidAudit.xlsx","Link")</f>
        <v>Link</v>
      </c>
      <c r="Z242" s="31" t="s">
        <v>39</v>
      </c>
      <c r="AA242" s="31" t="s">
        <v>41</v>
      </c>
      <c r="AB242" s="31" t="s">
        <v>372</v>
      </c>
      <c r="AC242" s="31" t="s">
        <v>39</v>
      </c>
      <c r="AD242" s="71" t="s">
        <v>41</v>
      </c>
      <c r="AE242" s="71" t="s">
        <v>266</v>
      </c>
      <c r="AF242" s="71" t="s">
        <v>39</v>
      </c>
      <c r="AG242" s="71" t="s">
        <v>41</v>
      </c>
      <c r="AH242" s="71" t="s">
        <v>41</v>
      </c>
      <c r="AI242" s="71" t="s">
        <v>39</v>
      </c>
      <c r="AJ242" s="71" t="s">
        <v>39</v>
      </c>
      <c r="AK242" s="71" t="s">
        <v>39</v>
      </c>
      <c r="AL242" s="71" t="s">
        <v>41</v>
      </c>
      <c r="AM242" s="33" t="s">
        <v>450</v>
      </c>
      <c r="AN242" s="32" t="s">
        <v>550</v>
      </c>
      <c r="AO242" s="32" t="s">
        <v>345</v>
      </c>
      <c r="AP242" s="30">
        <v>42964.30704861111</v>
      </c>
      <c r="AQ242" s="30">
        <v>42964.33289351852</v>
      </c>
      <c r="AR242" s="30">
        <v>42964.487696759257</v>
      </c>
      <c r="AS242" s="92" t="s">
        <v>651</v>
      </c>
      <c r="AT242" s="155">
        <v>36.802999999999997</v>
      </c>
      <c r="AU242" s="155">
        <v>-121.8051</v>
      </c>
      <c r="AV242" s="142" t="s">
        <v>339</v>
      </c>
      <c r="AW242" s="104" t="s">
        <v>313</v>
      </c>
      <c r="AX242" s="120">
        <v>42964.53875</v>
      </c>
      <c r="AY242" s="157">
        <f>36+48.54/60</f>
        <v>36.808999999999997</v>
      </c>
      <c r="AZ242" s="157">
        <f>-121-50.92/60</f>
        <v>-121.84866666666667</v>
      </c>
      <c r="BA242" s="32" t="s">
        <v>621</v>
      </c>
      <c r="BB242" s="49" t="s">
        <v>1335</v>
      </c>
      <c r="BC242" s="7"/>
      <c r="BD242" s="7"/>
      <c r="BE242" s="7"/>
      <c r="BF242" s="7"/>
      <c r="BG242" s="7"/>
    </row>
    <row r="243" spans="1:59">
      <c r="A243" s="80" t="str">
        <f>HYPERLINK("tag_data/Quicklook/mn170908-44Quicklook.jpg","mn170908-44")</f>
        <v>mn170908-44</v>
      </c>
      <c r="B243" s="26" t="s">
        <v>271</v>
      </c>
      <c r="C243" s="42" t="str">
        <f>HYPERLINK("location data/Greenland/2017","Greenland")</f>
        <v>Greenland</v>
      </c>
      <c r="D243" s="64" t="s">
        <v>514</v>
      </c>
      <c r="E243" s="61" t="s">
        <v>500</v>
      </c>
      <c r="F243" s="85">
        <v>-2</v>
      </c>
      <c r="G243" s="60" t="s">
        <v>524</v>
      </c>
      <c r="H243" s="71" t="s">
        <v>39</v>
      </c>
      <c r="I243" s="72" t="str">
        <f>HYPERLINK("tag_data/mn170908-44 (Greenland)","Link")</f>
        <v>Link</v>
      </c>
      <c r="J243" s="72" t="str">
        <f>HYPERLINK("tag_data_raw/Greenland/2017/mn170908-44","Link")</f>
        <v>Link</v>
      </c>
      <c r="K243" s="73" t="str">
        <f>HYPERLINK("tag_data/mn170908-44 (Greenland)/Pics&amp;Vids","Link")</f>
        <v>Link</v>
      </c>
      <c r="L243" s="46" t="str">
        <f>HYPERLINK("location data/Greenland/2017/Pics&amp;Vids/mn170908-44.MP4","Link")</f>
        <v>Link</v>
      </c>
      <c r="M243" s="73" t="str">
        <f>HYPERLINK("tag_data/mn170908-44 (Greenland)/Pics&amp;Vids/drone","14.74 m")</f>
        <v>14.74 m</v>
      </c>
      <c r="N243" s="46" t="str">
        <f>HYPERLINK("location data/Greenland/2017/","Link")</f>
        <v>Link</v>
      </c>
      <c r="O243" s="31" t="s">
        <v>45</v>
      </c>
      <c r="P243" s="31" t="s">
        <v>41</v>
      </c>
      <c r="Q243" s="31">
        <v>44</v>
      </c>
      <c r="R243" s="32" t="s">
        <v>347</v>
      </c>
      <c r="S243" s="32" t="str">
        <f t="shared" si="65"/>
        <v>None</v>
      </c>
      <c r="T243" s="32" t="s">
        <v>263</v>
      </c>
      <c r="U243" s="17">
        <f t="shared" ref="U243:U268" si="66">AR243-AQ243</f>
        <v>3.109166666668898</v>
      </c>
      <c r="V243" s="17">
        <f t="shared" si="63"/>
        <v>1.4540162037083064</v>
      </c>
      <c r="W243" s="56" t="s">
        <v>346</v>
      </c>
      <c r="X243" s="72">
        <v>5</v>
      </c>
      <c r="Y243" s="29" t="s">
        <v>263</v>
      </c>
      <c r="Z243" s="31" t="s">
        <v>39</v>
      </c>
      <c r="AA243" s="31" t="s">
        <v>41</v>
      </c>
      <c r="AB243" s="33" t="s">
        <v>1043</v>
      </c>
      <c r="AC243" s="31" t="s">
        <v>41</v>
      </c>
      <c r="AD243" s="31" t="s">
        <v>41</v>
      </c>
      <c r="AE243" s="31" t="s">
        <v>266</v>
      </c>
      <c r="AF243" s="31" t="s">
        <v>41</v>
      </c>
      <c r="AG243" s="31" t="s">
        <v>266</v>
      </c>
      <c r="AH243" s="31" t="s">
        <v>41</v>
      </c>
      <c r="AI243" s="31" t="s">
        <v>41</v>
      </c>
      <c r="AJ243" s="31" t="s">
        <v>41</v>
      </c>
      <c r="AK243" s="31" t="s">
        <v>41</v>
      </c>
      <c r="AL243" s="31" t="s">
        <v>41</v>
      </c>
      <c r="AM243" s="31" t="s">
        <v>41</v>
      </c>
      <c r="AN243" s="32" t="s">
        <v>538</v>
      </c>
      <c r="AO243" s="32" t="s">
        <v>447</v>
      </c>
      <c r="AP243" s="30">
        <v>42986.487835648149</v>
      </c>
      <c r="AQ243" s="30">
        <v>42986.515833333331</v>
      </c>
      <c r="AR243" s="30">
        <v>42989.625</v>
      </c>
      <c r="AS243" s="92">
        <v>42987.969849537039</v>
      </c>
      <c r="AT243" s="158">
        <f>65+36.726/60</f>
        <v>65.612099999999998</v>
      </c>
      <c r="AU243" s="158">
        <f>-37-16.74/60</f>
        <v>-37.279000000000003</v>
      </c>
      <c r="AV243" s="142" t="s">
        <v>446</v>
      </c>
      <c r="AW243" s="104" t="s">
        <v>449</v>
      </c>
      <c r="AX243" s="120">
        <v>42990.621527777781</v>
      </c>
      <c r="AY243" s="158">
        <f>65+21.591/60</f>
        <v>65.359849999999994</v>
      </c>
      <c r="AZ243" s="158">
        <f>-38-49.874/60</f>
        <v>-38.83123333333333</v>
      </c>
      <c r="BA243" s="32" t="s">
        <v>541</v>
      </c>
      <c r="BB243" s="32" t="s">
        <v>1336</v>
      </c>
      <c r="BC243" s="7"/>
      <c r="BD243" s="7"/>
      <c r="BE243" s="7"/>
      <c r="BF243" s="7"/>
      <c r="BG243" s="7"/>
    </row>
    <row r="244" spans="1:59">
      <c r="A244" s="55" t="str">
        <f>HYPERLINK("tag_data/Quicklook/mn170912-42Quicklook.jpg","mn170912-42")</f>
        <v>mn170912-42</v>
      </c>
      <c r="B244" s="26" t="s">
        <v>271</v>
      </c>
      <c r="C244" s="42" t="str">
        <f>HYPERLINK("location data/Greenland/2017","Greenland")</f>
        <v>Greenland</v>
      </c>
      <c r="D244" s="64" t="s">
        <v>514</v>
      </c>
      <c r="E244" s="61" t="s">
        <v>500</v>
      </c>
      <c r="F244" s="85">
        <v>-2</v>
      </c>
      <c r="G244" s="60" t="s">
        <v>524</v>
      </c>
      <c r="H244" s="71" t="s">
        <v>39</v>
      </c>
      <c r="I244" s="72" t="str">
        <f>HYPERLINK("tag_data/mn170912-42 (Greenland)","Link")</f>
        <v>Link</v>
      </c>
      <c r="J244" s="72" t="str">
        <f>HYPERLINK("tag_data_raw/Greenland/2017/mn170912-42","Link")</f>
        <v>Link</v>
      </c>
      <c r="K244" s="73" t="str">
        <f>HYPERLINK("tag_data/mn170912-42 (Greenland)/Pics&amp;Vids","Link")</f>
        <v>Link</v>
      </c>
      <c r="L244" s="46" t="str">
        <f>HYPERLINK("location data/Greenland/2017/Pics&amp;Vids/mn170912-42.MP4","Link")</f>
        <v>Link</v>
      </c>
      <c r="M244" s="82" t="s">
        <v>263</v>
      </c>
      <c r="N244" s="46" t="str">
        <f>HYPERLINK("location data/Greenland/2017/","Link")</f>
        <v>Link</v>
      </c>
      <c r="O244" s="31" t="s">
        <v>45</v>
      </c>
      <c r="P244" s="31" t="s">
        <v>41</v>
      </c>
      <c r="Q244" s="31">
        <v>42</v>
      </c>
      <c r="R244" s="32" t="s">
        <v>347</v>
      </c>
      <c r="S244" s="32" t="str">
        <f t="shared" si="65"/>
        <v>None</v>
      </c>
      <c r="T244" s="32" t="s">
        <v>566</v>
      </c>
      <c r="U244" s="17">
        <f t="shared" si="66"/>
        <v>5.9021412037036498</v>
      </c>
      <c r="V244" s="17">
        <f t="shared" si="63"/>
        <v>1.3448958333392511</v>
      </c>
      <c r="W244" s="56">
        <v>0.26245370370370369</v>
      </c>
      <c r="X244" s="72" t="str">
        <f>HYPERLINK("tag_data/mn170912-42 (Greenland)/mn170912-42 Map.bmp","2772")</f>
        <v>2772</v>
      </c>
      <c r="Y244" s="54"/>
      <c r="Z244" s="31" t="s">
        <v>39</v>
      </c>
      <c r="AA244" s="31" t="s">
        <v>41</v>
      </c>
      <c r="AB244" s="33" t="s">
        <v>652</v>
      </c>
      <c r="AC244" s="31" t="s">
        <v>41</v>
      </c>
      <c r="AD244" s="31" t="s">
        <v>39</v>
      </c>
      <c r="AE244" s="31" t="s">
        <v>266</v>
      </c>
      <c r="AF244" s="31" t="s">
        <v>39</v>
      </c>
      <c r="AG244" s="31" t="s">
        <v>41</v>
      </c>
      <c r="AH244" s="31" t="s">
        <v>41</v>
      </c>
      <c r="AI244" s="31" t="s">
        <v>41</v>
      </c>
      <c r="AJ244" s="31" t="s">
        <v>41</v>
      </c>
      <c r="AK244" s="31" t="s">
        <v>41</v>
      </c>
      <c r="AL244" s="31" t="s">
        <v>39</v>
      </c>
      <c r="AM244" s="31" t="s">
        <v>41</v>
      </c>
      <c r="AN244" s="32" t="s">
        <v>584</v>
      </c>
      <c r="AO244" s="32" t="s">
        <v>448</v>
      </c>
      <c r="AP244" s="30">
        <v>42990.66777777778</v>
      </c>
      <c r="AQ244" s="30">
        <v>42990.670775462961</v>
      </c>
      <c r="AR244" s="30">
        <v>42996.572916666664</v>
      </c>
      <c r="AS244" s="92">
        <v>42992.0156712963</v>
      </c>
      <c r="AT244" s="158">
        <f>65+51.605/60</f>
        <v>65.860083333333336</v>
      </c>
      <c r="AU244" s="158">
        <f>-38-15.688/60</f>
        <v>-38.261466666666664</v>
      </c>
      <c r="AV244" s="142" t="s">
        <v>446</v>
      </c>
      <c r="AW244" s="104" t="s">
        <v>446</v>
      </c>
      <c r="AX244" s="120">
        <v>42997.385416666664</v>
      </c>
      <c r="AY244" s="158">
        <f>65+52/60+36.44/60/60</f>
        <v>65.876788888888882</v>
      </c>
      <c r="AZ244" s="158">
        <f>-38-10/60-8.69/60/60</f>
        <v>-38.169080555555553</v>
      </c>
      <c r="BA244" s="32" t="s">
        <v>567</v>
      </c>
      <c r="BB244" s="49" t="s">
        <v>1337</v>
      </c>
      <c r="BC244" s="7"/>
      <c r="BD244" s="7"/>
      <c r="BE244" s="7"/>
      <c r="BF244" s="7"/>
      <c r="BG244" s="7"/>
    </row>
    <row r="245" spans="1:59">
      <c r="A245" s="55" t="str">
        <f>HYPERLINK("tag_data/Quicklook/mn170912-43Quicklook.jpg","mn170912-43")</f>
        <v>mn170912-43</v>
      </c>
      <c r="B245" s="26" t="s">
        <v>271</v>
      </c>
      <c r="C245" s="42" t="str">
        <f>HYPERLINK("location data/Greenland/2017","Greenland")</f>
        <v>Greenland</v>
      </c>
      <c r="D245" s="64" t="s">
        <v>514</v>
      </c>
      <c r="E245" s="61" t="s">
        <v>500</v>
      </c>
      <c r="F245" s="85">
        <v>-2</v>
      </c>
      <c r="G245" s="60" t="s">
        <v>524</v>
      </c>
      <c r="H245" s="71" t="s">
        <v>39</v>
      </c>
      <c r="I245" s="72" t="str">
        <f>HYPERLINK("tag_data/mn170912-43 (Greenland)","Link")</f>
        <v>Link</v>
      </c>
      <c r="J245" s="72" t="str">
        <f>HYPERLINK("tag_data_raw/Greenland/2017/mn170912-43","Link")</f>
        <v>Link</v>
      </c>
      <c r="K245" s="73" t="str">
        <f>HYPERLINK("tag_data/mn170912-43 (Greenland)/Pics&amp;Vids","Link")</f>
        <v>Link</v>
      </c>
      <c r="L245" s="46" t="str">
        <f>HYPERLINK("location data/Greenland/2017/Pics&amp;Vids/mn170912-43.MP4","Link")</f>
        <v>Link</v>
      </c>
      <c r="M245" s="82" t="s">
        <v>263</v>
      </c>
      <c r="N245" s="46" t="str">
        <f>HYPERLINK("location data/Greenland/2017/","Link")</f>
        <v>Link</v>
      </c>
      <c r="O245" s="31" t="s">
        <v>45</v>
      </c>
      <c r="P245" s="31" t="s">
        <v>41</v>
      </c>
      <c r="Q245" s="31">
        <v>43</v>
      </c>
      <c r="R245" s="32" t="s">
        <v>347</v>
      </c>
      <c r="S245" s="32" t="str">
        <f t="shared" si="65"/>
        <v>None</v>
      </c>
      <c r="T245" s="32" t="s">
        <v>38</v>
      </c>
      <c r="U245" s="17">
        <f t="shared" si="66"/>
        <v>3.0197453703731298</v>
      </c>
      <c r="V245" s="17">
        <f t="shared" si="63"/>
        <v>1.1201967592569417</v>
      </c>
      <c r="W245" s="56">
        <v>0.31083333333333335</v>
      </c>
      <c r="X245" s="72" t="str">
        <f>HYPERLINK("tag_data/mn170912-43 (Greenland)/mn170912-43 Map.bmp","670")</f>
        <v>670</v>
      </c>
      <c r="Y245" s="54"/>
      <c r="Z245" s="31" t="s">
        <v>39</v>
      </c>
      <c r="AA245" s="31" t="s">
        <v>39</v>
      </c>
      <c r="AB245" s="31" t="s">
        <v>277</v>
      </c>
      <c r="AC245" s="31" t="s">
        <v>41</v>
      </c>
      <c r="AD245" s="31" t="s">
        <v>39</v>
      </c>
      <c r="AE245" s="31" t="s">
        <v>266</v>
      </c>
      <c r="AF245" s="31" t="s">
        <v>39</v>
      </c>
      <c r="AG245" s="31" t="s">
        <v>41</v>
      </c>
      <c r="AH245" s="31" t="s">
        <v>41</v>
      </c>
      <c r="AI245" s="31" t="s">
        <v>39</v>
      </c>
      <c r="AJ245" s="31" t="s">
        <v>39</v>
      </c>
      <c r="AK245" s="31" t="s">
        <v>41</v>
      </c>
      <c r="AL245" s="31" t="s">
        <v>39</v>
      </c>
      <c r="AM245" s="31" t="s">
        <v>41</v>
      </c>
      <c r="AN245" s="32" t="s">
        <v>585</v>
      </c>
      <c r="AO245" s="32" t="s">
        <v>448</v>
      </c>
      <c r="AP245" s="30">
        <v>42990.563368055555</v>
      </c>
      <c r="AQ245" s="30">
        <v>42990.601782407408</v>
      </c>
      <c r="AR245" s="30">
        <v>42993.621527777781</v>
      </c>
      <c r="AS245" s="92">
        <v>42991.721979166665</v>
      </c>
      <c r="AT245" s="158">
        <f>65+50.07/60</f>
        <v>65.834500000000006</v>
      </c>
      <c r="AU245" s="158">
        <f>-38-6.191/60</f>
        <v>-38.103183333333334</v>
      </c>
      <c r="AV245" s="142" t="s">
        <v>446</v>
      </c>
      <c r="AW245" s="104" t="s">
        <v>446</v>
      </c>
      <c r="AX245" s="120">
        <v>42996.590277777781</v>
      </c>
      <c r="AY245" s="158">
        <f>65+11/60+39.55/60/60</f>
        <v>65.194319444444446</v>
      </c>
      <c r="AZ245" s="158">
        <f>-39-27/60-54.47/60/60</f>
        <v>-39.465130555555561</v>
      </c>
      <c r="BA245" s="32" t="s">
        <v>586</v>
      </c>
      <c r="BB245" s="49" t="s">
        <v>1338</v>
      </c>
      <c r="BC245" s="7"/>
      <c r="BD245" s="7"/>
      <c r="BE245" s="7"/>
      <c r="BF245" s="7"/>
      <c r="BG245" s="7"/>
    </row>
    <row r="246" spans="1:59">
      <c r="A246" s="7" t="s">
        <v>680</v>
      </c>
      <c r="B246" s="26" t="s">
        <v>271</v>
      </c>
      <c r="C246" s="46" t="str">
        <f t="shared" ref="C246:C252" si="67">HYPERLINK("location data/Antarctic/2018/LTER","Antarctic")</f>
        <v>Antarctic</v>
      </c>
      <c r="D246" s="64" t="s">
        <v>513</v>
      </c>
      <c r="E246" s="61" t="s">
        <v>656</v>
      </c>
      <c r="F246" s="85">
        <v>-3</v>
      </c>
      <c r="G246" s="60" t="s">
        <v>459</v>
      </c>
      <c r="H246" s="31" t="s">
        <v>39</v>
      </c>
      <c r="I246" s="72" t="str">
        <f>HYPERLINK("tag_data/mn180105-22a (Antarctic)","Link")</f>
        <v>Link</v>
      </c>
      <c r="J246" s="72" t="str">
        <f>HYPERLINK("tag_data_raw/Antarctic/2018/LTER/mn180105-22/a","Link")</f>
        <v>Link</v>
      </c>
      <c r="K246" s="82" t="s">
        <v>263</v>
      </c>
      <c r="L246" s="82" t="s">
        <v>263</v>
      </c>
      <c r="M246" s="82" t="s">
        <v>263</v>
      </c>
      <c r="N246" s="73" t="str">
        <f t="shared" ref="N246:N252" si="68">HYPERLINK("location data/Antarctic/2018/LTER/LTER_BiopsyTag Final_16_01_18.xlsx","Link")</f>
        <v>Link</v>
      </c>
      <c r="O246" s="31" t="s">
        <v>45</v>
      </c>
      <c r="P246" s="31" t="s">
        <v>41</v>
      </c>
      <c r="Q246" s="31">
        <v>22</v>
      </c>
      <c r="R246" s="32" t="s">
        <v>264</v>
      </c>
      <c r="S246" s="32" t="s">
        <v>1393</v>
      </c>
      <c r="T246" s="32" t="s">
        <v>263</v>
      </c>
      <c r="U246" s="17">
        <f t="shared" si="66"/>
        <v>1.4699074090458453E-3</v>
      </c>
      <c r="V246" s="17">
        <f t="shared" si="63"/>
        <v>1.4699074090458453E-3</v>
      </c>
      <c r="W246" s="56" t="s">
        <v>346</v>
      </c>
      <c r="X246" s="54" t="str">
        <f>HYPERLINK("tag_data/mn180105-22a (Antarctic)/mn180105-22a Map.bmp","1")</f>
        <v>1</v>
      </c>
      <c r="Y246" s="29" t="s">
        <v>263</v>
      </c>
      <c r="Z246" s="31" t="s">
        <v>41</v>
      </c>
      <c r="AA246" s="31" t="s">
        <v>41</v>
      </c>
      <c r="AB246" s="31" t="s">
        <v>263</v>
      </c>
      <c r="AC246" s="31" t="s">
        <v>41</v>
      </c>
      <c r="AD246" s="31" t="s">
        <v>41</v>
      </c>
      <c r="AE246" s="31" t="s">
        <v>41</v>
      </c>
      <c r="AF246" s="31" t="s">
        <v>41</v>
      </c>
      <c r="AG246" s="31" t="s">
        <v>41</v>
      </c>
      <c r="AH246" s="31" t="s">
        <v>41</v>
      </c>
      <c r="AI246" s="31" t="s">
        <v>41</v>
      </c>
      <c r="AJ246" s="31" t="s">
        <v>41</v>
      </c>
      <c r="AK246" s="31" t="s">
        <v>41</v>
      </c>
      <c r="AL246" s="31" t="s">
        <v>41</v>
      </c>
      <c r="AM246" s="31" t="s">
        <v>41</v>
      </c>
      <c r="AN246" s="32" t="s">
        <v>701</v>
      </c>
      <c r="AO246" s="32" t="s">
        <v>681</v>
      </c>
      <c r="AP246" s="92">
        <v>43105.676979166667</v>
      </c>
      <c r="AQ246" s="30">
        <v>43105.683657407404</v>
      </c>
      <c r="AR246" s="30">
        <v>43105.685127314813</v>
      </c>
      <c r="AS246" s="92" t="s">
        <v>651</v>
      </c>
      <c r="AT246" s="107">
        <v>-64.873236567000006</v>
      </c>
      <c r="AU246" s="107">
        <v>-64.182360428999999</v>
      </c>
      <c r="AV246" s="142" t="s">
        <v>689</v>
      </c>
      <c r="AW246" s="142" t="s">
        <v>689</v>
      </c>
      <c r="AX246" s="30">
        <v>43105.684976851851</v>
      </c>
      <c r="AY246" s="157">
        <v>-64.873157821999996</v>
      </c>
      <c r="AZ246" s="157">
        <v>-64.181408973000003</v>
      </c>
      <c r="BA246" s="32" t="s">
        <v>690</v>
      </c>
      <c r="BB246" s="32" t="s">
        <v>1339</v>
      </c>
      <c r="BC246" s="7"/>
      <c r="BD246" s="7"/>
      <c r="BE246" s="7"/>
      <c r="BF246" s="7"/>
      <c r="BG246" s="7"/>
    </row>
    <row r="247" spans="1:59">
      <c r="A247" s="55" t="str">
        <f>HYPERLINK("tag_data/Quicklook/mn180105-22bQuicklook.jpg","mn180105-22b")</f>
        <v>mn180105-22b</v>
      </c>
      <c r="B247" s="26" t="s">
        <v>271</v>
      </c>
      <c r="C247" s="46" t="str">
        <f t="shared" si="67"/>
        <v>Antarctic</v>
      </c>
      <c r="D247" s="64" t="s">
        <v>513</v>
      </c>
      <c r="E247" s="61" t="s">
        <v>656</v>
      </c>
      <c r="F247" s="85">
        <v>-3</v>
      </c>
      <c r="G247" s="60" t="s">
        <v>459</v>
      </c>
      <c r="H247" s="31" t="s">
        <v>39</v>
      </c>
      <c r="I247" s="72" t="str">
        <f>HYPERLINK("tag_data/mn180105-22b (Antarctic)","Link")</f>
        <v>Link</v>
      </c>
      <c r="J247" s="72" t="str">
        <f>HYPERLINK("tag_data_raw/Antarctic/2018/LTER/mn180105-22/b","Link")</f>
        <v>Link</v>
      </c>
      <c r="K247" s="73" t="str">
        <f>HYPERLINK("tag_data/mn180105-22b (Antarctic)/Pics&amp;Vids","Link")</f>
        <v>Link</v>
      </c>
      <c r="L247" s="82" t="s">
        <v>263</v>
      </c>
      <c r="M247" s="82" t="s">
        <v>263</v>
      </c>
      <c r="N247" s="73" t="str">
        <f t="shared" si="68"/>
        <v>Link</v>
      </c>
      <c r="O247" s="31" t="s">
        <v>45</v>
      </c>
      <c r="P247" s="112" t="s">
        <v>703</v>
      </c>
      <c r="Q247" s="31">
        <v>22</v>
      </c>
      <c r="R247" s="32" t="s">
        <v>264</v>
      </c>
      <c r="S247" s="32" t="s">
        <v>1393</v>
      </c>
      <c r="T247" s="32" t="s">
        <v>263</v>
      </c>
      <c r="U247" s="17">
        <f t="shared" si="66"/>
        <v>1.8715277779847383E-2</v>
      </c>
      <c r="V247" s="17">
        <f t="shared" si="63"/>
        <v>1.8715277779847383E-2</v>
      </c>
      <c r="W247" s="56" t="s">
        <v>346</v>
      </c>
      <c r="X247" s="54" t="str">
        <f>HYPERLINK("tag_data/mn180105-22b (Antarctic)/mn180105-22b Map.bmp","34")</f>
        <v>34</v>
      </c>
      <c r="Y247" s="29" t="s">
        <v>263</v>
      </c>
      <c r="Z247" s="31" t="s">
        <v>41</v>
      </c>
      <c r="AA247" s="31" t="s">
        <v>41</v>
      </c>
      <c r="AB247" s="31" t="s">
        <v>263</v>
      </c>
      <c r="AC247" s="31" t="s">
        <v>41</v>
      </c>
      <c r="AD247" s="31" t="s">
        <v>41</v>
      </c>
      <c r="AE247" s="31" t="s">
        <v>41</v>
      </c>
      <c r="AF247" s="31" t="s">
        <v>41</v>
      </c>
      <c r="AG247" s="31" t="s">
        <v>41</v>
      </c>
      <c r="AH247" s="31" t="s">
        <v>41</v>
      </c>
      <c r="AI247" s="31" t="s">
        <v>41</v>
      </c>
      <c r="AJ247" s="31" t="s">
        <v>41</v>
      </c>
      <c r="AK247" s="31" t="s">
        <v>41</v>
      </c>
      <c r="AL247" s="31" t="s">
        <v>41</v>
      </c>
      <c r="AM247" s="31" t="s">
        <v>41</v>
      </c>
      <c r="AN247" s="32" t="s">
        <v>709</v>
      </c>
      <c r="AO247" s="32" t="s">
        <v>681</v>
      </c>
      <c r="AP247" s="92">
        <v>43105.676979166667</v>
      </c>
      <c r="AQ247" s="30">
        <v>43105.733506944445</v>
      </c>
      <c r="AR247" s="30">
        <v>43105.752222222225</v>
      </c>
      <c r="AS247" s="92" t="s">
        <v>651</v>
      </c>
      <c r="AT247" s="155">
        <v>-64.901046996999995</v>
      </c>
      <c r="AU247" s="155">
        <v>-64.280100669000007</v>
      </c>
      <c r="AV247" s="142" t="s">
        <v>689</v>
      </c>
      <c r="AW247" s="142" t="s">
        <v>689</v>
      </c>
      <c r="AX247" s="30">
        <v>43105.756747685184</v>
      </c>
      <c r="AY247" s="107">
        <v>-64.916564355999995</v>
      </c>
      <c r="AZ247" s="107">
        <v>-64.314911984000005</v>
      </c>
      <c r="BA247" s="32" t="s">
        <v>682</v>
      </c>
      <c r="BB247" s="49"/>
      <c r="BC247" s="7"/>
      <c r="BD247" s="7"/>
      <c r="BE247" s="7"/>
      <c r="BF247" s="7"/>
      <c r="BG247" s="7"/>
    </row>
    <row r="248" spans="1:59">
      <c r="A248" s="96" t="s">
        <v>679</v>
      </c>
      <c r="B248" s="97" t="s">
        <v>271</v>
      </c>
      <c r="C248" s="98" t="str">
        <f t="shared" si="67"/>
        <v>Antarctic</v>
      </c>
      <c r="D248" s="99" t="s">
        <v>513</v>
      </c>
      <c r="E248" s="123" t="s">
        <v>656</v>
      </c>
      <c r="F248" s="100">
        <v>-3</v>
      </c>
      <c r="G248" s="124" t="s">
        <v>459</v>
      </c>
      <c r="H248" s="97"/>
      <c r="I248" s="101"/>
      <c r="J248" s="101"/>
      <c r="K248" s="101"/>
      <c r="L248" s="125" t="s">
        <v>263</v>
      </c>
      <c r="M248" s="125" t="s">
        <v>263</v>
      </c>
      <c r="N248" s="126" t="str">
        <f t="shared" si="68"/>
        <v>Link</v>
      </c>
      <c r="O248" s="97" t="s">
        <v>45</v>
      </c>
      <c r="P248" s="127" t="s">
        <v>702</v>
      </c>
      <c r="Q248" s="97">
        <v>28</v>
      </c>
      <c r="R248" s="96" t="s">
        <v>547</v>
      </c>
      <c r="S248" s="32" t="s">
        <v>1393</v>
      </c>
      <c r="T248" s="96" t="s">
        <v>263</v>
      </c>
      <c r="U248" s="128">
        <f t="shared" si="66"/>
        <v>-43105.638888888891</v>
      </c>
      <c r="V248" s="128">
        <f t="shared" si="63"/>
        <v>-43105.638888888891</v>
      </c>
      <c r="W248" s="129" t="s">
        <v>346</v>
      </c>
      <c r="X248" s="97"/>
      <c r="Y248" s="130" t="s">
        <v>263</v>
      </c>
      <c r="Z248" s="97"/>
      <c r="AA248" s="97" t="s">
        <v>41</v>
      </c>
      <c r="AB248" s="97" t="s">
        <v>277</v>
      </c>
      <c r="AC248" s="31" t="s">
        <v>41</v>
      </c>
      <c r="AD248" s="97" t="s">
        <v>41</v>
      </c>
      <c r="AE248" s="97" t="s">
        <v>41</v>
      </c>
      <c r="AF248" s="97" t="s">
        <v>41</v>
      </c>
      <c r="AG248" s="97" t="s">
        <v>41</v>
      </c>
      <c r="AH248" s="97" t="s">
        <v>41</v>
      </c>
      <c r="AI248" s="97" t="s">
        <v>41</v>
      </c>
      <c r="AJ248" s="97" t="s">
        <v>41</v>
      </c>
      <c r="AK248" s="97" t="s">
        <v>41</v>
      </c>
      <c r="AL248" s="97" t="s">
        <v>41</v>
      </c>
      <c r="AM248" s="97" t="s">
        <v>41</v>
      </c>
      <c r="AN248" s="96"/>
      <c r="AO248" s="96" t="s">
        <v>681</v>
      </c>
      <c r="AP248" s="102"/>
      <c r="AQ248" s="102">
        <v>43105.638888888891</v>
      </c>
      <c r="AR248" s="102"/>
      <c r="AS248" s="159" t="s">
        <v>651</v>
      </c>
      <c r="AT248" s="160">
        <v>-64.871454999999997</v>
      </c>
      <c r="AU248" s="160">
        <v>-64.167242999999999</v>
      </c>
      <c r="AV248" s="161" t="s">
        <v>689</v>
      </c>
      <c r="AW248" s="161" t="s">
        <v>689</v>
      </c>
      <c r="AX248" s="102">
        <v>43108.060416666667</v>
      </c>
      <c r="AY248" s="162">
        <v>-64.977000000000004</v>
      </c>
      <c r="AZ248" s="162">
        <v>-64.167000000000002</v>
      </c>
      <c r="BA248" s="96" t="s">
        <v>691</v>
      </c>
      <c r="BB248" s="205"/>
      <c r="BC248" s="96"/>
      <c r="BD248" s="96"/>
      <c r="BE248" s="7"/>
      <c r="BF248" s="7"/>
      <c r="BG248" s="7"/>
    </row>
    <row r="249" spans="1:59">
      <c r="A249" s="55" t="str">
        <f>HYPERLINK("tag_data/Quicklook/mn180106-27Quicklook.jpg","mn180106-27")</f>
        <v>mn180106-27</v>
      </c>
      <c r="B249" s="26" t="s">
        <v>271</v>
      </c>
      <c r="C249" s="46" t="str">
        <f t="shared" si="67"/>
        <v>Antarctic</v>
      </c>
      <c r="D249" s="64" t="s">
        <v>513</v>
      </c>
      <c r="E249" s="61" t="s">
        <v>656</v>
      </c>
      <c r="F249" s="85">
        <v>-3</v>
      </c>
      <c r="G249" s="60" t="s">
        <v>459</v>
      </c>
      <c r="H249" s="31" t="s">
        <v>39</v>
      </c>
      <c r="I249" s="72" t="str">
        <f>HYPERLINK("tag_data/mn180106-27 (Antarctic)","Link")</f>
        <v>Link</v>
      </c>
      <c r="J249" s="72" t="str">
        <f>HYPERLINK("tag_data_raw/Antarctic/2018/LTER/mn180106-27","Link")</f>
        <v>Link</v>
      </c>
      <c r="K249" s="73" t="str">
        <f>HYPERLINK("tag_data/mn180106-27 (Antarctic)/Pics&amp;Vids","Link")</f>
        <v>Link</v>
      </c>
      <c r="L249" s="82" t="s">
        <v>263</v>
      </c>
      <c r="M249" s="82" t="s">
        <v>263</v>
      </c>
      <c r="N249" s="73" t="str">
        <f t="shared" si="68"/>
        <v>Link</v>
      </c>
      <c r="O249" s="31" t="s">
        <v>45</v>
      </c>
      <c r="P249" s="112" t="s">
        <v>704</v>
      </c>
      <c r="Q249" s="31">
        <v>27</v>
      </c>
      <c r="R249" s="32" t="s">
        <v>547</v>
      </c>
      <c r="S249" s="32" t="s">
        <v>1393</v>
      </c>
      <c r="T249" s="32" t="s">
        <v>263</v>
      </c>
      <c r="U249" s="17">
        <f t="shared" si="66"/>
        <v>2.3746296296303626</v>
      </c>
      <c r="V249" s="17">
        <f t="shared" si="63"/>
        <v>2.3746296296303626</v>
      </c>
      <c r="W249" s="56" t="s">
        <v>346</v>
      </c>
      <c r="X249" s="54" t="str">
        <f>HYPERLINK("tag_data/mn180106-27 (Antarctic)/mn180106-27 Map.bmp","206")</f>
        <v>206</v>
      </c>
      <c r="Y249" s="29" t="s">
        <v>263</v>
      </c>
      <c r="Z249" s="31" t="s">
        <v>39</v>
      </c>
      <c r="AA249" s="31" t="s">
        <v>41</v>
      </c>
      <c r="AB249" s="33" t="s">
        <v>1041</v>
      </c>
      <c r="AC249" s="31" t="s">
        <v>39</v>
      </c>
      <c r="AD249" s="31" t="s">
        <v>41</v>
      </c>
      <c r="AE249" s="31" t="s">
        <v>41</v>
      </c>
      <c r="AF249" s="31" t="s">
        <v>41</v>
      </c>
      <c r="AG249" s="31" t="s">
        <v>41</v>
      </c>
      <c r="AH249" s="31" t="s">
        <v>41</v>
      </c>
      <c r="AI249" s="31" t="s">
        <v>41</v>
      </c>
      <c r="AJ249" s="31" t="s">
        <v>41</v>
      </c>
      <c r="AK249" s="31" t="s">
        <v>41</v>
      </c>
      <c r="AL249" s="31" t="s">
        <v>41</v>
      </c>
      <c r="AM249" s="31" t="s">
        <v>41</v>
      </c>
      <c r="AN249" s="32" t="s">
        <v>710</v>
      </c>
      <c r="AO249" s="32" t="s">
        <v>681</v>
      </c>
      <c r="AP249" s="30">
        <v>43106.662824074076</v>
      </c>
      <c r="AQ249" s="30">
        <v>43106.744375000002</v>
      </c>
      <c r="AR249" s="30">
        <v>43109.119004629632</v>
      </c>
      <c r="AS249" s="92" t="s">
        <v>651</v>
      </c>
      <c r="AT249" s="155">
        <v>-64.886004999999997</v>
      </c>
      <c r="AU249" s="155">
        <v>-64.442256999999998</v>
      </c>
      <c r="AV249" s="142" t="s">
        <v>689</v>
      </c>
      <c r="AW249" s="142" t="s">
        <v>689</v>
      </c>
      <c r="AX249" s="30">
        <v>43110.434027777781</v>
      </c>
      <c r="AY249" s="107">
        <v>-65.254999999999995</v>
      </c>
      <c r="AZ249" s="107">
        <v>-65.474999999999994</v>
      </c>
      <c r="BA249" s="32" t="s">
        <v>708</v>
      </c>
      <c r="BB249" s="49"/>
      <c r="BC249" s="7"/>
      <c r="BD249" s="7"/>
      <c r="BE249" s="7"/>
      <c r="BF249" s="7"/>
      <c r="BG249" s="7"/>
    </row>
    <row r="250" spans="1:59">
      <c r="A250" s="55" t="str">
        <f>HYPERLINK("tag_data/Quicklook/mn180107-21Quicklook.jpg","mn180107-21")</f>
        <v>mn180107-21</v>
      </c>
      <c r="B250" s="26" t="s">
        <v>271</v>
      </c>
      <c r="C250" s="46" t="str">
        <f t="shared" si="67"/>
        <v>Antarctic</v>
      </c>
      <c r="D250" s="64" t="s">
        <v>513</v>
      </c>
      <c r="E250" s="61" t="s">
        <v>656</v>
      </c>
      <c r="F250" s="85">
        <v>-3</v>
      </c>
      <c r="G250" s="60" t="s">
        <v>459</v>
      </c>
      <c r="H250" s="31" t="s">
        <v>39</v>
      </c>
      <c r="I250" s="72" t="str">
        <f>HYPERLINK("tag_data/mn180107-21 (Antarctic)","Link")</f>
        <v>Link</v>
      </c>
      <c r="J250" s="72" t="str">
        <f>HYPERLINK("tag_data_raw/Antarctic/2018/LTER/mn180107-21","Link")</f>
        <v>Link</v>
      </c>
      <c r="K250" s="73" t="str">
        <f>HYPERLINK("tag_data/mn180107-21 (Antarctic)/Pics&amp;Vids","Link")</f>
        <v>Link</v>
      </c>
      <c r="L250" s="82" t="s">
        <v>263</v>
      </c>
      <c r="M250" s="82" t="s">
        <v>263</v>
      </c>
      <c r="N250" s="73" t="str">
        <f t="shared" si="68"/>
        <v>Link</v>
      </c>
      <c r="O250" s="31" t="s">
        <v>45</v>
      </c>
      <c r="P250" s="112" t="s">
        <v>706</v>
      </c>
      <c r="Q250" s="31">
        <v>21</v>
      </c>
      <c r="R250" s="32" t="s">
        <v>264</v>
      </c>
      <c r="S250" s="32" t="s">
        <v>1393</v>
      </c>
      <c r="T250" s="32" t="s">
        <v>263</v>
      </c>
      <c r="U250" s="17">
        <f t="shared" si="66"/>
        <v>0.54355324073549127</v>
      </c>
      <c r="V250" s="17">
        <f t="shared" si="63"/>
        <v>0.54355324073549127</v>
      </c>
      <c r="W250" s="56" t="s">
        <v>346</v>
      </c>
      <c r="X250" s="54" t="str">
        <f>HYPERLINK("tag_data/mn180107-21 (Antarctic)/mn180107-21 Map.bmp","1006")</f>
        <v>1006</v>
      </c>
      <c r="Y250" s="29" t="s">
        <v>263</v>
      </c>
      <c r="Z250" s="31" t="s">
        <v>39</v>
      </c>
      <c r="AA250" s="31" t="s">
        <v>41</v>
      </c>
      <c r="AB250" s="33" t="s">
        <v>1041</v>
      </c>
      <c r="AC250" s="31" t="s">
        <v>41</v>
      </c>
      <c r="AD250" s="31" t="s">
        <v>41</v>
      </c>
      <c r="AE250" s="31" t="s">
        <v>41</v>
      </c>
      <c r="AF250" s="31" t="s">
        <v>41</v>
      </c>
      <c r="AG250" s="31" t="s">
        <v>41</v>
      </c>
      <c r="AH250" s="31" t="s">
        <v>41</v>
      </c>
      <c r="AI250" s="31" t="s">
        <v>41</v>
      </c>
      <c r="AJ250" s="31" t="s">
        <v>41</v>
      </c>
      <c r="AK250" s="31" t="s">
        <v>41</v>
      </c>
      <c r="AL250" s="31" t="s">
        <v>41</v>
      </c>
      <c r="AM250" s="31" t="s">
        <v>41</v>
      </c>
      <c r="AN250" s="32" t="s">
        <v>710</v>
      </c>
      <c r="AO250" s="32" t="s">
        <v>681</v>
      </c>
      <c r="AP250" s="30">
        <v>43106.76458333333</v>
      </c>
      <c r="AQ250" s="30">
        <v>43107.572905092595</v>
      </c>
      <c r="AR250" s="30">
        <v>43108.11645833333</v>
      </c>
      <c r="AS250" s="92" t="s">
        <v>651</v>
      </c>
      <c r="AT250" s="155">
        <v>-64.942161057999996</v>
      </c>
      <c r="AU250" s="155">
        <v>-64.180747953999997</v>
      </c>
      <c r="AV250" s="142" t="s">
        <v>689</v>
      </c>
      <c r="AW250" s="142" t="s">
        <v>689</v>
      </c>
      <c r="AX250" s="30">
        <v>43108.436886574076</v>
      </c>
      <c r="AY250" s="107">
        <v>-64.948277930000003</v>
      </c>
      <c r="AZ250" s="107">
        <v>-64.106581356000007</v>
      </c>
      <c r="BA250" s="32" t="s">
        <v>710</v>
      </c>
      <c r="BB250" s="49" t="s">
        <v>1340</v>
      </c>
      <c r="BC250" s="7"/>
      <c r="BD250" s="7"/>
      <c r="BE250" s="7"/>
      <c r="BF250" s="7"/>
      <c r="BG250" s="7"/>
    </row>
    <row r="251" spans="1:59">
      <c r="A251" s="55" t="str">
        <f>HYPERLINK("tag_data/Quicklook/mn180107-22Quicklook.jpg","mn180107-22")</f>
        <v>mn180107-22</v>
      </c>
      <c r="B251" s="26" t="s">
        <v>271</v>
      </c>
      <c r="C251" s="46" t="str">
        <f t="shared" si="67"/>
        <v>Antarctic</v>
      </c>
      <c r="D251" s="64" t="s">
        <v>513</v>
      </c>
      <c r="E251" s="61" t="s">
        <v>656</v>
      </c>
      <c r="F251" s="85">
        <v>-3</v>
      </c>
      <c r="G251" s="60" t="s">
        <v>459</v>
      </c>
      <c r="H251" s="31" t="s">
        <v>39</v>
      </c>
      <c r="I251" s="72" t="str">
        <f>HYPERLINK("tag_data/mn180107-22 (Antarctic)","Link")</f>
        <v>Link</v>
      </c>
      <c r="J251" s="72" t="str">
        <f>HYPERLINK("tag_data_raw/Antarctic/2018/LTER/mn180107-22","Link")</f>
        <v>Link</v>
      </c>
      <c r="K251" s="73" t="str">
        <f>HYPERLINK("tag_data/mn180107-22 (Antarctic)/Pics&amp;Vids","Link")</f>
        <v>Link</v>
      </c>
      <c r="L251" s="82" t="s">
        <v>263</v>
      </c>
      <c r="M251" s="82" t="s">
        <v>263</v>
      </c>
      <c r="N251" s="73" t="str">
        <f t="shared" si="68"/>
        <v>Link</v>
      </c>
      <c r="O251" s="31" t="s">
        <v>45</v>
      </c>
      <c r="P251" s="112" t="s">
        <v>707</v>
      </c>
      <c r="Q251" s="31">
        <v>22</v>
      </c>
      <c r="R251" s="32" t="s">
        <v>264</v>
      </c>
      <c r="S251" s="32" t="s">
        <v>1393</v>
      </c>
      <c r="T251" s="32" t="s">
        <v>263</v>
      </c>
      <c r="U251" s="17">
        <f t="shared" si="66"/>
        <v>0.46879629629256669</v>
      </c>
      <c r="V251" s="17">
        <f t="shared" si="63"/>
        <v>0.46879629629256669</v>
      </c>
      <c r="W251" s="56" t="s">
        <v>346</v>
      </c>
      <c r="X251" s="54" t="str">
        <f>HYPERLINK("tag_data/mn180107-22 (Antarctic)/mn180107-22 Map.bmp","635")</f>
        <v>635</v>
      </c>
      <c r="Y251" s="29" t="s">
        <v>263</v>
      </c>
      <c r="Z251" s="31" t="s">
        <v>39</v>
      </c>
      <c r="AA251" s="31" t="s">
        <v>41</v>
      </c>
      <c r="AB251" s="33" t="s">
        <v>1041</v>
      </c>
      <c r="AC251" s="31" t="s">
        <v>41</v>
      </c>
      <c r="AD251" s="31" t="s">
        <v>41</v>
      </c>
      <c r="AE251" s="31" t="s">
        <v>41</v>
      </c>
      <c r="AF251" s="31" t="s">
        <v>41</v>
      </c>
      <c r="AG251" s="31" t="s">
        <v>41</v>
      </c>
      <c r="AH251" s="31" t="s">
        <v>41</v>
      </c>
      <c r="AI251" s="31" t="s">
        <v>41</v>
      </c>
      <c r="AJ251" s="31" t="s">
        <v>41</v>
      </c>
      <c r="AK251" s="31" t="s">
        <v>41</v>
      </c>
      <c r="AL251" s="31" t="s">
        <v>41</v>
      </c>
      <c r="AM251" s="31" t="s">
        <v>41</v>
      </c>
      <c r="AN251" s="32" t="s">
        <v>710</v>
      </c>
      <c r="AO251" s="32" t="s">
        <v>681</v>
      </c>
      <c r="AP251" s="92">
        <v>43105.676979166667</v>
      </c>
      <c r="AQ251" s="30">
        <v>43107.600208333337</v>
      </c>
      <c r="AR251" s="30">
        <v>43108.069004629629</v>
      </c>
      <c r="AS251" s="92" t="s">
        <v>651</v>
      </c>
      <c r="AT251" s="155">
        <v>-64.940250520000006</v>
      </c>
      <c r="AU251" s="155">
        <v>-64.174679380000001</v>
      </c>
      <c r="AV251" s="142" t="s">
        <v>689</v>
      </c>
      <c r="AW251" s="142" t="s">
        <v>689</v>
      </c>
      <c r="AX251" s="30">
        <v>43108.388773148145</v>
      </c>
      <c r="AY251" s="107">
        <v>-64.877863524999995</v>
      </c>
      <c r="AZ251" s="107">
        <v>-64.112463004999995</v>
      </c>
      <c r="BA251" s="32" t="s">
        <v>710</v>
      </c>
      <c r="BB251" s="49" t="s">
        <v>1340</v>
      </c>
      <c r="BC251" s="7"/>
      <c r="BD251" s="7"/>
      <c r="BE251" s="7"/>
      <c r="BF251" s="7"/>
      <c r="BG251" s="7"/>
    </row>
    <row r="252" spans="1:59">
      <c r="A252" s="55" t="str">
        <f>HYPERLINK("tag_data/Quicklook/mn180107-23Quicklook.jpg","mn180107-23")</f>
        <v>mn180107-23</v>
      </c>
      <c r="B252" s="26" t="s">
        <v>271</v>
      </c>
      <c r="C252" s="46" t="str">
        <f t="shared" si="67"/>
        <v>Antarctic</v>
      </c>
      <c r="D252" s="64" t="s">
        <v>513</v>
      </c>
      <c r="E252" s="61" t="s">
        <v>656</v>
      </c>
      <c r="F252" s="85">
        <v>-3</v>
      </c>
      <c r="G252" s="60" t="s">
        <v>459</v>
      </c>
      <c r="H252" s="31" t="s">
        <v>39</v>
      </c>
      <c r="I252" s="72" t="str">
        <f>HYPERLINK("tag_data/mn180107-23 (Antarctic)","Link")</f>
        <v>Link</v>
      </c>
      <c r="J252" s="72" t="str">
        <f>HYPERLINK("tag_data_raw/Antarctic/2018/LTER/mn180107-23","Link")</f>
        <v>Link</v>
      </c>
      <c r="K252" s="73" t="str">
        <f>HYPERLINK("tag_data/mn180107-23 (Antarctic)/Pics&amp;Vids","Link")</f>
        <v>Link</v>
      </c>
      <c r="L252" s="82" t="s">
        <v>263</v>
      </c>
      <c r="M252" s="82" t="s">
        <v>263</v>
      </c>
      <c r="N252" s="73" t="str">
        <f t="shared" si="68"/>
        <v>Link</v>
      </c>
      <c r="O252" s="31" t="s">
        <v>45</v>
      </c>
      <c r="P252" s="112" t="s">
        <v>705</v>
      </c>
      <c r="Q252" s="31">
        <v>23</v>
      </c>
      <c r="R252" s="32" t="s">
        <v>264</v>
      </c>
      <c r="S252" s="32" t="s">
        <v>1393</v>
      </c>
      <c r="T252" s="32" t="s">
        <v>263</v>
      </c>
      <c r="U252" s="17">
        <f t="shared" si="66"/>
        <v>0.21317129630187992</v>
      </c>
      <c r="V252" s="17">
        <f t="shared" si="63"/>
        <v>0.21317129630187992</v>
      </c>
      <c r="W252" s="56" t="s">
        <v>346</v>
      </c>
      <c r="X252" s="54" t="str">
        <f>HYPERLINK("tag_data/mn180107-23 (Antarctic)/mn180107-23 Map.bmp","3")</f>
        <v>3</v>
      </c>
      <c r="Y252" s="29" t="s">
        <v>263</v>
      </c>
      <c r="Z252" s="31"/>
      <c r="AA252" s="31" t="s">
        <v>41</v>
      </c>
      <c r="AB252" s="33" t="s">
        <v>1040</v>
      </c>
      <c r="AC252" s="31" t="s">
        <v>41</v>
      </c>
      <c r="AD252" s="31" t="s">
        <v>41</v>
      </c>
      <c r="AE252" s="31" t="s">
        <v>41</v>
      </c>
      <c r="AF252" s="31" t="s">
        <v>41</v>
      </c>
      <c r="AG252" s="31" t="s">
        <v>41</v>
      </c>
      <c r="AH252" s="31" t="s">
        <v>41</v>
      </c>
      <c r="AI252" s="31" t="s">
        <v>41</v>
      </c>
      <c r="AJ252" s="31" t="s">
        <v>41</v>
      </c>
      <c r="AK252" s="31" t="s">
        <v>41</v>
      </c>
      <c r="AL252" s="31" t="s">
        <v>41</v>
      </c>
      <c r="AM252" s="31" t="s">
        <v>41</v>
      </c>
      <c r="AN252" s="32"/>
      <c r="AO252" s="32" t="s">
        <v>681</v>
      </c>
      <c r="AP252" s="30">
        <v>43107.389652777776</v>
      </c>
      <c r="AQ252" s="30">
        <v>43107.453703703701</v>
      </c>
      <c r="AR252" s="30">
        <v>43107.666875000003</v>
      </c>
      <c r="AS252" s="92" t="s">
        <v>651</v>
      </c>
      <c r="AT252" s="155">
        <v>-64.976563826000003</v>
      </c>
      <c r="AU252" s="155">
        <v>-64.054895225999999</v>
      </c>
      <c r="AV252" s="142" t="s">
        <v>689</v>
      </c>
      <c r="AW252" s="142" t="s">
        <v>689</v>
      </c>
      <c r="AX252" s="30">
        <v>43108.016493055555</v>
      </c>
      <c r="AY252" s="107">
        <v>-64.970182425999994</v>
      </c>
      <c r="AZ252" s="107">
        <v>-64.159223628999996</v>
      </c>
      <c r="BA252" s="32" t="s">
        <v>711</v>
      </c>
      <c r="BB252" s="49" t="s">
        <v>1341</v>
      </c>
      <c r="BC252" s="7"/>
      <c r="BD252" s="7"/>
      <c r="BE252" s="7"/>
      <c r="BF252" s="7"/>
      <c r="BG252" s="7"/>
    </row>
    <row r="253" spans="1:59">
      <c r="A253" s="55" t="str">
        <f>HYPERLINK("tag_data/Quicklook/mn180125-42Quicklook.jpg","mn180125-42")</f>
        <v>mn180125-42</v>
      </c>
      <c r="B253" s="26" t="s">
        <v>271</v>
      </c>
      <c r="C253" s="46" t="str">
        <f>HYPERLINK("location data/Antarctic/2018/One Ocean","Antarctic")</f>
        <v>Antarctic</v>
      </c>
      <c r="D253" s="64" t="s">
        <v>641</v>
      </c>
      <c r="E253" s="61" t="s">
        <v>656</v>
      </c>
      <c r="F253" s="85">
        <v>-3</v>
      </c>
      <c r="G253" s="60" t="s">
        <v>459</v>
      </c>
      <c r="H253" s="31" t="s">
        <v>39</v>
      </c>
      <c r="I253" s="72" t="str">
        <f>HYPERLINK("tag_data/mn180125-42 (Antarctic)","Link")</f>
        <v>Link</v>
      </c>
      <c r="J253" s="72" t="str">
        <f>HYPERLINK("tag_data_raw/Antarctic/2018/mn180125-42","Link")</f>
        <v>Link</v>
      </c>
      <c r="K253" s="73" t="str">
        <f>HYPERLINK("tag_data/mn180125-42 (Antarctic)/Pics&amp;Vids","Link")</f>
        <v>Link</v>
      </c>
      <c r="L253" s="46" t="str">
        <f>HYPERLINK("location data/Antarctic/2018/Pics&amp;Vids/","Link")</f>
        <v>Link</v>
      </c>
      <c r="M253" s="82" t="s">
        <v>263</v>
      </c>
      <c r="N253" s="82" t="s">
        <v>263</v>
      </c>
      <c r="O253" s="31" t="s">
        <v>45</v>
      </c>
      <c r="P253" s="31" t="s">
        <v>41</v>
      </c>
      <c r="Q253" s="31">
        <v>42</v>
      </c>
      <c r="R253" s="32" t="s">
        <v>347</v>
      </c>
      <c r="S253" s="32" t="str">
        <f t="shared" ref="S253:S261" si="69">IF(OR(Q253&lt;39,Q253=50,Q253=51,AND(OR(Q253=46,Q253=47),AQ253&gt;43313)),"Cam Mic",IF(AND(Q253&lt;45,AQ253&lt;42958),"Dolphin Ear",IF(AND(Q253&gt;44,NOT(OR(Q253=46,Q253=47,Q253=50,Q253=51))),"HTI","None")))</f>
        <v>None</v>
      </c>
      <c r="T253" s="32" t="s">
        <v>649</v>
      </c>
      <c r="U253" s="17">
        <f t="shared" si="66"/>
        <v>0.69969907407357823</v>
      </c>
      <c r="V253" s="17">
        <f t="shared" si="63"/>
        <v>0.69969907407357823</v>
      </c>
      <c r="W253" s="56">
        <v>0.33281250000000001</v>
      </c>
      <c r="X253" s="72" t="str">
        <f>HYPERLINK("tag_data/mn180125-42 (Antarctic)/mn180125-42 Map.bmp","896")</f>
        <v>896</v>
      </c>
      <c r="Y253" s="31"/>
      <c r="Z253" s="31" t="s">
        <v>39</v>
      </c>
      <c r="AA253" s="31" t="s">
        <v>39</v>
      </c>
      <c r="AB253" s="33" t="s">
        <v>1040</v>
      </c>
      <c r="AC253" s="31" t="s">
        <v>41</v>
      </c>
      <c r="AD253" s="31" t="s">
        <v>39</v>
      </c>
      <c r="AE253" s="31" t="s">
        <v>41</v>
      </c>
      <c r="AF253" s="31" t="s">
        <v>39</v>
      </c>
      <c r="AG253" s="31" t="s">
        <v>266</v>
      </c>
      <c r="AH253" s="33" t="s">
        <v>643</v>
      </c>
      <c r="AI253" s="33" t="s">
        <v>291</v>
      </c>
      <c r="AJ253" s="31" t="s">
        <v>39</v>
      </c>
      <c r="AK253" s="31" t="s">
        <v>41</v>
      </c>
      <c r="AL253" s="31" t="s">
        <v>41</v>
      </c>
      <c r="AM253" s="31" t="s">
        <v>41</v>
      </c>
      <c r="AN253" s="32" t="s">
        <v>644</v>
      </c>
      <c r="AO253" s="32" t="s">
        <v>692</v>
      </c>
      <c r="AP253" s="30">
        <v>43125.2496875</v>
      </c>
      <c r="AQ253" s="30">
        <v>43125.292685185188</v>
      </c>
      <c r="AR253" s="30">
        <v>43125.992384259262</v>
      </c>
      <c r="AS253" s="92" t="s">
        <v>651</v>
      </c>
      <c r="AT253" s="107">
        <f>-64.983557672</f>
        <v>-64.983557672000003</v>
      </c>
      <c r="AU253" s="107">
        <v>-63.508338612000003</v>
      </c>
      <c r="AV253" s="142" t="s">
        <v>659</v>
      </c>
      <c r="AW253" s="142" t="s">
        <v>659</v>
      </c>
      <c r="AX253" s="30">
        <v>43126.447916666664</v>
      </c>
      <c r="AY253" s="107">
        <v>-64.933000000000007</v>
      </c>
      <c r="AZ253" s="107">
        <v>-63.753999999999998</v>
      </c>
      <c r="BA253" s="32" t="s">
        <v>661</v>
      </c>
      <c r="BB253" s="49" t="s">
        <v>648</v>
      </c>
      <c r="BC253" s="7"/>
      <c r="BD253" s="7"/>
      <c r="BE253" s="7"/>
      <c r="BF253" s="7"/>
      <c r="BG253" s="7"/>
    </row>
    <row r="254" spans="1:59">
      <c r="A254" s="55" t="str">
        <f>HYPERLINK("tag_data/Quicklook/mn180227-40Quicklook.jpg","mn180227-40")</f>
        <v>mn180227-40</v>
      </c>
      <c r="B254" s="26" t="s">
        <v>271</v>
      </c>
      <c r="C254" s="46" t="str">
        <f t="shared" ref="C254:C263" si="70">HYPERLINK("location data/Antarctic/2018/NSF","Antarctic")</f>
        <v>Antarctic</v>
      </c>
      <c r="D254" s="64" t="s">
        <v>713</v>
      </c>
      <c r="E254" s="61" t="s">
        <v>714</v>
      </c>
      <c r="F254" s="85">
        <v>-3</v>
      </c>
      <c r="G254" s="60" t="s">
        <v>459</v>
      </c>
      <c r="H254" s="31" t="s">
        <v>39</v>
      </c>
      <c r="I254" s="72" t="str">
        <f>HYPERLINK("tag_data/mn180227-40 (Antarctic)","Link")</f>
        <v>Link</v>
      </c>
      <c r="J254" s="72" t="str">
        <f>HYPERLINK("tag_data_raw/Antarctic/2018/NSF/mn180227-40","Link")</f>
        <v>Link</v>
      </c>
      <c r="K254" s="73" t="str">
        <f>HYPERLINK("tag_data/mn180227-40 (Antarctic)/Pics&amp;Vids","Link")</f>
        <v>Link</v>
      </c>
      <c r="L254" s="82" t="s">
        <v>263</v>
      </c>
      <c r="M254" s="73" t="str">
        <f>HYPERLINK("tag_data/mn180227-40 (Antarctic)/Pics&amp;Vids/drone","10.48 m")</f>
        <v>10.48 m</v>
      </c>
      <c r="N254" s="73" t="str">
        <f t="shared" ref="N254:N263" si="71">HYPERLINK("location data/Antarctic/2018/NSF","Link")</f>
        <v>Link</v>
      </c>
      <c r="O254" s="31" t="s">
        <v>718</v>
      </c>
      <c r="P254" s="110" t="s">
        <v>719</v>
      </c>
      <c r="Q254" s="31">
        <v>40</v>
      </c>
      <c r="R254" s="32" t="s">
        <v>347</v>
      </c>
      <c r="S254" s="32" t="str">
        <f t="shared" si="69"/>
        <v>None</v>
      </c>
      <c r="T254" s="32" t="s">
        <v>38</v>
      </c>
      <c r="U254" s="95">
        <f t="shared" si="66"/>
        <v>0.40115740741021</v>
      </c>
      <c r="V254" s="95">
        <f t="shared" si="63"/>
        <v>0.40115740741021</v>
      </c>
      <c r="W254" s="56">
        <v>0.19552083333333334</v>
      </c>
      <c r="X254" s="93">
        <v>0</v>
      </c>
      <c r="Y254" s="46" t="str">
        <f>HYPERLINK("tag_data\mn180227-40 (Antarctic)\mn180227-40 (Antarctic).boris","Boris")</f>
        <v>Boris</v>
      </c>
      <c r="Z254" s="93" t="s">
        <v>39</v>
      </c>
      <c r="AA254" s="93" t="s">
        <v>39</v>
      </c>
      <c r="AB254" s="33" t="s">
        <v>1040</v>
      </c>
      <c r="AC254" s="33" t="s">
        <v>1079</v>
      </c>
      <c r="AD254" s="31" t="s">
        <v>39</v>
      </c>
      <c r="AE254" s="31" t="s">
        <v>41</v>
      </c>
      <c r="AF254" s="31" t="s">
        <v>266</v>
      </c>
      <c r="AG254" s="31" t="s">
        <v>266</v>
      </c>
      <c r="AH254" s="31" t="s">
        <v>41</v>
      </c>
      <c r="AI254" s="31" t="s">
        <v>39</v>
      </c>
      <c r="AJ254" s="31" t="s">
        <v>41</v>
      </c>
      <c r="AK254" s="31" t="s">
        <v>41</v>
      </c>
      <c r="AL254" s="31" t="s">
        <v>749</v>
      </c>
      <c r="AM254" s="31" t="s">
        <v>41</v>
      </c>
      <c r="AN254" s="32" t="s">
        <v>750</v>
      </c>
      <c r="AO254" s="32" t="s">
        <v>720</v>
      </c>
      <c r="AP254" s="30">
        <v>43158.589317129627</v>
      </c>
      <c r="AQ254" s="30">
        <v>43158.59202546296</v>
      </c>
      <c r="AR254" s="30">
        <v>43158.99318287037</v>
      </c>
      <c r="AS254" s="92" t="s">
        <v>651</v>
      </c>
      <c r="AT254" s="107">
        <v>-64.799034484000003</v>
      </c>
      <c r="AU254" s="107">
        <v>-62.69618715</v>
      </c>
      <c r="AV254" s="142" t="s">
        <v>689</v>
      </c>
      <c r="AW254" s="142" t="s">
        <v>689</v>
      </c>
      <c r="AX254" s="30">
        <v>43159.375</v>
      </c>
      <c r="AY254" s="107">
        <f>-64-46.7/60</f>
        <v>-64.778333333333336</v>
      </c>
      <c r="AZ254" s="107">
        <f>-62-55.3/60</f>
        <v>-62.921666666666667</v>
      </c>
      <c r="BA254" s="32" t="s">
        <v>799</v>
      </c>
      <c r="BB254" s="49" t="s">
        <v>1342</v>
      </c>
      <c r="BC254" s="7"/>
      <c r="BD254" s="7"/>
      <c r="BE254" s="7"/>
      <c r="BF254" s="7"/>
      <c r="BG254" s="7"/>
    </row>
    <row r="255" spans="1:59">
      <c r="A255" s="55" t="str">
        <f>HYPERLINK("tag_data/Quicklook/mn180227-41Quicklook.jpg","mn180227-41")</f>
        <v>mn180227-41</v>
      </c>
      <c r="B255" s="105" t="s">
        <v>271</v>
      </c>
      <c r="C255" s="46" t="str">
        <f t="shared" si="70"/>
        <v>Antarctic</v>
      </c>
      <c r="D255" s="64" t="s">
        <v>713</v>
      </c>
      <c r="E255" s="61" t="s">
        <v>714</v>
      </c>
      <c r="F255" s="85">
        <v>-3</v>
      </c>
      <c r="G255" s="60" t="s">
        <v>459</v>
      </c>
      <c r="H255" s="31" t="s">
        <v>39</v>
      </c>
      <c r="I255" s="72" t="str">
        <f>HYPERLINK("tag_data/mn180227-41 (Antarctic)","Link")</f>
        <v>Link</v>
      </c>
      <c r="J255" s="72" t="str">
        <f>HYPERLINK("tag_data_raw/Antarctic/2018/NSF/mn180227-41","Link")</f>
        <v>Link</v>
      </c>
      <c r="K255" s="73" t="str">
        <f>HYPERLINK("tag_data/mn180227-41 (Antarctic)/Pics&amp;Vids","Link")</f>
        <v>Link</v>
      </c>
      <c r="L255" s="82" t="s">
        <v>263</v>
      </c>
      <c r="M255" s="73" t="str">
        <f>HYPERLINK("tag_data/mn180227-41 (Antarctic)/Pics&amp;Vids/drone","11.99 m")</f>
        <v>11.99 m</v>
      </c>
      <c r="N255" s="73" t="str">
        <f t="shared" si="71"/>
        <v>Link</v>
      </c>
      <c r="O255" s="31" t="s">
        <v>45</v>
      </c>
      <c r="P255" s="110" t="s">
        <v>721</v>
      </c>
      <c r="Q255" s="93">
        <v>41</v>
      </c>
      <c r="R255" s="32" t="s">
        <v>347</v>
      </c>
      <c r="S255" s="32" t="str">
        <f t="shared" si="69"/>
        <v>None</v>
      </c>
      <c r="T255" s="106" t="s">
        <v>748</v>
      </c>
      <c r="U255" s="95">
        <f t="shared" si="66"/>
        <v>2.8290740740776528</v>
      </c>
      <c r="V255" s="95">
        <f t="shared" si="63"/>
        <v>1.0916782407439314</v>
      </c>
      <c r="W255" s="56">
        <v>0.30326388888888889</v>
      </c>
      <c r="X255" s="54" t="str">
        <f>HYPERLINK("tag_data/mn180227-41 (Antarctic)/mn180227-41 Map.bmp","2639")</f>
        <v>2639</v>
      </c>
      <c r="Y255" s="93"/>
      <c r="Z255" s="93" t="s">
        <v>39</v>
      </c>
      <c r="AA255" s="93" t="s">
        <v>39</v>
      </c>
      <c r="AB255" s="33" t="s">
        <v>1040</v>
      </c>
      <c r="AC255" s="33" t="s">
        <v>1079</v>
      </c>
      <c r="AD255" s="93" t="s">
        <v>39</v>
      </c>
      <c r="AE255" s="93" t="s">
        <v>41</v>
      </c>
      <c r="AF255" s="93" t="s">
        <v>39</v>
      </c>
      <c r="AG255" s="93" t="s">
        <v>266</v>
      </c>
      <c r="AH255" s="131" t="s">
        <v>481</v>
      </c>
      <c r="AI255" s="93" t="s">
        <v>39</v>
      </c>
      <c r="AJ255" s="93" t="s">
        <v>41</v>
      </c>
      <c r="AK255" s="93" t="s">
        <v>41</v>
      </c>
      <c r="AL255" s="93" t="s">
        <v>41</v>
      </c>
      <c r="AM255" s="93" t="s">
        <v>41</v>
      </c>
      <c r="AN255" s="106" t="s">
        <v>747</v>
      </c>
      <c r="AO255" s="32" t="s">
        <v>720</v>
      </c>
      <c r="AP255" s="30">
        <v>43158.281319444446</v>
      </c>
      <c r="AQ255" s="30">
        <v>43158.441759259258</v>
      </c>
      <c r="AR255" s="30">
        <v>43161.270833333336</v>
      </c>
      <c r="AS255" s="30">
        <v>43159.533437500002</v>
      </c>
      <c r="AT255" s="215">
        <f>-64 - 47.1301/60</f>
        <v>-64.785501666666661</v>
      </c>
      <c r="AU255" s="144">
        <f>-62-43.353/60</f>
        <v>-62.722549999999998</v>
      </c>
      <c r="AV255" s="108" t="s">
        <v>658</v>
      </c>
      <c r="AW255" s="106" t="s">
        <v>689</v>
      </c>
      <c r="AX255" s="30">
        <v>43166.379861111112</v>
      </c>
      <c r="AY255" s="107">
        <v>-64.616870000000006</v>
      </c>
      <c r="AZ255" s="107">
        <v>-61.627679999999998</v>
      </c>
      <c r="BA255" s="106" t="s">
        <v>1107</v>
      </c>
      <c r="BB255" s="49" t="s">
        <v>1343</v>
      </c>
      <c r="BC255" s="104"/>
      <c r="BD255" s="104"/>
      <c r="BE255" s="7"/>
      <c r="BF255" s="7"/>
      <c r="BG255" s="7"/>
    </row>
    <row r="256" spans="1:59">
      <c r="A256" s="55" t="str">
        <f>HYPERLINK("tag_data/Quicklook/mn180227-43Quicklook.jpg","mn180227-43")</f>
        <v>mn180227-43</v>
      </c>
      <c r="B256" s="26" t="s">
        <v>271</v>
      </c>
      <c r="C256" s="46" t="str">
        <f t="shared" si="70"/>
        <v>Antarctic</v>
      </c>
      <c r="D256" s="64" t="s">
        <v>713</v>
      </c>
      <c r="E256" s="61" t="s">
        <v>714</v>
      </c>
      <c r="F256" s="85">
        <v>-3</v>
      </c>
      <c r="G256" s="60" t="s">
        <v>459</v>
      </c>
      <c r="H256" s="31" t="s">
        <v>39</v>
      </c>
      <c r="I256" s="72" t="str">
        <f>HYPERLINK("tag_data/mn180227-43 (Antarctic)","Link")</f>
        <v>Link</v>
      </c>
      <c r="J256" s="72" t="str">
        <f>HYPERLINK("tag_data_raw/Antarctic/2018/NSF/mn180227-43","Link")</f>
        <v>Link</v>
      </c>
      <c r="K256" s="73" t="str">
        <f>HYPERLINK("tag_data/mn180227-43 (Antarctic)/Pics&amp;Vids","Link")</f>
        <v>Link</v>
      </c>
      <c r="L256" s="82" t="s">
        <v>263</v>
      </c>
      <c r="M256" s="73" t="str">
        <f>HYPERLINK("tag_data/mn180227-43 (Antarctic)/Pics&amp;Vids/drone","10.00 m")</f>
        <v>10.00 m</v>
      </c>
      <c r="N256" s="73" t="str">
        <f t="shared" si="71"/>
        <v>Link</v>
      </c>
      <c r="O256" s="31" t="s">
        <v>722</v>
      </c>
      <c r="P256" s="110" t="s">
        <v>723</v>
      </c>
      <c r="Q256" s="31">
        <v>43</v>
      </c>
      <c r="R256" s="32" t="s">
        <v>347</v>
      </c>
      <c r="S256" s="32" t="str">
        <f t="shared" si="69"/>
        <v>None</v>
      </c>
      <c r="T256" s="32" t="s">
        <v>38</v>
      </c>
      <c r="U256" s="95">
        <f t="shared" si="66"/>
        <v>1.1304629629667033</v>
      </c>
      <c r="V256" s="95">
        <f t="shared" si="63"/>
        <v>1.1304629629667033</v>
      </c>
      <c r="W256" s="56">
        <v>0.32645833333333335</v>
      </c>
      <c r="X256" s="54" t="str">
        <f>HYPERLINK("tag_data/mn180227-43 (Antarctic)/mn180227-43 Map.bmp","2900")</f>
        <v>2900</v>
      </c>
      <c r="Y256" s="93"/>
      <c r="Z256" s="93" t="s">
        <v>39</v>
      </c>
      <c r="AA256" s="93" t="s">
        <v>39</v>
      </c>
      <c r="AB256" s="131" t="s">
        <v>1044</v>
      </c>
      <c r="AC256" s="33" t="s">
        <v>1079</v>
      </c>
      <c r="AD256" s="31" t="s">
        <v>39</v>
      </c>
      <c r="AE256" s="31" t="s">
        <v>41</v>
      </c>
      <c r="AF256" s="31" t="s">
        <v>39</v>
      </c>
      <c r="AG256" s="31" t="s">
        <v>266</v>
      </c>
      <c r="AH256" s="31" t="s">
        <v>41</v>
      </c>
      <c r="AI256" s="31" t="s">
        <v>39</v>
      </c>
      <c r="AJ256" s="31" t="s">
        <v>41</v>
      </c>
      <c r="AK256" s="31" t="s">
        <v>41</v>
      </c>
      <c r="AL256" s="31" t="s">
        <v>39</v>
      </c>
      <c r="AM256" s="31" t="s">
        <v>41</v>
      </c>
      <c r="AN256" s="32" t="s">
        <v>800</v>
      </c>
      <c r="AO256" s="32" t="s">
        <v>720</v>
      </c>
      <c r="AP256" s="30">
        <v>43158.586712962962</v>
      </c>
      <c r="AQ256" s="30">
        <v>43158.605636574073</v>
      </c>
      <c r="AR256" s="30">
        <v>43159.73609953704</v>
      </c>
      <c r="AS256" s="92" t="s">
        <v>651</v>
      </c>
      <c r="AT256" s="149">
        <v>-64.797598100000002</v>
      </c>
      <c r="AU256" s="107">
        <v>-62.695919605999997</v>
      </c>
      <c r="AV256" s="142" t="s">
        <v>689</v>
      </c>
      <c r="AW256" s="106" t="s">
        <v>658</v>
      </c>
      <c r="AX256" s="30">
        <v>43160.845833333333</v>
      </c>
      <c r="AY256" s="107">
        <f>-64-49.834/60</f>
        <v>-64.83056666666667</v>
      </c>
      <c r="AZ256" s="107">
        <f>-63-1.996/60</f>
        <v>-63.03326666666667</v>
      </c>
      <c r="BA256" s="32" t="s">
        <v>798</v>
      </c>
      <c r="BB256" s="49"/>
      <c r="BC256" s="7"/>
      <c r="BD256" s="7"/>
      <c r="BE256" s="7"/>
      <c r="BF256" s="7"/>
      <c r="BG256" s="7"/>
    </row>
    <row r="257" spans="1:59">
      <c r="A257" s="55" t="str">
        <f>HYPERLINK("tag_data/Quicklook/mn180227-44Quicklook.jpg","mn180227-44")</f>
        <v>mn180227-44</v>
      </c>
      <c r="B257" s="26" t="s">
        <v>271</v>
      </c>
      <c r="C257" s="46" t="str">
        <f t="shared" si="70"/>
        <v>Antarctic</v>
      </c>
      <c r="D257" s="64" t="s">
        <v>713</v>
      </c>
      <c r="E257" s="61" t="s">
        <v>714</v>
      </c>
      <c r="F257" s="85">
        <v>-3</v>
      </c>
      <c r="G257" s="60" t="s">
        <v>459</v>
      </c>
      <c r="H257" s="31" t="s">
        <v>39</v>
      </c>
      <c r="I257" s="72" t="str">
        <f>HYPERLINK("tag_data/mn180227-44 (Antarctic)","Link")</f>
        <v>Link</v>
      </c>
      <c r="J257" s="72" t="str">
        <f>HYPERLINK("tag_data_raw/Antarctic/2018/NSF/mn180227-44","Link")</f>
        <v>Link</v>
      </c>
      <c r="K257" s="73" t="str">
        <f>HYPERLINK("tag_data/mn180227-44 (Antarctic)/Pics&amp;Vids","Link")</f>
        <v>Link</v>
      </c>
      <c r="L257" s="46" t="str">
        <f>HYPERLINK("location data/Antarctic/2018/NSF/Pics&amp;Vids/Deployment Vids/P2270341 (mn0227-44).MOV","Link")</f>
        <v>Link</v>
      </c>
      <c r="M257" s="73" t="str">
        <f>HYPERLINK("tag_data/mn180227-44 (Antarctic)/Pics&amp;Vids/drone","11.43 m")</f>
        <v>11.43 m</v>
      </c>
      <c r="N257" s="73" t="str">
        <f t="shared" si="71"/>
        <v>Link</v>
      </c>
      <c r="O257" s="31" t="s">
        <v>45</v>
      </c>
      <c r="P257" s="110" t="s">
        <v>724</v>
      </c>
      <c r="Q257" s="31">
        <v>44</v>
      </c>
      <c r="R257" s="32" t="s">
        <v>347</v>
      </c>
      <c r="S257" s="32" t="str">
        <f t="shared" si="69"/>
        <v>None</v>
      </c>
      <c r="T257" s="32" t="s">
        <v>63</v>
      </c>
      <c r="U257" s="95">
        <f t="shared" si="66"/>
        <v>1.5998148148137261</v>
      </c>
      <c r="V257" s="95">
        <f t="shared" si="63"/>
        <v>1.5998148148137261</v>
      </c>
      <c r="W257" s="56">
        <v>5.0462962962962961E-3</v>
      </c>
      <c r="X257" s="54" t="str">
        <f>HYPERLINK("tag_data/mn180227-44 (Antarctic)/mn180227-44 Map.bmp","3903")</f>
        <v>3903</v>
      </c>
      <c r="Y257" s="42"/>
      <c r="Z257" s="93" t="s">
        <v>39</v>
      </c>
      <c r="AA257" s="93" t="s">
        <v>41</v>
      </c>
      <c r="AB257" s="33" t="s">
        <v>1041</v>
      </c>
      <c r="AC257" s="31" t="s">
        <v>39</v>
      </c>
      <c r="AD257" s="31" t="s">
        <v>41</v>
      </c>
      <c r="AE257" s="31" t="s">
        <v>41</v>
      </c>
      <c r="AF257" s="31" t="s">
        <v>41</v>
      </c>
      <c r="AG257" s="31" t="s">
        <v>266</v>
      </c>
      <c r="AH257" s="31" t="s">
        <v>41</v>
      </c>
      <c r="AI257" s="31" t="s">
        <v>41</v>
      </c>
      <c r="AJ257" s="31" t="s">
        <v>41</v>
      </c>
      <c r="AK257" s="31" t="s">
        <v>41</v>
      </c>
      <c r="AL257" s="31" t="s">
        <v>41</v>
      </c>
      <c r="AM257" s="31" t="s">
        <v>41</v>
      </c>
      <c r="AN257" s="32" t="s">
        <v>751</v>
      </c>
      <c r="AO257" s="32" t="s">
        <v>720</v>
      </c>
      <c r="AP257" s="30">
        <v>43158.355231481481</v>
      </c>
      <c r="AQ257" s="30">
        <v>43158.37709490741</v>
      </c>
      <c r="AR257" s="30">
        <v>43159.976909722223</v>
      </c>
      <c r="AS257" s="92" t="s">
        <v>651</v>
      </c>
      <c r="AT257" s="107">
        <f>-64-47.7/60</f>
        <v>-64.795000000000002</v>
      </c>
      <c r="AU257" s="163">
        <f>-62-42.07/60</f>
        <v>-62.701166666666666</v>
      </c>
      <c r="AV257" s="108" t="s">
        <v>658</v>
      </c>
      <c r="AW257" s="106" t="s">
        <v>658</v>
      </c>
      <c r="AX257" s="30">
        <v>43161.874305555553</v>
      </c>
      <c r="AY257" s="163">
        <f>-64-21.118/60</f>
        <v>-64.351966666666669</v>
      </c>
      <c r="AZ257" s="163">
        <f>-63-0.504/60</f>
        <v>-63.008400000000002</v>
      </c>
      <c r="BA257" s="32" t="s">
        <v>752</v>
      </c>
      <c r="BB257" s="49" t="s">
        <v>1344</v>
      </c>
      <c r="BC257" s="7"/>
      <c r="BD257" s="7"/>
      <c r="BE257" s="7"/>
      <c r="BF257" s="7"/>
      <c r="BG257" s="7"/>
    </row>
    <row r="258" spans="1:59">
      <c r="A258" s="55" t="str">
        <f>HYPERLINK("tag_data/Quicklook/mn180227-45Quicklook.jpg","mn180227-45")</f>
        <v>mn180227-45</v>
      </c>
      <c r="B258" s="26" t="s">
        <v>271</v>
      </c>
      <c r="C258" s="46" t="str">
        <f t="shared" si="70"/>
        <v>Antarctic</v>
      </c>
      <c r="D258" s="64" t="s">
        <v>713</v>
      </c>
      <c r="E258" s="61" t="s">
        <v>714</v>
      </c>
      <c r="F258" s="85">
        <v>-3</v>
      </c>
      <c r="G258" s="60" t="s">
        <v>459</v>
      </c>
      <c r="H258" s="31" t="s">
        <v>39</v>
      </c>
      <c r="I258" s="72" t="str">
        <f>HYPERLINK("tag_data/mn180227-45 (Antarctic)","Link")</f>
        <v>Link</v>
      </c>
      <c r="J258" s="72" t="str">
        <f>HYPERLINK("tag_data_raw/Antarctic/2018/NSF/mn180227-45","Link")</f>
        <v>Link</v>
      </c>
      <c r="K258" s="82" t="s">
        <v>263</v>
      </c>
      <c r="L258" s="82" t="s">
        <v>263</v>
      </c>
      <c r="M258" s="82" t="s">
        <v>263</v>
      </c>
      <c r="N258" s="73" t="str">
        <f t="shared" si="71"/>
        <v>Link</v>
      </c>
      <c r="O258" s="31" t="s">
        <v>45</v>
      </c>
      <c r="P258" s="110" t="s">
        <v>725</v>
      </c>
      <c r="Q258" s="31">
        <v>45</v>
      </c>
      <c r="R258" s="32" t="s">
        <v>347</v>
      </c>
      <c r="S258" s="32" t="str">
        <f t="shared" si="69"/>
        <v>HTI</v>
      </c>
      <c r="T258" s="32" t="s">
        <v>533</v>
      </c>
      <c r="U258" s="95">
        <f t="shared" si="66"/>
        <v>1.0381944441178348E-2</v>
      </c>
      <c r="V258" s="95">
        <f t="shared" si="63"/>
        <v>1.0381944441178348E-2</v>
      </c>
      <c r="W258" s="56">
        <v>4.5254629629629629E-3</v>
      </c>
      <c r="X258" s="54" t="str">
        <f>HYPERLINK("tag_data/mn180227-45 (Antarctic)/mn180227-45 Map.bmp","21")</f>
        <v>21</v>
      </c>
      <c r="Y258" s="93"/>
      <c r="Z258" s="93" t="s">
        <v>39</v>
      </c>
      <c r="AA258" s="93" t="s">
        <v>39</v>
      </c>
      <c r="AB258" s="93" t="s">
        <v>263</v>
      </c>
      <c r="AC258" s="33" t="s">
        <v>1079</v>
      </c>
      <c r="AD258" s="31" t="s">
        <v>39</v>
      </c>
      <c r="AE258" s="31" t="s">
        <v>266</v>
      </c>
      <c r="AF258" s="31" t="s">
        <v>39</v>
      </c>
      <c r="AG258" s="31" t="s">
        <v>41</v>
      </c>
      <c r="AH258" s="31" t="s">
        <v>41</v>
      </c>
      <c r="AI258" s="31" t="s">
        <v>39</v>
      </c>
      <c r="AJ258" s="31" t="s">
        <v>41</v>
      </c>
      <c r="AK258" s="33" t="s">
        <v>754</v>
      </c>
      <c r="AL258" s="31" t="s">
        <v>41</v>
      </c>
      <c r="AM258" s="31" t="s">
        <v>753</v>
      </c>
      <c r="AN258" s="32" t="s">
        <v>743</v>
      </c>
      <c r="AO258" s="32" t="s">
        <v>720</v>
      </c>
      <c r="AP258" s="30">
        <v>43158.281608796293</v>
      </c>
      <c r="AQ258" s="30">
        <v>43158.285868055558</v>
      </c>
      <c r="AR258" s="30">
        <v>43158.296249999999</v>
      </c>
      <c r="AS258" s="92" t="s">
        <v>651</v>
      </c>
      <c r="AT258" s="107">
        <v>-64.795845057999998</v>
      </c>
      <c r="AU258" s="107">
        <v>-62.717870863999998</v>
      </c>
      <c r="AV258" s="142" t="s">
        <v>689</v>
      </c>
      <c r="AW258" s="106" t="s">
        <v>658</v>
      </c>
      <c r="AX258" s="30">
        <v>43158.463726851849</v>
      </c>
      <c r="AY258" s="163">
        <v>-64.798650038000005</v>
      </c>
      <c r="AZ258" s="163">
        <v>-62.708322490999997</v>
      </c>
      <c r="BA258" s="32" t="s">
        <v>755</v>
      </c>
      <c r="BB258" s="49"/>
      <c r="BC258" s="7"/>
      <c r="BD258" s="7"/>
      <c r="BE258" s="7"/>
      <c r="BF258" s="7"/>
      <c r="BG258" s="7"/>
    </row>
    <row r="259" spans="1:59">
      <c r="A259" s="55" t="str">
        <f>HYPERLINK("tag_data/Quicklook/mn180227-46Quicklook.jpg","mn180227-46")</f>
        <v>mn180227-46</v>
      </c>
      <c r="B259" s="26" t="s">
        <v>271</v>
      </c>
      <c r="C259" s="121" t="str">
        <f t="shared" si="70"/>
        <v>Antarctic</v>
      </c>
      <c r="D259" s="114" t="s">
        <v>713</v>
      </c>
      <c r="E259" s="115" t="s">
        <v>714</v>
      </c>
      <c r="F259" s="116">
        <v>-3</v>
      </c>
      <c r="G259" s="122" t="s">
        <v>459</v>
      </c>
      <c r="H259" s="31" t="s">
        <v>39</v>
      </c>
      <c r="I259" s="72" t="str">
        <f>HYPERLINK("tag_data/mn180227-46 (Antarctic)","Link")</f>
        <v>Link</v>
      </c>
      <c r="J259" s="72" t="str">
        <f>HYPERLINK("tag_data_raw/Antarctic/2018/NSF/mn180227-46","Link")</f>
        <v>Link</v>
      </c>
      <c r="K259" s="73" t="str">
        <f>HYPERLINK("tag_data/mn180227-46 (Antarctic)/Pics&amp;Vids","Link")</f>
        <v>Link</v>
      </c>
      <c r="L259" s="73" t="str">
        <f>HYPERLINK("location data/Antarctic/2018/NSF/Pics&amp;Vids/Deployment Vids/GH010592 (mn180227-46).MP4","Link")</f>
        <v>Link</v>
      </c>
      <c r="M259" s="73" t="str">
        <f>HYPERLINK("tag_data/mn180227-46 (Antarctic)/Pics&amp;Vids/drone","10.66 m")</f>
        <v>10.66 m</v>
      </c>
      <c r="N259" s="73" t="str">
        <f t="shared" si="71"/>
        <v>Link</v>
      </c>
      <c r="O259" s="26" t="s">
        <v>45</v>
      </c>
      <c r="P259" s="117" t="s">
        <v>726</v>
      </c>
      <c r="Q259" s="26">
        <v>46</v>
      </c>
      <c r="R259" s="7" t="s">
        <v>347</v>
      </c>
      <c r="S259" s="32" t="str">
        <f t="shared" si="69"/>
        <v>None</v>
      </c>
      <c r="T259" s="32" t="s">
        <v>533</v>
      </c>
      <c r="U259" s="118">
        <f t="shared" si="66"/>
        <v>1.1342939814785495</v>
      </c>
      <c r="V259" s="118">
        <f t="shared" si="63"/>
        <v>1.1342939814785495</v>
      </c>
      <c r="W259" s="119">
        <v>0.49979166666666663</v>
      </c>
      <c r="X259" s="54" t="str">
        <f>HYPERLINK("tag_data/mn180227-46 (Antarctic)/mn180227-46 Map.bmp","44")</f>
        <v>44</v>
      </c>
      <c r="Y259" s="105"/>
      <c r="Z259" s="105" t="s">
        <v>39</v>
      </c>
      <c r="AA259" s="105" t="s">
        <v>39</v>
      </c>
      <c r="AB259" s="33" t="s">
        <v>1041</v>
      </c>
      <c r="AC259" s="31" t="s">
        <v>39</v>
      </c>
      <c r="AD259" s="26" t="s">
        <v>39</v>
      </c>
      <c r="AE259" s="26" t="s">
        <v>41</v>
      </c>
      <c r="AF259" s="26" t="s">
        <v>39</v>
      </c>
      <c r="AG259" s="26" t="s">
        <v>266</v>
      </c>
      <c r="AH259" s="26" t="s">
        <v>41</v>
      </c>
      <c r="AI259" s="26" t="s">
        <v>39</v>
      </c>
      <c r="AJ259" s="26" t="s">
        <v>39</v>
      </c>
      <c r="AK259" s="26" t="s">
        <v>41</v>
      </c>
      <c r="AL259" s="26" t="s">
        <v>41</v>
      </c>
      <c r="AM259" s="26" t="s">
        <v>41</v>
      </c>
      <c r="AN259" s="7" t="s">
        <v>756</v>
      </c>
      <c r="AO259" s="7" t="s">
        <v>720</v>
      </c>
      <c r="AP259" s="120">
        <v>43158.287986111114</v>
      </c>
      <c r="AQ259" s="120">
        <v>43158.310891203706</v>
      </c>
      <c r="AR259" s="120">
        <v>43159.445185185185</v>
      </c>
      <c r="AS259" s="92" t="s">
        <v>651</v>
      </c>
      <c r="AT259" s="107">
        <v>-64.792975091000002</v>
      </c>
      <c r="AU259" s="164">
        <v>-62.699078249000003</v>
      </c>
      <c r="AV259" s="165" t="s">
        <v>689</v>
      </c>
      <c r="AW259" s="165" t="s">
        <v>689</v>
      </c>
      <c r="AX259" s="30">
        <v>43172.569444444445</v>
      </c>
      <c r="AY259" s="164">
        <f>-64-55/60</f>
        <v>-64.916666666666671</v>
      </c>
      <c r="AZ259" s="164">
        <f>-63-57/60-12/60/60</f>
        <v>-63.953333333333333</v>
      </c>
      <c r="BA259" s="7" t="s">
        <v>917</v>
      </c>
      <c r="BB259" s="49" t="s">
        <v>1345</v>
      </c>
      <c r="BC259" s="7"/>
      <c r="BD259" s="7"/>
      <c r="BE259" s="7"/>
      <c r="BF259" s="7"/>
      <c r="BG259" s="7"/>
    </row>
    <row r="260" spans="1:59">
      <c r="A260" s="55" t="str">
        <f>HYPERLINK("tag_data/Quicklook/mn180227-47Quicklook.jpg","mn180227-47")</f>
        <v>mn180227-47</v>
      </c>
      <c r="B260" s="26" t="s">
        <v>271</v>
      </c>
      <c r="C260" s="46" t="str">
        <f t="shared" si="70"/>
        <v>Antarctic</v>
      </c>
      <c r="D260" s="64" t="s">
        <v>713</v>
      </c>
      <c r="E260" s="61" t="s">
        <v>714</v>
      </c>
      <c r="F260" s="85">
        <v>-3</v>
      </c>
      <c r="G260" s="60" t="s">
        <v>459</v>
      </c>
      <c r="H260" s="31" t="s">
        <v>39</v>
      </c>
      <c r="I260" s="72" t="str">
        <f>HYPERLINK("tag_data/mn180227-47 (Antarctic)","Link")</f>
        <v>Link</v>
      </c>
      <c r="J260" s="72" t="str">
        <f>HYPERLINK("tag_data_raw/Antarctic/2018/NSF/mn180227-47","Link")</f>
        <v>Link</v>
      </c>
      <c r="K260" s="82" t="s">
        <v>263</v>
      </c>
      <c r="L260" s="82" t="s">
        <v>263</v>
      </c>
      <c r="M260" s="82" t="s">
        <v>263</v>
      </c>
      <c r="N260" s="73" t="str">
        <f t="shared" si="71"/>
        <v>Link</v>
      </c>
      <c r="O260" s="31" t="s">
        <v>45</v>
      </c>
      <c r="P260" s="110" t="s">
        <v>727</v>
      </c>
      <c r="Q260" s="31">
        <v>47</v>
      </c>
      <c r="R260" s="32" t="s">
        <v>347</v>
      </c>
      <c r="S260" s="32" t="str">
        <f t="shared" si="69"/>
        <v>None</v>
      </c>
      <c r="T260" s="32" t="s">
        <v>793</v>
      </c>
      <c r="U260" s="95">
        <f t="shared" si="66"/>
        <v>1.0752314810815733E-2</v>
      </c>
      <c r="V260" s="95">
        <f t="shared" si="63"/>
        <v>1.0752314810815733E-2</v>
      </c>
      <c r="W260" s="56">
        <v>9.8726851851851857E-3</v>
      </c>
      <c r="X260" s="54" t="str">
        <f>HYPERLINK("tag_data/mn180227-47 (Antarctic)/mn180227-47 Map.bmp","8")</f>
        <v>8</v>
      </c>
      <c r="Y260" s="93"/>
      <c r="Z260" s="93" t="s">
        <v>41</v>
      </c>
      <c r="AA260" s="93" t="s">
        <v>41</v>
      </c>
      <c r="AB260" s="93" t="s">
        <v>308</v>
      </c>
      <c r="AC260" s="33" t="s">
        <v>1079</v>
      </c>
      <c r="AD260" s="31" t="s">
        <v>41</v>
      </c>
      <c r="AE260" s="31" t="s">
        <v>41</v>
      </c>
      <c r="AF260" s="31" t="s">
        <v>39</v>
      </c>
      <c r="AG260" s="31" t="s">
        <v>41</v>
      </c>
      <c r="AH260" s="31" t="s">
        <v>41</v>
      </c>
      <c r="AI260" s="31" t="s">
        <v>41</v>
      </c>
      <c r="AJ260" s="31" t="s">
        <v>41</v>
      </c>
      <c r="AK260" s="31" t="s">
        <v>41</v>
      </c>
      <c r="AL260" s="31" t="s">
        <v>41</v>
      </c>
      <c r="AM260" s="31" t="s">
        <v>41</v>
      </c>
      <c r="AN260" s="32" t="s">
        <v>794</v>
      </c>
      <c r="AO260" s="32" t="s">
        <v>720</v>
      </c>
      <c r="AP260" s="30">
        <v>43158.28266203704</v>
      </c>
      <c r="AQ260" s="30">
        <v>43158.300185185188</v>
      </c>
      <c r="AR260" s="30">
        <v>43158.310937499999</v>
      </c>
      <c r="AS260" s="92" t="s">
        <v>651</v>
      </c>
      <c r="AT260" s="107">
        <v>-64.786758339000002</v>
      </c>
      <c r="AU260" s="107">
        <v>-62.716520895999999</v>
      </c>
      <c r="AV260" s="142" t="s">
        <v>689</v>
      </c>
      <c r="AW260" s="106" t="s">
        <v>658</v>
      </c>
      <c r="AX260" s="30">
        <v>43158.465277777781</v>
      </c>
      <c r="AY260" s="163">
        <v>-64.795520909999993</v>
      </c>
      <c r="AZ260" s="163">
        <v>-62.704255379999999</v>
      </c>
      <c r="BA260" s="32" t="s">
        <v>918</v>
      </c>
      <c r="BB260" s="49" t="s">
        <v>1346</v>
      </c>
      <c r="BC260" s="7"/>
      <c r="BD260" s="7"/>
      <c r="BE260" s="7"/>
      <c r="BF260" s="7"/>
      <c r="BG260" s="7"/>
    </row>
    <row r="261" spans="1:59">
      <c r="A261" s="55" t="str">
        <f>HYPERLINK("tag_data/Quicklook/mn180228-47Quicklook.jpg","mn180228-47")</f>
        <v>mn180228-47</v>
      </c>
      <c r="B261" s="26" t="s">
        <v>271</v>
      </c>
      <c r="C261" s="46" t="str">
        <f t="shared" si="70"/>
        <v>Antarctic</v>
      </c>
      <c r="D261" s="64" t="s">
        <v>713</v>
      </c>
      <c r="E261" s="61" t="s">
        <v>714</v>
      </c>
      <c r="F261" s="85">
        <v>-3</v>
      </c>
      <c r="G261" s="60" t="s">
        <v>459</v>
      </c>
      <c r="H261" s="31" t="s">
        <v>39</v>
      </c>
      <c r="I261" s="72" t="str">
        <f>HYPERLINK("tag_data/mn180228-47 (Antarctic)","Link")</f>
        <v>Link</v>
      </c>
      <c r="J261" s="72" t="str">
        <f>HYPERLINK("tag_data_raw/Antarctic/2018/NSF/mn180228-47","Link")</f>
        <v>Link</v>
      </c>
      <c r="K261" s="73" t="str">
        <f>HYPERLINK("tag_data/mn180228-47 (Antarctic)/Pics&amp;Vids","Link")</f>
        <v>Link</v>
      </c>
      <c r="L261" s="73" t="str">
        <f>HYPERLINK("location data/Antarctic/2018/NSF/Pics&amp;Vids/Deployment Vids/GH010613 (mn180228-47).MP4","Link")</f>
        <v>Link</v>
      </c>
      <c r="M261" s="73" t="str">
        <f>HYPERLINK("tag_data/mn180228-47 (Antarctic)/Pics&amp;Vids/drone","9.42 m")</f>
        <v>9.42 m</v>
      </c>
      <c r="N261" s="73" t="str">
        <f t="shared" si="71"/>
        <v>Link</v>
      </c>
      <c r="O261" s="31" t="s">
        <v>45</v>
      </c>
      <c r="P261" s="111" t="s">
        <v>728</v>
      </c>
      <c r="Q261" s="31">
        <v>47</v>
      </c>
      <c r="R261" s="32" t="s">
        <v>347</v>
      </c>
      <c r="S261" s="32" t="str">
        <f t="shared" si="69"/>
        <v>None</v>
      </c>
      <c r="T261" s="32" t="s">
        <v>38</v>
      </c>
      <c r="U261" s="95">
        <f t="shared" si="66"/>
        <v>0.88296296296175569</v>
      </c>
      <c r="V261" s="95">
        <f t="shared" si="63"/>
        <v>0.88296296296175569</v>
      </c>
      <c r="W261" s="56">
        <v>0.3338888888888889</v>
      </c>
      <c r="X261" s="54" t="str">
        <f>HYPERLINK("tag_data/mn180228-47 (Antarctic)/mn180228-47 Map.bmp","1527")</f>
        <v>1527</v>
      </c>
      <c r="Y261" s="93"/>
      <c r="Z261" s="93" t="s">
        <v>39</v>
      </c>
      <c r="AA261" s="93" t="s">
        <v>39</v>
      </c>
      <c r="AB261" s="33" t="s">
        <v>1041</v>
      </c>
      <c r="AC261" s="31" t="s">
        <v>39</v>
      </c>
      <c r="AD261" s="31" t="s">
        <v>39</v>
      </c>
      <c r="AE261" s="31" t="s">
        <v>41</v>
      </c>
      <c r="AF261" s="31" t="s">
        <v>266</v>
      </c>
      <c r="AG261" s="31" t="s">
        <v>266</v>
      </c>
      <c r="AH261" s="31" t="s">
        <v>41</v>
      </c>
      <c r="AI261" s="31" t="s">
        <v>39</v>
      </c>
      <c r="AJ261" s="31" t="s">
        <v>41</v>
      </c>
      <c r="AK261" s="31" t="s">
        <v>41</v>
      </c>
      <c r="AL261" s="31" t="s">
        <v>41</v>
      </c>
      <c r="AM261" s="31" t="s">
        <v>41</v>
      </c>
      <c r="AN261" s="32" t="s">
        <v>756</v>
      </c>
      <c r="AO261" s="32" t="s">
        <v>720</v>
      </c>
      <c r="AP261" s="30">
        <v>43159.571238425924</v>
      </c>
      <c r="AQ261" s="30">
        <v>43159.580439814818</v>
      </c>
      <c r="AR261" s="30">
        <v>43160.463402777779</v>
      </c>
      <c r="AS261" s="92" t="s">
        <v>651</v>
      </c>
      <c r="AT261" s="107">
        <v>-64.839380806999998</v>
      </c>
      <c r="AU261" s="107">
        <v>-62.655083888</v>
      </c>
      <c r="AV261" s="108" t="s">
        <v>658</v>
      </c>
      <c r="AW261" s="106" t="s">
        <v>729</v>
      </c>
      <c r="AX261" s="30">
        <v>43160.548611111109</v>
      </c>
      <c r="AY261" s="107">
        <f>-64-50.137/60</f>
        <v>-64.835616666666667</v>
      </c>
      <c r="AZ261" s="107">
        <f>-62-41.29/60</f>
        <v>-62.688166666666667</v>
      </c>
      <c r="BA261" s="32" t="s">
        <v>919</v>
      </c>
      <c r="BB261" s="49" t="s">
        <v>1347</v>
      </c>
      <c r="BC261" s="7"/>
      <c r="BD261" s="7"/>
      <c r="BE261" s="7"/>
      <c r="BF261" s="7"/>
      <c r="BG261" s="7"/>
    </row>
    <row r="262" spans="1:59">
      <c r="A262" s="55" t="str">
        <f>HYPERLINK("tag_data/Quicklook/mn180302-27Quicklook.jpg","mn180302-27")</f>
        <v>mn180302-27</v>
      </c>
      <c r="B262" s="26" t="s">
        <v>271</v>
      </c>
      <c r="C262" s="46" t="str">
        <f t="shared" si="70"/>
        <v>Antarctic</v>
      </c>
      <c r="D262" s="64" t="s">
        <v>713</v>
      </c>
      <c r="E262" s="61" t="s">
        <v>714</v>
      </c>
      <c r="F262" s="85">
        <v>-3</v>
      </c>
      <c r="G262" s="60" t="s">
        <v>459</v>
      </c>
      <c r="H262" s="31" t="s">
        <v>39</v>
      </c>
      <c r="I262" s="72" t="str">
        <f>HYPERLINK("tag_data/mn180302-27 (Antarctic)","Link")</f>
        <v>Link</v>
      </c>
      <c r="J262" s="72" t="str">
        <f>HYPERLINK("tag_data_raw/Antarctic/2018/NSF/mn180302-27","Link")</f>
        <v>Link</v>
      </c>
      <c r="K262" s="73" t="str">
        <f>HYPERLINK("tag_data/mn180302-27 (Antarctic)/Pics&amp;Vids","Link")</f>
        <v>Link</v>
      </c>
      <c r="L262" s="82" t="s">
        <v>263</v>
      </c>
      <c r="M262" s="73" t="str">
        <f>HYPERLINK("tag_data/bb180302-27 (Antarctic)/Pics&amp;Vids/drone","11.38 m")</f>
        <v>11.38 m</v>
      </c>
      <c r="N262" s="73" t="str">
        <f t="shared" si="71"/>
        <v>Link</v>
      </c>
      <c r="O262" s="31" t="s">
        <v>45</v>
      </c>
      <c r="P262" s="111" t="s">
        <v>730</v>
      </c>
      <c r="Q262" s="31">
        <v>27</v>
      </c>
      <c r="R262" s="32" t="s">
        <v>547</v>
      </c>
      <c r="S262" s="32" t="s">
        <v>1393</v>
      </c>
      <c r="T262" s="32" t="s">
        <v>263</v>
      </c>
      <c r="U262" s="95">
        <f t="shared" si="66"/>
        <v>0.83641203703882638</v>
      </c>
      <c r="V262" s="95">
        <f t="shared" si="63"/>
        <v>0.83641203703882638</v>
      </c>
      <c r="W262" s="56" t="s">
        <v>346</v>
      </c>
      <c r="X262" s="54" t="str">
        <f>HYPERLINK("tag_data/mn180302-27 (Antarctic)/mn180302-27 Map.bmp","2178")</f>
        <v>2178</v>
      </c>
      <c r="Y262" s="29" t="s">
        <v>263</v>
      </c>
      <c r="Z262" s="93" t="s">
        <v>39</v>
      </c>
      <c r="AA262" s="93" t="s">
        <v>41</v>
      </c>
      <c r="AB262" s="131" t="s">
        <v>1044</v>
      </c>
      <c r="AC262" s="33" t="s">
        <v>1079</v>
      </c>
      <c r="AD262" s="31" t="s">
        <v>41</v>
      </c>
      <c r="AE262" s="31" t="s">
        <v>41</v>
      </c>
      <c r="AF262" s="31" t="s">
        <v>41</v>
      </c>
      <c r="AG262" s="31" t="s">
        <v>41</v>
      </c>
      <c r="AH262" s="31" t="s">
        <v>41</v>
      </c>
      <c r="AI262" s="31" t="s">
        <v>41</v>
      </c>
      <c r="AJ262" s="31" t="s">
        <v>41</v>
      </c>
      <c r="AK262" s="31" t="s">
        <v>41</v>
      </c>
      <c r="AL262" s="31" t="s">
        <v>41</v>
      </c>
      <c r="AM262" s="31" t="s">
        <v>41</v>
      </c>
      <c r="AN262" s="32" t="s">
        <v>791</v>
      </c>
      <c r="AO262" s="32" t="s">
        <v>720</v>
      </c>
      <c r="AP262" s="30">
        <v>43161.514814814815</v>
      </c>
      <c r="AQ262" s="30">
        <v>43161.671377314815</v>
      </c>
      <c r="AR262" s="30">
        <v>43162.507789351854</v>
      </c>
      <c r="AS262" s="92" t="s">
        <v>651</v>
      </c>
      <c r="AT262" s="107">
        <v>-64.803431700000004</v>
      </c>
      <c r="AU262" s="107">
        <v>-62.719966999999997</v>
      </c>
      <c r="AV262" s="142" t="s">
        <v>689</v>
      </c>
      <c r="AW262" s="106" t="s">
        <v>689</v>
      </c>
      <c r="AX262" s="30">
        <v>43163.463888888888</v>
      </c>
      <c r="AY262" s="107">
        <f>-64-43.659/60</f>
        <v>-64.727649999999997</v>
      </c>
      <c r="AZ262" s="107">
        <f>-62-54.534/60</f>
        <v>-62.908900000000003</v>
      </c>
      <c r="BA262" s="32" t="s">
        <v>792</v>
      </c>
      <c r="BB262" s="49" t="s">
        <v>1348</v>
      </c>
      <c r="BC262" s="7"/>
      <c r="BD262" s="7"/>
      <c r="BE262" s="7"/>
      <c r="BF262" s="7"/>
      <c r="BG262" s="7"/>
    </row>
    <row r="263" spans="1:59">
      <c r="A263" s="55" t="str">
        <f>HYPERLINK("tag_data/Quicklook/mn180302-47Quicklook.jpg","mn180302-47")</f>
        <v>mn180302-47</v>
      </c>
      <c r="B263" s="26" t="s">
        <v>271</v>
      </c>
      <c r="C263" s="46" t="str">
        <f t="shared" si="70"/>
        <v>Antarctic</v>
      </c>
      <c r="D263" s="64" t="s">
        <v>713</v>
      </c>
      <c r="E263" s="61" t="s">
        <v>714</v>
      </c>
      <c r="F263" s="85">
        <v>-3</v>
      </c>
      <c r="G263" s="60" t="s">
        <v>459</v>
      </c>
      <c r="H263" s="31" t="s">
        <v>39</v>
      </c>
      <c r="I263" s="72" t="str">
        <f>HYPERLINK("tag_data/mn180302-47 (Antarctic)","Link")</f>
        <v>Link</v>
      </c>
      <c r="J263" s="72" t="str">
        <f>HYPERLINK("tag_data_raw/Antarctic/2018/NSF/mn180302-47","Link")</f>
        <v>Link</v>
      </c>
      <c r="K263" s="73" t="str">
        <f>HYPERLINK("tag_data/mn180302-47 (Antarctic)/Pics&amp;Vids","Link")</f>
        <v>Link</v>
      </c>
      <c r="L263" s="82" t="s">
        <v>263</v>
      </c>
      <c r="M263" s="73" t="str">
        <f>HYPERLINK("tag_data/mn180302-47 (Antarctic)/Pics&amp;Vids/drone","11.36 m")</f>
        <v>11.36 m</v>
      </c>
      <c r="N263" s="73" t="str">
        <f t="shared" si="71"/>
        <v>Link</v>
      </c>
      <c r="O263" s="31" t="s">
        <v>45</v>
      </c>
      <c r="P263" s="31" t="s">
        <v>41</v>
      </c>
      <c r="Q263" s="31">
        <v>47</v>
      </c>
      <c r="R263" s="32" t="s">
        <v>347</v>
      </c>
      <c r="S263" s="32" t="str">
        <f>IF(OR(Q263&lt;39,Q263=50,Q263=51,AND(OR(Q263=46,Q263=47),AQ263&gt;43313)),"Cam Mic",IF(AND(Q263&lt;45,AQ263&lt;42958),"Dolphin Ear",IF(AND(Q263&gt;44,NOT(OR(Q263=46,Q263=47,Q263=50,Q263=51))),"HTI","None")))</f>
        <v>None</v>
      </c>
      <c r="T263" s="32" t="s">
        <v>795</v>
      </c>
      <c r="U263" s="95">
        <f t="shared" si="66"/>
        <v>1.0206944444435067</v>
      </c>
      <c r="V263" s="95">
        <f t="shared" ref="V263:V268" si="72">MIN(AR263,AS263)-MAX(AP263,AQ263)</f>
        <v>1.0206944444435067</v>
      </c>
      <c r="W263" s="56">
        <v>0.3971412037037037</v>
      </c>
      <c r="X263" s="54" t="str">
        <f>HYPERLINK("tag_data/mn180302-47 (Antarctic)/mn180302-47 Map.bmp","1591")</f>
        <v>1591</v>
      </c>
      <c r="Y263" s="42"/>
      <c r="Z263" s="93" t="s">
        <v>39</v>
      </c>
      <c r="AA263" s="93" t="s">
        <v>39</v>
      </c>
      <c r="AB263" s="131" t="s">
        <v>1044</v>
      </c>
      <c r="AC263" s="33" t="s">
        <v>1079</v>
      </c>
      <c r="AD263" s="31" t="s">
        <v>39</v>
      </c>
      <c r="AE263" s="31" t="s">
        <v>41</v>
      </c>
      <c r="AF263" s="31" t="s">
        <v>39</v>
      </c>
      <c r="AG263" s="31" t="s">
        <v>266</v>
      </c>
      <c r="AH263" s="31" t="s">
        <v>41</v>
      </c>
      <c r="AI263" s="31" t="s">
        <v>41</v>
      </c>
      <c r="AJ263" s="31" t="s">
        <v>41</v>
      </c>
      <c r="AK263" s="31" t="s">
        <v>41</v>
      </c>
      <c r="AL263" s="31" t="s">
        <v>41</v>
      </c>
      <c r="AM263" s="31" t="s">
        <v>266</v>
      </c>
      <c r="AN263" s="32"/>
      <c r="AO263" s="32" t="s">
        <v>720</v>
      </c>
      <c r="AP263" s="30">
        <v>43161.510729166665</v>
      </c>
      <c r="AQ263" s="30">
        <v>43161.529131944444</v>
      </c>
      <c r="AR263" s="30">
        <v>43162.549826388888</v>
      </c>
      <c r="AS263" s="92" t="s">
        <v>651</v>
      </c>
      <c r="AT263" s="107">
        <v>-64.830287600000005</v>
      </c>
      <c r="AU263" s="107">
        <v>-62.685437700000001</v>
      </c>
      <c r="AV263" s="142" t="s">
        <v>689</v>
      </c>
      <c r="AW263" s="106" t="s">
        <v>658</v>
      </c>
      <c r="AX263" s="30">
        <v>43162.802083333336</v>
      </c>
      <c r="AY263" s="107">
        <f>-64-(49.534/60)</f>
        <v>-64.82556666666666</v>
      </c>
      <c r="AZ263" s="107">
        <f>-62-36.217/60</f>
        <v>-62.603616666666667</v>
      </c>
      <c r="BA263" s="32" t="s">
        <v>920</v>
      </c>
      <c r="BB263" s="49" t="s">
        <v>1349</v>
      </c>
      <c r="BC263" s="7"/>
      <c r="BD263" s="7"/>
      <c r="BE263" s="7"/>
      <c r="BF263" s="7"/>
      <c r="BG263" s="7"/>
    </row>
    <row r="264" spans="1:59">
      <c r="A264" s="55" t="str">
        <f>HYPERLINK("tag_data/Quicklook/mn180423-40Quicklook.jpg","mn180423-40")</f>
        <v>mn180423-40</v>
      </c>
      <c r="B264" s="26" t="s">
        <v>271</v>
      </c>
      <c r="C264" s="46" t="str">
        <f t="shared" ref="C264:C277" si="73">HYPERLINK("location data/Monterey/2018","Monterey")</f>
        <v>Monterey</v>
      </c>
      <c r="D264" s="64" t="s">
        <v>465</v>
      </c>
      <c r="E264" s="61" t="s">
        <v>466</v>
      </c>
      <c r="F264" s="85">
        <v>-7</v>
      </c>
      <c r="G264" s="60" t="s">
        <v>455</v>
      </c>
      <c r="H264" s="31" t="s">
        <v>39</v>
      </c>
      <c r="I264" s="72" t="str">
        <f>HYPERLINK("tag_data/mn180423-40 (Monterey)","Link")</f>
        <v>Link</v>
      </c>
      <c r="J264" s="46" t="str">
        <f>HYPERLINK("tag_data_raw/Monterey/2018/mn180423-40","Link")</f>
        <v>Link</v>
      </c>
      <c r="K264" s="72" t="str">
        <f>HYPERLINK("tag_data/mn180423-40 (Monterey)/Pics&amp;Vids","Link")</f>
        <v>Link</v>
      </c>
      <c r="L264" s="54" t="str">
        <f>HYPERLINK("location data/Monterey/2018/Pics&amp;Vids/04.23/GOPRO mn180423-40 deployment.MP4","Link")</f>
        <v>Link</v>
      </c>
      <c r="M264" s="41" t="s">
        <v>263</v>
      </c>
      <c r="N264" s="54" t="str">
        <f>HYPERLINK("location data/Monterey/2018/NoteSheets180423.xlsx","Link")</f>
        <v>Link</v>
      </c>
      <c r="O264" s="79" t="str">
        <f>HYPERLINK("https://happywhale.com/individual/235;enc=33689","CRC-11706 (MN0500306 or FIBB-4BB367)")</f>
        <v>CRC-11706 (MN0500306 or FIBB-4BB367)</v>
      </c>
      <c r="P264" s="31" t="s">
        <v>41</v>
      </c>
      <c r="Q264" s="31">
        <v>40</v>
      </c>
      <c r="R264" s="32" t="s">
        <v>347</v>
      </c>
      <c r="S264" s="32" t="str">
        <f>IF(OR(Q264&lt;39,Q264=50,Q264=51,AND(OR(Q264=46,Q264=47),AQ264&gt;43313)),"Cam Mic",IF(AND(Q264&lt;45,AQ264&lt;42958),"Dolphin Ear",IF(AND(Q264&gt;44,NOT(OR(Q264=46,Q264=47,Q264=50,Q264=51))),"HTI","None")))</f>
        <v>None</v>
      </c>
      <c r="T264" s="32" t="s">
        <v>866</v>
      </c>
      <c r="U264" s="17">
        <f t="shared" si="66"/>
        <v>0.46872685185371665</v>
      </c>
      <c r="V264" s="17">
        <f t="shared" si="72"/>
        <v>0.46872685185371665</v>
      </c>
      <c r="W264" s="109">
        <v>0.34993055555555558</v>
      </c>
      <c r="X264" s="31">
        <v>0</v>
      </c>
      <c r="Y264" s="42"/>
      <c r="Z264" s="31" t="s">
        <v>39</v>
      </c>
      <c r="AA264" s="31" t="s">
        <v>39</v>
      </c>
      <c r="AB264" s="31"/>
      <c r="AC264" s="31" t="s">
        <v>39</v>
      </c>
      <c r="AD264" s="31"/>
      <c r="AE264" s="31" t="s">
        <v>41</v>
      </c>
      <c r="AF264" s="31" t="s">
        <v>39</v>
      </c>
      <c r="AG264" s="31" t="s">
        <v>39</v>
      </c>
      <c r="AH264" s="31" t="s">
        <v>41</v>
      </c>
      <c r="AI264" s="31" t="s">
        <v>39</v>
      </c>
      <c r="AJ264" s="31" t="s">
        <v>39</v>
      </c>
      <c r="AK264" s="31" t="s">
        <v>41</v>
      </c>
      <c r="AL264" s="31" t="s">
        <v>41</v>
      </c>
      <c r="AM264" s="31" t="s">
        <v>476</v>
      </c>
      <c r="AN264" s="32" t="s">
        <v>867</v>
      </c>
      <c r="AO264" s="32" t="s">
        <v>861</v>
      </c>
      <c r="AP264" s="30">
        <v>43213.363298611112</v>
      </c>
      <c r="AQ264" s="30">
        <v>43213.399062500001</v>
      </c>
      <c r="AR264" s="30">
        <v>43213.867789351854</v>
      </c>
      <c r="AS264" s="92" t="s">
        <v>651</v>
      </c>
      <c r="AT264" s="155">
        <f>36+45.992/60</f>
        <v>36.766533333333335</v>
      </c>
      <c r="AU264" s="155">
        <f>-121-51.871/60</f>
        <v>-121.86451666666666</v>
      </c>
      <c r="AV264" s="153" t="s">
        <v>313</v>
      </c>
      <c r="AW264" s="153" t="s">
        <v>313</v>
      </c>
      <c r="AX264" s="30">
        <v>43214.441666666666</v>
      </c>
      <c r="AY264" s="107">
        <f>36+47.821/60</f>
        <v>36.797016666666664</v>
      </c>
      <c r="AZ264" s="107">
        <f>-121-55.91/60</f>
        <v>-121.93183333333333</v>
      </c>
      <c r="BA264" s="32" t="s">
        <v>852</v>
      </c>
      <c r="BB264" s="49"/>
      <c r="BC264" s="7"/>
      <c r="BD264" s="7"/>
      <c r="BE264" s="7"/>
      <c r="BF264" s="7"/>
      <c r="BG264" s="7"/>
    </row>
    <row r="265" spans="1:59">
      <c r="A265" s="55" t="str">
        <f>HYPERLINK("tag_data/Quicklook/mn180423-43Quicklook.jpg","mn180423-43")</f>
        <v>mn180423-43</v>
      </c>
      <c r="B265" s="26" t="s">
        <v>271</v>
      </c>
      <c r="C265" s="46" t="str">
        <f t="shared" si="73"/>
        <v>Monterey</v>
      </c>
      <c r="D265" s="64" t="s">
        <v>465</v>
      </c>
      <c r="E265" s="61" t="s">
        <v>466</v>
      </c>
      <c r="F265" s="85">
        <v>-7</v>
      </c>
      <c r="G265" s="60" t="s">
        <v>455</v>
      </c>
      <c r="H265" s="31" t="s">
        <v>39</v>
      </c>
      <c r="I265" s="72" t="str">
        <f>HYPERLINK("tag_data/mn180423-43 (Monterey)","Link")</f>
        <v>Link</v>
      </c>
      <c r="J265" s="46" t="str">
        <f>HYPERLINK("tag_data_raw/Monterey/2018/mn180423-43","Link")</f>
        <v>Link</v>
      </c>
      <c r="K265" s="72" t="str">
        <f>HYPERLINK("tag_data/mn180423-43 (Monterey)/Pics&amp;Vids","Link")</f>
        <v>Link</v>
      </c>
      <c r="L265" s="54" t="str">
        <f>HYPERLINK("location data/Monterey/2018/Pics&amp;Vids/04.23/GOPRO mn180423-43 deployment.MP4","Link")</f>
        <v>Link</v>
      </c>
      <c r="M265" s="79" t="str">
        <f>HYPERLINK("tag_data\mn161117-10 (Monterey)\Pics&amp;Vids\drone","see 161117-10")</f>
        <v>see 161117-10</v>
      </c>
      <c r="N265" s="54" t="str">
        <f>HYPERLINK("location data/Monterey/2018/NoteSheets180423.xlsx","Link")</f>
        <v>Link</v>
      </c>
      <c r="O265" s="79" t="str">
        <f>HYPERLINK("https://happywhale.com/individual/125;enc=8360","Inverse (CRC-12443)")</f>
        <v>Inverse (CRC-12443)</v>
      </c>
      <c r="P265" s="33" t="s">
        <v>855</v>
      </c>
      <c r="Q265" s="31">
        <v>43</v>
      </c>
      <c r="R265" s="32" t="s">
        <v>347</v>
      </c>
      <c r="S265" s="32" t="str">
        <f>IF(OR(Q265&lt;39,Q265=50,Q265=51,AND(OR(Q265=46,Q265=47),AQ265&gt;43313)),"Cam Mic",IF(AND(Q265&lt;45,AQ265&lt;42958),"Dolphin Ear",IF(AND(Q265&gt;44,NOT(OR(Q265=46,Q265=47,Q265=50,Q265=51))),"HTI","None")))</f>
        <v>None</v>
      </c>
      <c r="T265" s="32" t="s">
        <v>263</v>
      </c>
      <c r="U265" s="17">
        <f t="shared" si="66"/>
        <v>1.2917939814869897</v>
      </c>
      <c r="V265" s="17">
        <f t="shared" si="72"/>
        <v>1.2917939814869897</v>
      </c>
      <c r="W265" s="56" t="s">
        <v>346</v>
      </c>
      <c r="X265" s="72" t="str">
        <f>HYPERLINK("tag_data/mn180423-43 (Monterey)/mn180423-43 Map.bmp","912")</f>
        <v>912</v>
      </c>
      <c r="Y265" s="31" t="s">
        <v>263</v>
      </c>
      <c r="Z265" s="31" t="s">
        <v>39</v>
      </c>
      <c r="AA265" s="31" t="s">
        <v>41</v>
      </c>
      <c r="AB265" s="31" t="s">
        <v>372</v>
      </c>
      <c r="AC265" s="31" t="s">
        <v>39</v>
      </c>
      <c r="AD265" s="31" t="s">
        <v>41</v>
      </c>
      <c r="AE265" s="31" t="s">
        <v>41</v>
      </c>
      <c r="AF265" s="31" t="s">
        <v>41</v>
      </c>
      <c r="AG265" s="31" t="s">
        <v>266</v>
      </c>
      <c r="AH265" s="31" t="s">
        <v>41</v>
      </c>
      <c r="AI265" s="31" t="s">
        <v>41</v>
      </c>
      <c r="AJ265" s="31" t="s">
        <v>41</v>
      </c>
      <c r="AK265" s="31" t="s">
        <v>41</v>
      </c>
      <c r="AL265" s="31" t="s">
        <v>41</v>
      </c>
      <c r="AM265" s="31" t="s">
        <v>41</v>
      </c>
      <c r="AN265" s="32" t="s">
        <v>864</v>
      </c>
      <c r="AO265" s="32" t="s">
        <v>345</v>
      </c>
      <c r="AP265" s="30">
        <v>43213.327407407407</v>
      </c>
      <c r="AQ265" s="30">
        <v>43213.336793981478</v>
      </c>
      <c r="AR265" s="30">
        <v>43214.628587962965</v>
      </c>
      <c r="AS265" s="92" t="s">
        <v>651</v>
      </c>
      <c r="AT265" s="155">
        <f>36+48.11/60</f>
        <v>36.801833333333335</v>
      </c>
      <c r="AU265" s="155">
        <f>-121-48.04/60</f>
        <v>-121.80066666666667</v>
      </c>
      <c r="AV265" s="153" t="s">
        <v>313</v>
      </c>
      <c r="AW265" s="153" t="s">
        <v>341</v>
      </c>
      <c r="AX265" s="30">
        <v>43215.298611111109</v>
      </c>
      <c r="AY265" s="107">
        <v>36.801200000000001</v>
      </c>
      <c r="AZ265" s="107">
        <v>-121.78919999999999</v>
      </c>
      <c r="BA265" s="32" t="s">
        <v>863</v>
      </c>
      <c r="BB265" s="49" t="s">
        <v>1350</v>
      </c>
      <c r="BC265" s="7"/>
      <c r="BD265" s="7"/>
      <c r="BE265" s="7"/>
      <c r="BF265" s="7"/>
      <c r="BG265" s="7"/>
    </row>
    <row r="266" spans="1:59">
      <c r="A266" s="55" t="str">
        <f>HYPERLINK("tag_data/Quicklook/mn180423-44Quicklook.jpg","mn180423-44")</f>
        <v>mn180423-44</v>
      </c>
      <c r="B266" s="26" t="s">
        <v>271</v>
      </c>
      <c r="C266" s="46" t="str">
        <f t="shared" si="73"/>
        <v>Monterey</v>
      </c>
      <c r="D266" s="64" t="s">
        <v>465</v>
      </c>
      <c r="E266" s="61" t="s">
        <v>466</v>
      </c>
      <c r="F266" s="85">
        <v>-7</v>
      </c>
      <c r="G266" s="60" t="s">
        <v>455</v>
      </c>
      <c r="H266" s="31" t="s">
        <v>39</v>
      </c>
      <c r="I266" s="72" t="str">
        <f>HYPERLINK("tag_data/mn180423-44 (Monterey)","Link")</f>
        <v>Link</v>
      </c>
      <c r="J266" s="46" t="str">
        <f>HYPERLINK("tag_data_raw/Monterey/2018/mn180423-44","Link")</f>
        <v>Link</v>
      </c>
      <c r="K266" s="72" t="str">
        <f>HYPERLINK("tag_data/mn180423-44 (Monterey)/Pics&amp;Vids","Link")</f>
        <v>Link</v>
      </c>
      <c r="L266" s="54" t="str">
        <f>HYPERLINK("location data/Monterey/2018/Pics&amp;Vids/04.23/GOPRO mn180423-44 deployment.MP4","Link")</f>
        <v>Link</v>
      </c>
      <c r="M266" s="41" t="s">
        <v>263</v>
      </c>
      <c r="N266" s="54" t="str">
        <f>HYPERLINK("location data/Monterey/2018/NoteSheets180423.xlsx","Link")</f>
        <v>Link</v>
      </c>
      <c r="O266" s="79" t="str">
        <f>HYPERLINK("https://happywhale.com/individual/2","Check (CRC-15347)")</f>
        <v>Check (CRC-15347)</v>
      </c>
      <c r="P266" s="31" t="s">
        <v>41</v>
      </c>
      <c r="Q266" s="31">
        <v>44</v>
      </c>
      <c r="R266" s="32" t="s">
        <v>347</v>
      </c>
      <c r="S266" s="32" t="str">
        <f>IF(OR(Q266&lt;39,Q266=50,Q266=51,AND(OR(Q266=46,Q266=47),AQ266&gt;43313)),"Cam Mic",IF(AND(Q266&lt;45,AQ266&lt;42958),"Dolphin Ear",IF(AND(Q266&gt;44,NOT(OR(Q266=46,Q266=47,Q266=50,Q266=51))),"HTI","None")))</f>
        <v>None</v>
      </c>
      <c r="T266" s="32" t="s">
        <v>263</v>
      </c>
      <c r="U266" s="17">
        <f t="shared" si="66"/>
        <v>1.078703704115469E-2</v>
      </c>
      <c r="V266" s="17">
        <f t="shared" si="72"/>
        <v>1.078703704115469E-2</v>
      </c>
      <c r="W266" s="56" t="s">
        <v>346</v>
      </c>
      <c r="X266" s="72" t="str">
        <f>HYPERLINK("tag_data/mn180423-43 (Monterey)/mn180423-44 Map.bmp","20")</f>
        <v>20</v>
      </c>
      <c r="Y266" s="31" t="s">
        <v>263</v>
      </c>
      <c r="Z266" s="31" t="s">
        <v>41</v>
      </c>
      <c r="AA266" s="31" t="s">
        <v>41</v>
      </c>
      <c r="AB266" s="31" t="s">
        <v>263</v>
      </c>
      <c r="AC266" s="31" t="s">
        <v>39</v>
      </c>
      <c r="AD266" s="31" t="s">
        <v>41</v>
      </c>
      <c r="AE266" s="31" t="s">
        <v>41</v>
      </c>
      <c r="AF266" s="31" t="s">
        <v>41</v>
      </c>
      <c r="AG266" s="31" t="s">
        <v>41</v>
      </c>
      <c r="AH266" s="31" t="s">
        <v>41</v>
      </c>
      <c r="AI266" s="31" t="s">
        <v>41</v>
      </c>
      <c r="AJ266" s="31" t="s">
        <v>41</v>
      </c>
      <c r="AK266" s="31" t="s">
        <v>41</v>
      </c>
      <c r="AL266" s="31" t="s">
        <v>41</v>
      </c>
      <c r="AM266" s="31" t="s">
        <v>41</v>
      </c>
      <c r="AN266" s="32" t="s">
        <v>865</v>
      </c>
      <c r="AO266" s="32" t="s">
        <v>345</v>
      </c>
      <c r="AP266" s="30">
        <v>43213.320127314815</v>
      </c>
      <c r="AQ266" s="30">
        <v>43213.326064814813</v>
      </c>
      <c r="AR266" s="30">
        <v>43213.336851851855</v>
      </c>
      <c r="AS266" s="92" t="s">
        <v>651</v>
      </c>
      <c r="AT266" s="155">
        <f>36+48.24/60</f>
        <v>36.804000000000002</v>
      </c>
      <c r="AU266" s="155">
        <f>-121-48.04/60</f>
        <v>-121.80066666666667</v>
      </c>
      <c r="AV266" s="153" t="s">
        <v>313</v>
      </c>
      <c r="AW266" s="153" t="s">
        <v>313</v>
      </c>
      <c r="AX266" s="30">
        <v>43213.336805555555</v>
      </c>
      <c r="AY266" s="155">
        <f>36+48.11/60</f>
        <v>36.801833333333335</v>
      </c>
      <c r="AZ266" s="155">
        <f>-121-48.04/60</f>
        <v>-121.80066666666667</v>
      </c>
      <c r="BA266" s="32" t="s">
        <v>851</v>
      </c>
      <c r="BB266" s="49" t="s">
        <v>1351</v>
      </c>
      <c r="BC266" s="7"/>
      <c r="BD266" s="7"/>
      <c r="BE266" s="7"/>
      <c r="BF266" s="7"/>
      <c r="BG266" s="7"/>
    </row>
    <row r="267" spans="1:59">
      <c r="A267" s="55" t="str">
        <f>HYPERLINK("tag_data/Quicklook/mn180424-11Quicklook.jpg","mn180424-11")</f>
        <v>mn180424-11</v>
      </c>
      <c r="B267" s="26" t="s">
        <v>271</v>
      </c>
      <c r="C267" s="46" t="str">
        <f t="shared" si="73"/>
        <v>Monterey</v>
      </c>
      <c r="D267" s="64" t="s">
        <v>465</v>
      </c>
      <c r="E267" s="61" t="s">
        <v>466</v>
      </c>
      <c r="F267" s="85">
        <v>-7</v>
      </c>
      <c r="G267" s="60" t="s">
        <v>455</v>
      </c>
      <c r="H267" s="31" t="s">
        <v>39</v>
      </c>
      <c r="I267" s="72" t="str">
        <f>HYPERLINK("tag_data/mn180424-11 (Monterey)","Link")</f>
        <v>Link</v>
      </c>
      <c r="J267" s="46" t="str">
        <f>HYPERLINK("tag_data_raw/Monterey/2018/mn180424-11","Link")</f>
        <v>Link</v>
      </c>
      <c r="K267" s="72" t="str">
        <f>HYPERLINK("tag_data/mn180424-11 (Monterey)/Pics&amp;Vids","Link")</f>
        <v>Link</v>
      </c>
      <c r="L267" s="54" t="str">
        <f>HYPERLINK("location data/Monterey/2018/Pics&amp;Vids/04.24/GOPRO mn180424-11 deployment.MP4","Link")</f>
        <v>Link</v>
      </c>
      <c r="M267" s="41" t="s">
        <v>263</v>
      </c>
      <c r="N267" s="54" t="str">
        <f>HYPERLINK("location data/Monterey/2018/NoteSheets180424.xlsx","Link")</f>
        <v>Link</v>
      </c>
      <c r="O267" s="54" t="str">
        <f>HYPERLINK("https://happywhale.com/encounter/33690;enc=33690","U")</f>
        <v>U</v>
      </c>
      <c r="P267" s="31" t="s">
        <v>41</v>
      </c>
      <c r="Q267" s="31">
        <v>11</v>
      </c>
      <c r="R267" s="32" t="s">
        <v>133</v>
      </c>
      <c r="S267" s="32" t="s">
        <v>1393</v>
      </c>
      <c r="T267" s="32" t="s">
        <v>263</v>
      </c>
      <c r="U267" s="17">
        <f t="shared" si="66"/>
        <v>0.46290509259415558</v>
      </c>
      <c r="V267" s="17">
        <f t="shared" si="72"/>
        <v>0.46290509259415558</v>
      </c>
      <c r="W267" s="56" t="s">
        <v>346</v>
      </c>
      <c r="X267" s="31">
        <v>0</v>
      </c>
      <c r="Y267" s="31" t="s">
        <v>263</v>
      </c>
      <c r="Z267" s="31" t="s">
        <v>39</v>
      </c>
      <c r="AA267" s="31" t="s">
        <v>41</v>
      </c>
      <c r="AB267" s="31" t="s">
        <v>372</v>
      </c>
      <c r="AC267" s="31" t="s">
        <v>39</v>
      </c>
      <c r="AD267" s="31" t="s">
        <v>41</v>
      </c>
      <c r="AE267" s="31" t="s">
        <v>41</v>
      </c>
      <c r="AF267" s="31" t="s">
        <v>41</v>
      </c>
      <c r="AG267" s="31" t="s">
        <v>41</v>
      </c>
      <c r="AH267" s="31" t="s">
        <v>41</v>
      </c>
      <c r="AI267" s="31" t="s">
        <v>41</v>
      </c>
      <c r="AJ267" s="31" t="s">
        <v>41</v>
      </c>
      <c r="AK267" s="31" t="s">
        <v>41</v>
      </c>
      <c r="AL267" s="31" t="s">
        <v>41</v>
      </c>
      <c r="AM267" s="31" t="s">
        <v>41</v>
      </c>
      <c r="AN267" s="32" t="s">
        <v>999</v>
      </c>
      <c r="AO267" s="32" t="s">
        <v>345</v>
      </c>
      <c r="AP267" s="30">
        <v>43214.32403935185</v>
      </c>
      <c r="AQ267" s="30">
        <v>43214.341747685183</v>
      </c>
      <c r="AR267" s="30">
        <v>43214.804652777777</v>
      </c>
      <c r="AS267" s="92" t="s">
        <v>651</v>
      </c>
      <c r="AT267" s="155">
        <f>36+48.32/60</f>
        <v>36.80533333333333</v>
      </c>
      <c r="AU267" s="155">
        <f>-121-48.208/60</f>
        <v>-121.80346666666667</v>
      </c>
      <c r="AV267" s="153" t="s">
        <v>313</v>
      </c>
      <c r="AW267" s="153" t="s">
        <v>313</v>
      </c>
      <c r="AX267" s="30">
        <v>43215.361805555556</v>
      </c>
      <c r="AY267" s="107">
        <v>36.822209999999998</v>
      </c>
      <c r="AZ267" s="107">
        <v>-121.89496</v>
      </c>
      <c r="BA267" s="32" t="s">
        <v>1002</v>
      </c>
      <c r="BB267" s="49" t="s">
        <v>1352</v>
      </c>
      <c r="BC267" s="7"/>
      <c r="BD267" s="7"/>
      <c r="BE267" s="7"/>
      <c r="BF267" s="7"/>
      <c r="BG267" s="7"/>
    </row>
    <row r="268" spans="1:59">
      <c r="A268" s="55" t="str">
        <f>HYPERLINK("tag_data/Quicklook/mn180424-30Quicklook.jpg","mn180424-30")</f>
        <v>mn180424-30</v>
      </c>
      <c r="B268" s="26" t="s">
        <v>271</v>
      </c>
      <c r="C268" s="46" t="str">
        <f t="shared" si="73"/>
        <v>Monterey</v>
      </c>
      <c r="D268" s="64" t="s">
        <v>465</v>
      </c>
      <c r="E268" s="61" t="s">
        <v>466</v>
      </c>
      <c r="F268" s="85">
        <v>-7</v>
      </c>
      <c r="G268" s="60" t="s">
        <v>455</v>
      </c>
      <c r="H268" s="31" t="s">
        <v>39</v>
      </c>
      <c r="I268" s="72" t="str">
        <f>HYPERLINK("tag_data/mn180424-30 (Monterey)","Link")</f>
        <v>Link</v>
      </c>
      <c r="J268" s="46" t="str">
        <f>HYPERLINK("tag_data_raw/Monterey/2018/mn180424-30","Link")</f>
        <v>Link</v>
      </c>
      <c r="K268" s="72" t="str">
        <f>HYPERLINK("tag_data/mn180424-30 (Monterey)/Pics&amp;Vids","Link")</f>
        <v>Link</v>
      </c>
      <c r="L268" s="54" t="str">
        <f>HYPERLINK("location data/Monterey/2018/Pics&amp;Vids/04.24/GOPRO mn180424-30 deployment.MP4","Link")</f>
        <v>Link</v>
      </c>
      <c r="M268" s="41" t="s">
        <v>263</v>
      </c>
      <c r="N268" s="54" t="str">
        <f>HYPERLINK("location data/Monterey/2018/NoteSheets180424.xlsx","Link")</f>
        <v>Link</v>
      </c>
      <c r="O268" s="54" t="str">
        <f>HYPERLINK("https://happywhale.com/encounter/33691;enc=33691","U")</f>
        <v>U</v>
      </c>
      <c r="P268" s="33" t="s">
        <v>854</v>
      </c>
      <c r="Q268" s="31">
        <v>30</v>
      </c>
      <c r="R268" s="32" t="s">
        <v>306</v>
      </c>
      <c r="S268" s="32" t="str">
        <f>IF(OR(Q268&lt;39,Q268=50,Q268=51,AND(OR(Q268=46,Q268=47),AQ268&gt;43313)),"Cam Mic",IF(AND(Q268&lt;45,AQ268&lt;42958),"Dolphin Ear",IF(AND(Q268&gt;44,NOT(OR(Q268=46,Q268=47,Q268=50,Q268=51))),"HTI","None")))</f>
        <v>Cam Mic</v>
      </c>
      <c r="T268" s="32" t="s">
        <v>38</v>
      </c>
      <c r="U268" s="17">
        <f t="shared" si="66"/>
        <v>0.19451388888410293</v>
      </c>
      <c r="V268" s="17">
        <f t="shared" si="72"/>
        <v>0.19451388888410293</v>
      </c>
      <c r="W268" s="56">
        <v>7.2974537037037032E-2</v>
      </c>
      <c r="X268" s="31">
        <v>0</v>
      </c>
      <c r="Y268" s="42"/>
      <c r="Z268" s="31" t="s">
        <v>39</v>
      </c>
      <c r="AA268" s="31" t="s">
        <v>41</v>
      </c>
      <c r="AB268" s="31" t="s">
        <v>372</v>
      </c>
      <c r="AC268" s="31" t="s">
        <v>39</v>
      </c>
      <c r="AD268" s="31" t="s">
        <v>41</v>
      </c>
      <c r="AE268" s="31" t="s">
        <v>266</v>
      </c>
      <c r="AF268" s="31" t="s">
        <v>41</v>
      </c>
      <c r="AG268" s="31" t="s">
        <v>41</v>
      </c>
      <c r="AH268" s="31" t="s">
        <v>41</v>
      </c>
      <c r="AI268" s="31" t="s">
        <v>39</v>
      </c>
      <c r="AJ268" s="31" t="s">
        <v>41</v>
      </c>
      <c r="AK268" s="31" t="s">
        <v>41</v>
      </c>
      <c r="AL268" s="31" t="s">
        <v>39</v>
      </c>
      <c r="AM268" s="33" t="s">
        <v>862</v>
      </c>
      <c r="AN268" s="32" t="s">
        <v>627</v>
      </c>
      <c r="AO268" s="32" t="s">
        <v>345</v>
      </c>
      <c r="AP268" s="30">
        <v>43214.313784722224</v>
      </c>
      <c r="AQ268" s="30">
        <v>43214.477199074077</v>
      </c>
      <c r="AR268" s="30">
        <v>43214.671712962961</v>
      </c>
      <c r="AS268" s="92" t="s">
        <v>651</v>
      </c>
      <c r="AT268" s="155">
        <f>36+48.23/60</f>
        <v>36.80383333333333</v>
      </c>
      <c r="AU268" s="155">
        <f>-121-47.82/60</f>
        <v>-121.797</v>
      </c>
      <c r="AV268" s="153" t="s">
        <v>313</v>
      </c>
      <c r="AW268" s="153" t="s">
        <v>341</v>
      </c>
      <c r="AX268" s="30">
        <v>43215.309027777781</v>
      </c>
      <c r="AY268" s="107">
        <v>36.808199999999999</v>
      </c>
      <c r="AZ268" s="107">
        <v>-121.7898</v>
      </c>
      <c r="BA268" s="32" t="s">
        <v>868</v>
      </c>
      <c r="BB268" s="49"/>
      <c r="BC268" s="7"/>
      <c r="BD268" s="7"/>
      <c r="BE268" s="7"/>
      <c r="BF268" s="7"/>
      <c r="BG268" s="7"/>
    </row>
    <row r="269" spans="1:59">
      <c r="A269" s="7" t="s">
        <v>853</v>
      </c>
      <c r="B269" s="26" t="s">
        <v>271</v>
      </c>
      <c r="C269" s="193" t="str">
        <f t="shared" si="73"/>
        <v>Monterey</v>
      </c>
      <c r="D269" s="64" t="s">
        <v>465</v>
      </c>
      <c r="E269" s="61" t="s">
        <v>466</v>
      </c>
      <c r="F269" s="85">
        <v>-7</v>
      </c>
      <c r="G269" s="194" t="s">
        <v>455</v>
      </c>
      <c r="H269" s="31" t="s">
        <v>786</v>
      </c>
      <c r="I269" s="31" t="s">
        <v>786</v>
      </c>
      <c r="J269" s="31" t="s">
        <v>786</v>
      </c>
      <c r="K269" s="31" t="s">
        <v>786</v>
      </c>
      <c r="L269" s="195" t="str">
        <f>HYPERLINK("location data/Monterey/2018/Pics&amp;Vids/04.25/GOPRO mn180425-21 deployment.MP4","Link")</f>
        <v>Link</v>
      </c>
      <c r="M269" s="41" t="s">
        <v>263</v>
      </c>
      <c r="N269" s="195" t="str">
        <f>HYPERLINK("location data/Monterey/2018/NoteSheets180425.xlsx","Link")</f>
        <v>Link</v>
      </c>
      <c r="O269" s="196" t="str">
        <f>HYPERLINK("https://happywhale.com/individual/14866;enc=33693","Y-knot (MN0501195)")</f>
        <v>Y-knot (MN0501195)</v>
      </c>
      <c r="P269" s="33" t="s">
        <v>856</v>
      </c>
      <c r="Q269" s="31">
        <v>21</v>
      </c>
      <c r="R269" s="32" t="s">
        <v>264</v>
      </c>
      <c r="S269" s="32" t="s">
        <v>1393</v>
      </c>
      <c r="T269" s="32" t="s">
        <v>263</v>
      </c>
      <c r="U269" s="31" t="s">
        <v>786</v>
      </c>
      <c r="V269" s="31" t="s">
        <v>786</v>
      </c>
      <c r="W269" s="56" t="s">
        <v>346</v>
      </c>
      <c r="X269" s="31" t="s">
        <v>786</v>
      </c>
      <c r="Y269" s="31" t="s">
        <v>786</v>
      </c>
      <c r="Z269" s="31" t="s">
        <v>786</v>
      </c>
      <c r="AA269" s="31" t="s">
        <v>786</v>
      </c>
      <c r="AB269" s="31" t="s">
        <v>786</v>
      </c>
      <c r="AC269" s="31" t="s">
        <v>39</v>
      </c>
      <c r="AD269" s="31" t="s">
        <v>786</v>
      </c>
      <c r="AE269" s="31" t="s">
        <v>786</v>
      </c>
      <c r="AF269" s="31" t="s">
        <v>786</v>
      </c>
      <c r="AG269" s="31" t="s">
        <v>786</v>
      </c>
      <c r="AH269" s="31" t="s">
        <v>786</v>
      </c>
      <c r="AI269" s="31" t="s">
        <v>786</v>
      </c>
      <c r="AJ269" s="31" t="s">
        <v>786</v>
      </c>
      <c r="AK269" s="31" t="s">
        <v>786</v>
      </c>
      <c r="AL269" s="31" t="s">
        <v>786</v>
      </c>
      <c r="AM269" s="31" t="s">
        <v>786</v>
      </c>
      <c r="AN269" s="31" t="s">
        <v>786</v>
      </c>
      <c r="AO269" s="32" t="s">
        <v>345</v>
      </c>
      <c r="AP269" s="30"/>
      <c r="AQ269" s="30">
        <v>43214.335416666669</v>
      </c>
      <c r="AR269" s="30"/>
      <c r="AS269" s="92"/>
      <c r="AT269" s="155">
        <v>36.802999999999997</v>
      </c>
      <c r="AU269" s="155">
        <v>-121.7979</v>
      </c>
      <c r="AV269" s="153" t="s">
        <v>313</v>
      </c>
      <c r="AW269" s="106" t="s">
        <v>796</v>
      </c>
      <c r="AX269" s="30" t="s">
        <v>1000</v>
      </c>
      <c r="AY269" s="107"/>
      <c r="AZ269" s="107"/>
      <c r="BA269" s="32" t="s">
        <v>1001</v>
      </c>
      <c r="BB269" s="32"/>
      <c r="BC269" s="7"/>
      <c r="BD269" s="7"/>
      <c r="BE269" s="7"/>
      <c r="BF269" s="7"/>
      <c r="BG269" s="7"/>
    </row>
    <row r="270" spans="1:59">
      <c r="A270" s="55" t="str">
        <f>HYPERLINK("tag_data/Quicklook/mn180425-23Quicklook.jpg","mn180425-23")</f>
        <v>mn180425-23</v>
      </c>
      <c r="B270" s="26" t="s">
        <v>271</v>
      </c>
      <c r="C270" s="46" t="str">
        <f t="shared" si="73"/>
        <v>Monterey</v>
      </c>
      <c r="D270" s="64" t="s">
        <v>465</v>
      </c>
      <c r="E270" s="61" t="s">
        <v>466</v>
      </c>
      <c r="F270" s="85">
        <v>-7</v>
      </c>
      <c r="G270" s="60" t="s">
        <v>455</v>
      </c>
      <c r="H270" s="31" t="s">
        <v>39</v>
      </c>
      <c r="I270" s="72" t="str">
        <f>HYPERLINK("tag_data/mn180425-23 (Monterey)","Link")</f>
        <v>Link</v>
      </c>
      <c r="J270" s="46" t="str">
        <f>HYPERLINK("tag_data_raw/Monterey/2018/mn180425-23","Link")</f>
        <v>Link</v>
      </c>
      <c r="K270" s="72" t="str">
        <f>HYPERLINK("tag_data/mn180425-23 (Monterey)/Pics&amp;Vids","Link")</f>
        <v>Link</v>
      </c>
      <c r="L270" s="54" t="str">
        <f>HYPERLINK("location data/Monterey/2018/Pics&amp;Vids/04.25/GOPRO mn180425-23 deployment.MP4","Link")</f>
        <v>Link</v>
      </c>
      <c r="M270" s="41" t="s">
        <v>263</v>
      </c>
      <c r="N270" s="54" t="str">
        <f>HYPERLINK("location data/Monterey/2018/NoteSheets180425.xlsx","Link")</f>
        <v>Link</v>
      </c>
      <c r="O270" s="54" t="str">
        <f>HYPERLINK("https://happywhale.com/individual/14895;enc=33694","MN0501199")</f>
        <v>MN0501199</v>
      </c>
      <c r="P270" s="33" t="s">
        <v>857</v>
      </c>
      <c r="Q270" s="31" t="str">
        <f>LEFT(RIGHT(A270,LEN(A270)-FIND("-",A270)),MIN(SEARCH({"a","b","c","d","e","f","g","h","i","j","k","l","m","n","o","p","q","r","s","t","u","v","w","x","y","z"},RIGHT(A270,LEN(A270)-FIND("-",A270))&amp;"abcdefghijklmnopqrstuvwxyz"))-1)</f>
        <v>23</v>
      </c>
      <c r="R270" s="32" t="s">
        <v>264</v>
      </c>
      <c r="S270" s="32" t="s">
        <v>1393</v>
      </c>
      <c r="T270" s="32" t="s">
        <v>263</v>
      </c>
      <c r="U270" s="17">
        <f t="shared" ref="U270:U282" si="74">AR270-AQ270</f>
        <v>0.34267361111415084</v>
      </c>
      <c r="V270" s="17">
        <f t="shared" ref="V270:V276" si="75">MIN(AR270,AS270)-MAX(AP270,AQ270)</f>
        <v>0.34267361111415084</v>
      </c>
      <c r="W270" s="56" t="s">
        <v>346</v>
      </c>
      <c r="X270" s="72" t="str">
        <f>HYPERLINK("tag_data/mn180425-23 (Monterey)/mn180425-23 Map.bmp","285")</f>
        <v>285</v>
      </c>
      <c r="Y270" s="42"/>
      <c r="Z270" s="31" t="s">
        <v>39</v>
      </c>
      <c r="AA270" s="31" t="s">
        <v>41</v>
      </c>
      <c r="AB270" s="33" t="s">
        <v>1040</v>
      </c>
      <c r="AC270" s="31" t="s">
        <v>39</v>
      </c>
      <c r="AD270" s="31" t="s">
        <v>41</v>
      </c>
      <c r="AE270" s="31" t="s">
        <v>41</v>
      </c>
      <c r="AF270" s="31" t="s">
        <v>41</v>
      </c>
      <c r="AG270" s="31" t="s">
        <v>41</v>
      </c>
      <c r="AH270" s="31" t="s">
        <v>41</v>
      </c>
      <c r="AI270" s="31" t="s">
        <v>41</v>
      </c>
      <c r="AJ270" s="31" t="s">
        <v>41</v>
      </c>
      <c r="AK270" s="31" t="s">
        <v>41</v>
      </c>
      <c r="AL270" s="31" t="s">
        <v>41</v>
      </c>
      <c r="AM270" s="31" t="s">
        <v>41</v>
      </c>
      <c r="AN270" s="32" t="s">
        <v>881</v>
      </c>
      <c r="AO270" s="32" t="s">
        <v>861</v>
      </c>
      <c r="AP270" s="30">
        <v>43215.397835648146</v>
      </c>
      <c r="AQ270" s="30">
        <v>43215.409050925926</v>
      </c>
      <c r="AR270" s="30">
        <v>43215.75172453704</v>
      </c>
      <c r="AS270" s="92" t="s">
        <v>651</v>
      </c>
      <c r="AT270" s="166">
        <v>36.754420000000003</v>
      </c>
      <c r="AU270" s="166">
        <v>-121.88177</v>
      </c>
      <c r="AV270" s="153" t="s">
        <v>313</v>
      </c>
      <c r="AW270" s="106" t="s">
        <v>313</v>
      </c>
      <c r="AX270" s="30">
        <v>43216.646932870368</v>
      </c>
      <c r="AY270" s="107">
        <v>36.705599999999997</v>
      </c>
      <c r="AZ270" s="107">
        <v>-121.84180000000001</v>
      </c>
      <c r="BA270" s="32" t="s">
        <v>880</v>
      </c>
      <c r="BB270" s="49"/>
      <c r="BC270" s="7"/>
      <c r="BD270" s="7"/>
      <c r="BE270" s="7"/>
      <c r="BF270" s="7"/>
      <c r="BG270" s="7"/>
    </row>
    <row r="271" spans="1:59">
      <c r="A271" s="55" t="str">
        <f>HYPERLINK("tag_data/Quicklook/mn180425-40Quicklook.jpg","mn180425-40")</f>
        <v>mn180425-40</v>
      </c>
      <c r="B271" s="26" t="s">
        <v>271</v>
      </c>
      <c r="C271" s="46" t="str">
        <f t="shared" si="73"/>
        <v>Monterey</v>
      </c>
      <c r="D271" s="64" t="s">
        <v>465</v>
      </c>
      <c r="E271" s="61" t="s">
        <v>466</v>
      </c>
      <c r="F271" s="85">
        <v>-7</v>
      </c>
      <c r="G271" s="60" t="s">
        <v>455</v>
      </c>
      <c r="H271" s="31" t="s">
        <v>39</v>
      </c>
      <c r="I271" s="72" t="str">
        <f>HYPERLINK("tag_data/mn180425-40 (Monterey)","Link")</f>
        <v>Link</v>
      </c>
      <c r="J271" s="46" t="str">
        <f>HYPERLINK("tag_data_raw/Monterey/2018/mn180425-40","Link")</f>
        <v>Link</v>
      </c>
      <c r="K271" s="72" t="str">
        <f>HYPERLINK("tag_data/mn180425-40 (Monterey)/Pics&amp;Vids","Link")</f>
        <v>Link</v>
      </c>
      <c r="L271" s="54" t="str">
        <f>HYPERLINK("location data/Monterey/2018/Pics&amp;Vids/04.25/GOPRO mn180425-40 deployment.MP4","Link")</f>
        <v>Link</v>
      </c>
      <c r="M271" s="41" t="s">
        <v>263</v>
      </c>
      <c r="N271" s="54" t="str">
        <f>HYPERLINK("location data/Monterey/2018/NoteSheets180425.xlsx","Link")</f>
        <v>Link</v>
      </c>
      <c r="O271" s="79" t="str">
        <f>HYPERLINK("https://happywhale.com/individual/4906;enc=33692","CRC-16881 (MN0500862)")</f>
        <v>CRC-16881 (MN0500862)</v>
      </c>
      <c r="P271" s="33" t="s">
        <v>858</v>
      </c>
      <c r="Q271" s="31">
        <f>LEFT(RIGHT(A271,LEN(A271)-FIND("-",A271)),MIN(SEARCH({"a","b","c","d","e","f","g","h","i","j","k","l","m","n","o","p","q","r","s","t","u","v","w","x","y","z"},RIGHT(A271,LEN(A271)-FIND("-",A271))&amp;"abcdefghijklmnopqrstuvwxyz"))-1)+1-1</f>
        <v>40</v>
      </c>
      <c r="R271" s="32" t="str">
        <f>IF(AND(Q271+1&gt;40,Q271+1&lt;=50),"Wireless","")</f>
        <v>Wireless</v>
      </c>
      <c r="S271" s="32" t="str">
        <f>IF(OR(Q271&lt;39,Q271=50,Q271=51,AND(OR(Q271=46,Q271=47),AQ271&gt;43313)),"Cam Mic",IF(AND(Q271&lt;45,AQ271&lt;42958),"Dolphin Ear",IF(AND(Q271&gt;44,NOT(OR(Q271=46,Q271=47,Q271=50,Q271=51))),"HTI","None")))</f>
        <v>None</v>
      </c>
      <c r="T271" s="32" t="s">
        <v>63</v>
      </c>
      <c r="U271" s="17">
        <f t="shared" si="74"/>
        <v>0.27737268518103519</v>
      </c>
      <c r="V271" s="17">
        <f t="shared" si="75"/>
        <v>0.27737268518103519</v>
      </c>
      <c r="W271" s="56">
        <v>0.26905092592592594</v>
      </c>
      <c r="X271" s="31">
        <v>0</v>
      </c>
      <c r="Y271" s="42"/>
      <c r="Z271" s="31" t="s">
        <v>39</v>
      </c>
      <c r="AA271" s="31" t="s">
        <v>39</v>
      </c>
      <c r="AB271" s="33" t="s">
        <v>1040</v>
      </c>
      <c r="AC271" s="31" t="s">
        <v>39</v>
      </c>
      <c r="AD271" s="31" t="s">
        <v>39</v>
      </c>
      <c r="AE271" s="31" t="s">
        <v>41</v>
      </c>
      <c r="AF271" s="31" t="s">
        <v>39</v>
      </c>
      <c r="AG271" s="31" t="s">
        <v>266</v>
      </c>
      <c r="AH271" s="31" t="s">
        <v>41</v>
      </c>
      <c r="AI271" s="31" t="s">
        <v>39</v>
      </c>
      <c r="AJ271" s="31" t="s">
        <v>39</v>
      </c>
      <c r="AK271" s="31" t="s">
        <v>41</v>
      </c>
      <c r="AL271" s="31" t="s">
        <v>41</v>
      </c>
      <c r="AM271" s="31" t="s">
        <v>870</v>
      </c>
      <c r="AN271" s="32" t="s">
        <v>871</v>
      </c>
      <c r="AO271" s="32" t="s">
        <v>861</v>
      </c>
      <c r="AP271" s="30">
        <v>43215.375428240739</v>
      </c>
      <c r="AQ271" s="30">
        <v>43215.393935185188</v>
      </c>
      <c r="AR271" s="30">
        <v>43215.671307870369</v>
      </c>
      <c r="AS271" s="92" t="s">
        <v>651</v>
      </c>
      <c r="AT271" s="166">
        <v>36.744459999999997</v>
      </c>
      <c r="AU271" s="166">
        <v>-121.89673000000001</v>
      </c>
      <c r="AV271" s="153" t="s">
        <v>313</v>
      </c>
      <c r="AW271" s="106" t="s">
        <v>313</v>
      </c>
      <c r="AX271" s="30">
        <v>43216.633993055555</v>
      </c>
      <c r="AY271" s="107">
        <v>36.736699999999999</v>
      </c>
      <c r="AZ271" s="107">
        <v>-121.8907</v>
      </c>
      <c r="BA271" s="32" t="s">
        <v>869</v>
      </c>
      <c r="BB271" s="49"/>
      <c r="BC271" s="7"/>
      <c r="BD271" s="7"/>
      <c r="BE271" s="7"/>
      <c r="BF271" s="7"/>
      <c r="BG271" s="7"/>
    </row>
    <row r="272" spans="1:59">
      <c r="A272" s="55" t="str">
        <f>HYPERLINK("tag_data/Quicklook/mn180607-42Quicklook.jpg","mn180607-42")</f>
        <v>mn180607-42</v>
      </c>
      <c r="B272" s="26" t="str">
        <f t="shared" ref="B272:B277" si="76">LEFT(A272,2)</f>
        <v>mn</v>
      </c>
      <c r="C272" s="46" t="str">
        <f t="shared" si="73"/>
        <v>Monterey</v>
      </c>
      <c r="D272" s="64" t="s">
        <v>465</v>
      </c>
      <c r="E272" s="61" t="s">
        <v>466</v>
      </c>
      <c r="F272" s="85">
        <v>-7</v>
      </c>
      <c r="G272" s="60" t="s">
        <v>455</v>
      </c>
      <c r="H272" s="31" t="s">
        <v>39</v>
      </c>
      <c r="I272" s="72" t="str">
        <f>HYPERLINK("tag_data/mn180607-42 (Monterey)","Link")</f>
        <v>Link</v>
      </c>
      <c r="J272" s="46" t="str">
        <f>HYPERLINK("tag_data_raw/Monterey/2018/mn180607-42","Link")</f>
        <v>Link</v>
      </c>
      <c r="K272" s="72" t="str">
        <f>HYPERLINK("tag_data/mn180607-42 (Monterey)/Pics&amp;Vids","Link")</f>
        <v>Link</v>
      </c>
      <c r="L272" s="54" t="str">
        <f>HYPERLINK("location data/Monterey/2018/Pics&amp;Vids/06.07/PICs from Paul 6-07-08-18/DSC_2053 - Copy.JPG","Pic")</f>
        <v>Pic</v>
      </c>
      <c r="M272" s="41" t="s">
        <v>263</v>
      </c>
      <c r="N272" s="54" t="str">
        <f>HYPERLINK("location data/Monterey/2018/20180607-MUS.mdb","Link")</f>
        <v>Link</v>
      </c>
      <c r="O272" s="54" t="str">
        <f>HYPERLINK("https://happywhale.com/user/622;enc=35170","U")</f>
        <v>U</v>
      </c>
      <c r="P272" s="31" t="s">
        <v>41</v>
      </c>
      <c r="Q272" s="31">
        <f>LEFT(RIGHT(A272,LEN(A272)-FIND("-",A272)),MIN(SEARCH({"a","b","c","d","e","f","g","h","i","j","k","l","m","n","o","p","q","r","s","t","u","v","w","x","y","z"},RIGHT(A272,LEN(A272)-FIND("-",A272))&amp;"abcdefghijklmnopqrstuvwxyz"))-1)+1-1</f>
        <v>42</v>
      </c>
      <c r="R272" s="32" t="str">
        <f>IF(AND(Q272+1&gt;40,Q272+1&lt;=50),"Wireless","")</f>
        <v>Wireless</v>
      </c>
      <c r="S272" s="32" t="str">
        <f>IF(OR(Q272&lt;39,Q272=50,Q272=51,AND(OR(Q272=46,Q272=47),AQ272&gt;43313)),"Cam Mic",IF(AND(Q272&lt;45,AQ272&lt;42958),"Dolphin Ear",IF(AND(Q272&gt;44,NOT(OR(Q272=46,Q272=47,Q272=50,Q272=51))),"HTI","None")))</f>
        <v>None</v>
      </c>
      <c r="T272" s="32" t="s">
        <v>38</v>
      </c>
      <c r="U272" s="17">
        <f t="shared" si="74"/>
        <v>0.24449074074072996</v>
      </c>
      <c r="V272" s="17">
        <f t="shared" si="75"/>
        <v>0.24449074074072996</v>
      </c>
      <c r="W272" s="56">
        <v>0.19759259259259257</v>
      </c>
      <c r="X272" s="46" t="str">
        <f>HYPERLINK("tag_data/mn180607-42 (Monterey)/mn180607-42 Map.bmp","6")</f>
        <v>6</v>
      </c>
      <c r="Y272" s="42"/>
      <c r="Z272" s="31" t="s">
        <v>39</v>
      </c>
      <c r="AA272" s="31" t="s">
        <v>39</v>
      </c>
      <c r="AB272" s="31" t="s">
        <v>372</v>
      </c>
      <c r="AC272" s="31" t="s">
        <v>39</v>
      </c>
      <c r="AD272" s="31" t="s">
        <v>41</v>
      </c>
      <c r="AE272" s="31" t="s">
        <v>41</v>
      </c>
      <c r="AF272" s="31" t="s">
        <v>39</v>
      </c>
      <c r="AG272" s="31" t="s">
        <v>41</v>
      </c>
      <c r="AH272" s="31" t="s">
        <v>41</v>
      </c>
      <c r="AI272" s="31" t="s">
        <v>39</v>
      </c>
      <c r="AJ272" s="31" t="s">
        <v>39</v>
      </c>
      <c r="AK272" s="31" t="s">
        <v>41</v>
      </c>
      <c r="AL272" s="31" t="s">
        <v>41</v>
      </c>
      <c r="AM272" s="31" t="s">
        <v>476</v>
      </c>
      <c r="AN272" s="32" t="s">
        <v>998</v>
      </c>
      <c r="AO272" s="32" t="s">
        <v>345</v>
      </c>
      <c r="AP272" s="30">
        <v>43258.32880787037</v>
      </c>
      <c r="AQ272" s="30">
        <v>43258.336863425924</v>
      </c>
      <c r="AR272" s="30">
        <v>43258.581354166665</v>
      </c>
      <c r="AS272" s="92" t="s">
        <v>651</v>
      </c>
      <c r="AT272" s="155">
        <v>36.7988</v>
      </c>
      <c r="AU272" s="155">
        <v>-121.8186</v>
      </c>
      <c r="AV272" s="153" t="s">
        <v>313</v>
      </c>
      <c r="AW272" s="106" t="s">
        <v>312</v>
      </c>
      <c r="AX272" s="30">
        <v>43259.432638888888</v>
      </c>
      <c r="AY272" s="107">
        <f>36+51.718/60</f>
        <v>36.861966666666667</v>
      </c>
      <c r="AZ272" s="107">
        <f>-121-51.823/60</f>
        <v>-121.86371666666666</v>
      </c>
      <c r="BA272" s="32" t="s">
        <v>969</v>
      </c>
      <c r="BB272" s="49"/>
      <c r="BC272" s="7"/>
      <c r="BD272" s="7"/>
      <c r="BE272" s="7"/>
      <c r="BF272" s="7"/>
      <c r="BG272" s="7"/>
    </row>
    <row r="273" spans="1:59">
      <c r="A273" s="55" t="str">
        <f>HYPERLINK("tag_data/Quicklook/mn180607-44Quicklook.jpg","mn180607-44")</f>
        <v>mn180607-44</v>
      </c>
      <c r="B273" s="26" t="str">
        <f t="shared" si="76"/>
        <v>mn</v>
      </c>
      <c r="C273" s="46" t="str">
        <f t="shared" si="73"/>
        <v>Monterey</v>
      </c>
      <c r="D273" s="64" t="s">
        <v>465</v>
      </c>
      <c r="E273" s="61" t="s">
        <v>466</v>
      </c>
      <c r="F273" s="85">
        <v>-7</v>
      </c>
      <c r="G273" s="60" t="s">
        <v>455</v>
      </c>
      <c r="H273" s="31" t="s">
        <v>39</v>
      </c>
      <c r="I273" s="72" t="str">
        <f>HYPERLINK("tag_data/mn180607-44 (Monterey)","Link")</f>
        <v>Link</v>
      </c>
      <c r="J273" s="46" t="str">
        <f>HYPERLINK("tag_data_raw/Monterey/2018/mn180607-44","Link")</f>
        <v>Link</v>
      </c>
      <c r="K273" s="72" t="str">
        <f>HYPERLINK("tag_data/mn180607-44 (Monterey)/Pics&amp;Vids","Link")</f>
        <v>Link</v>
      </c>
      <c r="L273" s="54" t="str">
        <f>HYPERLINK("location data/Monterey/2018/Pics&amp;Vids/06.07/Tag 4 on (06.07-44).MP4","Link")</f>
        <v>Link</v>
      </c>
      <c r="M273" s="41" t="s">
        <v>263</v>
      </c>
      <c r="N273" s="54" t="str">
        <f>HYPERLINK("location data/Monterey/2018/20180607-MUS.mdb","Link")</f>
        <v>Link</v>
      </c>
      <c r="O273" s="54" t="str">
        <f>HYPERLINK("https://www.happywhale.com/individual/4513;enc=35169","CRC-12454")</f>
        <v>CRC-12454</v>
      </c>
      <c r="P273" s="31" t="s">
        <v>41</v>
      </c>
      <c r="Q273" s="31">
        <f>LEFT(RIGHT(A273,LEN(A273)-FIND("-",A273)),MIN(SEARCH({"a","b","c","d","e","f","g","h","i","j","k","l","m","n","o","p","q","r","s","t","u","v","w","x","y","z"},RIGHT(A273,LEN(A273)-FIND("-",A273))&amp;"abcdefghijklmnopqrstuvwxyz"))-1)+1-1</f>
        <v>44</v>
      </c>
      <c r="R273" s="32" t="str">
        <f>IF(AND(Q273+1&gt;40,Q273+1&lt;=50),"Wireless","")</f>
        <v>Wireless</v>
      </c>
      <c r="S273" s="32" t="str">
        <f>IF(OR(Q273&lt;39,Q273=50,Q273=51,AND(OR(Q273=46,Q273=47),AQ273&gt;43313)),"Cam Mic",IF(AND(Q273&lt;45,AQ273&lt;42958),"Dolphin Ear",IF(AND(Q273&gt;44,NOT(OR(Q273=46,Q273=47,Q273=50,Q273=51))),"HTI","None")))</f>
        <v>None</v>
      </c>
      <c r="T273" s="32" t="s">
        <v>38</v>
      </c>
      <c r="U273" s="17">
        <f t="shared" si="74"/>
        <v>0.12542824073898373</v>
      </c>
      <c r="V273" s="17">
        <f t="shared" si="75"/>
        <v>0.12542824073898373</v>
      </c>
      <c r="W273" s="56">
        <v>0.12406250000000001</v>
      </c>
      <c r="X273" s="46" t="str">
        <f>HYPERLINK("tag_data/mn180607-44 (Monterey)/mn180607-44 Map.bmp","72")</f>
        <v>72</v>
      </c>
      <c r="Y273" s="42"/>
      <c r="Z273" s="31" t="s">
        <v>39</v>
      </c>
      <c r="AA273" s="31" t="s">
        <v>39</v>
      </c>
      <c r="AB273" s="31" t="s">
        <v>372</v>
      </c>
      <c r="AC273" s="31" t="s">
        <v>39</v>
      </c>
      <c r="AD273" s="31" t="s">
        <v>39</v>
      </c>
      <c r="AE273" s="31" t="s">
        <v>41</v>
      </c>
      <c r="AF273" s="31" t="s">
        <v>39</v>
      </c>
      <c r="AG273" s="31" t="s">
        <v>39</v>
      </c>
      <c r="AH273" s="31" t="s">
        <v>41</v>
      </c>
      <c r="AI273" s="31" t="s">
        <v>39</v>
      </c>
      <c r="AJ273" s="31" t="s">
        <v>41</v>
      </c>
      <c r="AK273" s="31" t="s">
        <v>41</v>
      </c>
      <c r="AL273" s="31" t="s">
        <v>39</v>
      </c>
      <c r="AM273" s="31" t="s">
        <v>476</v>
      </c>
      <c r="AN273" s="32" t="s">
        <v>974</v>
      </c>
      <c r="AO273" s="32" t="s">
        <v>345</v>
      </c>
      <c r="AP273" s="30">
        <v>43258.341041666667</v>
      </c>
      <c r="AQ273" s="30">
        <v>43258.365439814814</v>
      </c>
      <c r="AR273" s="30">
        <v>43258.490868055553</v>
      </c>
      <c r="AS273" s="92" t="s">
        <v>651</v>
      </c>
      <c r="AT273" s="155">
        <v>36.800899999999999</v>
      </c>
      <c r="AU273" s="155">
        <v>-121.8182</v>
      </c>
      <c r="AV273" s="153" t="s">
        <v>313</v>
      </c>
      <c r="AW273" s="106" t="s">
        <v>954</v>
      </c>
      <c r="AX273" s="30">
        <v>43259.577789351853</v>
      </c>
      <c r="AY273" s="107">
        <v>36.813430506000003</v>
      </c>
      <c r="AZ273" s="107">
        <v>-121.765792891</v>
      </c>
      <c r="BA273" s="32" t="s">
        <v>1097</v>
      </c>
      <c r="BB273" s="49" t="s">
        <v>1353</v>
      </c>
      <c r="BC273" s="7"/>
      <c r="BD273" s="7"/>
      <c r="BE273" s="7"/>
      <c r="BF273" s="7"/>
      <c r="BG273" s="7"/>
    </row>
    <row r="274" spans="1:59">
      <c r="A274" s="55" t="str">
        <f>HYPERLINK("tag_data/Quicklook/mn180607-45Quicklook.jpg","mn180607-45")</f>
        <v>mn180607-45</v>
      </c>
      <c r="B274" s="26" t="str">
        <f t="shared" si="76"/>
        <v>mn</v>
      </c>
      <c r="C274" s="46" t="str">
        <f t="shared" si="73"/>
        <v>Monterey</v>
      </c>
      <c r="D274" s="64" t="s">
        <v>465</v>
      </c>
      <c r="E274" s="61" t="s">
        <v>466</v>
      </c>
      <c r="F274" s="85">
        <v>-7</v>
      </c>
      <c r="G274" s="60" t="s">
        <v>455</v>
      </c>
      <c r="H274" s="31" t="s">
        <v>39</v>
      </c>
      <c r="I274" s="72" t="str">
        <f>HYPERLINK("tag_data/mn180607-45 (Monterey)","Link")</f>
        <v>Link</v>
      </c>
      <c r="J274" s="46" t="str">
        <f>HYPERLINK("tag_data_raw/Monterey/2018/mn180607-45","Link")</f>
        <v>Link</v>
      </c>
      <c r="K274" s="72" t="str">
        <f>HYPERLINK("tag_data/mn180607-45 (Monterey)/Pics&amp;Vids","Link")</f>
        <v>Link</v>
      </c>
      <c r="L274" s="54" t="str">
        <f>HYPERLINK("location data/Monterey/2018/Pics&amp;Vids/06.07/Tag 2 on (06.07-45).MP4","Link")</f>
        <v>Link</v>
      </c>
      <c r="M274" s="41" t="s">
        <v>263</v>
      </c>
      <c r="N274" s="54" t="str">
        <f>HYPERLINK("location data/Monterey/2018/20180607-MUS.mdb","Link")</f>
        <v>Link</v>
      </c>
      <c r="O274" s="81" t="s">
        <v>1457</v>
      </c>
      <c r="P274" s="33" t="s">
        <v>958</v>
      </c>
      <c r="Q274" s="31">
        <f>LEFT(RIGHT(A274,LEN(A274)-FIND("-",A274)),MIN(SEARCH({"a","b","c","d","e","f","g","h","i","j","k","l","m","n","o","p","q","r","s","t","u","v","w","x","y","z"},RIGHT(A274,LEN(A274)-FIND("-",A274))&amp;"abcdefghijklmnopqrstuvwxyz"))-1)+1-1</f>
        <v>45</v>
      </c>
      <c r="R274" s="32" t="str">
        <f>IF(AND(Q274+1&gt;40,Q274+1&lt;=50),"Wireless","")</f>
        <v>Wireless</v>
      </c>
      <c r="S274" s="32" t="str">
        <f>IF(OR(Q274&lt;39,Q274=50,Q274=51,AND(OR(Q274=46,Q274=47),AQ274&gt;43313)),"Cam Mic",IF(AND(Q274&lt;45,AQ274&lt;42958),"Dolphin Ear",IF(AND(Q274&gt;44,NOT(OR(Q274=46,Q274=47,Q274=50,Q274=51))),"HTI","None")))</f>
        <v>HTI</v>
      </c>
      <c r="T274" s="32" t="s">
        <v>533</v>
      </c>
      <c r="U274" s="17">
        <f t="shared" si="74"/>
        <v>0.91092592592758592</v>
      </c>
      <c r="V274" s="17">
        <f t="shared" si="75"/>
        <v>0.91092592592758592</v>
      </c>
      <c r="W274" s="56">
        <v>0.27398148148148149</v>
      </c>
      <c r="X274" s="46" t="str">
        <f>HYPERLINK("tag_data/mn180607-45 (Monterey)/mn180607-45 Map.bmp","25")</f>
        <v>25</v>
      </c>
      <c r="Y274" s="42"/>
      <c r="Z274" s="31" t="s">
        <v>39</v>
      </c>
      <c r="AA274" s="31" t="s">
        <v>39</v>
      </c>
      <c r="AB274" s="31" t="s">
        <v>372</v>
      </c>
      <c r="AC274" s="31" t="s">
        <v>39</v>
      </c>
      <c r="AD274" s="31" t="s">
        <v>39</v>
      </c>
      <c r="AE274" s="31" t="s">
        <v>39</v>
      </c>
      <c r="AF274" s="31" t="s">
        <v>39</v>
      </c>
      <c r="AG274" s="33" t="s">
        <v>290</v>
      </c>
      <c r="AH274" s="31" t="s">
        <v>41</v>
      </c>
      <c r="AI274" s="31" t="s">
        <v>39</v>
      </c>
      <c r="AJ274" s="31" t="s">
        <v>39</v>
      </c>
      <c r="AK274" s="31" t="s">
        <v>41</v>
      </c>
      <c r="AL274" s="31" t="s">
        <v>39</v>
      </c>
      <c r="AM274" s="31" t="s">
        <v>476</v>
      </c>
      <c r="AN274" s="32" t="s">
        <v>994</v>
      </c>
      <c r="AO274" s="32" t="s">
        <v>345</v>
      </c>
      <c r="AP274" s="30">
        <v>43258.311736111114</v>
      </c>
      <c r="AQ274" s="30">
        <v>43258.327604166669</v>
      </c>
      <c r="AR274" s="30">
        <v>43259.238530092596</v>
      </c>
      <c r="AS274" s="92" t="s">
        <v>651</v>
      </c>
      <c r="AT274" s="155">
        <v>36.799500000000002</v>
      </c>
      <c r="AU274" s="155">
        <v>-121.81270000000001</v>
      </c>
      <c r="AV274" s="153" t="s">
        <v>313</v>
      </c>
      <c r="AW274" s="106" t="s">
        <v>312</v>
      </c>
      <c r="AX274" s="30">
        <v>43259.311111111114</v>
      </c>
      <c r="AY274" s="107">
        <f>36+48.479/60</f>
        <v>36.807983333333333</v>
      </c>
      <c r="AZ274" s="107">
        <f>-121-49.715/60</f>
        <v>-121.82858333333333</v>
      </c>
      <c r="BA274" s="32" t="s">
        <v>1016</v>
      </c>
      <c r="BB274" s="49"/>
      <c r="BC274" s="7"/>
      <c r="BD274" s="7"/>
      <c r="BE274" s="7"/>
      <c r="BF274" s="7"/>
      <c r="BG274" s="7"/>
    </row>
    <row r="275" spans="1:59">
      <c r="A275" s="173" t="s">
        <v>949</v>
      </c>
      <c r="B275" s="174" t="str">
        <f t="shared" si="76"/>
        <v>mn</v>
      </c>
      <c r="C275" s="175" t="str">
        <f t="shared" si="73"/>
        <v>Monterey</v>
      </c>
      <c r="D275" s="176" t="s">
        <v>951</v>
      </c>
      <c r="E275" s="177" t="s">
        <v>952</v>
      </c>
      <c r="F275" s="178">
        <v>-7</v>
      </c>
      <c r="G275" s="179" t="s">
        <v>953</v>
      </c>
      <c r="H275" s="174"/>
      <c r="I275" s="180"/>
      <c r="J275" s="180"/>
      <c r="K275" s="180"/>
      <c r="L275" s="181" t="str">
        <f>HYPERLINK("location data/Monterey/2018/Pics&amp;Vids/06.07/Tag 1 on (06.07-62).MP4","Link")</f>
        <v>Link</v>
      </c>
      <c r="M275" s="182" t="s">
        <v>263</v>
      </c>
      <c r="N275" s="181" t="str">
        <f>HYPERLINK("location data/Monterey/2018/20180607-MUS.mdb","Link")</f>
        <v>Link</v>
      </c>
      <c r="O275" s="79" t="str">
        <f>HYPERLINK("https://www.happywhale.com/individual/11431;enc=35132","CRC-16530 (MN0501468)")</f>
        <v>CRC-16530 (MN0501468)</v>
      </c>
      <c r="P275" s="183" t="s">
        <v>956</v>
      </c>
      <c r="Q275" s="31">
        <f>LEFT(RIGHT(A275,LEN(A275)-FIND("-",A275)),MIN(SEARCH({"a","b","c","d","e","f","g","h","i","j","k","l","m","n","o","p","q","r","s","t","u","v","w","x","y","z"},RIGHT(A275,LEN(A275)-FIND("-",A275))&amp;"abcdefghijklmnopqrstuvwxyz"))-1)+1-1</f>
        <v>62</v>
      </c>
      <c r="R275" s="173" t="s">
        <v>950</v>
      </c>
      <c r="S275" s="32" t="s">
        <v>1393</v>
      </c>
      <c r="T275" s="173" t="s">
        <v>263</v>
      </c>
      <c r="U275" s="184">
        <f t="shared" si="74"/>
        <v>0.14430555555736646</v>
      </c>
      <c r="V275" s="184">
        <f t="shared" si="75"/>
        <v>0</v>
      </c>
      <c r="W275" s="185" t="s">
        <v>346</v>
      </c>
      <c r="X275" s="174"/>
      <c r="Y275" s="180"/>
      <c r="Z275" s="174" t="s">
        <v>39</v>
      </c>
      <c r="AA275" s="174" t="s">
        <v>41</v>
      </c>
      <c r="AB275" s="174"/>
      <c r="AC275" s="174" t="s">
        <v>39</v>
      </c>
      <c r="AD275" s="174" t="s">
        <v>41</v>
      </c>
      <c r="AE275" s="174" t="s">
        <v>41</v>
      </c>
      <c r="AF275" s="174" t="s">
        <v>41</v>
      </c>
      <c r="AG275" s="174" t="s">
        <v>41</v>
      </c>
      <c r="AH275" s="174" t="s">
        <v>41</v>
      </c>
      <c r="AI275" s="174" t="s">
        <v>41</v>
      </c>
      <c r="AJ275" s="174" t="s">
        <v>41</v>
      </c>
      <c r="AK275" s="174" t="s">
        <v>41</v>
      </c>
      <c r="AL275" s="174" t="s">
        <v>41</v>
      </c>
      <c r="AM275" s="174" t="s">
        <v>41</v>
      </c>
      <c r="AN275" s="173" t="s">
        <v>950</v>
      </c>
      <c r="AO275" s="173" t="s">
        <v>345</v>
      </c>
      <c r="AP275" s="186">
        <v>43258.229166666664</v>
      </c>
      <c r="AQ275" s="186">
        <v>43258.307083333333</v>
      </c>
      <c r="AR275" s="186">
        <v>43258.451388888891</v>
      </c>
      <c r="AS275" s="186">
        <f>AQ275</f>
        <v>43258.307083333333</v>
      </c>
      <c r="AT275" s="187">
        <v>36.799199999999999</v>
      </c>
      <c r="AU275" s="187">
        <v>-121.819</v>
      </c>
      <c r="AV275" s="188" t="s">
        <v>313</v>
      </c>
      <c r="AW275" s="188" t="s">
        <v>313</v>
      </c>
      <c r="AX275" s="186">
        <v>43258.457951388889</v>
      </c>
      <c r="AY275" s="189">
        <v>36.802700000000002</v>
      </c>
      <c r="AZ275" s="189">
        <v>-121.804</v>
      </c>
      <c r="BA275" s="173" t="s">
        <v>997</v>
      </c>
      <c r="BB275" s="32"/>
      <c r="BC275" s="173"/>
      <c r="BD275" s="173"/>
      <c r="BE275" s="7"/>
      <c r="BF275" s="7"/>
      <c r="BG275" s="7"/>
    </row>
    <row r="276" spans="1:59">
      <c r="A276" s="55" t="str">
        <f>HYPERLINK("tag_data/Quicklook/mn180608-47Quicklook.jpg","mn180608-47")</f>
        <v>mn180608-47</v>
      </c>
      <c r="B276" s="26" t="str">
        <f t="shared" si="76"/>
        <v>mn</v>
      </c>
      <c r="C276" s="46" t="str">
        <f t="shared" si="73"/>
        <v>Monterey</v>
      </c>
      <c r="D276" s="64" t="s">
        <v>951</v>
      </c>
      <c r="E276" s="77" t="s">
        <v>952</v>
      </c>
      <c r="F276" s="85">
        <v>-7</v>
      </c>
      <c r="G276" s="60" t="s">
        <v>953</v>
      </c>
      <c r="H276" s="31" t="s">
        <v>39</v>
      </c>
      <c r="I276" s="72" t="str">
        <f>HYPERLINK("tag_data/mn180608-47 (Monterey)","Link")</f>
        <v>Link</v>
      </c>
      <c r="J276" s="46" t="str">
        <f>HYPERLINK("tag_data_raw/Monterey/2018/mn180608-47","Link")</f>
        <v>Link</v>
      </c>
      <c r="K276" s="72" t="str">
        <f>HYPERLINK("tag_data/mn180608-47 (Monterey)/Pics&amp;Vids","Link")</f>
        <v>Link</v>
      </c>
      <c r="L276" s="41" t="s">
        <v>263</v>
      </c>
      <c r="M276" s="41" t="s">
        <v>263</v>
      </c>
      <c r="N276" s="54" t="str">
        <f>HYPERLINK("location data/Monterey/2018/20180608-MUS.mdb","Link")</f>
        <v>Link</v>
      </c>
      <c r="O276" s="54" t="str">
        <f>HYPERLINK("https://www.happywhale.com/individual/455;enc=35111","CRC-12518")</f>
        <v>CRC-12518</v>
      </c>
      <c r="P276" s="33" t="s">
        <v>957</v>
      </c>
      <c r="Q276" s="31">
        <f>LEFT(RIGHT(A276,LEN(A276)-FIND("-",A276)),MIN(SEARCH({"a","b","c","d","e","f","g","h","i","j","k","l","m","n","o","p","q","r","s","t","u","v","w","x","y","z"},RIGHT(A276,LEN(A276)-FIND("-",A276))&amp;"abcdefghijklmnopqrstuvwxyz"))-1)+1-1</f>
        <v>47</v>
      </c>
      <c r="R276" s="32" t="str">
        <f>IF(AND(Q276+1&gt;40,Q276+1&lt;=50),"Wireless","")</f>
        <v>Wireless</v>
      </c>
      <c r="S276" s="32" t="str">
        <f>IF(OR(Q276&lt;39,Q276=50,Q276=51,AND(OR(Q276=46,Q276=47),AQ276&gt;43313)),"Cam Mic",IF(AND(Q276&lt;45,AQ276&lt;42958),"Dolphin Ear",IF(AND(Q276&gt;44,NOT(OR(Q276=46,Q276=47,Q276=50,Q276=51))),"HTI","None")))</f>
        <v>None</v>
      </c>
      <c r="T276" s="32" t="s">
        <v>38</v>
      </c>
      <c r="U276" s="17">
        <f t="shared" si="74"/>
        <v>0.10238425925490446</v>
      </c>
      <c r="V276" s="17">
        <f t="shared" si="75"/>
        <v>0.10238425925490446</v>
      </c>
      <c r="W276" s="56">
        <v>8.6504629629629626E-2</v>
      </c>
      <c r="X276" s="46" t="str">
        <f>HYPERLINK("tag_data/mn180608-47 (Monterey)/mn180608-47 Map.bmp","3")</f>
        <v>3</v>
      </c>
      <c r="Y276" s="42"/>
      <c r="Z276" s="31" t="s">
        <v>39</v>
      </c>
      <c r="AA276" s="31" t="s">
        <v>39</v>
      </c>
      <c r="AB276" s="31" t="s">
        <v>372</v>
      </c>
      <c r="AC276" s="31" t="s">
        <v>41</v>
      </c>
      <c r="AD276" s="31" t="s">
        <v>39</v>
      </c>
      <c r="AE276" s="31" t="s">
        <v>41</v>
      </c>
      <c r="AF276" s="31" t="s">
        <v>39</v>
      </c>
      <c r="AG276" s="31" t="s">
        <v>41</v>
      </c>
      <c r="AH276" s="31" t="s">
        <v>41</v>
      </c>
      <c r="AI276" s="31" t="s">
        <v>39</v>
      </c>
      <c r="AJ276" s="31" t="s">
        <v>39</v>
      </c>
      <c r="AK276" s="31" t="s">
        <v>41</v>
      </c>
      <c r="AL276" s="31" t="s">
        <v>41</v>
      </c>
      <c r="AM276" s="31" t="s">
        <v>476</v>
      </c>
      <c r="AN276" s="32" t="s">
        <v>960</v>
      </c>
      <c r="AO276" s="32" t="s">
        <v>345</v>
      </c>
      <c r="AP276" s="30">
        <v>43259.348321759258</v>
      </c>
      <c r="AQ276" s="30">
        <v>43259.37263888889</v>
      </c>
      <c r="AR276" s="30">
        <v>43259.475023148145</v>
      </c>
      <c r="AS276" s="92" t="s">
        <v>651</v>
      </c>
      <c r="AT276" s="155">
        <f>36+48.22838/60</f>
        <v>36.803806333333334</v>
      </c>
      <c r="AU276" s="155">
        <f>-121-48.21979/60</f>
        <v>-121.80366316666667</v>
      </c>
      <c r="AV276" s="153" t="s">
        <v>313</v>
      </c>
      <c r="AW276" s="106" t="s">
        <v>313</v>
      </c>
      <c r="AX276" s="30">
        <v>43259.706122685187</v>
      </c>
      <c r="AY276" s="155">
        <v>36.810538907999998</v>
      </c>
      <c r="AZ276" s="155">
        <v>-121.796476345</v>
      </c>
      <c r="BA276" s="32" t="s">
        <v>959</v>
      </c>
      <c r="BB276" s="49"/>
      <c r="BC276" s="7"/>
      <c r="BD276" s="7"/>
      <c r="BE276" s="7"/>
      <c r="BF276" s="7"/>
      <c r="BG276" s="7"/>
    </row>
    <row r="277" spans="1:59">
      <c r="A277" s="55" t="str">
        <f>HYPERLINK("tag_data/Quicklook/mn180608-47Quicklook.jpg","mn180608-62")</f>
        <v>mn180608-62</v>
      </c>
      <c r="B277" s="26" t="str">
        <f t="shared" si="76"/>
        <v>mn</v>
      </c>
      <c r="C277" s="46" t="str">
        <f t="shared" si="73"/>
        <v>Monterey</v>
      </c>
      <c r="D277" s="64" t="s">
        <v>951</v>
      </c>
      <c r="E277" s="77" t="s">
        <v>952</v>
      </c>
      <c r="F277" s="85">
        <v>-7</v>
      </c>
      <c r="G277" s="60" t="s">
        <v>953</v>
      </c>
      <c r="H277" s="31" t="s">
        <v>39</v>
      </c>
      <c r="I277" s="41" t="s">
        <v>263</v>
      </c>
      <c r="J277" s="41" t="s">
        <v>263</v>
      </c>
      <c r="K277" s="72" t="str">
        <f>HYPERLINK("tag_data/mn180608-47 (Monterey)/Pics&amp;Vids","Link")</f>
        <v>Link</v>
      </c>
      <c r="L277" s="41" t="s">
        <v>263</v>
      </c>
      <c r="M277" s="41" t="s">
        <v>263</v>
      </c>
      <c r="N277" s="54" t="str">
        <f>HYPERLINK("location data/Monterey/2018/20180608-MUS.mdb","Link")</f>
        <v>Link</v>
      </c>
      <c r="O277" s="54" t="str">
        <f>HYPERLINK("https://www.happywhale.com/individual/455;enc=35111","CRC-12518")</f>
        <v>CRC-12518</v>
      </c>
      <c r="P277" s="33" t="s">
        <v>957</v>
      </c>
      <c r="Q277" s="31">
        <f>LEFT(RIGHT(A277,LEN(A277)-FIND("-",A277)),MIN(SEARCH({"a","b","c","d","e","f","g","h","i","j","k","l","m","n","o","p","q","r","s","t","u","v","w","x","y","z"},RIGHT(A277,LEN(A277)-FIND("-",A277))&amp;"abcdefghijklmnopqrstuvwxyz"))-1)+1-1</f>
        <v>62</v>
      </c>
      <c r="R277" s="32" t="s">
        <v>950</v>
      </c>
      <c r="S277" s="32" t="s">
        <v>1393</v>
      </c>
      <c r="T277" s="32" t="s">
        <v>263</v>
      </c>
      <c r="U277" s="17">
        <f t="shared" si="74"/>
        <v>0.22247685184993315</v>
      </c>
      <c r="V277" s="172" t="s">
        <v>263</v>
      </c>
      <c r="W277" s="56" t="s">
        <v>346</v>
      </c>
      <c r="X277" s="31" t="s">
        <v>263</v>
      </c>
      <c r="Y277" s="42"/>
      <c r="Z277" s="31" t="s">
        <v>39</v>
      </c>
      <c r="AA277" s="31" t="s">
        <v>41</v>
      </c>
      <c r="AB277" s="31" t="s">
        <v>372</v>
      </c>
      <c r="AC277" s="31" t="s">
        <v>41</v>
      </c>
      <c r="AD277" s="31" t="s">
        <v>41</v>
      </c>
      <c r="AE277" s="31" t="s">
        <v>41</v>
      </c>
      <c r="AF277" s="31" t="s">
        <v>41</v>
      </c>
      <c r="AG277" s="31" t="s">
        <v>41</v>
      </c>
      <c r="AH277" s="31" t="s">
        <v>41</v>
      </c>
      <c r="AI277" s="31" t="s">
        <v>41</v>
      </c>
      <c r="AJ277" s="31" t="s">
        <v>41</v>
      </c>
      <c r="AK277" s="31" t="s">
        <v>41</v>
      </c>
      <c r="AL277" s="31" t="s">
        <v>41</v>
      </c>
      <c r="AM277" s="31" t="s">
        <v>41</v>
      </c>
      <c r="AN277" s="32" t="s">
        <v>950</v>
      </c>
      <c r="AO277" s="32" t="s">
        <v>345</v>
      </c>
      <c r="AP277" s="171" t="s">
        <v>263</v>
      </c>
      <c r="AQ277" s="30">
        <v>43259.34002314815</v>
      </c>
      <c r="AR277" s="30">
        <v>43259.5625</v>
      </c>
      <c r="AS277" s="171" t="s">
        <v>263</v>
      </c>
      <c r="AT277" s="155">
        <v>36.803199999999997</v>
      </c>
      <c r="AU277" s="155">
        <v>-121.8082</v>
      </c>
      <c r="AV277" s="153" t="s">
        <v>313</v>
      </c>
      <c r="AW277" s="106" t="s">
        <v>955</v>
      </c>
      <c r="AX277" s="30">
        <v>43259.569444444445</v>
      </c>
      <c r="AY277" s="107">
        <v>36.802900000000001</v>
      </c>
      <c r="AZ277" s="107">
        <v>-121.7928</v>
      </c>
      <c r="BA277" s="32" t="s">
        <v>996</v>
      </c>
      <c r="BB277" s="49"/>
      <c r="BC277" s="7"/>
      <c r="BD277" s="7"/>
      <c r="BE277" s="7"/>
      <c r="BF277" s="7"/>
      <c r="BG277" s="7"/>
    </row>
    <row r="278" spans="1:59">
      <c r="A278" s="55" t="str">
        <f>HYPERLINK("tag_data/Quicklook/mn180620-40Quicklook.jpg","mn180620-40")</f>
        <v>mn180620-40</v>
      </c>
      <c r="B278" s="26" t="s">
        <v>271</v>
      </c>
      <c r="C278" s="46" t="str">
        <f t="shared" ref="C278:C291" si="77">HYPERLINK("location data/Stellwagen/2018/","Stellwagen")</f>
        <v>Stellwagen</v>
      </c>
      <c r="D278" s="64" t="s">
        <v>558</v>
      </c>
      <c r="E278" s="61" t="s">
        <v>559</v>
      </c>
      <c r="F278" s="85">
        <v>-4</v>
      </c>
      <c r="G278" s="59" t="s">
        <v>460</v>
      </c>
      <c r="H278" s="31" t="s">
        <v>39</v>
      </c>
      <c r="I278" s="72" t="str">
        <f>HYPERLINK("tag_data/mn180620-40 (Stellwagen)","Link")</f>
        <v>Link</v>
      </c>
      <c r="J278" s="46" t="str">
        <f>HYPERLINK("tag_data_raw/Stellwagen/2018/mn180620-40","Link")</f>
        <v>Link</v>
      </c>
      <c r="K278" s="72" t="str">
        <f>HYPERLINK("tag_data/mn180620-40 (Stellwagen)/Pics&amp;Vids","Link")</f>
        <v>Link</v>
      </c>
      <c r="L278" s="54" t="str">
        <f>HYPERLINK("location data\Stellwagen\2018\Videos\6.20\Balena - Mike\mn180620-40 Deployment.MP4","Link")</f>
        <v>Link</v>
      </c>
      <c r="M278" s="41" t="s">
        <v>263</v>
      </c>
      <c r="N278" s="54" t="str">
        <f t="shared" ref="N278:N291" si="78">HYPERLINK("location data/Stellwagen/2018/Tag_Log/Tag_Log_2018.xlsx","Link")</f>
        <v>Link</v>
      </c>
      <c r="O278" s="31" t="s">
        <v>1081</v>
      </c>
      <c r="P278" s="31" t="s">
        <v>39</v>
      </c>
      <c r="Q278" s="31">
        <f>LEFT(RIGHT(A278,LEN(A278)-FIND("-",A278)),MIN(SEARCH({"a","b","c","d","e","f","g","h","i","j","k","l","m","n","o","p","q","r","s","t","u","v","w","x","y","z"},RIGHT(A278,LEN(A278)-FIND("-",A278))&amp;"abcdefghijklmnopqrstuvwxyz"))-1)+1-1</f>
        <v>40</v>
      </c>
      <c r="R278" s="32" t="str">
        <f>IF(AND(Q278+1&gt;40,Q278+1&lt;=50),"Wireless","")</f>
        <v>Wireless</v>
      </c>
      <c r="S278" s="32" t="str">
        <f>IF(OR(Q278&lt;39,Q278=50,Q278=51,AND(OR(Q278=46,Q278=47),AQ278&gt;43313)),"Cam Mic",IF(AND(Q278&lt;45,AQ278&lt;42958),"Dolphin Ear",IF(AND(Q278&gt;44,NOT(OR(Q278=46,Q278=47,Q278=50,Q278=51))),"HTI","None")))</f>
        <v>None</v>
      </c>
      <c r="T278" s="32" t="s">
        <v>38</v>
      </c>
      <c r="U278" s="17">
        <f t="shared" si="74"/>
        <v>0.32079861110833008</v>
      </c>
      <c r="V278" s="17">
        <f>MIN(AR278,AS278)-MAX(AP278,AQ278)</f>
        <v>0.32079861110833008</v>
      </c>
      <c r="W278" s="56">
        <v>0.29856481481481484</v>
      </c>
      <c r="X278" s="31">
        <v>0</v>
      </c>
      <c r="Y278" s="42"/>
      <c r="Z278" s="31" t="s">
        <v>41</v>
      </c>
      <c r="AA278" s="31" t="s">
        <v>41</v>
      </c>
      <c r="AB278" s="31" t="s">
        <v>1393</v>
      </c>
      <c r="AC278" s="31" t="s">
        <v>41</v>
      </c>
      <c r="AD278" s="31" t="s">
        <v>41</v>
      </c>
      <c r="AE278" s="31" t="s">
        <v>41</v>
      </c>
      <c r="AF278" s="31" t="s">
        <v>39</v>
      </c>
      <c r="AG278" s="31" t="s">
        <v>41</v>
      </c>
      <c r="AH278" s="31" t="s">
        <v>41</v>
      </c>
      <c r="AI278" s="31" t="s">
        <v>41</v>
      </c>
      <c r="AJ278" s="31" t="s">
        <v>41</v>
      </c>
      <c r="AK278" s="31" t="s">
        <v>41</v>
      </c>
      <c r="AL278" s="31" t="s">
        <v>41</v>
      </c>
      <c r="AM278" s="31" t="s">
        <v>870</v>
      </c>
      <c r="AN278" s="32"/>
      <c r="AO278" s="32" t="s">
        <v>578</v>
      </c>
      <c r="AP278" s="30">
        <v>43271.431562500002</v>
      </c>
      <c r="AQ278" s="30">
        <v>43271.46570601852</v>
      </c>
      <c r="AR278" s="30">
        <v>43271.786504629628</v>
      </c>
      <c r="AS278" s="92" t="s">
        <v>651</v>
      </c>
      <c r="AT278" s="155">
        <v>41.593583000000002</v>
      </c>
      <c r="AU278" s="155">
        <v>-69.691083000000006</v>
      </c>
      <c r="AV278" s="153" t="s">
        <v>299</v>
      </c>
      <c r="AW278" s="106"/>
      <c r="AX278" s="30">
        <v>43272.43414351852</v>
      </c>
      <c r="AY278" s="107">
        <v>41.520499999999998</v>
      </c>
      <c r="AZ278" s="107">
        <v>-69.556039999999996</v>
      </c>
      <c r="BA278" s="32" t="s">
        <v>1385</v>
      </c>
      <c r="BB278" s="32"/>
      <c r="BC278" s="7"/>
      <c r="BD278" s="7"/>
      <c r="BE278" s="7"/>
      <c r="BF278" s="7"/>
      <c r="BG278" s="7"/>
    </row>
    <row r="279" spans="1:59">
      <c r="A279" s="55" t="str">
        <f>HYPERLINK("tag_data/Quicklook/mn180620-42Quicklook.jpg","mn180620-42")</f>
        <v>mn180620-42</v>
      </c>
      <c r="B279" s="26" t="s">
        <v>271</v>
      </c>
      <c r="C279" s="46" t="str">
        <f t="shared" si="77"/>
        <v>Stellwagen</v>
      </c>
      <c r="D279" s="64" t="s">
        <v>558</v>
      </c>
      <c r="E279" s="61" t="s">
        <v>559</v>
      </c>
      <c r="F279" s="85">
        <v>-4</v>
      </c>
      <c r="G279" s="59" t="s">
        <v>460</v>
      </c>
      <c r="H279" s="31" t="s">
        <v>39</v>
      </c>
      <c r="I279" s="72" t="str">
        <f>HYPERLINK("tag_data/mn180620-42 (Stellwagen)","Link")</f>
        <v>Link</v>
      </c>
      <c r="J279" s="46" t="str">
        <f>HYPERLINK("tag_data_raw/Stellwagen/2018/mn180620-42","Link")</f>
        <v>Link</v>
      </c>
      <c r="K279" s="72" t="str">
        <f>HYPERLINK("tag_data/mn180620-42 (Stellwagen)/Pics&amp;Vids","Link")</f>
        <v>Link</v>
      </c>
      <c r="L279" s="41" t="s">
        <v>263</v>
      </c>
      <c r="M279" s="41" t="s">
        <v>263</v>
      </c>
      <c r="N279" s="54" t="str">
        <f t="shared" si="78"/>
        <v>Link</v>
      </c>
      <c r="O279" s="33" t="s">
        <v>576</v>
      </c>
      <c r="P279" s="31" t="s">
        <v>563</v>
      </c>
      <c r="Q279" s="31">
        <f>LEFT(RIGHT(A279,LEN(A279)-FIND("-",A279)),MIN(SEARCH({"a","b","c","d","e","f","g","h","i","j","k","l","m","n","o","p","q","r","s","t","u","v","w","x","y","z"},RIGHT(A279,LEN(A279)-FIND("-",A279))&amp;"abcdefghijklmnopqrstuvwxyz"))-1)+1-1</f>
        <v>42</v>
      </c>
      <c r="R279" s="32" t="str">
        <f>IF(AND(Q279+1&gt;40,Q279+1&lt;=50),"Wireless","")</f>
        <v>Wireless</v>
      </c>
      <c r="S279" s="32" t="str">
        <f>IF(OR(Q279&lt;39,Q279=50,Q279=51,AND(OR(Q279=46,Q279=47),AQ279&gt;43313)),"Cam Mic",IF(AND(Q279&lt;45,AQ279&lt;42958),"Dolphin Ear",IF(AND(Q279&gt;44,NOT(OR(Q279=46,Q279=47,Q279=50,Q279=51))),"HTI","None")))</f>
        <v>None</v>
      </c>
      <c r="T279" s="32" t="s">
        <v>63</v>
      </c>
      <c r="U279" s="17">
        <f t="shared" si="74"/>
        <v>0.45406250000087311</v>
      </c>
      <c r="V279" s="17">
        <f>MIN(AR279,AS279)-MAX(AP279,AQ279)</f>
        <v>0.45406250000087311</v>
      </c>
      <c r="W279" s="56">
        <v>0.28386574074074072</v>
      </c>
      <c r="X279" s="31">
        <v>0</v>
      </c>
      <c r="Y279" s="42"/>
      <c r="Z279" s="31" t="s">
        <v>39</v>
      </c>
      <c r="AA279" s="31" t="s">
        <v>39</v>
      </c>
      <c r="AB279" s="31" t="s">
        <v>40</v>
      </c>
      <c r="AC279" s="31" t="s">
        <v>41</v>
      </c>
      <c r="AD279" s="31" t="s">
        <v>39</v>
      </c>
      <c r="AE279" s="31" t="s">
        <v>41</v>
      </c>
      <c r="AF279" s="31" t="s">
        <v>39</v>
      </c>
      <c r="AG279" s="31" t="s">
        <v>41</v>
      </c>
      <c r="AH279" s="33" t="s">
        <v>1094</v>
      </c>
      <c r="AI279" s="31" t="s">
        <v>39</v>
      </c>
      <c r="AJ279" s="31" t="s">
        <v>39</v>
      </c>
      <c r="AK279" s="31" t="s">
        <v>39</v>
      </c>
      <c r="AL279" s="31" t="s">
        <v>41</v>
      </c>
      <c r="AM279" s="31" t="s">
        <v>870</v>
      </c>
      <c r="AN279" s="32"/>
      <c r="AO279" s="32" t="s">
        <v>578</v>
      </c>
      <c r="AP279" s="30">
        <v>43271.334432870368</v>
      </c>
      <c r="AQ279" s="30">
        <v>43271.336898148147</v>
      </c>
      <c r="AR279" s="30">
        <v>43271.790960648148</v>
      </c>
      <c r="AS279" s="92" t="s">
        <v>651</v>
      </c>
      <c r="AT279" s="155">
        <v>41.595799999999997</v>
      </c>
      <c r="AU279" s="155">
        <v>-69.693117000000001</v>
      </c>
      <c r="AV279" s="153" t="s">
        <v>299</v>
      </c>
      <c r="AW279" s="106"/>
      <c r="AX279" s="30">
        <v>43272.394212962965</v>
      </c>
      <c r="AY279" s="107">
        <v>41.520699999999998</v>
      </c>
      <c r="AZ279" s="107">
        <v>-69.676299999999998</v>
      </c>
      <c r="BA279" s="107">
        <v>41.520699999999998</v>
      </c>
      <c r="BB279" s="32"/>
      <c r="BC279" s="7"/>
      <c r="BD279" s="7"/>
      <c r="BE279" s="7"/>
      <c r="BF279" s="7"/>
      <c r="BG279" s="7"/>
    </row>
    <row r="280" spans="1:59">
      <c r="A280" s="55" t="str">
        <f>HYPERLINK("tag_data/Quicklook/mn180620-44Quicklook.jpg","mn180620-44")</f>
        <v>mn180620-44</v>
      </c>
      <c r="B280" s="26" t="s">
        <v>271</v>
      </c>
      <c r="C280" s="46" t="str">
        <f t="shared" si="77"/>
        <v>Stellwagen</v>
      </c>
      <c r="D280" s="64" t="s">
        <v>558</v>
      </c>
      <c r="E280" s="61" t="s">
        <v>559</v>
      </c>
      <c r="F280" s="85">
        <v>-4</v>
      </c>
      <c r="G280" s="59" t="s">
        <v>460</v>
      </c>
      <c r="H280" s="31" t="s">
        <v>39</v>
      </c>
      <c r="I280" s="72" t="str">
        <f>HYPERLINK("tag_data/mn180620-44 (Stellwagen)","Link")</f>
        <v>Link</v>
      </c>
      <c r="J280" s="46" t="str">
        <f>HYPERLINK("tag_data_raw/Stellwagen/2018/mn180620-44","Link")</f>
        <v>Link</v>
      </c>
      <c r="K280" s="72" t="str">
        <f>HYPERLINK("tag_data/mn180620-44 (Stellwagen)/Pics&amp;Vids","Link")</f>
        <v>Link</v>
      </c>
      <c r="L280" s="41" t="s">
        <v>263</v>
      </c>
      <c r="M280" s="41" t="s">
        <v>263</v>
      </c>
      <c r="N280" s="54" t="str">
        <f t="shared" si="78"/>
        <v>Link</v>
      </c>
      <c r="O280" s="31" t="s">
        <v>1082</v>
      </c>
      <c r="P280" s="31" t="s">
        <v>563</v>
      </c>
      <c r="Q280" s="31">
        <f>LEFT(RIGHT(A280,LEN(A280)-FIND("-",A280)),MIN(SEARCH({"a","b","c","d","e","f","g","h","i","j","k","l","m","n","o","p","q","r","s","t","u","v","w","x","y","z"},RIGHT(A280,LEN(A280)-FIND("-",A280))&amp;"abcdefghijklmnopqrstuvwxyz"))-1)+1-1</f>
        <v>44</v>
      </c>
      <c r="R280" s="32" t="str">
        <f>IF(AND(Q280+1&gt;40,Q280+1&lt;=50),"Wireless","")</f>
        <v>Wireless</v>
      </c>
      <c r="S280" s="32" t="str">
        <f>IF(OR(Q280&lt;39,Q280=50,Q280=51,AND(OR(Q280=46,Q280=47),AQ280&gt;43313)),"Cam Mic",IF(AND(Q280&lt;45,AQ280&lt;42958),"Dolphin Ear",IF(AND(Q280&gt;44,NOT(OR(Q280=46,Q280=47,Q280=50,Q280=51))),"HTI","None")))</f>
        <v>None</v>
      </c>
      <c r="T280" s="32" t="s">
        <v>38</v>
      </c>
      <c r="U280" s="17">
        <f t="shared" si="74"/>
        <v>0.20420138888584916</v>
      </c>
      <c r="V280" s="17">
        <f>MIN(AR280,AS280)-MAX(AP280,AQ280)</f>
        <v>0.20420138888584916</v>
      </c>
      <c r="W280" s="56">
        <v>0.20120370370370369</v>
      </c>
      <c r="X280" s="46" t="str">
        <f>HYPERLINK("tag_data/mn180620-44 (Stellwagen)/mn180620-44 Map.bmp","195")</f>
        <v>195</v>
      </c>
      <c r="Y280" s="42"/>
      <c r="Z280" s="31" t="s">
        <v>39</v>
      </c>
      <c r="AA280" s="31" t="s">
        <v>39</v>
      </c>
      <c r="AB280" s="31" t="s">
        <v>40</v>
      </c>
      <c r="AC280" s="31" t="s">
        <v>41</v>
      </c>
      <c r="AD280" s="31" t="s">
        <v>39</v>
      </c>
      <c r="AE280" s="31" t="s">
        <v>41</v>
      </c>
      <c r="AF280" s="31" t="s">
        <v>39</v>
      </c>
      <c r="AG280" s="31" t="s">
        <v>41</v>
      </c>
      <c r="AH280" s="33" t="s">
        <v>1094</v>
      </c>
      <c r="AI280" s="31" t="s">
        <v>39</v>
      </c>
      <c r="AJ280" s="31" t="s">
        <v>39</v>
      </c>
      <c r="AK280" s="31" t="s">
        <v>39</v>
      </c>
      <c r="AL280" s="31" t="s">
        <v>41</v>
      </c>
      <c r="AM280" s="31" t="s">
        <v>870</v>
      </c>
      <c r="AN280" s="32"/>
      <c r="AO280" s="32" t="s">
        <v>578</v>
      </c>
      <c r="AP280" s="30">
        <v>43271.578425925924</v>
      </c>
      <c r="AQ280" s="30">
        <v>43271.587719907409</v>
      </c>
      <c r="AR280" s="30">
        <v>43271.791921296295</v>
      </c>
      <c r="AS280" s="92">
        <v>43271.80673611111</v>
      </c>
      <c r="AT280" s="155">
        <v>41.592500000000001</v>
      </c>
      <c r="AU280" s="155">
        <v>-69.668999999999997</v>
      </c>
      <c r="AV280" s="153" t="s">
        <v>299</v>
      </c>
      <c r="AW280" s="106"/>
      <c r="AX280" s="30">
        <v>43272.417071759257</v>
      </c>
      <c r="AY280" s="107">
        <v>41.819000000000003</v>
      </c>
      <c r="AZ280" s="107">
        <v>-69.746530000000007</v>
      </c>
      <c r="BA280" s="32" t="s">
        <v>1386</v>
      </c>
      <c r="BB280" s="32"/>
      <c r="BC280" s="7"/>
      <c r="BD280" s="7"/>
      <c r="BE280" s="7"/>
      <c r="BF280" s="7"/>
      <c r="BG280" s="7"/>
    </row>
    <row r="281" spans="1:59">
      <c r="A281" s="55" t="str">
        <f>HYPERLINK("tag_data/Quicklook/mn180620-45Quicklook.jpg","mn180620-45")</f>
        <v>mn180620-45</v>
      </c>
      <c r="B281" s="26" t="s">
        <v>271</v>
      </c>
      <c r="C281" s="46" t="str">
        <f t="shared" si="77"/>
        <v>Stellwagen</v>
      </c>
      <c r="D281" s="64" t="s">
        <v>558</v>
      </c>
      <c r="E281" s="61" t="s">
        <v>559</v>
      </c>
      <c r="F281" s="85">
        <v>-4</v>
      </c>
      <c r="G281" s="59" t="s">
        <v>460</v>
      </c>
      <c r="H281" s="31" t="s">
        <v>39</v>
      </c>
      <c r="I281" s="72" t="str">
        <f>HYPERLINK("tag_data/mn180620-45 (Stellwagen)","Link")</f>
        <v>Link</v>
      </c>
      <c r="J281" s="46" t="str">
        <f>HYPERLINK("tag_data_raw/Stellwagen/2018/mn180620-45","Link")</f>
        <v>Link</v>
      </c>
      <c r="K281" s="72" t="str">
        <f>HYPERLINK("tag_data/mn180620-45 (Stellwagen)/Pics&amp;Vids","Link")</f>
        <v>Link</v>
      </c>
      <c r="L281" s="41" t="s">
        <v>263</v>
      </c>
      <c r="M281" s="41" t="s">
        <v>263</v>
      </c>
      <c r="N281" s="54" t="str">
        <f t="shared" si="78"/>
        <v>Link</v>
      </c>
      <c r="O281" s="31" t="s">
        <v>1085</v>
      </c>
      <c r="P281" s="31" t="s">
        <v>563</v>
      </c>
      <c r="Q281" s="31">
        <f>LEFT(RIGHT(A281,LEN(A281)-FIND("-",A281)),MIN(SEARCH({"a","b","c","d","e","f","g","h","i","j","k","l","m","n","o","p","q","r","s","t","u","v","w","x","y","z"},RIGHT(A281,LEN(A281)-FIND("-",A281))&amp;"abcdefghijklmnopqrstuvwxyz"))-1)+1-1</f>
        <v>45</v>
      </c>
      <c r="R281" s="32" t="str">
        <f>IF(AND(Q281+1&gt;40,Q281+1&lt;=50),"Wireless","")</f>
        <v>Wireless</v>
      </c>
      <c r="S281" s="32" t="str">
        <f>IF(OR(Q281&lt;39,Q281=50,Q281=51,AND(OR(Q281=46,Q281=47),AQ281&gt;43313)),"Cam Mic",IF(AND(Q281&lt;45,AQ281&lt;42958),"Dolphin Ear",IF(AND(Q281&gt;44,NOT(OR(Q281=46,Q281=47,Q281=50,Q281=51))),"HTI","None")))</f>
        <v>HTI</v>
      </c>
      <c r="T281" s="32" t="s">
        <v>38</v>
      </c>
      <c r="U281" s="17">
        <f t="shared" si="74"/>
        <v>1.1664120370405726</v>
      </c>
      <c r="V281" s="17">
        <v>0.36903935185185183</v>
      </c>
      <c r="W281" s="56">
        <v>0.26151620370370371</v>
      </c>
      <c r="X281" s="31">
        <v>0</v>
      </c>
      <c r="Y281" s="42"/>
      <c r="Z281" s="31" t="s">
        <v>39</v>
      </c>
      <c r="AA281" s="31" t="s">
        <v>39</v>
      </c>
      <c r="AB281" s="31" t="s">
        <v>40</v>
      </c>
      <c r="AC281" s="31" t="s">
        <v>41</v>
      </c>
      <c r="AD281" s="31" t="s">
        <v>39</v>
      </c>
      <c r="AE281" s="31" t="s">
        <v>41</v>
      </c>
      <c r="AF281" s="31" t="s">
        <v>39</v>
      </c>
      <c r="AG281" s="31" t="s">
        <v>39</v>
      </c>
      <c r="AH281" s="33" t="s">
        <v>1094</v>
      </c>
      <c r="AI281" s="31" t="s">
        <v>39</v>
      </c>
      <c r="AJ281" s="31" t="s">
        <v>39</v>
      </c>
      <c r="AK281" s="31" t="s">
        <v>39</v>
      </c>
      <c r="AL281" s="31" t="s">
        <v>41</v>
      </c>
      <c r="AM281" s="31" t="s">
        <v>870</v>
      </c>
      <c r="AN281" s="32"/>
      <c r="AO281" s="32" t="s">
        <v>578</v>
      </c>
      <c r="AP281" s="30">
        <v>43271.369039351855</v>
      </c>
      <c r="AQ281" s="30">
        <v>43271.399340277778</v>
      </c>
      <c r="AR281" s="30">
        <v>43272.565752314818</v>
      </c>
      <c r="AS281" s="92" t="s">
        <v>651</v>
      </c>
      <c r="AT281" s="155">
        <v>41.595591368999997</v>
      </c>
      <c r="AU281" s="155">
        <v>-69.692135691999994</v>
      </c>
      <c r="AV281" s="153" t="s">
        <v>1086</v>
      </c>
      <c r="AW281" s="106"/>
      <c r="AX281" s="30">
        <v>43272.739247685182</v>
      </c>
      <c r="AY281" s="107">
        <v>41.614343931000001</v>
      </c>
      <c r="AZ281" s="107">
        <v>-69.687250736999999</v>
      </c>
      <c r="BA281" s="32" t="s">
        <v>1387</v>
      </c>
      <c r="BB281" s="32"/>
      <c r="BC281" s="7"/>
      <c r="BD281" s="7"/>
      <c r="BE281" s="7"/>
      <c r="BF281" s="7"/>
      <c r="BG281" s="7"/>
    </row>
    <row r="282" spans="1:59">
      <c r="A282" s="7" t="s">
        <v>1087</v>
      </c>
      <c r="B282" s="26" t="s">
        <v>271</v>
      </c>
      <c r="C282" s="46" t="str">
        <f t="shared" si="77"/>
        <v>Stellwagen</v>
      </c>
      <c r="D282" s="64" t="s">
        <v>558</v>
      </c>
      <c r="E282" s="61" t="s">
        <v>559</v>
      </c>
      <c r="F282" s="85">
        <v>-4</v>
      </c>
      <c r="G282" s="59" t="s">
        <v>460</v>
      </c>
      <c r="H282" s="31" t="s">
        <v>39</v>
      </c>
      <c r="I282" s="72" t="str">
        <f>HYPERLINK("tag_data/mn180621-27 (Stellwagen)","Link")</f>
        <v>Link</v>
      </c>
      <c r="J282" s="46" t="str">
        <f>HYPERLINK("tag_data_raw/Stellwagen/2018/mn180621-27","Link")</f>
        <v>Link</v>
      </c>
      <c r="K282" s="72" t="str">
        <f>HYPERLINK("tag_data/mn180621-27 (Stellwagen)/Pics&amp;Vids","Link")</f>
        <v>Link</v>
      </c>
      <c r="L282" s="41" t="s">
        <v>263</v>
      </c>
      <c r="M282" s="41" t="s">
        <v>263</v>
      </c>
      <c r="N282" s="54" t="str">
        <f t="shared" si="78"/>
        <v>Link</v>
      </c>
      <c r="O282" s="31" t="s">
        <v>1088</v>
      </c>
      <c r="P282" s="31" t="s">
        <v>563</v>
      </c>
      <c r="Q282" s="31">
        <f>LEFT(RIGHT(A282,LEN(A282)-FIND("-",A282)),MIN(SEARCH({"a","b","c","d","e","f","g","h","i","j","k","l","m","n","o","p","q","r","s","t","u","v","w","x","y","z"},RIGHT(A282,LEN(A282)-FIND("-",A282))&amp;"abcdefghijklmnopqrstuvwxyz"))-1)+1-1</f>
        <v>27</v>
      </c>
      <c r="R282" s="32" t="s">
        <v>547</v>
      </c>
      <c r="S282" s="32" t="s">
        <v>1393</v>
      </c>
      <c r="T282" s="33" t="s">
        <v>263</v>
      </c>
      <c r="U282" s="17">
        <f t="shared" si="74"/>
        <v>9.6064814715646207E-4</v>
      </c>
      <c r="V282" s="17">
        <f>MIN(AR282,AS282)-MAX(AP282,AQ282)</f>
        <v>9.6064814715646207E-4</v>
      </c>
      <c r="W282" s="56" t="s">
        <v>346</v>
      </c>
      <c r="X282" s="31">
        <v>0</v>
      </c>
      <c r="Y282" s="42"/>
      <c r="Z282" s="31" t="s">
        <v>41</v>
      </c>
      <c r="AA282" s="31" t="s">
        <v>41</v>
      </c>
      <c r="AB282" s="31" t="s">
        <v>263</v>
      </c>
      <c r="AC282" s="31" t="s">
        <v>41</v>
      </c>
      <c r="AD282" s="31" t="s">
        <v>41</v>
      </c>
      <c r="AE282" s="31" t="s">
        <v>41</v>
      </c>
      <c r="AF282" s="31" t="s">
        <v>41</v>
      </c>
      <c r="AG282" s="31" t="s">
        <v>41</v>
      </c>
      <c r="AH282" s="31" t="s">
        <v>41</v>
      </c>
      <c r="AI282" s="31" t="s">
        <v>41</v>
      </c>
      <c r="AJ282" s="31" t="s">
        <v>41</v>
      </c>
      <c r="AK282" s="31" t="s">
        <v>41</v>
      </c>
      <c r="AL282" s="31" t="s">
        <v>41</v>
      </c>
      <c r="AM282" s="31" t="s">
        <v>41</v>
      </c>
      <c r="AN282" s="32" t="s">
        <v>283</v>
      </c>
      <c r="AO282" s="32" t="s">
        <v>578</v>
      </c>
      <c r="AP282" s="30">
        <v>43272.646145833336</v>
      </c>
      <c r="AQ282" s="30">
        <v>43272.649178240739</v>
      </c>
      <c r="AR282" s="30">
        <v>43272.650138888886</v>
      </c>
      <c r="AS282" s="92" t="s">
        <v>651</v>
      </c>
      <c r="AT282" s="155">
        <v>41.606983</v>
      </c>
      <c r="AU282" s="155">
        <v>-69.692149999999998</v>
      </c>
      <c r="AV282" s="153" t="s">
        <v>299</v>
      </c>
      <c r="AW282" s="106" t="s">
        <v>285</v>
      </c>
      <c r="AX282" s="30">
        <v>43277.7030787037</v>
      </c>
      <c r="AY282" s="107">
        <v>41.117759999999997</v>
      </c>
      <c r="AZ282" s="107">
        <v>-69.746530000000007</v>
      </c>
      <c r="BA282" s="32" t="s">
        <v>1396</v>
      </c>
      <c r="BB282" s="32"/>
      <c r="BC282" s="7"/>
      <c r="BD282" s="7"/>
      <c r="BE282" s="7"/>
      <c r="BF282" s="7"/>
      <c r="BG282" s="7"/>
    </row>
    <row r="283" spans="1:59">
      <c r="A283" s="55" t="str">
        <f>HYPERLINK("tag_data/Quicklook/mn180621-47Quicklook.jpg","mn180621-47")</f>
        <v>mn180621-47</v>
      </c>
      <c r="B283" s="26" t="s">
        <v>271</v>
      </c>
      <c r="C283" s="46" t="str">
        <f t="shared" si="77"/>
        <v>Stellwagen</v>
      </c>
      <c r="D283" s="64" t="s">
        <v>558</v>
      </c>
      <c r="E283" s="61" t="s">
        <v>559</v>
      </c>
      <c r="F283" s="85">
        <v>-4</v>
      </c>
      <c r="G283" s="59" t="s">
        <v>460</v>
      </c>
      <c r="H283" s="31" t="s">
        <v>39</v>
      </c>
      <c r="I283" s="46" t="str">
        <f>HYPERLINK("tag_data/mn180621-47 (Stellwagen)","Link")</f>
        <v>Link</v>
      </c>
      <c r="J283" s="46" t="str">
        <f>HYPERLINK("tag_data_raw/Stellwagen/2018/mn180621-47","Link")</f>
        <v>Link</v>
      </c>
      <c r="K283" s="46" t="str">
        <f>HYPERLINK("tag_data/mn180621-47 (Stellwagen)/Pics&amp;Vids","Link")</f>
        <v>Link</v>
      </c>
      <c r="L283" s="54" t="str">
        <f>HYPERLINK("location data/Stellwagen/2018/Videos/6.21/Balaena - Mike/mn180621-47 Deployment.MP4","Link")</f>
        <v>Link</v>
      </c>
      <c r="M283" s="41" t="s">
        <v>263</v>
      </c>
      <c r="N283" s="54" t="str">
        <f t="shared" si="78"/>
        <v>Link</v>
      </c>
      <c r="O283" s="31" t="s">
        <v>1092</v>
      </c>
      <c r="P283" s="31" t="s">
        <v>563</v>
      </c>
      <c r="Q283" s="31">
        <f>LEFT(RIGHT(A283,LEN(A283)-FIND("-",A283)),MIN(SEARCH({"a","b","c","d","e","f","g","h","i","j","k","l","m","n","o","p","q","r","s","t","u","v","w","x","y","z"},RIGHT(A283,LEN(A283)-FIND("-",A283))&amp;"abcdefghijklmnopqrstuvwxyz"))-1)+1-1</f>
        <v>47</v>
      </c>
      <c r="R283" s="32" t="str">
        <f t="shared" ref="R283:R294" si="79">IF(AND(Q283+1&gt;40,Q283+1&lt;=50),"Wireless","")</f>
        <v>Wireless</v>
      </c>
      <c r="S283" s="32" t="str">
        <f t="shared" ref="S283:S294" si="80">IF(OR(Q283&lt;39,Q283=50,Q283=51,AND(OR(Q283=46,Q283=47),AQ283&gt;43313)),"Cam Mic",IF(AND(Q283&lt;45,AQ283&lt;42958),"Dolphin Ear",IF(AND(Q283&gt;44,NOT(OR(Q283=46,Q283=47,Q283=50,Q283=51))),"HTI","None")))</f>
        <v>None</v>
      </c>
      <c r="T283" s="32" t="s">
        <v>38</v>
      </c>
      <c r="U283" s="17">
        <v>0.52332175925925928</v>
      </c>
      <c r="V283" s="17">
        <v>0.52332175925925928</v>
      </c>
      <c r="W283" s="56">
        <v>0.13096064814814815</v>
      </c>
      <c r="X283" s="46" t="str">
        <f>HYPERLINK("tag_data/mn180621-47 (Stellwagen)/mn180621-47 Map.bmp","69")</f>
        <v>69</v>
      </c>
      <c r="Y283" s="42"/>
      <c r="Z283" s="31" t="s">
        <v>39</v>
      </c>
      <c r="AA283" s="31" t="s">
        <v>39</v>
      </c>
      <c r="AB283" s="31" t="s">
        <v>40</v>
      </c>
      <c r="AC283" s="31" t="s">
        <v>41</v>
      </c>
      <c r="AD283" s="31" t="s">
        <v>39</v>
      </c>
      <c r="AE283" s="31" t="s">
        <v>41</v>
      </c>
      <c r="AF283" s="31" t="s">
        <v>39</v>
      </c>
      <c r="AG283" s="31" t="s">
        <v>41</v>
      </c>
      <c r="AH283" s="33" t="s">
        <v>1094</v>
      </c>
      <c r="AI283" s="31" t="s">
        <v>39</v>
      </c>
      <c r="AJ283" s="31" t="s">
        <v>39</v>
      </c>
      <c r="AK283" s="31" t="s">
        <v>41</v>
      </c>
      <c r="AL283" s="31" t="s">
        <v>41</v>
      </c>
      <c r="AM283" s="31" t="s">
        <v>1095</v>
      </c>
      <c r="AN283" s="32" t="s">
        <v>579</v>
      </c>
      <c r="AO283" s="32" t="s">
        <v>578</v>
      </c>
      <c r="AP283" s="30">
        <v>43272.466956018521</v>
      </c>
      <c r="AQ283" s="30">
        <v>43272.625868055555</v>
      </c>
      <c r="AR283" s="30">
        <v>43273.202974537038</v>
      </c>
      <c r="AS283" s="92" t="s">
        <v>651</v>
      </c>
      <c r="AT283" s="155">
        <v>41.604315280000002</v>
      </c>
      <c r="AU283" s="155">
        <v>-69.693151999999998</v>
      </c>
      <c r="AV283" s="153" t="s">
        <v>299</v>
      </c>
      <c r="AW283" s="106"/>
      <c r="AX283" s="30">
        <v>43273.40797453704</v>
      </c>
      <c r="AY283" s="107">
        <v>41.529579400000003</v>
      </c>
      <c r="AZ283" s="107">
        <v>-69.810501818999995</v>
      </c>
      <c r="BA283" s="32" t="s">
        <v>1096</v>
      </c>
      <c r="BB283" s="49" t="s">
        <v>1354</v>
      </c>
      <c r="BC283" s="7"/>
      <c r="BD283" s="7"/>
      <c r="BE283" s="7"/>
      <c r="BF283" s="7"/>
      <c r="BG283" s="7"/>
    </row>
    <row r="284" spans="1:59">
      <c r="A284" s="55" t="str">
        <f>HYPERLINK("tag_data/Quicklook/mn180622-42Quicklook.jpg","mn180622-42")</f>
        <v>mn180622-42</v>
      </c>
      <c r="B284" s="26" t="s">
        <v>271</v>
      </c>
      <c r="C284" s="46" t="str">
        <f t="shared" si="77"/>
        <v>Stellwagen</v>
      </c>
      <c r="D284" s="64" t="s">
        <v>558</v>
      </c>
      <c r="E284" s="61" t="s">
        <v>559</v>
      </c>
      <c r="F284" s="85">
        <v>-4</v>
      </c>
      <c r="G284" s="59" t="s">
        <v>460</v>
      </c>
      <c r="H284" s="31" t="s">
        <v>39</v>
      </c>
      <c r="I284" s="46" t="str">
        <f>HYPERLINK("tag_data/mn180622-42 (Stellwagen)","Link")</f>
        <v>Link</v>
      </c>
      <c r="J284" s="46" t="str">
        <f>HYPERLINK("tag_data_raw/Stellwagen/2018/mn180622-42","Link")</f>
        <v>Link</v>
      </c>
      <c r="K284" s="46" t="str">
        <f>HYPERLINK("tag_data/mn180622-42 (Stellwagen)/Pics&amp;Vids","Link")</f>
        <v>Link</v>
      </c>
      <c r="L284" s="54" t="str">
        <f>HYPERLINK("location data\Stellwagen\2018\Videos\6.22\Balaena - Julia\mn180622-42 Deployment.MP4","Link")</f>
        <v>Link</v>
      </c>
      <c r="M284" s="41" t="s">
        <v>263</v>
      </c>
      <c r="N284" s="54" t="str">
        <f t="shared" si="78"/>
        <v>Link</v>
      </c>
      <c r="O284" s="31" t="s">
        <v>1084</v>
      </c>
      <c r="P284" s="31" t="s">
        <v>563</v>
      </c>
      <c r="Q284" s="31">
        <f>LEFT(RIGHT(A284,LEN(A284)-FIND("-",A284)),MIN(SEARCH({"a","b","c","d","e","f","g","h","i","j","k","l","m","n","o","p","q","r","s","t","u","v","w","x","y","z"},RIGHT(A284,LEN(A284)-FIND("-",A284))&amp;"abcdefghijklmnopqrstuvwxyz"))-1)+1-1</f>
        <v>42</v>
      </c>
      <c r="R284" s="32" t="str">
        <f t="shared" si="79"/>
        <v>Wireless</v>
      </c>
      <c r="S284" s="32" t="str">
        <f t="shared" si="80"/>
        <v>None</v>
      </c>
      <c r="T284" s="32" t="s">
        <v>332</v>
      </c>
      <c r="U284" s="17">
        <f t="shared" ref="U284:U347" si="81">AR284-AQ284</f>
        <v>5.2685185190057382E-2</v>
      </c>
      <c r="V284" s="17">
        <f t="shared" ref="V284:V347" si="82">MIN(AR284,AS284)-MAX(AP284,AQ284)</f>
        <v>5.2685185190057382E-2</v>
      </c>
      <c r="W284" s="56">
        <v>5.2094907407407409E-2</v>
      </c>
      <c r="X284" s="54" t="str">
        <f>HYPERLINK("tag_data\mn180622-42 (Stellwagen)\mn180622-42 Map.bmp","3")</f>
        <v>3</v>
      </c>
      <c r="Y284" s="42"/>
      <c r="Z284" s="31" t="s">
        <v>39</v>
      </c>
      <c r="AA284" s="31" t="s">
        <v>39</v>
      </c>
      <c r="AB284" s="31" t="s">
        <v>40</v>
      </c>
      <c r="AC284" s="31" t="s">
        <v>41</v>
      </c>
      <c r="AD284" s="31" t="s">
        <v>39</v>
      </c>
      <c r="AE284" s="31" t="s">
        <v>41</v>
      </c>
      <c r="AF284" s="31" t="s">
        <v>39</v>
      </c>
      <c r="AG284" s="31" t="s">
        <v>41</v>
      </c>
      <c r="AH284" s="33" t="s">
        <v>1094</v>
      </c>
      <c r="AI284" s="31" t="s">
        <v>39</v>
      </c>
      <c r="AJ284" s="31" t="s">
        <v>39</v>
      </c>
      <c r="AK284" s="31" t="s">
        <v>41</v>
      </c>
      <c r="AL284" s="31" t="s">
        <v>41</v>
      </c>
      <c r="AM284" s="31" t="s">
        <v>41</v>
      </c>
      <c r="AN284" s="32" t="s">
        <v>1438</v>
      </c>
      <c r="AO284" s="32" t="s">
        <v>578</v>
      </c>
      <c r="AP284" s="30">
        <v>43273.614189814813</v>
      </c>
      <c r="AQ284" s="30">
        <v>43273.61478009259</v>
      </c>
      <c r="AR284" s="30">
        <v>43273.66746527778</v>
      </c>
      <c r="AS284" s="92" t="s">
        <v>651</v>
      </c>
      <c r="AT284" s="155">
        <v>41.606949999999998</v>
      </c>
      <c r="AU284" s="155">
        <v>-69.682249999999996</v>
      </c>
      <c r="AV284" s="153" t="s">
        <v>299</v>
      </c>
      <c r="AW284" s="106"/>
      <c r="AX284" s="30">
        <v>43273.669386574074</v>
      </c>
      <c r="AY284" s="107">
        <v>41.599233329999997</v>
      </c>
      <c r="AZ284" s="107">
        <v>-69.669499999999999</v>
      </c>
      <c r="BA284" s="32" t="s">
        <v>1388</v>
      </c>
      <c r="BB284" s="32"/>
      <c r="BC284" s="7"/>
      <c r="BD284" s="7"/>
      <c r="BE284" s="7"/>
      <c r="BF284" s="7"/>
      <c r="BG284" s="7"/>
    </row>
    <row r="285" spans="1:59">
      <c r="A285" s="55" t="str">
        <f>HYPERLINK("tag_data/Quicklook/mn180622-44Quicklook.jpg","mn180622-44")</f>
        <v>mn180622-44</v>
      </c>
      <c r="B285" s="26" t="s">
        <v>271</v>
      </c>
      <c r="C285" s="46" t="str">
        <f t="shared" si="77"/>
        <v>Stellwagen</v>
      </c>
      <c r="D285" s="64" t="s">
        <v>558</v>
      </c>
      <c r="E285" s="61" t="s">
        <v>559</v>
      </c>
      <c r="F285" s="85">
        <v>-4</v>
      </c>
      <c r="G285" s="59" t="s">
        <v>460</v>
      </c>
      <c r="H285" s="31" t="s">
        <v>39</v>
      </c>
      <c r="I285" s="46" t="str">
        <f>HYPERLINK("tag_data/mn180622-44 (Stellwagen)","Link")</f>
        <v>Link</v>
      </c>
      <c r="J285" s="46" t="str">
        <f>HYPERLINK("tag_data_raw/Stellwagen/2018/mn180622-44","Link")</f>
        <v>Link</v>
      </c>
      <c r="K285" s="46" t="str">
        <f>HYPERLINK("tag_data/mn180622-44 (Stellwagen)/Pics&amp;Vids","Link")</f>
        <v>Link</v>
      </c>
      <c r="L285" s="54" t="str">
        <f>HYPERLINK("location data\Stellwagen\2018\Videos\6.22\Balaena - Julia\mn180622-44 Deployment.MP4","Link")</f>
        <v>Link</v>
      </c>
      <c r="M285" s="41" t="s">
        <v>263</v>
      </c>
      <c r="N285" s="54" t="str">
        <f t="shared" si="78"/>
        <v>Link</v>
      </c>
      <c r="O285" s="31" t="s">
        <v>1083</v>
      </c>
      <c r="P285" s="31" t="s">
        <v>41</v>
      </c>
      <c r="Q285" s="31">
        <f>LEFT(RIGHT(A285,LEN(A285)-FIND("-",A285)),MIN(SEARCH({"a","b","c","d","e","f","g","h","i","j","k","l","m","n","o","p","q","r","s","t","u","v","w","x","y","z"},RIGHT(A285,LEN(A285)-FIND("-",A285))&amp;"abcdefghijklmnopqrstuvwxyz"))-1)+1-1</f>
        <v>44</v>
      </c>
      <c r="R285" s="32" t="str">
        <f t="shared" si="79"/>
        <v>Wireless</v>
      </c>
      <c r="S285" s="32" t="str">
        <f t="shared" si="80"/>
        <v>None</v>
      </c>
      <c r="T285" s="32" t="s">
        <v>38</v>
      </c>
      <c r="U285" s="17">
        <f t="shared" si="81"/>
        <v>0.13043981481314404</v>
      </c>
      <c r="V285" s="17">
        <f t="shared" si="82"/>
        <v>0.13043981481314404</v>
      </c>
      <c r="W285" s="208">
        <v>0.12849537037037037</v>
      </c>
      <c r="X285" s="31">
        <v>0</v>
      </c>
      <c r="Y285" s="42"/>
      <c r="Z285" s="31" t="s">
        <v>39</v>
      </c>
      <c r="AA285" s="31" t="s">
        <v>39</v>
      </c>
      <c r="AB285" s="31" t="s">
        <v>40</v>
      </c>
      <c r="AC285" s="31" t="s">
        <v>41</v>
      </c>
      <c r="AD285" s="31" t="s">
        <v>39</v>
      </c>
      <c r="AE285" s="31" t="s">
        <v>41</v>
      </c>
      <c r="AF285" s="31" t="s">
        <v>39</v>
      </c>
      <c r="AG285" s="31" t="s">
        <v>41</v>
      </c>
      <c r="AH285" s="31" t="s">
        <v>41</v>
      </c>
      <c r="AI285" s="31" t="s">
        <v>39</v>
      </c>
      <c r="AJ285" s="31" t="s">
        <v>39</v>
      </c>
      <c r="AK285" s="31" t="s">
        <v>41</v>
      </c>
      <c r="AL285" s="31" t="s">
        <v>41</v>
      </c>
      <c r="AM285" s="31" t="s">
        <v>41</v>
      </c>
      <c r="AN285" s="32" t="s">
        <v>1440</v>
      </c>
      <c r="AO285" s="32" t="s">
        <v>578</v>
      </c>
      <c r="AP285" s="30">
        <v>43273.538055555553</v>
      </c>
      <c r="AQ285" s="30">
        <v>43273.538182870368</v>
      </c>
      <c r="AR285" s="30">
        <v>43273.668622685182</v>
      </c>
      <c r="AS285" s="92" t="s">
        <v>651</v>
      </c>
      <c r="AT285" s="155">
        <v>41.607332999999997</v>
      </c>
      <c r="AU285" s="155">
        <v>-69.707267000000002</v>
      </c>
      <c r="AV285" s="153" t="s">
        <v>299</v>
      </c>
      <c r="AW285" s="106"/>
      <c r="AX285" s="30">
        <v>43273.718634259261</v>
      </c>
      <c r="AY285" s="107">
        <v>41.625704431999999</v>
      </c>
      <c r="AZ285" s="107">
        <v>-69.689248331000002</v>
      </c>
      <c r="BA285" s="32" t="s">
        <v>1439</v>
      </c>
      <c r="BB285" s="32"/>
      <c r="BC285" s="7"/>
      <c r="BD285" s="7"/>
      <c r="BE285" s="7"/>
      <c r="BF285" s="7"/>
      <c r="BG285" s="7"/>
    </row>
    <row r="286" spans="1:59">
      <c r="A286" s="55" t="str">
        <f>HYPERLINK("tag_data/Quicklook/mn180624-42Quicklook.jpg","mn180624-42")</f>
        <v>mn180624-42</v>
      </c>
      <c r="B286" s="26" t="s">
        <v>271</v>
      </c>
      <c r="C286" s="46" t="str">
        <f t="shared" si="77"/>
        <v>Stellwagen</v>
      </c>
      <c r="D286" s="64" t="s">
        <v>558</v>
      </c>
      <c r="E286" s="61" t="s">
        <v>559</v>
      </c>
      <c r="F286" s="85">
        <v>-4</v>
      </c>
      <c r="G286" s="59" t="s">
        <v>460</v>
      </c>
      <c r="H286" s="31" t="s">
        <v>39</v>
      </c>
      <c r="I286" s="46" t="str">
        <f>HYPERLINK("tag_data/mn180624-42 (Stellwagen)","Link")</f>
        <v>Link</v>
      </c>
      <c r="J286" s="46" t="str">
        <f>HYPERLINK("tag_data_raw/Stellwagen/2018/mn180624-42","Link")</f>
        <v>Link</v>
      </c>
      <c r="K286" s="46" t="str">
        <f>HYPERLINK("tag_data/mn180624-42 (Stellwagen)/Pics&amp;Vids","Link")</f>
        <v>Link</v>
      </c>
      <c r="L286" s="54" t="str">
        <f>HYPERLINK("location data\Stellwagen\2018\Videos\6.24\Balaena - Jeremy\mn180624-42 Deployment.MOV","Link")</f>
        <v>Link</v>
      </c>
      <c r="M286" s="41" t="s">
        <v>263</v>
      </c>
      <c r="N286" s="54" t="str">
        <f t="shared" si="78"/>
        <v>Link</v>
      </c>
      <c r="O286" s="31" t="s">
        <v>1093</v>
      </c>
      <c r="P286" s="31" t="s">
        <v>563</v>
      </c>
      <c r="Q286" s="31">
        <f>LEFT(RIGHT(A286,LEN(A286)-FIND("-",A286)),MIN(SEARCH({"a","b","c","d","e","f","g","h","i","j","k","l","m","n","o","p","q","r","s","t","u","v","w","x","y","z"},RIGHT(A286,LEN(A286)-FIND("-",A286))&amp;"abcdefghijklmnopqrstuvwxyz"))-1)+1-1</f>
        <v>42</v>
      </c>
      <c r="R286" s="32" t="str">
        <f t="shared" si="79"/>
        <v>Wireless</v>
      </c>
      <c r="S286" s="32" t="str">
        <f t="shared" si="80"/>
        <v>None</v>
      </c>
      <c r="T286" s="32" t="s">
        <v>38</v>
      </c>
      <c r="U286" s="17">
        <f t="shared" si="81"/>
        <v>0.46445601851883112</v>
      </c>
      <c r="V286" s="17">
        <f t="shared" si="82"/>
        <v>0.46445601851883112</v>
      </c>
      <c r="W286" s="56">
        <v>0.22148148148148147</v>
      </c>
      <c r="X286" s="46" t="str">
        <f>HYPERLINK("tag_data/mn180624-42 (Stellwagen)/mn180624-42 Map.bmp","172")</f>
        <v>172</v>
      </c>
      <c r="Y286" s="42"/>
      <c r="Z286" s="31" t="s">
        <v>39</v>
      </c>
      <c r="AA286" s="31" t="s">
        <v>39</v>
      </c>
      <c r="AB286" s="31" t="s">
        <v>40</v>
      </c>
      <c r="AC286" s="31" t="s">
        <v>41</v>
      </c>
      <c r="AD286" s="31" t="s">
        <v>39</v>
      </c>
      <c r="AE286" s="31" t="s">
        <v>41</v>
      </c>
      <c r="AF286" s="31" t="s">
        <v>39</v>
      </c>
      <c r="AG286" s="31" t="s">
        <v>39</v>
      </c>
      <c r="AH286" s="33" t="s">
        <v>1094</v>
      </c>
      <c r="AI286" s="31" t="s">
        <v>39</v>
      </c>
      <c r="AJ286" s="31" t="s">
        <v>39</v>
      </c>
      <c r="AK286" s="31" t="s">
        <v>41</v>
      </c>
      <c r="AL286" s="31" t="s">
        <v>41</v>
      </c>
      <c r="AM286" s="31" t="s">
        <v>870</v>
      </c>
      <c r="AN286" s="32"/>
      <c r="AO286" s="32" t="s">
        <v>578</v>
      </c>
      <c r="AP286" s="30">
        <v>43275.635613425926</v>
      </c>
      <c r="AQ286" s="30">
        <v>43275.639062499999</v>
      </c>
      <c r="AR286" s="30">
        <v>43276.103518518517</v>
      </c>
      <c r="AS286" s="92" t="s">
        <v>651</v>
      </c>
      <c r="AT286" s="155">
        <v>41.619900000000001</v>
      </c>
      <c r="AU286" s="155">
        <v>-69.714782999999997</v>
      </c>
      <c r="AV286" s="153" t="s">
        <v>299</v>
      </c>
      <c r="AW286" s="106"/>
      <c r="AX286" s="30">
        <v>43276.454386574071</v>
      </c>
      <c r="AY286" s="107">
        <v>41.525542360000003</v>
      </c>
      <c r="AZ286" s="107">
        <v>-69.675422616000006</v>
      </c>
      <c r="BA286" s="32" t="s">
        <v>1389</v>
      </c>
      <c r="BB286" s="32"/>
      <c r="BC286" s="7"/>
      <c r="BD286" s="7"/>
      <c r="BE286" s="7"/>
      <c r="BF286" s="7"/>
      <c r="BG286" s="7"/>
    </row>
    <row r="287" spans="1:59">
      <c r="A287" s="55" t="str">
        <f>HYPERLINK("tag_data/Quicklook/mn180624-44Quicklook.jpg","mn180624-44")</f>
        <v>mn180624-44</v>
      </c>
      <c r="B287" s="26" t="s">
        <v>271</v>
      </c>
      <c r="C287" s="46" t="str">
        <f t="shared" si="77"/>
        <v>Stellwagen</v>
      </c>
      <c r="D287" s="64" t="s">
        <v>558</v>
      </c>
      <c r="E287" s="61" t="s">
        <v>559</v>
      </c>
      <c r="F287" s="85">
        <v>-4</v>
      </c>
      <c r="G287" s="59" t="s">
        <v>460</v>
      </c>
      <c r="H287" s="31" t="s">
        <v>39</v>
      </c>
      <c r="I287" s="46" t="str">
        <f>HYPERLINK("tag_data/mn180624-44 (Stellwagen)","Link")</f>
        <v>Link</v>
      </c>
      <c r="J287" s="46" t="str">
        <f>HYPERLINK("tag_data_raw/Stellwagen/2018/mn180624-44","Link")</f>
        <v>Link</v>
      </c>
      <c r="K287" s="46" t="str">
        <f>HYPERLINK("tag_data/mn180624-44 (Stellwagen)/Pics&amp;Vids","Link")</f>
        <v>Link</v>
      </c>
      <c r="L287" s="41" t="s">
        <v>263</v>
      </c>
      <c r="M287" s="41" t="s">
        <v>263</v>
      </c>
      <c r="N287" s="54" t="str">
        <f t="shared" si="78"/>
        <v>Link</v>
      </c>
      <c r="O287" s="33" t="s">
        <v>1090</v>
      </c>
      <c r="P287" s="31" t="s">
        <v>41</v>
      </c>
      <c r="Q287" s="31">
        <f>LEFT(RIGHT(A287,LEN(A287)-FIND("-",A287)),MIN(SEARCH({"a","b","c","d","e","f","g","h","i","j","k","l","m","n","o","p","q","r","s","t","u","v","w","x","y","z"},RIGHT(A287,LEN(A287)-FIND("-",A287))&amp;"abcdefghijklmnopqrstuvwxyz"))-1)+1-1</f>
        <v>44</v>
      </c>
      <c r="R287" s="32" t="str">
        <f t="shared" si="79"/>
        <v>Wireless</v>
      </c>
      <c r="S287" s="32" t="str">
        <f t="shared" si="80"/>
        <v>None</v>
      </c>
      <c r="T287" s="32" t="s">
        <v>38</v>
      </c>
      <c r="U287" s="17">
        <f t="shared" si="81"/>
        <v>0.80354166666074889</v>
      </c>
      <c r="V287" s="17">
        <f t="shared" si="82"/>
        <v>0.77439814814715646</v>
      </c>
      <c r="W287" s="56">
        <v>0.45165509259259262</v>
      </c>
      <c r="X287" s="46" t="str">
        <f>HYPERLINK("tag_data/mn180624-44 (Stellwagen)/mn180624-44 Map.bmp","540")</f>
        <v>540</v>
      </c>
      <c r="Y287" s="42"/>
      <c r="Z287" s="31" t="s">
        <v>39</v>
      </c>
      <c r="AA287" s="31" t="s">
        <v>39</v>
      </c>
      <c r="AB287" s="31" t="s">
        <v>40</v>
      </c>
      <c r="AC287" s="31" t="s">
        <v>41</v>
      </c>
      <c r="AD287" s="31" t="s">
        <v>39</v>
      </c>
      <c r="AE287" s="31" t="s">
        <v>41</v>
      </c>
      <c r="AF287" s="31" t="s">
        <v>39</v>
      </c>
      <c r="AG287" s="31" t="s">
        <v>41</v>
      </c>
      <c r="AH287" s="33" t="s">
        <v>1094</v>
      </c>
      <c r="AI287" s="31" t="s">
        <v>39</v>
      </c>
      <c r="AJ287" s="31" t="s">
        <v>39</v>
      </c>
      <c r="AK287" s="31" t="s">
        <v>41</v>
      </c>
      <c r="AL287" s="31" t="s">
        <v>41</v>
      </c>
      <c r="AM287" s="31" t="s">
        <v>870</v>
      </c>
      <c r="AN287" s="32"/>
      <c r="AO287" s="32" t="s">
        <v>578</v>
      </c>
      <c r="AP287" s="30">
        <v>43275.666296296295</v>
      </c>
      <c r="AQ287" s="30">
        <v>43275.738125000003</v>
      </c>
      <c r="AR287" s="207">
        <v>43276.541666666664</v>
      </c>
      <c r="AS287" s="92">
        <v>43276.512523148151</v>
      </c>
      <c r="AT287" s="155">
        <v>41.621467000000003</v>
      </c>
      <c r="AU287" s="155">
        <v>-69.710049999999995</v>
      </c>
      <c r="AV287" s="153" t="s">
        <v>299</v>
      </c>
      <c r="AW287" s="106"/>
      <c r="AX287" s="30">
        <v>43277.449305555558</v>
      </c>
      <c r="AY287" s="107">
        <v>41.586816669999997</v>
      </c>
      <c r="AZ287" s="107">
        <v>-69.684516669999994</v>
      </c>
      <c r="BA287" s="32" t="s">
        <v>1390</v>
      </c>
      <c r="BB287" s="32"/>
      <c r="BC287" s="7"/>
      <c r="BD287" s="7"/>
      <c r="BE287" s="7"/>
      <c r="BF287" s="7"/>
      <c r="BG287" s="7"/>
    </row>
    <row r="288" spans="1:59">
      <c r="A288" s="55" t="str">
        <f>HYPERLINK("tag_data/Quicklook/mn180624-45Quicklook.jpg","mn180624-45")</f>
        <v>mn180624-45</v>
      </c>
      <c r="B288" s="26" t="s">
        <v>271</v>
      </c>
      <c r="C288" s="46" t="str">
        <f t="shared" si="77"/>
        <v>Stellwagen</v>
      </c>
      <c r="D288" s="64" t="s">
        <v>558</v>
      </c>
      <c r="E288" s="61" t="s">
        <v>559</v>
      </c>
      <c r="F288" s="85">
        <v>-4</v>
      </c>
      <c r="G288" s="59" t="s">
        <v>460</v>
      </c>
      <c r="H288" s="31" t="s">
        <v>39</v>
      </c>
      <c r="I288" s="46" t="str">
        <f>HYPERLINK("tag_data/mn180624-45 (Stellwagen)","Link")</f>
        <v>Link</v>
      </c>
      <c r="J288" s="46" t="str">
        <f>HYPERLINK("tag_data_raw/Stellwagen/2018/mn180624-45","Link")</f>
        <v>Link</v>
      </c>
      <c r="K288" s="46" t="str">
        <f>HYPERLINK("tag_data/mn180624-45 (Stellwagen)/Pics&amp;Vids","Link")</f>
        <v>Link</v>
      </c>
      <c r="L288" s="54" t="str">
        <f>HYPERLINK("location data\Stellwagen\2018\Videos\6.24\Balaena - Jeremy\mn180624-45 Deployment.MOV","Link")</f>
        <v>Link</v>
      </c>
      <c r="M288" s="41" t="s">
        <v>263</v>
      </c>
      <c r="N288" s="54" t="str">
        <f t="shared" si="78"/>
        <v>Link</v>
      </c>
      <c r="O288" s="31" t="s">
        <v>65</v>
      </c>
      <c r="P288" s="31" t="s">
        <v>563</v>
      </c>
      <c r="Q288" s="31">
        <f>LEFT(RIGHT(A288,LEN(A288)-FIND("-",A288)),MIN(SEARCH({"a","b","c","d","e","f","g","h","i","j","k","l","m","n","o","p","q","r","s","t","u","v","w","x","y","z"},RIGHT(A288,LEN(A288)-FIND("-",A288))&amp;"abcdefghijklmnopqrstuvwxyz"))-1)+1-1</f>
        <v>45</v>
      </c>
      <c r="R288" s="32" t="str">
        <f t="shared" si="79"/>
        <v>Wireless</v>
      </c>
      <c r="S288" s="32" t="str">
        <f t="shared" si="80"/>
        <v>HTI</v>
      </c>
      <c r="T288" s="32" t="s">
        <v>38</v>
      </c>
      <c r="U288" s="17">
        <f t="shared" si="81"/>
        <v>5.2581018513592426E-2</v>
      </c>
      <c r="V288" s="17">
        <f t="shared" si="82"/>
        <v>5.2581018513592426E-2</v>
      </c>
      <c r="W288" s="56">
        <v>5.2106481481481483E-2</v>
      </c>
      <c r="X288" s="46" t="str">
        <f>HYPERLINK("tag_data/mn180624-45 (Stellwagen)/mn180624-45 Map.bmp","4")</f>
        <v>4</v>
      </c>
      <c r="Y288" s="42"/>
      <c r="Z288" s="31" t="s">
        <v>39</v>
      </c>
      <c r="AA288" s="31" t="s">
        <v>39</v>
      </c>
      <c r="AB288" s="31" t="s">
        <v>40</v>
      </c>
      <c r="AC288" s="31" t="s">
        <v>41</v>
      </c>
      <c r="AD288" s="31" t="s">
        <v>39</v>
      </c>
      <c r="AE288" s="31" t="s">
        <v>41</v>
      </c>
      <c r="AF288" s="31" t="s">
        <v>39</v>
      </c>
      <c r="AG288" s="31" t="s">
        <v>41</v>
      </c>
      <c r="AH288" s="33" t="s">
        <v>1094</v>
      </c>
      <c r="AI288" s="31" t="s">
        <v>39</v>
      </c>
      <c r="AJ288" s="31" t="s">
        <v>39</v>
      </c>
      <c r="AK288" s="31" t="s">
        <v>41</v>
      </c>
      <c r="AL288" s="31" t="s">
        <v>39</v>
      </c>
      <c r="AM288" s="31" t="s">
        <v>41</v>
      </c>
      <c r="AN288" s="32"/>
      <c r="AO288" s="32" t="s">
        <v>578</v>
      </c>
      <c r="AP288" s="30">
        <v>43275.625289351854</v>
      </c>
      <c r="AQ288" s="30">
        <v>43275.632384259261</v>
      </c>
      <c r="AR288" s="30">
        <v>43275.684965277775</v>
      </c>
      <c r="AS288" s="92" t="s">
        <v>651</v>
      </c>
      <c r="AT288" s="155">
        <v>41.616567000000003</v>
      </c>
      <c r="AU288" s="155">
        <v>-69.714600000000004</v>
      </c>
      <c r="AV288" s="153" t="s">
        <v>299</v>
      </c>
      <c r="AW288" s="106"/>
      <c r="AX288" s="30">
        <v>43275.69263888889</v>
      </c>
      <c r="AY288" s="107">
        <v>41.633733329999998</v>
      </c>
      <c r="AZ288" s="107">
        <v>-69.705550000000002</v>
      </c>
      <c r="BA288" s="32" t="s">
        <v>1391</v>
      </c>
      <c r="BB288" s="32"/>
      <c r="BC288" s="7"/>
      <c r="BD288" s="7"/>
      <c r="BE288" s="7"/>
      <c r="BF288" s="7"/>
      <c r="BG288" s="7"/>
    </row>
    <row r="289" spans="1:59">
      <c r="A289" s="55" t="str">
        <f>HYPERLINK("tag_data/Quicklook/mn180624-47aQuicklook.jpg","mn180624-47a")</f>
        <v>mn180624-47a</v>
      </c>
      <c r="B289" s="26" t="s">
        <v>271</v>
      </c>
      <c r="C289" s="46" t="str">
        <f t="shared" si="77"/>
        <v>Stellwagen</v>
      </c>
      <c r="D289" s="64" t="s">
        <v>558</v>
      </c>
      <c r="E289" s="61" t="s">
        <v>559</v>
      </c>
      <c r="F289" s="85">
        <v>-4</v>
      </c>
      <c r="G289" s="59" t="s">
        <v>460</v>
      </c>
      <c r="H289" s="31" t="s">
        <v>39</v>
      </c>
      <c r="I289" s="46" t="str">
        <f>HYPERLINK("tag_data/mn180624-47A (Stellwagen)","Link")</f>
        <v>Link</v>
      </c>
      <c r="J289" s="46" t="str">
        <f>HYPERLINK("tag_data_raw/Stellwagen/2018/mn180624-47/a","Link")</f>
        <v>Link</v>
      </c>
      <c r="K289" s="46" t="str">
        <f>HYPERLINK("tag_data/mn180624-47a (Stellwagen)/Pics&amp;Vids","Link")</f>
        <v>Link</v>
      </c>
      <c r="L289" s="41" t="s">
        <v>263</v>
      </c>
      <c r="M289" s="41" t="s">
        <v>263</v>
      </c>
      <c r="N289" s="54" t="str">
        <f t="shared" si="78"/>
        <v>Link</v>
      </c>
      <c r="O289" s="31" t="s">
        <v>1395</v>
      </c>
      <c r="P289" s="31"/>
      <c r="Q289" s="31">
        <f>LEFT(RIGHT(A289,LEN(A289)-FIND("-",A289)),MIN(SEARCH({"a","b","c","d","e","f","g","h","i","j","k","l","m","n","o","p","q","r","s","t","u","v","w","x","y","z"},RIGHT(A289,LEN(A289)-FIND("-",A289))&amp;"abcdefghijklmnopqrstuvwxyz"))-1)+1-1</f>
        <v>47</v>
      </c>
      <c r="R289" s="32" t="str">
        <f t="shared" si="79"/>
        <v>Wireless</v>
      </c>
      <c r="S289" s="32" t="str">
        <f t="shared" si="80"/>
        <v>None</v>
      </c>
      <c r="T289" s="32" t="s">
        <v>1441</v>
      </c>
      <c r="U289" s="17">
        <f t="shared" si="81"/>
        <v>2.5810185252339579E-3</v>
      </c>
      <c r="V289" s="17">
        <f t="shared" si="82"/>
        <v>2.5810185252339579E-3</v>
      </c>
      <c r="W289" s="56">
        <v>2.3958333333333336E-3</v>
      </c>
      <c r="X289" s="31">
        <v>0</v>
      </c>
      <c r="Y289" s="42"/>
      <c r="Z289" s="31" t="s">
        <v>39</v>
      </c>
      <c r="AA289" s="31" t="s">
        <v>39</v>
      </c>
      <c r="AB289" s="31" t="s">
        <v>40</v>
      </c>
      <c r="AC289" s="31" t="s">
        <v>41</v>
      </c>
      <c r="AD289" s="31" t="s">
        <v>41</v>
      </c>
      <c r="AE289" s="31" t="s">
        <v>41</v>
      </c>
      <c r="AF289" s="31" t="s">
        <v>39</v>
      </c>
      <c r="AG289" s="31" t="s">
        <v>41</v>
      </c>
      <c r="AH289" s="33" t="s">
        <v>1094</v>
      </c>
      <c r="AI289" s="31" t="s">
        <v>41</v>
      </c>
      <c r="AJ289" s="31" t="s">
        <v>41</v>
      </c>
      <c r="AK289" s="31" t="s">
        <v>41</v>
      </c>
      <c r="AL289" s="31" t="s">
        <v>41</v>
      </c>
      <c r="AM289" s="31" t="s">
        <v>41</v>
      </c>
      <c r="AN289" s="32"/>
      <c r="AO289" s="32" t="s">
        <v>578</v>
      </c>
      <c r="AP289" s="30">
        <v>43275.653032407405</v>
      </c>
      <c r="AQ289" s="30">
        <v>43275.7346412037</v>
      </c>
      <c r="AR289" s="30">
        <v>43275.737222222226</v>
      </c>
      <c r="AS289" s="92" t="s">
        <v>651</v>
      </c>
      <c r="AT289" s="155">
        <v>41.620983000000003</v>
      </c>
      <c r="AU289" s="209">
        <v>-69.709699999999998</v>
      </c>
      <c r="AV289" s="153" t="s">
        <v>299</v>
      </c>
      <c r="AW289" s="106"/>
      <c r="AX289" s="30">
        <v>43275.738888888889</v>
      </c>
      <c r="AY289" s="107">
        <v>41.621933329999997</v>
      </c>
      <c r="AZ289" s="107">
        <v>-69.709199999999996</v>
      </c>
      <c r="BA289" s="32" t="s">
        <v>1392</v>
      </c>
      <c r="BB289" s="32"/>
      <c r="BC289" s="7"/>
      <c r="BD289" s="7"/>
      <c r="BE289" s="7"/>
      <c r="BF289" s="7"/>
      <c r="BG289" s="7"/>
    </row>
    <row r="290" spans="1:59">
      <c r="A290" s="55" t="str">
        <f>HYPERLINK("tag_data/Quicklook/mn180624-47bQuicklook.jpg","mn180624-47b")</f>
        <v>mn180624-47b</v>
      </c>
      <c r="B290" s="26" t="s">
        <v>271</v>
      </c>
      <c r="C290" s="46" t="str">
        <f t="shared" si="77"/>
        <v>Stellwagen</v>
      </c>
      <c r="D290" s="64" t="s">
        <v>558</v>
      </c>
      <c r="E290" s="61" t="s">
        <v>559</v>
      </c>
      <c r="F290" s="85">
        <v>-4</v>
      </c>
      <c r="G290" s="59" t="s">
        <v>460</v>
      </c>
      <c r="H290" s="31" t="s">
        <v>39</v>
      </c>
      <c r="I290" s="46" t="str">
        <f>HYPERLINK("tag_data/mn180624-47B (Stellwagen)","Link")</f>
        <v>Link</v>
      </c>
      <c r="J290" s="46" t="str">
        <f>HYPERLINK("tag_data_raw/Stellwagen/2018/mn180624-47/b","Link")</f>
        <v>Link</v>
      </c>
      <c r="K290" s="46" t="str">
        <f>HYPERLINK("tag_data/mn180624-47b (Stellwagen)/Pics&amp;Vids","Link")</f>
        <v>Link</v>
      </c>
      <c r="L290" s="41" t="s">
        <v>263</v>
      </c>
      <c r="M290" s="41" t="s">
        <v>263</v>
      </c>
      <c r="N290" s="54" t="str">
        <f t="shared" si="78"/>
        <v>Link</v>
      </c>
      <c r="O290" s="31" t="s">
        <v>1091</v>
      </c>
      <c r="P290" s="31" t="s">
        <v>39</v>
      </c>
      <c r="Q290" s="31">
        <f>LEFT(RIGHT(A290,LEN(A290)-FIND("-",A290)),MIN(SEARCH({"a","b","c","d","e","f","g","h","i","j","k","l","m","n","o","p","q","r","s","t","u","v","w","x","y","z"},RIGHT(A290,LEN(A290)-FIND("-",A290))&amp;"abcdefghijklmnopqrstuvwxyz"))-1)+1-1</f>
        <v>47</v>
      </c>
      <c r="R290" s="32" t="str">
        <f t="shared" si="79"/>
        <v>Wireless</v>
      </c>
      <c r="S290" s="32" t="str">
        <f t="shared" si="80"/>
        <v>None</v>
      </c>
      <c r="T290" s="32" t="s">
        <v>1394</v>
      </c>
      <c r="U290" s="17">
        <f t="shared" si="81"/>
        <v>6.324074073927477E-2</v>
      </c>
      <c r="V290" s="17">
        <f t="shared" si="82"/>
        <v>6.324074073927477E-2</v>
      </c>
      <c r="W290" s="56">
        <v>6.2442129629629632E-2</v>
      </c>
      <c r="X290" s="31">
        <v>0</v>
      </c>
      <c r="Y290" s="42"/>
      <c r="Z290" s="31" t="s">
        <v>39</v>
      </c>
      <c r="AA290" s="31" t="s">
        <v>39</v>
      </c>
      <c r="AB290" s="31" t="s">
        <v>40</v>
      </c>
      <c r="AC290" s="31" t="s">
        <v>41</v>
      </c>
      <c r="AD290" s="31" t="s">
        <v>39</v>
      </c>
      <c r="AE290" s="31" t="s">
        <v>41</v>
      </c>
      <c r="AF290" s="31" t="s">
        <v>39</v>
      </c>
      <c r="AG290" s="31" t="s">
        <v>41</v>
      </c>
      <c r="AH290" s="33" t="s">
        <v>1094</v>
      </c>
      <c r="AI290" s="31" t="s">
        <v>39</v>
      </c>
      <c r="AJ290" s="31" t="s">
        <v>39</v>
      </c>
      <c r="AK290" s="31" t="s">
        <v>41</v>
      </c>
      <c r="AL290" s="31" t="s">
        <v>41</v>
      </c>
      <c r="AM290" s="31" t="s">
        <v>41</v>
      </c>
      <c r="AN290" s="32" t="s">
        <v>579</v>
      </c>
      <c r="AO290" s="32" t="s">
        <v>578</v>
      </c>
      <c r="AP290" s="30">
        <v>43275.653032407405</v>
      </c>
      <c r="AQ290" s="30">
        <v>43275.741655092592</v>
      </c>
      <c r="AR290" s="30">
        <v>43275.804895833331</v>
      </c>
      <c r="AS290" s="92" t="s">
        <v>651</v>
      </c>
      <c r="AT290" s="155">
        <v>41.621333</v>
      </c>
      <c r="AU290" s="155">
        <v>-69.70975</v>
      </c>
      <c r="AV290" s="153" t="s">
        <v>299</v>
      </c>
      <c r="AW290" s="106"/>
      <c r="AX290" s="30">
        <v>43276.481249999997</v>
      </c>
      <c r="AY290" s="107">
        <v>41.496967040000001</v>
      </c>
      <c r="AZ290" s="107">
        <v>-69.541398975000007</v>
      </c>
      <c r="BA290" s="206" t="s">
        <v>1442</v>
      </c>
      <c r="BB290" s="32"/>
      <c r="BC290" s="7"/>
      <c r="BD290" s="7"/>
      <c r="BE290" s="7"/>
      <c r="BF290" s="7"/>
      <c r="BG290" s="7"/>
    </row>
    <row r="291" spans="1:59">
      <c r="A291" s="55" t="str">
        <f>HYPERLINK("tag_data/Quicklook/mn180626-47Quicklook.jpg","mn180626-47")</f>
        <v>mn180626-47</v>
      </c>
      <c r="B291" s="26" t="s">
        <v>271</v>
      </c>
      <c r="C291" s="46" t="str">
        <f t="shared" si="77"/>
        <v>Stellwagen</v>
      </c>
      <c r="D291" s="64" t="s">
        <v>558</v>
      </c>
      <c r="E291" s="61" t="s">
        <v>559</v>
      </c>
      <c r="F291" s="85">
        <v>-4</v>
      </c>
      <c r="G291" s="59" t="s">
        <v>460</v>
      </c>
      <c r="H291" s="31" t="s">
        <v>39</v>
      </c>
      <c r="I291" s="46" t="str">
        <f>HYPERLINK("tag_data/mn180626-47 (Stellwagen)","Link")</f>
        <v>Link</v>
      </c>
      <c r="J291" s="46" t="str">
        <f>HYPERLINK("tag_data_raw/Stellwagen/2018/mn180626-47","Link")</f>
        <v>Link</v>
      </c>
      <c r="K291" s="46" t="str">
        <f>HYPERLINK("tag_data/mn180626-47 (Stellwagen)/Pics&amp;Vids","Link")</f>
        <v>Link</v>
      </c>
      <c r="L291" s="54" t="str">
        <f>HYPERLINK("location data\Stellwagen\2018\Videos\6.26\Balaena - Jenn\mn180626-47 Deployment.MP4","Link")</f>
        <v>Link</v>
      </c>
      <c r="M291" s="41" t="s">
        <v>263</v>
      </c>
      <c r="N291" s="54" t="str">
        <f t="shared" si="78"/>
        <v>Link</v>
      </c>
      <c r="O291" s="31" t="s">
        <v>1089</v>
      </c>
      <c r="P291" s="31" t="s">
        <v>712</v>
      </c>
      <c r="Q291" s="31">
        <f>LEFT(RIGHT(A291,LEN(A291)-FIND("-",A291)),MIN(SEARCH({"a","b","c","d","e","f","g","h","i","j","k","l","m","n","o","p","q","r","s","t","u","v","w","x","y","z"},RIGHT(A291,LEN(A291)-FIND("-",A291))&amp;"abcdefghijklmnopqrstuvwxyz"))-1)+1-1</f>
        <v>47</v>
      </c>
      <c r="R291" s="32" t="str">
        <f t="shared" si="79"/>
        <v>Wireless</v>
      </c>
      <c r="S291" s="32" t="str">
        <f t="shared" si="80"/>
        <v>None</v>
      </c>
      <c r="T291" s="32" t="s">
        <v>38</v>
      </c>
      <c r="U291" s="17">
        <f t="shared" si="81"/>
        <v>0.44547453703125939</v>
      </c>
      <c r="V291" s="17">
        <f t="shared" si="82"/>
        <v>0.44547453703125939</v>
      </c>
      <c r="W291" s="56">
        <v>0.11952546296296296</v>
      </c>
      <c r="X291" s="31">
        <v>0</v>
      </c>
      <c r="Y291" s="42"/>
      <c r="Z291" s="31" t="s">
        <v>41</v>
      </c>
      <c r="AA291" s="31" t="s">
        <v>41</v>
      </c>
      <c r="AB291" s="31" t="s">
        <v>263</v>
      </c>
      <c r="AC291" s="31" t="s">
        <v>41</v>
      </c>
      <c r="AD291" s="31" t="s">
        <v>41</v>
      </c>
      <c r="AE291" s="31" t="s">
        <v>41</v>
      </c>
      <c r="AF291" s="31" t="s">
        <v>41</v>
      </c>
      <c r="AG291" s="31" t="s">
        <v>39</v>
      </c>
      <c r="AH291" s="31" t="s">
        <v>41</v>
      </c>
      <c r="AI291" s="31" t="s">
        <v>39</v>
      </c>
      <c r="AJ291" s="31" t="s">
        <v>41</v>
      </c>
      <c r="AK291" s="31" t="s">
        <v>41</v>
      </c>
      <c r="AL291" s="31" t="s">
        <v>41</v>
      </c>
      <c r="AM291" s="31" t="s">
        <v>1443</v>
      </c>
      <c r="AN291" s="32" t="s">
        <v>1444</v>
      </c>
      <c r="AO291" s="32" t="s">
        <v>578</v>
      </c>
      <c r="AP291" s="30">
        <v>43277.712164351855</v>
      </c>
      <c r="AQ291" s="30">
        <v>43277.713842592595</v>
      </c>
      <c r="AR291" s="30">
        <v>43278.159317129626</v>
      </c>
      <c r="AS291" s="92" t="s">
        <v>651</v>
      </c>
      <c r="AT291" s="155">
        <v>41.611449999999998</v>
      </c>
      <c r="AU291" s="155">
        <v>-69.703733</v>
      </c>
      <c r="AV291" s="153" t="s">
        <v>299</v>
      </c>
      <c r="AW291" s="106"/>
      <c r="AX291" s="30">
        <v>43278.501875000002</v>
      </c>
      <c r="AY291" s="107">
        <v>41.383749999999999</v>
      </c>
      <c r="AZ291" s="107">
        <v>-69.336950000000002</v>
      </c>
      <c r="BA291" s="32" t="s">
        <v>1445</v>
      </c>
      <c r="BB291" s="32"/>
      <c r="BC291" s="7"/>
      <c r="BD291" s="7"/>
      <c r="BE291" s="7"/>
      <c r="BF291" s="7"/>
      <c r="BG291" s="7"/>
    </row>
    <row r="292" spans="1:59">
      <c r="A292" s="55" t="str">
        <f>HYPERLINK("tag_data/Quicklook/mn180705-47Quicklook.jpg","mn180705-47")</f>
        <v>mn180705-47</v>
      </c>
      <c r="B292" s="26" t="str">
        <f t="shared" ref="B292:B321" si="83">LEFT(A292,2)</f>
        <v>mn</v>
      </c>
      <c r="C292" s="46" t="str">
        <f>HYPERLINK("location data/WA_Coast/2018","WA Coast")</f>
        <v>WA Coast</v>
      </c>
      <c r="D292" s="64" t="s">
        <v>1099</v>
      </c>
      <c r="E292" s="61" t="s">
        <v>1100</v>
      </c>
      <c r="F292" s="85">
        <v>-7</v>
      </c>
      <c r="G292" s="60" t="s">
        <v>457</v>
      </c>
      <c r="H292" s="31" t="s">
        <v>39</v>
      </c>
      <c r="I292" s="72" t="str">
        <f>HYPERLINK("tag_data/mn180705-47 (WA)","Link")</f>
        <v>Link</v>
      </c>
      <c r="J292" s="46" t="str">
        <f>HYPERLINK("tag_data_raw/WA_Coast/2018/mn180705-47","Link")</f>
        <v>Link</v>
      </c>
      <c r="K292" s="72" t="str">
        <f>HYPERLINK("tag_data/mn180705-47 (WA)/Pics&amp;Vids","Link")</f>
        <v>Link</v>
      </c>
      <c r="L292" s="54" t="str">
        <f>HYPERLINK("location_data/WA_Coast/2018_CCES/Deployment Videos/20180705-ZIP-MNdeploy-FILE0236.MP4","Link")</f>
        <v>Link</v>
      </c>
      <c r="M292" s="41" t="s">
        <v>263</v>
      </c>
      <c r="N292" s="54" t="str">
        <f>HYPERLINK("location_data/WA_Coast/2018_CCES/Metadata/CRC Mobile Data Compiler-IN PROGRESS-2-14July2018.mdb","Link")</f>
        <v>Link</v>
      </c>
      <c r="O292" s="31" t="s">
        <v>45</v>
      </c>
      <c r="P292" s="31" t="s">
        <v>41</v>
      </c>
      <c r="Q292" s="31">
        <f>LEFT(RIGHT(A292,LEN(A292)-FIND("-",A292)),MIN(SEARCH({"a","b","c","d","e","f","g","h","i","j","k","l","m","n","o","p","q","r","s","t","u","v","w","x","y","z"},RIGHT(A292,LEN(A292)-FIND("-",A292))&amp;"abcdefghijklmnopqrstuvwxyz"))-1)+1-1</f>
        <v>47</v>
      </c>
      <c r="R292" s="32" t="str">
        <f t="shared" si="79"/>
        <v>Wireless</v>
      </c>
      <c r="S292" s="32" t="str">
        <f t="shared" si="80"/>
        <v>None</v>
      </c>
      <c r="T292" s="32" t="s">
        <v>38</v>
      </c>
      <c r="U292" s="17">
        <f t="shared" si="81"/>
        <v>0.29915509259444661</v>
      </c>
      <c r="V292" s="17">
        <f t="shared" si="82"/>
        <v>0.29915509259444661</v>
      </c>
      <c r="W292" s="56">
        <v>0.20189814814814813</v>
      </c>
      <c r="X292" s="31">
        <v>37</v>
      </c>
      <c r="Y292" s="42" t="s">
        <v>263</v>
      </c>
      <c r="Z292" s="31" t="s">
        <v>41</v>
      </c>
      <c r="AA292" s="31" t="s">
        <v>41</v>
      </c>
      <c r="AB292" s="31" t="s">
        <v>41</v>
      </c>
      <c r="AC292" s="31" t="s">
        <v>41</v>
      </c>
      <c r="AD292" s="31" t="s">
        <v>41</v>
      </c>
      <c r="AE292" s="31" t="s">
        <v>41</v>
      </c>
      <c r="AF292" s="31" t="s">
        <v>41</v>
      </c>
      <c r="AG292" s="31" t="s">
        <v>41</v>
      </c>
      <c r="AH292" s="31" t="s">
        <v>41</v>
      </c>
      <c r="AI292" s="31" t="s">
        <v>39</v>
      </c>
      <c r="AJ292" s="31" t="s">
        <v>41</v>
      </c>
      <c r="AK292" s="31" t="s">
        <v>41</v>
      </c>
      <c r="AL292" s="31" t="s">
        <v>39</v>
      </c>
      <c r="AM292" s="31" t="s">
        <v>41</v>
      </c>
      <c r="AN292" s="32" t="s">
        <v>1101</v>
      </c>
      <c r="AO292" s="32" t="s">
        <v>1102</v>
      </c>
      <c r="AP292" s="30">
        <v>43286.333865740744</v>
      </c>
      <c r="AQ292" s="30">
        <v>43286.465671296297</v>
      </c>
      <c r="AR292" s="30">
        <v>43286.764826388891</v>
      </c>
      <c r="AS292" s="92" t="s">
        <v>651</v>
      </c>
      <c r="AT292" s="155">
        <v>48.462499999999999</v>
      </c>
      <c r="AU292" s="155">
        <v>-125.05589999999999</v>
      </c>
      <c r="AV292" s="153" t="s">
        <v>339</v>
      </c>
      <c r="AW292" s="106" t="s">
        <v>1103</v>
      </c>
      <c r="AX292" s="30">
        <v>43286.853472222225</v>
      </c>
      <c r="AY292" s="107">
        <v>48.575000000000003</v>
      </c>
      <c r="AZ292" s="107">
        <v>-125.086</v>
      </c>
      <c r="BA292" s="32" t="s">
        <v>1104</v>
      </c>
      <c r="BB292" s="49" t="s">
        <v>1355</v>
      </c>
      <c r="BC292" s="7"/>
      <c r="BD292" s="7"/>
      <c r="BE292" s="7"/>
      <c r="BF292" s="7"/>
      <c r="BG292" s="7"/>
    </row>
    <row r="293" spans="1:59">
      <c r="A293" s="55" t="str">
        <f>HYPERLINK("tag_data\mn180807-41 (Monterey)\Pics&amp;Vids\TAG_DSC_0632.jpg","mn180807-41")</f>
        <v>mn180807-41</v>
      </c>
      <c r="B293" s="26" t="str">
        <f t="shared" si="83"/>
        <v>mn</v>
      </c>
      <c r="C293" s="46" t="str">
        <f>HYPERLINK("location data/Monterey/2018","Monterey")</f>
        <v>Monterey</v>
      </c>
      <c r="D293" s="64" t="s">
        <v>1116</v>
      </c>
      <c r="E293" s="61" t="s">
        <v>1117</v>
      </c>
      <c r="F293" s="85">
        <v>-7</v>
      </c>
      <c r="G293" s="60" t="s">
        <v>455</v>
      </c>
      <c r="H293" s="31" t="s">
        <v>41</v>
      </c>
      <c r="I293" s="46" t="str">
        <f>HYPERLINK("tag_data/mn180807-41 (Monterey)","Link")</f>
        <v>Link</v>
      </c>
      <c r="J293" s="46" t="str">
        <f>HYPERLINK("tag_data_raw/Monterey/2018/mn180807-41","Link")</f>
        <v>Link</v>
      </c>
      <c r="K293" s="46" t="str">
        <f>HYPERLINK("tag_data/mn180807-41 (Monterey)/Pics&amp;Vids","Link")</f>
        <v>Link</v>
      </c>
      <c r="L293" s="54" t="str">
        <f>HYPERLINK("location data/Monterey/2018/Pics&amp;Vids/08.07/41 deploy 2.mov","Link")</f>
        <v>Link</v>
      </c>
      <c r="M293" s="82" t="s">
        <v>263</v>
      </c>
      <c r="N293" s="54" t="str">
        <f>HYPERLINK("location data\Monterey\2018\20180807-MUS.mdb","Link")</f>
        <v>Link</v>
      </c>
      <c r="O293" s="54" t="str">
        <f>HYPERLINK("https://happywhale.com/individual/839;enc=43609;event=84179","CRC-15733")</f>
        <v>CRC-15733</v>
      </c>
      <c r="P293" s="33" t="s">
        <v>1120</v>
      </c>
      <c r="Q293" s="31">
        <f>LEFT(RIGHT(A293,LEN(A293)-FIND("-",A293)),MIN(SEARCH({"a","b","c","d","e","f","g","h","i","j","k","l","m","n","o","p","q","r","s","t","u","v","w","x","y","z"},RIGHT(A293,LEN(A293)-FIND("-",A293))&amp;"abcdefghijklmnopqrstuvwxyz"))-1)+1-1</f>
        <v>41</v>
      </c>
      <c r="R293" s="32" t="str">
        <f t="shared" si="79"/>
        <v>Wireless</v>
      </c>
      <c r="S293" s="32" t="str">
        <f t="shared" si="80"/>
        <v>None</v>
      </c>
      <c r="T293" s="32" t="s">
        <v>566</v>
      </c>
      <c r="U293" s="17">
        <f t="shared" si="81"/>
        <v>1.48148147854954E-3</v>
      </c>
      <c r="V293" s="17">
        <f t="shared" si="82"/>
        <v>1.48148147854954E-3</v>
      </c>
      <c r="W293" s="56">
        <v>1.48148147854954E-3</v>
      </c>
      <c r="X293" s="31">
        <v>0</v>
      </c>
      <c r="Y293" s="42"/>
      <c r="Z293" s="31" t="s">
        <v>41</v>
      </c>
      <c r="AA293" s="31" t="s">
        <v>41</v>
      </c>
      <c r="AB293" s="31" t="s">
        <v>263</v>
      </c>
      <c r="AC293" s="31" t="s">
        <v>41</v>
      </c>
      <c r="AD293" s="31" t="s">
        <v>41</v>
      </c>
      <c r="AE293" s="31" t="s">
        <v>41</v>
      </c>
      <c r="AF293" s="31" t="s">
        <v>39</v>
      </c>
      <c r="AG293" s="31" t="s">
        <v>41</v>
      </c>
      <c r="AH293" s="31" t="s">
        <v>41</v>
      </c>
      <c r="AI293" s="31" t="s">
        <v>41</v>
      </c>
      <c r="AJ293" s="31" t="s">
        <v>1419</v>
      </c>
      <c r="AK293" s="31" t="s">
        <v>41</v>
      </c>
      <c r="AL293" s="31" t="s">
        <v>41</v>
      </c>
      <c r="AM293" s="31" t="s">
        <v>476</v>
      </c>
      <c r="AN293" s="32" t="s">
        <v>1412</v>
      </c>
      <c r="AO293" s="32" t="s">
        <v>345</v>
      </c>
      <c r="AP293" s="30">
        <v>43319.378368055557</v>
      </c>
      <c r="AQ293" s="30">
        <v>43319.392962962964</v>
      </c>
      <c r="AR293" s="30">
        <v>43319.394444444442</v>
      </c>
      <c r="AS293" s="92" t="s">
        <v>651</v>
      </c>
      <c r="AT293" s="155">
        <v>36.799000049999997</v>
      </c>
      <c r="AU293" s="155">
        <v>-121.822916007</v>
      </c>
      <c r="AV293" s="153" t="s">
        <v>313</v>
      </c>
      <c r="AW293" s="153" t="s">
        <v>313</v>
      </c>
      <c r="AX293" s="30">
        <v>43319.400717592594</v>
      </c>
      <c r="AY293" s="107">
        <v>36.800115335999998</v>
      </c>
      <c r="AZ293" s="107">
        <v>-121.82327814</v>
      </c>
      <c r="BA293" s="32" t="s">
        <v>1415</v>
      </c>
      <c r="BB293" s="32"/>
      <c r="BC293" s="7"/>
      <c r="BD293" s="7"/>
      <c r="BE293" s="7"/>
      <c r="BF293" s="7"/>
      <c r="BG293" s="7"/>
    </row>
    <row r="294" spans="1:59">
      <c r="A294" s="55" t="str">
        <f>HYPERLINK("tag_data/Quicklook/mn180807-49Quicklook.jpg","mn180807-49")</f>
        <v>mn180807-49</v>
      </c>
      <c r="B294" s="26" t="str">
        <f t="shared" si="83"/>
        <v>mn</v>
      </c>
      <c r="C294" s="46" t="str">
        <f>HYPERLINK("location data/Monterey/2018","Monterey")</f>
        <v>Monterey</v>
      </c>
      <c r="D294" s="64" t="s">
        <v>1116</v>
      </c>
      <c r="E294" s="61" t="s">
        <v>1117</v>
      </c>
      <c r="F294" s="85">
        <v>-7</v>
      </c>
      <c r="G294" s="60" t="s">
        <v>455</v>
      </c>
      <c r="H294" s="31" t="s">
        <v>39</v>
      </c>
      <c r="I294" s="46" t="str">
        <f>HYPERLINK("tag_data/mn180807-49 (Monterey)","Link")</f>
        <v>Link</v>
      </c>
      <c r="J294" s="46" t="str">
        <f>HYPERLINK("tag_data_raw/Monterey/2018/mn180807-49","Link")</f>
        <v>Link</v>
      </c>
      <c r="K294" s="46" t="str">
        <f>HYPERLINK("tag_data/mn180807-49 (Monterey)/Pics&amp;Vids","Link")</f>
        <v>Link</v>
      </c>
      <c r="L294" s="54" t="str">
        <f>HYPERLINK("location data/Monterey/2018/Pics&amp;Vids/08.07/49 deploy cropped.mp4","Link")</f>
        <v>Link</v>
      </c>
      <c r="M294" s="82" t="s">
        <v>263</v>
      </c>
      <c r="N294" s="54" t="str">
        <f>HYPERLINK("location data\Monterey\2018\20180807-MUS.mdb","Link")</f>
        <v>Link</v>
      </c>
      <c r="O294" s="79" t="str">
        <f>HYPERLINK("https://happywhale.com/individual/11388;enc=43607;event=84178","Jetson (MN0501465)")</f>
        <v>Jetson (MN0501465)</v>
      </c>
      <c r="P294" s="33" t="s">
        <v>1119</v>
      </c>
      <c r="Q294" s="31">
        <f>LEFT(RIGHT(A294,LEN(A294)-FIND("-",A294)),MIN(SEARCH({"a","b","c","d","e","f","g","h","i","j","k","l","m","n","o","p","q","r","s","t","u","v","w","x","y","z"},RIGHT(A294,LEN(A294)-FIND("-",A294))&amp;"abcdefghijklmnopqrstuvwxyz"))-1)+1-1</f>
        <v>49</v>
      </c>
      <c r="R294" s="32" t="str">
        <f t="shared" si="79"/>
        <v>Wireless</v>
      </c>
      <c r="S294" s="32" t="str">
        <f t="shared" si="80"/>
        <v>HTI</v>
      </c>
      <c r="T294" s="32" t="s">
        <v>566</v>
      </c>
      <c r="U294" s="17">
        <f t="shared" si="81"/>
        <v>0.22392361111269565</v>
      </c>
      <c r="V294" s="17">
        <f t="shared" si="82"/>
        <v>0.22392361111269565</v>
      </c>
      <c r="W294" s="56">
        <v>0.18204861111111112</v>
      </c>
      <c r="X294" s="54" t="str">
        <f>HYPERLINK("tag_data/mn180807-49 (Monterey)/mn180807-49 Map.bmp","6")</f>
        <v>6</v>
      </c>
      <c r="Y294" s="42"/>
      <c r="Z294" s="31" t="s">
        <v>39</v>
      </c>
      <c r="AA294" s="31" t="s">
        <v>41</v>
      </c>
      <c r="AB294" s="31" t="s">
        <v>372</v>
      </c>
      <c r="AC294" s="31" t="s">
        <v>41</v>
      </c>
      <c r="AD294" s="31" t="s">
        <v>39</v>
      </c>
      <c r="AE294" s="31" t="s">
        <v>266</v>
      </c>
      <c r="AF294" s="31" t="s">
        <v>39</v>
      </c>
      <c r="AG294" s="31" t="s">
        <v>41</v>
      </c>
      <c r="AH294" s="31" t="s">
        <v>41</v>
      </c>
      <c r="AI294" s="31" t="s">
        <v>41</v>
      </c>
      <c r="AJ294" s="31" t="s">
        <v>41</v>
      </c>
      <c r="AK294" s="31" t="s">
        <v>41</v>
      </c>
      <c r="AL294" s="31" t="s">
        <v>41</v>
      </c>
      <c r="AM294" s="33" t="s">
        <v>1413</v>
      </c>
      <c r="AN294" s="32" t="s">
        <v>627</v>
      </c>
      <c r="AO294" s="32" t="s">
        <v>345</v>
      </c>
      <c r="AP294" s="30">
        <v>43319.353564814817</v>
      </c>
      <c r="AQ294" s="30">
        <v>43319.373379629629</v>
      </c>
      <c r="AR294" s="30">
        <v>43319.597303240742</v>
      </c>
      <c r="AS294" s="92" t="s">
        <v>651</v>
      </c>
      <c r="AT294" s="155">
        <v>36.799188461</v>
      </c>
      <c r="AU294" s="155">
        <v>-121.824448903</v>
      </c>
      <c r="AV294" s="153" t="s">
        <v>313</v>
      </c>
      <c r="AW294" s="106" t="s">
        <v>1118</v>
      </c>
      <c r="AX294" s="30">
        <v>43319.599398148152</v>
      </c>
      <c r="AY294" s="107">
        <f>36+48.123/60</f>
        <v>36.802050000000001</v>
      </c>
      <c r="AZ294" s="107">
        <f>-121-48.528/60</f>
        <v>-121.80880000000001</v>
      </c>
      <c r="BA294" s="32" t="s">
        <v>1414</v>
      </c>
      <c r="BB294" s="32" t="s">
        <v>1416</v>
      </c>
      <c r="BC294" s="7"/>
      <c r="BD294" s="7"/>
      <c r="BE294" s="7"/>
      <c r="BF294" s="7"/>
      <c r="BG294" s="7"/>
    </row>
    <row r="295" spans="1:59">
      <c r="A295" s="55" t="str">
        <f>HYPERLINK("tag_data/Quicklook/mn180831-11Quicklook.jpg","mn180831-11")</f>
        <v>mn180831-11</v>
      </c>
      <c r="B295" s="26" t="str">
        <f t="shared" si="83"/>
        <v>mn</v>
      </c>
      <c r="C295" s="42" t="str">
        <f t="shared" ref="C295:C304" si="84">HYPERLINK("location data/IOS_Scaling/2018","Monterey")</f>
        <v>Monterey</v>
      </c>
      <c r="D295" s="64" t="s">
        <v>849</v>
      </c>
      <c r="E295" s="69" t="s">
        <v>1154</v>
      </c>
      <c r="F295" s="85">
        <v>-7</v>
      </c>
      <c r="G295" s="60" t="s">
        <v>456</v>
      </c>
      <c r="H295" s="31" t="s">
        <v>39</v>
      </c>
      <c r="I295" s="46" t="s">
        <v>1165</v>
      </c>
      <c r="J295" s="46" t="s">
        <v>1165</v>
      </c>
      <c r="K295" s="72" t="str">
        <f>HYPERLINK("tag_data/mn180831-11 (IOS_Monterey)/Pics&amp;Vids","Link")</f>
        <v>Link</v>
      </c>
      <c r="L295" s="54" t="str">
        <f>HYPERLINK("location data/IOS_Scaling/2018/Pics&amp;Vids/08.31/Ziphiid Videos/GOPR1335.MP4","Link")</f>
        <v>Link</v>
      </c>
      <c r="M295" s="72" t="str">
        <f>HYPERLINK("tag_data/mn180831-11 (IOS_Monterey)/Pics&amp;Vids/drone","12.93 m")</f>
        <v>12.93 m</v>
      </c>
      <c r="N295" s="54" t="str">
        <f t="shared" ref="N295:N304" si="85">HYPERLINK("location data\IOS_Scaling\2018\CRC Mobile Data Compiler-2018 CCES WC IOS Jul-Oct.mdb","Link")</f>
        <v>Link</v>
      </c>
      <c r="O295" s="54" t="str">
        <f>HYPERLINK("https://happywhale.com/individual/21057;enc=50782;event=100357","CRC-11524")</f>
        <v>CRC-11524</v>
      </c>
      <c r="P295" s="33" t="s">
        <v>1144</v>
      </c>
      <c r="Q295" s="31">
        <f>LEFT(RIGHT(A295,LEN(A295)-FIND("-",A295)),MIN(SEARCH({"a","b","c","d","e","f","g","h","i","j","k","l","m","n","o","p","q","r","s","t","u","v","w","x","y","z"},RIGHT(A295,LEN(A295)-FIND("-",A295))&amp;"abcdefghijklmnopqrstuvwxyz"))-1)+1-1</f>
        <v>11</v>
      </c>
      <c r="R295" s="32" t="s">
        <v>133</v>
      </c>
      <c r="S295" s="32" t="s">
        <v>1393</v>
      </c>
      <c r="T295" s="31" t="s">
        <v>263</v>
      </c>
      <c r="U295" s="17">
        <f t="shared" si="81"/>
        <v>2.5786111111083301</v>
      </c>
      <c r="V295" s="17">
        <f t="shared" si="82"/>
        <v>0.23995370369812008</v>
      </c>
      <c r="W295" s="56" t="s">
        <v>346</v>
      </c>
      <c r="X295" s="54">
        <v>229</v>
      </c>
      <c r="Y295" s="42"/>
      <c r="Z295" s="31" t="s">
        <v>41</v>
      </c>
      <c r="AA295" s="31" t="s">
        <v>41</v>
      </c>
      <c r="AB295" s="31" t="s">
        <v>372</v>
      </c>
      <c r="AC295" s="31" t="s">
        <v>39</v>
      </c>
      <c r="AD295" s="31" t="s">
        <v>41</v>
      </c>
      <c r="AE295" s="31" t="s">
        <v>41</v>
      </c>
      <c r="AF295" s="31" t="s">
        <v>41</v>
      </c>
      <c r="AG295" s="31" t="s">
        <v>41</v>
      </c>
      <c r="AH295" s="31" t="s">
        <v>41</v>
      </c>
      <c r="AI295" s="31" t="s">
        <v>41</v>
      </c>
      <c r="AJ295" s="31" t="s">
        <v>41</v>
      </c>
      <c r="AK295" s="31" t="s">
        <v>41</v>
      </c>
      <c r="AL295" s="31" t="s">
        <v>41</v>
      </c>
      <c r="AM295" s="31" t="s">
        <v>41</v>
      </c>
      <c r="AN295" s="32" t="s">
        <v>1166</v>
      </c>
      <c r="AO295" s="32" t="s">
        <v>345</v>
      </c>
      <c r="AP295" s="30">
        <v>43343.32435185185</v>
      </c>
      <c r="AQ295" s="30">
        <v>43343.421388888892</v>
      </c>
      <c r="AR295" s="30">
        <v>43346</v>
      </c>
      <c r="AS295" s="92">
        <v>43343.66134259259</v>
      </c>
      <c r="AT295" s="155">
        <v>36.808329999999998</v>
      </c>
      <c r="AU295" s="155">
        <v>-121.85420000000001</v>
      </c>
      <c r="AV295" s="153" t="s">
        <v>339</v>
      </c>
      <c r="AW295" s="106" t="s">
        <v>341</v>
      </c>
      <c r="AX295" s="30">
        <v>43346.270833333336</v>
      </c>
      <c r="AY295" s="107">
        <v>36.742199999999997</v>
      </c>
      <c r="AZ295" s="107">
        <v>-121.80549999999999</v>
      </c>
      <c r="BA295" s="32" t="s">
        <v>1158</v>
      </c>
      <c r="BB295" s="49" t="s">
        <v>1372</v>
      </c>
      <c r="BC295" s="7"/>
      <c r="BD295" s="7"/>
      <c r="BE295" s="7"/>
      <c r="BF295" s="7"/>
      <c r="BG295" s="7"/>
    </row>
    <row r="296" spans="1:59">
      <c r="A296" s="55" t="str">
        <f>HYPERLINK("tag_data/Quicklook/mn180831-20Quicklook.jpg","mn180831-20")</f>
        <v>mn180831-20</v>
      </c>
      <c r="B296" s="26" t="str">
        <f t="shared" si="83"/>
        <v>mn</v>
      </c>
      <c r="C296" s="42" t="str">
        <f t="shared" si="84"/>
        <v>Monterey</v>
      </c>
      <c r="D296" s="64" t="s">
        <v>849</v>
      </c>
      <c r="E296" s="69" t="s">
        <v>1154</v>
      </c>
      <c r="F296" s="85">
        <v>-7</v>
      </c>
      <c r="G296" s="60" t="s">
        <v>456</v>
      </c>
      <c r="H296" s="31" t="s">
        <v>39</v>
      </c>
      <c r="I296" s="46" t="str">
        <f>HYPERLINK("tag_data/mn180831-20 (IOS_Monterey)","Link")</f>
        <v>Link</v>
      </c>
      <c r="J296" s="46" t="str">
        <f>HYPERLINK("tag_data_raw/IOS_Scaling/2018/mn180831-20","Link")</f>
        <v>Link</v>
      </c>
      <c r="K296" s="72" t="str">
        <f>HYPERLINK("tag_data/mn180831-20 (IOS_Monterey)/Pics&amp;Vids","Link")</f>
        <v>Link</v>
      </c>
      <c r="L296" s="54" t="str">
        <f>HYPERLINK("location data\IOS_Scaling\2018\Pics&amp;Vids\08.31\Ziphiid Videos\GOPR1342.MP4","Link")</f>
        <v>Link</v>
      </c>
      <c r="M296" s="72" t="str">
        <f>HYPERLINK("tag_data/mn180831-20 (IOS_Monterey)/Pics&amp;Vids/drone","12.38 m")</f>
        <v>12.38 m</v>
      </c>
      <c r="N296" s="54" t="str">
        <f t="shared" si="85"/>
        <v>Link</v>
      </c>
      <c r="O296" s="54" t="str">
        <f>HYPERLINK("https://happywhale.com/individual/4318;enc=50762;event=100349","MN0500766")</f>
        <v>MN0500766</v>
      </c>
      <c r="P296" s="33" t="s">
        <v>1145</v>
      </c>
      <c r="Q296" s="31">
        <f>LEFT(RIGHT(A296,LEN(A296)-FIND("-",A296)),MIN(SEARCH({"a","b","c","d","e","f","g","h","i","j","k","l","m","n","o","p","q","r","s","t","u","v","w","x","y","z"},RIGHT(A296,LEN(A296)-FIND("-",A296))&amp;"abcdefghijklmnopqrstuvwxyz"))-1)+1-1</f>
        <v>20</v>
      </c>
      <c r="R296" s="32" t="s">
        <v>132</v>
      </c>
      <c r="S296" s="32" t="str">
        <f t="shared" ref="S296:S315" si="86">IF(OR(Q296&lt;39,Q296=50,Q296=51,AND(OR(Q296=46,Q296=47),AQ296&gt;43313)),"Cam Mic",IF(AND(Q296&lt;45,AQ296&lt;42958),"Dolphin Ear",IF(AND(Q296&gt;44,NOT(OR(Q296=46,Q296=47,Q296=50,Q296=51))),"HTI","None")))</f>
        <v>Cam Mic</v>
      </c>
      <c r="T296" s="32" t="s">
        <v>1243</v>
      </c>
      <c r="U296" s="17">
        <f t="shared" si="81"/>
        <v>0.13976851852203254</v>
      </c>
      <c r="V296" s="17">
        <f t="shared" si="82"/>
        <v>0.13976851852203254</v>
      </c>
      <c r="W296" s="56">
        <v>0.11800925925925926</v>
      </c>
      <c r="X296" s="31">
        <v>18</v>
      </c>
      <c r="Y296" s="42"/>
      <c r="Z296" s="31" t="s">
        <v>39</v>
      </c>
      <c r="AA296" s="31" t="s">
        <v>39</v>
      </c>
      <c r="AB296" s="31" t="s">
        <v>372</v>
      </c>
      <c r="AC296" s="31" t="s">
        <v>39</v>
      </c>
      <c r="AD296" s="31" t="s">
        <v>39</v>
      </c>
      <c r="AE296" s="31" t="s">
        <v>39</v>
      </c>
      <c r="AF296" s="31" t="s">
        <v>39</v>
      </c>
      <c r="AG296" s="31" t="s">
        <v>41</v>
      </c>
      <c r="AH296" s="31" t="s">
        <v>831</v>
      </c>
      <c r="AI296" s="31" t="s">
        <v>39</v>
      </c>
      <c r="AJ296" s="31" t="s">
        <v>39</v>
      </c>
      <c r="AK296" s="31" t="s">
        <v>39</v>
      </c>
      <c r="AL296" s="31" t="s">
        <v>41</v>
      </c>
      <c r="AM296" s="31" t="s">
        <v>1167</v>
      </c>
      <c r="AN296" s="32" t="s">
        <v>1244</v>
      </c>
      <c r="AO296" s="32" t="s">
        <v>345</v>
      </c>
      <c r="AP296" s="30">
        <v>43343.451493055552</v>
      </c>
      <c r="AQ296" s="30">
        <v>43343.459965277776</v>
      </c>
      <c r="AR296" s="30">
        <v>43343.599733796298</v>
      </c>
      <c r="AS296" s="92" t="s">
        <v>651</v>
      </c>
      <c r="AT296" s="155">
        <v>36.786333333333332</v>
      </c>
      <c r="AU296" s="155">
        <v>-121.84399999999999</v>
      </c>
      <c r="AV296" s="153" t="s">
        <v>339</v>
      </c>
      <c r="AW296" s="106" t="s">
        <v>313</v>
      </c>
      <c r="AX296" s="30">
        <v>43343.72152777778</v>
      </c>
      <c r="AY296" s="107">
        <v>36.783333333333331</v>
      </c>
      <c r="AZ296" s="107">
        <v>-121.83666666666667</v>
      </c>
      <c r="BA296" s="32" t="s">
        <v>1245</v>
      </c>
      <c r="BB296" s="49" t="s">
        <v>1373</v>
      </c>
      <c r="BC296" s="7"/>
      <c r="BD296" s="7"/>
      <c r="BE296" s="7"/>
      <c r="BF296" s="7"/>
      <c r="BG296" s="7"/>
    </row>
    <row r="297" spans="1:59">
      <c r="A297" s="55" t="str">
        <f>HYPERLINK("tag_data/Quicklook/mn180831-30Quicklook.jpg","mn180831-30")</f>
        <v>mn180831-30</v>
      </c>
      <c r="B297" s="26" t="str">
        <f t="shared" si="83"/>
        <v>mn</v>
      </c>
      <c r="C297" s="42" t="str">
        <f t="shared" si="84"/>
        <v>Monterey</v>
      </c>
      <c r="D297" s="64" t="s">
        <v>849</v>
      </c>
      <c r="E297" s="69" t="s">
        <v>1154</v>
      </c>
      <c r="F297" s="85">
        <v>-7</v>
      </c>
      <c r="G297" s="60" t="s">
        <v>456</v>
      </c>
      <c r="H297" s="31" t="s">
        <v>39</v>
      </c>
      <c r="I297" s="46" t="str">
        <f>HYPERLINK("tag_data/mn180831-30 (IOS_Monterey)","Link")</f>
        <v>Link</v>
      </c>
      <c r="J297" s="46" t="str">
        <f>HYPERLINK("tag_data_raw/IOS_Scaling/2018/mn180831-30","Link")</f>
        <v>Link</v>
      </c>
      <c r="K297" s="72" t="str">
        <f>HYPERLINK("tag_data/mn180831-30 (IOS_Monterey)/Pics&amp;Vids","Link")</f>
        <v>Link</v>
      </c>
      <c r="L297" s="54" t="str">
        <f>HYPERLINK("location data\IOS_Scaling\2018\Pics&amp;Vids\08.31\Ziphiid Videos\GOPR1329.MP4","Link")</f>
        <v>Link</v>
      </c>
      <c r="M297" s="72" t="str">
        <f>HYPERLINK("tag_data/mn180831-30 (IOS_Monterey)/Pics&amp;Vids/drone","7.82 m")</f>
        <v>7.82 m</v>
      </c>
      <c r="N297" s="54" t="str">
        <f t="shared" si="85"/>
        <v>Link</v>
      </c>
      <c r="O297" s="54" t="str">
        <f>HYPERLINK("https://happywhale.com/encounter/50781;event=100342","U")</f>
        <v>U</v>
      </c>
      <c r="P297" s="31" t="s">
        <v>41</v>
      </c>
      <c r="Q297" s="31">
        <f>LEFT(RIGHT(A297,LEN(A297)-FIND("-",A297)),MIN(SEARCH({"a","b","c","d","e","f","g","h","i","j","k","l","m","n","o","p","q","r","s","t","u","v","w","x","y","z"},RIGHT(A297,LEN(A297)-FIND("-",A297))&amp;"abcdefghijklmnopqrstuvwxyz"))-1)+1-1</f>
        <v>30</v>
      </c>
      <c r="R297" s="32" t="s">
        <v>1131</v>
      </c>
      <c r="S297" s="32" t="str">
        <f t="shared" si="86"/>
        <v>Cam Mic</v>
      </c>
      <c r="T297" s="32" t="s">
        <v>63</v>
      </c>
      <c r="U297" s="17">
        <f t="shared" si="81"/>
        <v>0.24559027777286246</v>
      </c>
      <c r="V297" s="17">
        <f t="shared" si="82"/>
        <v>0.24559027777286246</v>
      </c>
      <c r="W297" s="56">
        <v>0.12824074074074074</v>
      </c>
      <c r="X297" s="31">
        <v>0</v>
      </c>
      <c r="Y297" s="42"/>
      <c r="Z297" s="31" t="s">
        <v>41</v>
      </c>
      <c r="AA297" s="31" t="s">
        <v>831</v>
      </c>
      <c r="AB297" s="31" t="s">
        <v>372</v>
      </c>
      <c r="AC297" s="31" t="s">
        <v>39</v>
      </c>
      <c r="AD297" s="31" t="s">
        <v>39</v>
      </c>
      <c r="AE297" s="31" t="s">
        <v>39</v>
      </c>
      <c r="AF297" s="31" t="s">
        <v>39</v>
      </c>
      <c r="AG297" s="31" t="s">
        <v>39</v>
      </c>
      <c r="AH297" s="31" t="s">
        <v>831</v>
      </c>
      <c r="AI297" s="31" t="s">
        <v>39</v>
      </c>
      <c r="AJ297" s="31" t="s">
        <v>831</v>
      </c>
      <c r="AK297" s="31" t="s">
        <v>831</v>
      </c>
      <c r="AL297" s="31" t="s">
        <v>39</v>
      </c>
      <c r="AM297" s="31" t="s">
        <v>1231</v>
      </c>
      <c r="AN297" s="32" t="s">
        <v>1232</v>
      </c>
      <c r="AO297" s="32" t="s">
        <v>345</v>
      </c>
      <c r="AP297" s="30">
        <v>43343.320162037038</v>
      </c>
      <c r="AQ297" s="30">
        <v>43343.323344907411</v>
      </c>
      <c r="AR297" s="30">
        <v>43343.568935185183</v>
      </c>
      <c r="AS297" s="92" t="s">
        <v>651</v>
      </c>
      <c r="AT297" s="155">
        <v>36.784666666666666</v>
      </c>
      <c r="AU297" s="155">
        <v>-121.84366666666666</v>
      </c>
      <c r="AV297" s="153" t="s">
        <v>339</v>
      </c>
      <c r="AW297" s="106" t="s">
        <v>1146</v>
      </c>
      <c r="AX297" s="30">
        <v>43343.580694444441</v>
      </c>
      <c r="AY297" s="107">
        <v>36.804833333333335</v>
      </c>
      <c r="AZ297" s="107">
        <v>-121.8355</v>
      </c>
      <c r="BA297" s="32" t="s">
        <v>1147</v>
      </c>
      <c r="BB297" s="49" t="s">
        <v>1374</v>
      </c>
      <c r="BC297" s="7"/>
      <c r="BD297" s="7"/>
      <c r="BE297" s="7"/>
      <c r="BF297" s="7"/>
      <c r="BG297" s="7"/>
    </row>
    <row r="298" spans="1:59">
      <c r="A298" s="55" t="str">
        <f>HYPERLINK("tag_data/Quicklook/mn180831-44Quicklook.jpg","mn180831-44")</f>
        <v>mn180831-44</v>
      </c>
      <c r="B298" s="26" t="str">
        <f t="shared" si="83"/>
        <v>mn</v>
      </c>
      <c r="C298" s="42" t="str">
        <f t="shared" si="84"/>
        <v>Monterey</v>
      </c>
      <c r="D298" s="64" t="s">
        <v>849</v>
      </c>
      <c r="E298" s="69" t="s">
        <v>1154</v>
      </c>
      <c r="F298" s="85">
        <v>-7</v>
      </c>
      <c r="G298" s="60" t="s">
        <v>456</v>
      </c>
      <c r="H298" s="31" t="s">
        <v>39</v>
      </c>
      <c r="I298" s="46" t="str">
        <f>HYPERLINK("tag_data/mn180831-44 (IOS_Monterey)","Link")</f>
        <v>Link</v>
      </c>
      <c r="J298" s="46" t="str">
        <f>HYPERLINK("tag_data_raw/IOS_Scaling/2018/mn180831-44","Link")</f>
        <v>Link</v>
      </c>
      <c r="K298" s="72" t="str">
        <f>HYPERLINK("tag_data/mn180831-44 (IOS_Monterey)/Pics&amp;Vids","Link")</f>
        <v>Link</v>
      </c>
      <c r="L298" s="29" t="s">
        <v>263</v>
      </c>
      <c r="M298" s="54" t="str">
        <f>HYPERLINK("tag_data/mn180831-44 (IOS_Monterey)/Pics&amp;Vids/drone","13.1 m")</f>
        <v>13.1 m</v>
      </c>
      <c r="N298" s="54" t="str">
        <f t="shared" si="85"/>
        <v>Link</v>
      </c>
      <c r="O298" s="54" t="str">
        <f>HYPERLINK("https://happywhale.com/encounter/50768;event=100329","U")</f>
        <v>U</v>
      </c>
      <c r="P298" s="31" t="s">
        <v>41</v>
      </c>
      <c r="Q298" s="31">
        <f>LEFT(RIGHT(A298,LEN(A298)-FIND("-",A298)),MIN(SEARCH({"a","b","c","d","e","f","g","h","i","j","k","l","m","n","o","p","q","r","s","t","u","v","w","x","y","z"},RIGHT(A298,LEN(A298)-FIND("-",A298))&amp;"abcdefghijklmnopqrstuvwxyz"))-1)+1-1</f>
        <v>44</v>
      </c>
      <c r="R298" s="32" t="str">
        <f>IF(AND(Q298+1&gt;40,Q298+1&lt;=50),"Wireless","")</f>
        <v>Wireless</v>
      </c>
      <c r="S298" s="32" t="str">
        <f t="shared" si="86"/>
        <v>None</v>
      </c>
      <c r="T298" s="32" t="s">
        <v>63</v>
      </c>
      <c r="U298" s="17">
        <f t="shared" si="81"/>
        <v>8.5844907407590654E-2</v>
      </c>
      <c r="V298" s="17">
        <f t="shared" si="82"/>
        <v>8.5844907407590654E-2</v>
      </c>
      <c r="W298" s="56">
        <v>8.5358796296296294E-2</v>
      </c>
      <c r="X298" s="54" t="str">
        <f>HYPERLINK("tag_data/mn180831-44 (IOS_Monterey)/mn180831-44 Map.bmp","44")</f>
        <v>44</v>
      </c>
      <c r="Y298" s="42"/>
      <c r="Z298" s="31" t="s">
        <v>39</v>
      </c>
      <c r="AA298" s="31" t="s">
        <v>39</v>
      </c>
      <c r="AB298" s="31" t="s">
        <v>372</v>
      </c>
      <c r="AC298" s="31" t="s">
        <v>39</v>
      </c>
      <c r="AD298" s="31" t="s">
        <v>39</v>
      </c>
      <c r="AE298" s="31" t="s">
        <v>41</v>
      </c>
      <c r="AF298" s="31" t="s">
        <v>39</v>
      </c>
      <c r="AG298" s="31" t="s">
        <v>41</v>
      </c>
      <c r="AH298" s="31" t="s">
        <v>41</v>
      </c>
      <c r="AI298" s="31" t="s">
        <v>39</v>
      </c>
      <c r="AJ298" s="31" t="s">
        <v>41</v>
      </c>
      <c r="AK298" s="33" t="s">
        <v>831</v>
      </c>
      <c r="AL298" s="31" t="s">
        <v>41</v>
      </c>
      <c r="AM298" s="31" t="s">
        <v>1167</v>
      </c>
      <c r="AN298" s="32" t="s">
        <v>1168</v>
      </c>
      <c r="AO298" s="32" t="s">
        <v>345</v>
      </c>
      <c r="AP298" s="30">
        <v>43343.422569444447</v>
      </c>
      <c r="AQ298" s="30">
        <v>43343.450671296298</v>
      </c>
      <c r="AR298" s="30">
        <v>43343.536516203705</v>
      </c>
      <c r="AS298" s="92" t="s">
        <v>651</v>
      </c>
      <c r="AT298" s="155">
        <v>36.786949335000003</v>
      </c>
      <c r="AU298" s="155">
        <v>-121.841374147</v>
      </c>
      <c r="AV298" s="153" t="s">
        <v>339</v>
      </c>
      <c r="AW298" s="106" t="s">
        <v>313</v>
      </c>
      <c r="AX298" s="30">
        <v>43343.727083333331</v>
      </c>
      <c r="AY298" s="107">
        <v>36.784833333333331</v>
      </c>
      <c r="AZ298" s="107">
        <v>-121.81666666666666</v>
      </c>
      <c r="BA298" s="32" t="s">
        <v>1148</v>
      </c>
      <c r="BB298" s="49"/>
      <c r="BC298" s="7"/>
      <c r="BD298" s="7"/>
      <c r="BE298" s="7"/>
      <c r="BF298" s="7"/>
      <c r="BG298" s="7"/>
    </row>
    <row r="299" spans="1:59">
      <c r="A299" s="55" t="str">
        <f>HYPERLINK("tag_data/Quicklook/mn180906-20Quicklook.jpg","mn180906-20")</f>
        <v>mn180906-20</v>
      </c>
      <c r="B299" s="26" t="str">
        <f t="shared" si="83"/>
        <v>mn</v>
      </c>
      <c r="C299" s="42" t="str">
        <f t="shared" si="84"/>
        <v>Monterey</v>
      </c>
      <c r="D299" s="64" t="s">
        <v>849</v>
      </c>
      <c r="E299" s="69" t="s">
        <v>1154</v>
      </c>
      <c r="F299" s="85">
        <v>-7</v>
      </c>
      <c r="G299" s="60" t="s">
        <v>456</v>
      </c>
      <c r="H299" s="31" t="s">
        <v>39</v>
      </c>
      <c r="I299" s="46" t="str">
        <f>HYPERLINK("tag_data/mn180906-20 (IOS_Monterey)","Link")</f>
        <v>Link</v>
      </c>
      <c r="J299" s="46" t="str">
        <f>HYPERLINK("tag_data_raw/IOS_Scaling/2018/mn180906-20","Link")</f>
        <v>Link</v>
      </c>
      <c r="K299" s="72" t="str">
        <f>HYPERLINK("tag_data/mn180906-20 (IOS_Monterey)/Pics&amp;Vids","Link")</f>
        <v>Link</v>
      </c>
      <c r="L299" s="29" t="s">
        <v>263</v>
      </c>
      <c r="M299" s="78" t="s">
        <v>266</v>
      </c>
      <c r="N299" s="54" t="str">
        <f t="shared" si="85"/>
        <v>Link</v>
      </c>
      <c r="O299" s="54" t="str">
        <f>HYPERLINK("https://happywhale.com/encounter/50778;event=100339","U")</f>
        <v>U</v>
      </c>
      <c r="P299" s="33" t="s">
        <v>1149</v>
      </c>
      <c r="Q299" s="31">
        <f>LEFT(RIGHT(A299,LEN(A299)-FIND("-",A299)),MIN(SEARCH({"a","b","c","d","e","f","g","h","i","j","k","l","m","n","o","p","q","r","s","t","u","v","w","x","y","z"},RIGHT(A299,LEN(A299)-FIND("-",A299))&amp;"abcdefghijklmnopqrstuvwxyz"))-1)+1-1</f>
        <v>20</v>
      </c>
      <c r="R299" s="32" t="s">
        <v>132</v>
      </c>
      <c r="S299" s="32" t="str">
        <f t="shared" si="86"/>
        <v>Cam Mic</v>
      </c>
      <c r="T299" s="32" t="s">
        <v>330</v>
      </c>
      <c r="U299" s="17">
        <f t="shared" si="81"/>
        <v>2.975694443739485E-2</v>
      </c>
      <c r="V299" s="17">
        <f t="shared" si="82"/>
        <v>2.975694443739485E-2</v>
      </c>
      <c r="W299" s="56">
        <v>7.2337962962962963E-3</v>
      </c>
      <c r="X299" s="31">
        <v>1</v>
      </c>
      <c r="Y299" s="42"/>
      <c r="Z299" s="31" t="s">
        <v>41</v>
      </c>
      <c r="AA299" s="31" t="s">
        <v>41</v>
      </c>
      <c r="AB299" s="31" t="s">
        <v>372</v>
      </c>
      <c r="AC299" s="31" t="s">
        <v>39</v>
      </c>
      <c r="AD299" s="31" t="s">
        <v>41</v>
      </c>
      <c r="AE299" s="31" t="s">
        <v>41</v>
      </c>
      <c r="AF299" s="31" t="s">
        <v>39</v>
      </c>
      <c r="AG299" s="31" t="s">
        <v>41</v>
      </c>
      <c r="AH299" s="31" t="s">
        <v>41</v>
      </c>
      <c r="AI299" s="31" t="s">
        <v>41</v>
      </c>
      <c r="AJ299" s="31" t="s">
        <v>39</v>
      </c>
      <c r="AK299" s="31" t="s">
        <v>39</v>
      </c>
      <c r="AL299" s="31" t="s">
        <v>41</v>
      </c>
      <c r="AM299" s="31" t="s">
        <v>1167</v>
      </c>
      <c r="AN299" s="32" t="s">
        <v>1166</v>
      </c>
      <c r="AO299" s="32" t="s">
        <v>345</v>
      </c>
      <c r="AP299" s="30">
        <v>43349.329386574071</v>
      </c>
      <c r="AQ299" s="30">
        <v>43349.332280092596</v>
      </c>
      <c r="AR299" s="30">
        <v>43349.362037037034</v>
      </c>
      <c r="AS299" s="92" t="s">
        <v>651</v>
      </c>
      <c r="AT299" s="155">
        <v>36.803666666666665</v>
      </c>
      <c r="AU299" s="155">
        <v>-121.80116666666666</v>
      </c>
      <c r="AV299" s="153" t="s">
        <v>339</v>
      </c>
      <c r="AW299" s="106" t="s">
        <v>339</v>
      </c>
      <c r="AX299" s="30">
        <v>43350.412499999999</v>
      </c>
      <c r="AY299" s="107">
        <v>36.763500000000001</v>
      </c>
      <c r="AZ299" s="107">
        <v>-122.23616666666666</v>
      </c>
      <c r="BA299" s="32" t="s">
        <v>1246</v>
      </c>
      <c r="BB299" s="49" t="s">
        <v>1375</v>
      </c>
      <c r="BE299" s="7"/>
      <c r="BF299" s="7"/>
      <c r="BG299" s="7"/>
    </row>
    <row r="300" spans="1:59">
      <c r="A300" s="55" t="str">
        <f>HYPERLINK("tag_data/Quicklook/mn180906-30aQuicklook.jpg","mn180906-30a")</f>
        <v>mn180906-30a</v>
      </c>
      <c r="B300" s="26" t="str">
        <f t="shared" si="83"/>
        <v>mn</v>
      </c>
      <c r="C300" s="42" t="str">
        <f t="shared" si="84"/>
        <v>Monterey</v>
      </c>
      <c r="D300" s="64" t="s">
        <v>849</v>
      </c>
      <c r="E300" s="69" t="s">
        <v>1154</v>
      </c>
      <c r="F300" s="85">
        <v>-7</v>
      </c>
      <c r="G300" s="60" t="s">
        <v>456</v>
      </c>
      <c r="H300" s="31" t="s">
        <v>39</v>
      </c>
      <c r="I300" s="46" t="str">
        <f>HYPERLINK("tag_data/mn180906-30a (IOS_Monterey)","Link")</f>
        <v>Link</v>
      </c>
      <c r="J300" s="46" t="str">
        <f>HYPERLINK("tag_data_raw/IOS_Scaling/2018/mn180906-30/a","Link")</f>
        <v>Link</v>
      </c>
      <c r="K300" s="72" t="str">
        <f>HYPERLINK("tag_data/mn180906-30a (IOS_Monterey)/Pics&amp;Vids","Link")</f>
        <v>Link</v>
      </c>
      <c r="L300" s="29" t="s">
        <v>263</v>
      </c>
      <c r="M300" s="82" t="s">
        <v>263</v>
      </c>
      <c r="N300" s="54" t="str">
        <f t="shared" si="85"/>
        <v>Link</v>
      </c>
      <c r="O300" s="54" t="str">
        <f>HYPERLINK("https://happywhale.com/individual/7154;enc=49325;event=107316","CRC-16089")</f>
        <v>CRC-16089</v>
      </c>
      <c r="P300" s="33" t="s">
        <v>1157</v>
      </c>
      <c r="Q300" s="31">
        <f>LEFT(RIGHT(A300,LEN(A300)-FIND("-",A300)),MIN(SEARCH({"a","b","c","d","e","f","g","h","i","j","k","l","m","n","o","p","q","r","s","t","u","v","w","x","y","z"},RIGHT(A300,LEN(A300)-FIND("-",A300))&amp;"abcdefghijklmnopqrstuvwxyz"))-1)+1-1</f>
        <v>30</v>
      </c>
      <c r="R300" s="32" t="s">
        <v>1131</v>
      </c>
      <c r="S300" s="32" t="str">
        <f t="shared" si="86"/>
        <v>Cam Mic</v>
      </c>
      <c r="T300" s="32" t="s">
        <v>38</v>
      </c>
      <c r="U300" s="17">
        <f t="shared" si="81"/>
        <v>1.9895833334885538E-2</v>
      </c>
      <c r="V300" s="17">
        <f t="shared" si="82"/>
        <v>1.9895833334885538E-2</v>
      </c>
      <c r="W300" s="56">
        <v>1.1539351851851851E-2</v>
      </c>
      <c r="X300" s="31">
        <v>0</v>
      </c>
      <c r="Y300" s="42"/>
      <c r="Z300" s="31" t="s">
        <v>39</v>
      </c>
      <c r="AA300" s="31" t="s">
        <v>41</v>
      </c>
      <c r="AB300" s="31" t="s">
        <v>372</v>
      </c>
      <c r="AC300" s="31" t="s">
        <v>39</v>
      </c>
      <c r="AD300" s="31" t="s">
        <v>41</v>
      </c>
      <c r="AE300" s="31" t="s">
        <v>41</v>
      </c>
      <c r="AF300" s="31" t="s">
        <v>39</v>
      </c>
      <c r="AG300" s="31" t="s">
        <v>41</v>
      </c>
      <c r="AH300" s="31" t="s">
        <v>41</v>
      </c>
      <c r="AI300" s="31" t="s">
        <v>39</v>
      </c>
      <c r="AJ300" s="31" t="s">
        <v>39</v>
      </c>
      <c r="AK300" s="31" t="s">
        <v>41</v>
      </c>
      <c r="AL300" s="31" t="s">
        <v>39</v>
      </c>
      <c r="AM300" s="33" t="s">
        <v>1206</v>
      </c>
      <c r="AN300" s="32" t="s">
        <v>1213</v>
      </c>
      <c r="AO300" s="32" t="s">
        <v>345</v>
      </c>
      <c r="AP300" s="30">
        <v>43349.335810185185</v>
      </c>
      <c r="AQ300" s="30">
        <v>43349.338912037034</v>
      </c>
      <c r="AR300" s="30">
        <v>43349.358807870369</v>
      </c>
      <c r="AS300" s="92" t="s">
        <v>651</v>
      </c>
      <c r="AT300" s="155">
        <v>36.805</v>
      </c>
      <c r="AU300" s="155">
        <v>-121.8045</v>
      </c>
      <c r="AV300" s="153" t="s">
        <v>339</v>
      </c>
      <c r="AW300" s="106" t="s">
        <v>339</v>
      </c>
      <c r="AX300" s="30">
        <v>43349.361979166664</v>
      </c>
      <c r="AY300" s="107">
        <v>36.804166666666667</v>
      </c>
      <c r="AZ300" s="107">
        <v>-121.80333333333333</v>
      </c>
      <c r="BA300" s="32" t="s">
        <v>1212</v>
      </c>
      <c r="BB300" s="49"/>
      <c r="BE300" s="7"/>
      <c r="BF300" s="7"/>
      <c r="BG300" s="7"/>
    </row>
    <row r="301" spans="1:59">
      <c r="A301" s="55" t="str">
        <f>HYPERLINK("tag_data/Quicklook/mn180906-30bQuicklook.jpg","mn180906-30b")</f>
        <v>mn180906-30b</v>
      </c>
      <c r="B301" s="26" t="str">
        <f t="shared" si="83"/>
        <v>mn</v>
      </c>
      <c r="C301" s="42" t="str">
        <f t="shared" si="84"/>
        <v>Monterey</v>
      </c>
      <c r="D301" s="64" t="s">
        <v>849</v>
      </c>
      <c r="E301" s="69" t="s">
        <v>1154</v>
      </c>
      <c r="F301" s="85">
        <v>-7</v>
      </c>
      <c r="G301" s="60" t="s">
        <v>456</v>
      </c>
      <c r="H301" s="31" t="s">
        <v>39</v>
      </c>
      <c r="I301" s="46" t="str">
        <f>HYPERLINK("tag_data/mn180906-30b (IOS_Monterey)","Link")</f>
        <v>Link</v>
      </c>
      <c r="J301" s="46" t="str">
        <f>HYPERLINK("tag_data_raw/IOS_Scaling/2018/mn180906-30","Link")</f>
        <v>Link</v>
      </c>
      <c r="K301" s="72" t="str">
        <f>HYPERLINK("tag_data/mn180906-30b (IOS_Monterey)/Pics&amp;Vids","Link")</f>
        <v>Link</v>
      </c>
      <c r="L301" s="54" t="str">
        <f>HYPERLINK("location data/IOS_Scaling/2018/Pics&amp;Vids/09.06/Ziphiid Videos/GOPR1367.MP4","Link")</f>
        <v>Link</v>
      </c>
      <c r="M301" s="72" t="str">
        <f>HYPERLINK("tag_data/mn180906-30b (IOS_Monterey)/Pics&amp;Vids/drone","11.65 m")</f>
        <v>11.65 m</v>
      </c>
      <c r="N301" s="54" t="str">
        <f t="shared" si="85"/>
        <v>Link</v>
      </c>
      <c r="O301" s="54" t="str">
        <f>HYPERLINK("https://happywhale.com/individual/21083;enc=50765;event=111933","MN0501548")</f>
        <v>MN0501548</v>
      </c>
      <c r="P301" s="33" t="s">
        <v>1150</v>
      </c>
      <c r="Q301" s="31">
        <f>LEFT(RIGHT(A301,LEN(A301)-FIND("-",A301)),MIN(SEARCH({"a","b","c","d","e","f","g","h","i","j","k","l","m","n","o","p","q","r","s","t","u","v","w","x","y","z"},RIGHT(A301,LEN(A301)-FIND("-",A301))&amp;"abcdefghijklmnopqrstuvwxyz"))-1)+1-1</f>
        <v>30</v>
      </c>
      <c r="R301" s="32" t="s">
        <v>1131</v>
      </c>
      <c r="S301" s="32" t="str">
        <f t="shared" si="86"/>
        <v>Cam Mic</v>
      </c>
      <c r="T301" s="32" t="s">
        <v>332</v>
      </c>
      <c r="U301" s="17">
        <f t="shared" si="81"/>
        <v>1.9328703703649808E-2</v>
      </c>
      <c r="V301" s="17">
        <f t="shared" si="82"/>
        <v>1.9328703703649808E-2</v>
      </c>
      <c r="W301" s="56">
        <v>1.2800925925925926E-2</v>
      </c>
      <c r="X301" s="31">
        <v>0</v>
      </c>
      <c r="Y301" s="42"/>
      <c r="Z301" s="31" t="s">
        <v>39</v>
      </c>
      <c r="AA301" s="31" t="s">
        <v>41</v>
      </c>
      <c r="AB301" s="31" t="s">
        <v>372</v>
      </c>
      <c r="AC301" s="31" t="s">
        <v>39</v>
      </c>
      <c r="AD301" s="31" t="s">
        <v>41</v>
      </c>
      <c r="AE301" s="31" t="s">
        <v>41</v>
      </c>
      <c r="AF301" s="31" t="s">
        <v>39</v>
      </c>
      <c r="AG301" s="31" t="s">
        <v>41</v>
      </c>
      <c r="AH301" s="31" t="s">
        <v>41</v>
      </c>
      <c r="AI301" s="31" t="s">
        <v>41</v>
      </c>
      <c r="AJ301" s="31" t="s">
        <v>39</v>
      </c>
      <c r="AK301" s="31" t="s">
        <v>41</v>
      </c>
      <c r="AL301" s="31" t="s">
        <v>41</v>
      </c>
      <c r="AM301" s="31" t="s">
        <v>1167</v>
      </c>
      <c r="AN301" s="32" t="s">
        <v>1213</v>
      </c>
      <c r="AO301" s="32" t="s">
        <v>345</v>
      </c>
      <c r="AP301" s="30">
        <v>43349.335810185185</v>
      </c>
      <c r="AQ301" s="30">
        <v>43349.385925925926</v>
      </c>
      <c r="AR301" s="30">
        <v>43349.40525462963</v>
      </c>
      <c r="AS301" s="92" t="s">
        <v>651</v>
      </c>
      <c r="AT301" s="155">
        <v>36.803166666666669</v>
      </c>
      <c r="AU301" s="155">
        <v>-121.8045</v>
      </c>
      <c r="AV301" s="153" t="s">
        <v>339</v>
      </c>
      <c r="AW301" s="106" t="s">
        <v>339</v>
      </c>
      <c r="AX301" s="30">
        <v>43349.436805555553</v>
      </c>
      <c r="AY301" s="107">
        <v>36.799999999999997</v>
      </c>
      <c r="AZ301" s="107">
        <v>-121.80383333333333</v>
      </c>
      <c r="BA301" s="32" t="s">
        <v>1214</v>
      </c>
      <c r="BB301" s="49" t="s">
        <v>1376</v>
      </c>
    </row>
    <row r="302" spans="1:59">
      <c r="A302" s="55" t="str">
        <f>HYPERLINK("tag_data/Quicklook/mn180906-40Quicklook.jpg","mn180906-40")</f>
        <v>mn180906-40</v>
      </c>
      <c r="B302" s="26" t="str">
        <f t="shared" si="83"/>
        <v>mn</v>
      </c>
      <c r="C302" s="42" t="str">
        <f t="shared" si="84"/>
        <v>Monterey</v>
      </c>
      <c r="D302" s="64" t="s">
        <v>849</v>
      </c>
      <c r="E302" s="69" t="s">
        <v>1154</v>
      </c>
      <c r="F302" s="85">
        <v>-7</v>
      </c>
      <c r="G302" s="60" t="s">
        <v>456</v>
      </c>
      <c r="H302" s="31" t="s">
        <v>39</v>
      </c>
      <c r="I302" s="46" t="str">
        <f>HYPERLINK("tag_data/mn180906-40 (IOS_Monterey)","Link")</f>
        <v>Link</v>
      </c>
      <c r="J302" s="46" t="str">
        <f>HYPERLINK("tag_data_raw/IOS_Scaling/2018/mn180906-40","Link")</f>
        <v>Link</v>
      </c>
      <c r="K302" s="72" t="str">
        <f>HYPERLINK("tag_data/mn180906-40 (IOS_Monterey)/Pics&amp;Vids","Link")</f>
        <v>Link</v>
      </c>
      <c r="L302" s="41" t="s">
        <v>263</v>
      </c>
      <c r="M302" s="72" t="str">
        <f>HYPERLINK("tag_data/mn180906-40 (IOS_Monterey)/Pics&amp;Vids/drone","9.99 m")</f>
        <v>9.99 m</v>
      </c>
      <c r="N302" s="54" t="str">
        <f t="shared" si="85"/>
        <v>Link</v>
      </c>
      <c r="O302" s="54" t="str">
        <f>HYPERLINK("https://happywhale.com/encounter/50776;event=100337","U")</f>
        <v>U</v>
      </c>
      <c r="P302" s="33" t="s">
        <v>1151</v>
      </c>
      <c r="Q302" s="31">
        <f>LEFT(RIGHT(A302,LEN(A302)-FIND("-",A302)),MIN(SEARCH({"a","b","c","d","e","f","g","h","i","j","k","l","m","n","o","p","q","r","s","t","u","v","w","x","y","z"},RIGHT(A302,LEN(A302)-FIND("-",A302))&amp;"abcdefghijklmnopqrstuvwxyz"))-1)+1-1</f>
        <v>40</v>
      </c>
      <c r="R302" s="32" t="str">
        <f>IF(AND(Q302+1&gt;40,Q302+1&lt;=50),"Wireless","")</f>
        <v>Wireless</v>
      </c>
      <c r="S302" s="32" t="str">
        <f t="shared" si="86"/>
        <v>None</v>
      </c>
      <c r="T302" s="32" t="s">
        <v>63</v>
      </c>
      <c r="U302" s="17">
        <f t="shared" si="81"/>
        <v>0.13243055555358296</v>
      </c>
      <c r="V302" s="17">
        <f t="shared" si="82"/>
        <v>0.13243055555358296</v>
      </c>
      <c r="W302" s="56">
        <v>0.11972222222222222</v>
      </c>
      <c r="X302" s="31">
        <v>0</v>
      </c>
      <c r="Y302" s="42"/>
      <c r="Z302" s="31" t="s">
        <v>39</v>
      </c>
      <c r="AA302" s="31" t="s">
        <v>41</v>
      </c>
      <c r="AB302" s="31" t="s">
        <v>372</v>
      </c>
      <c r="AC302" s="31" t="s">
        <v>39</v>
      </c>
      <c r="AD302" s="31" t="s">
        <v>39</v>
      </c>
      <c r="AE302" s="31" t="s">
        <v>41</v>
      </c>
      <c r="AF302" s="31" t="s">
        <v>39</v>
      </c>
      <c r="AG302" s="31" t="s">
        <v>41</v>
      </c>
      <c r="AH302" s="31" t="s">
        <v>831</v>
      </c>
      <c r="AI302" s="31" t="s">
        <v>41</v>
      </c>
      <c r="AJ302" s="31" t="s">
        <v>831</v>
      </c>
      <c r="AK302" s="31" t="s">
        <v>831</v>
      </c>
      <c r="AL302" s="31" t="s">
        <v>41</v>
      </c>
      <c r="AM302" s="31" t="s">
        <v>1167</v>
      </c>
      <c r="AN302" s="32" t="s">
        <v>1213</v>
      </c>
      <c r="AO302" s="32" t="s">
        <v>345</v>
      </c>
      <c r="AP302" s="30">
        <v>43349.366886574076</v>
      </c>
      <c r="AQ302" s="30">
        <v>43349.374201388891</v>
      </c>
      <c r="AR302" s="30">
        <v>43349.506631944445</v>
      </c>
      <c r="AS302" s="92" t="s">
        <v>651</v>
      </c>
      <c r="AT302" s="155">
        <v>36.80383333333333</v>
      </c>
      <c r="AU302" s="155">
        <v>-121.806</v>
      </c>
      <c r="AV302" s="153" t="s">
        <v>339</v>
      </c>
      <c r="AW302" s="106" t="s">
        <v>339</v>
      </c>
      <c r="AX302" s="30">
        <v>43349.518495370372</v>
      </c>
      <c r="AY302" s="107">
        <v>36.801666666666669</v>
      </c>
      <c r="AZ302" s="107">
        <v>-121.8075</v>
      </c>
      <c r="BA302" s="32" t="s">
        <v>1148</v>
      </c>
      <c r="BB302" s="49" t="s">
        <v>1377</v>
      </c>
    </row>
    <row r="303" spans="1:59">
      <c r="A303" s="55" t="str">
        <f>HYPERLINK("tag_data/Quicklook/mn180906-47Quicklook.jpg","mn180906-47")</f>
        <v>mn180906-47</v>
      </c>
      <c r="B303" s="26" t="str">
        <f t="shared" si="83"/>
        <v>mn</v>
      </c>
      <c r="C303" s="42" t="str">
        <f t="shared" si="84"/>
        <v>Monterey</v>
      </c>
      <c r="D303" s="64" t="s">
        <v>849</v>
      </c>
      <c r="E303" s="69" t="s">
        <v>1154</v>
      </c>
      <c r="F303" s="85">
        <v>-7</v>
      </c>
      <c r="G303" s="60" t="s">
        <v>456</v>
      </c>
      <c r="H303" s="31" t="s">
        <v>39</v>
      </c>
      <c r="I303" s="72" t="str">
        <f>HYPERLINK("tag_data/mn180906-47 (IOS_Monterey)","Link")</f>
        <v>Link</v>
      </c>
      <c r="J303" s="46" t="str">
        <f>HYPERLINK("tag_data_raw/IOS_Scaling/2018/mn180906-47","Link")</f>
        <v>Link</v>
      </c>
      <c r="K303" s="73" t="str">
        <f>HYPERLINK("tag_data/mn180906-47 (IOS_Monterey)/Pics&amp;Vids","Link")</f>
        <v>Link</v>
      </c>
      <c r="L303" s="54" t="str">
        <f>HYPERLINK("\location data\IOS_Scaling\2018\Pics&amp;Vids\09.06\Musculus Videos\GOPR0529.MP4","Link")</f>
        <v>Link</v>
      </c>
      <c r="M303" s="73" t="str">
        <f>HYPERLINK("tag_data/mn180906-47 (IOS_Monterey)/Pics&amp;Vids/drone","7.87 m")</f>
        <v>7.87 m</v>
      </c>
      <c r="N303" s="54" t="str">
        <f t="shared" si="85"/>
        <v>Link</v>
      </c>
      <c r="O303" s="54" t="str">
        <f>HYPERLINK("https://happywhale.com/encounter/50777;event=100338","U")</f>
        <v>U</v>
      </c>
      <c r="P303" s="33" t="s">
        <v>1152</v>
      </c>
      <c r="Q303" s="31">
        <f>LEFT(RIGHT(A303,LEN(A303)-FIND("-",A303)),MIN(SEARCH({"a","b","c","d","e","f","g","h","i","j","k","l","m","n","o","p","q","r","s","t","u","v","w","x","y","z"},RIGHT(A303,LEN(A303)-FIND("-",A303))&amp;"abcdefghijklmnopqrstuvwxyz"))-1)+1-1</f>
        <v>47</v>
      </c>
      <c r="R303" s="32" t="str">
        <f>IF(AND(Q303+1&gt;40,Q303+1&lt;=50),"Wireless","")</f>
        <v>Wireless</v>
      </c>
      <c r="S303" s="32" t="str">
        <f t="shared" si="86"/>
        <v>Cam Mic</v>
      </c>
      <c r="T303" s="32" t="s">
        <v>1394</v>
      </c>
      <c r="U303" s="17">
        <f t="shared" si="81"/>
        <v>9.1782407398568466E-3</v>
      </c>
      <c r="V303" s="17">
        <f t="shared" si="82"/>
        <v>9.1782407398568466E-3</v>
      </c>
      <c r="W303" s="56">
        <f>V303</f>
        <v>9.1782407398568466E-3</v>
      </c>
      <c r="X303" s="54" t="str">
        <f>HYPERLINK("tag_data/mn180906-40 (IOS_Scaling)/mn180906-40 Map.bmp","6")</f>
        <v>6</v>
      </c>
      <c r="Y303" s="42"/>
      <c r="Z303" s="31" t="s">
        <v>39</v>
      </c>
      <c r="AA303" s="31" t="s">
        <v>39</v>
      </c>
      <c r="AB303" s="31" t="s">
        <v>372</v>
      </c>
      <c r="AC303" s="31" t="s">
        <v>39</v>
      </c>
      <c r="AD303" s="31" t="s">
        <v>41</v>
      </c>
      <c r="AE303" s="31" t="s">
        <v>266</v>
      </c>
      <c r="AF303" s="31" t="s">
        <v>39</v>
      </c>
      <c r="AG303" s="31" t="s">
        <v>41</v>
      </c>
      <c r="AH303" s="31" t="s">
        <v>39</v>
      </c>
      <c r="AI303" s="31" t="s">
        <v>39</v>
      </c>
      <c r="AJ303" s="31" t="s">
        <v>39</v>
      </c>
      <c r="AK303" s="31" t="s">
        <v>39</v>
      </c>
      <c r="AL303" s="31" t="s">
        <v>41</v>
      </c>
      <c r="AM303" s="31" t="s">
        <v>41</v>
      </c>
      <c r="AN303" s="32" t="s">
        <v>1410</v>
      </c>
      <c r="AO303" s="32" t="s">
        <v>345</v>
      </c>
      <c r="AP303" s="30">
        <v>43349.339363425926</v>
      </c>
      <c r="AQ303" s="30">
        <v>43349.361111111109</v>
      </c>
      <c r="AR303" s="30">
        <v>43349.370289351849</v>
      </c>
      <c r="AS303" s="92" t="s">
        <v>651</v>
      </c>
      <c r="AT303" s="155">
        <v>36.795666666666669</v>
      </c>
      <c r="AU303" s="155">
        <v>-121.80583333333334</v>
      </c>
      <c r="AV303" s="106" t="s">
        <v>313</v>
      </c>
      <c r="AW303" s="106" t="s">
        <v>313</v>
      </c>
      <c r="AX303" s="30">
        <v>43349.371712962966</v>
      </c>
      <c r="AY303" s="107">
        <v>36.794833333333337</v>
      </c>
      <c r="AZ303" s="107">
        <v>-121.80383333333333</v>
      </c>
      <c r="BA303" s="32" t="s">
        <v>1159</v>
      </c>
      <c r="BB303" s="32"/>
    </row>
    <row r="304" spans="1:59">
      <c r="A304" s="55" t="str">
        <f>HYPERLINK("tag_data/Quicklook/mn180906-52Quicklook.jpg","mn180906-52")</f>
        <v>mn180906-52</v>
      </c>
      <c r="B304" s="26" t="str">
        <f t="shared" si="83"/>
        <v>mn</v>
      </c>
      <c r="C304" s="42" t="str">
        <f t="shared" si="84"/>
        <v>Monterey</v>
      </c>
      <c r="D304" s="64" t="s">
        <v>849</v>
      </c>
      <c r="E304" s="69" t="s">
        <v>1154</v>
      </c>
      <c r="F304" s="85">
        <v>-7</v>
      </c>
      <c r="G304" s="60" t="s">
        <v>456</v>
      </c>
      <c r="H304" s="31" t="s">
        <v>39</v>
      </c>
      <c r="I304" s="72" t="str">
        <f>HYPERLINK("tag_data/mn180906-52 (IOS_Monterey)","Link")</f>
        <v>Link</v>
      </c>
      <c r="J304" s="46" t="str">
        <f>HYPERLINK("tag_data_raw/IOS_Scaling/2018/mn180906-52","Link")</f>
        <v>Link</v>
      </c>
      <c r="K304" s="73" t="str">
        <f>HYPERLINK("tag_data/mn180906-52 (IOS_Monterey)/Pics&amp;Vids","Link")</f>
        <v>Link</v>
      </c>
      <c r="L304" s="54" t="str">
        <f>HYPERLINK("location data\IOS_Scaling\2018\Pics&amp;Vids\09.06\Musculus Videos\GOPR0528.MP4","Link")</f>
        <v>Link</v>
      </c>
      <c r="M304" s="82" t="s">
        <v>263</v>
      </c>
      <c r="N304" s="54" t="str">
        <f t="shared" si="85"/>
        <v>Link</v>
      </c>
      <c r="O304" s="79" t="str">
        <f>HYPERLINK("https://happywhale.com/individual/5;enc=50771;event=100332","Stitches (CRC-15590)")</f>
        <v>Stitches (CRC-15590)</v>
      </c>
      <c r="P304" s="33" t="s">
        <v>1156</v>
      </c>
      <c r="Q304" s="31">
        <f>LEFT(RIGHT(A304,LEN(A304)-FIND("-",A304)),MIN(SEARCH({"a","b","c","d","e","f","g","h","i","j","k","l","m","n","o","p","q","r","s","t","u","v","w","x","y","z"},RIGHT(A304,LEN(A304)-FIND("-",A304))&amp;"abcdefghijklmnopqrstuvwxyz"))-1)+1-1</f>
        <v>52</v>
      </c>
      <c r="R304" s="32" t="s">
        <v>347</v>
      </c>
      <c r="S304" s="32" t="str">
        <f t="shared" si="86"/>
        <v>HTI</v>
      </c>
      <c r="T304" s="32" t="s">
        <v>1394</v>
      </c>
      <c r="U304" s="17">
        <f t="shared" si="81"/>
        <v>2.5023148147738539E-2</v>
      </c>
      <c r="V304" s="17">
        <f t="shared" si="82"/>
        <v>2.5023148147738539E-2</v>
      </c>
      <c r="W304" s="56">
        <v>1.6446759259259262E-2</v>
      </c>
      <c r="X304" s="54" t="str">
        <f>HYPERLINK("tag_data/mn180906-52 (IOS_Scaling)/mn180906-52 Map.bmp","0")</f>
        <v>0</v>
      </c>
      <c r="Y304" s="42"/>
      <c r="Z304" s="31" t="s">
        <v>39</v>
      </c>
      <c r="AA304" s="31" t="s">
        <v>39</v>
      </c>
      <c r="AB304" s="31" t="s">
        <v>372</v>
      </c>
      <c r="AC304" s="31" t="s">
        <v>39</v>
      </c>
      <c r="AD304" s="31" t="s">
        <v>41</v>
      </c>
      <c r="AE304" s="31" t="s">
        <v>266</v>
      </c>
      <c r="AF304" s="31" t="s">
        <v>39</v>
      </c>
      <c r="AG304" s="31" t="s">
        <v>41</v>
      </c>
      <c r="AH304" s="31" t="s">
        <v>39</v>
      </c>
      <c r="AI304" s="31" t="s">
        <v>39</v>
      </c>
      <c r="AJ304" s="31" t="s">
        <v>39</v>
      </c>
      <c r="AK304" s="31" t="s">
        <v>41</v>
      </c>
      <c r="AL304" s="31" t="s">
        <v>41</v>
      </c>
      <c r="AM304" s="31" t="s">
        <v>41</v>
      </c>
      <c r="AN304" s="32" t="s">
        <v>1411</v>
      </c>
      <c r="AO304" s="32" t="s">
        <v>345</v>
      </c>
      <c r="AP304" s="30">
        <v>43349.324803240743</v>
      </c>
      <c r="AQ304" s="30">
        <v>43349.336400462962</v>
      </c>
      <c r="AR304" s="30">
        <v>43349.36142361111</v>
      </c>
      <c r="AS304" s="92" t="s">
        <v>651</v>
      </c>
      <c r="AT304" s="155">
        <v>36.801000000000002</v>
      </c>
      <c r="AU304" s="155">
        <v>-121.80983333333333</v>
      </c>
      <c r="AV304" s="106" t="s">
        <v>313</v>
      </c>
      <c r="AW304" s="106" t="s">
        <v>313</v>
      </c>
      <c r="AX304" s="30">
        <v>43349.383715277778</v>
      </c>
      <c r="AY304" s="107">
        <v>36.798166666666667</v>
      </c>
      <c r="AZ304" s="107">
        <v>-121.81566666666667</v>
      </c>
      <c r="BA304" s="32" t="s">
        <v>1153</v>
      </c>
      <c r="BB304" s="32"/>
    </row>
    <row r="305" spans="1:56">
      <c r="A305" s="55" t="str">
        <f>HYPERLINK("tag_data/Quicklook/mn180924-42Quicklook.jpg","mn180924-42")</f>
        <v>mn180924-42</v>
      </c>
      <c r="B305" s="26" t="str">
        <f t="shared" si="83"/>
        <v>mn</v>
      </c>
      <c r="C305" s="46" t="str">
        <f>HYPERLINK("location data/WA_Coast/2018","WA Coast")</f>
        <v>WA Coast</v>
      </c>
      <c r="D305" s="64" t="s">
        <v>1099</v>
      </c>
      <c r="E305" s="61" t="s">
        <v>1100</v>
      </c>
      <c r="F305" s="85">
        <v>-7</v>
      </c>
      <c r="G305" s="60" t="s">
        <v>457</v>
      </c>
      <c r="H305" s="31" t="s">
        <v>39</v>
      </c>
      <c r="I305" s="46" t="str">
        <f>HYPERLINK("tag_data/mn180924-42 (WA)","Link")</f>
        <v>Link</v>
      </c>
      <c r="J305" s="46" t="str">
        <f>HYPERLINK("tag_data_raw/WA_Coast/2018/mn180924-42","Link")</f>
        <v>Link</v>
      </c>
      <c r="K305" s="72" t="str">
        <f>HYPERLINK("tag_data/mn180924-42 (WA)/Pics&amp;Vids","Link")</f>
        <v>Link</v>
      </c>
      <c r="L305" s="54" t="str">
        <f>HYPERLINK("location data\WA_Coast\2018\09.24\Pics&amp;Vids\Ziphiid Videos\20180924-ZIP-MN-CATS42-GOPR0630.MP4","Link")</f>
        <v>Link</v>
      </c>
      <c r="M305" s="82" t="s">
        <v>263</v>
      </c>
      <c r="N305" s="54" t="str">
        <f>HYPERLINK("location data\WA_Coast\2018\CRC Mobile Data Compiler-2018 CCES WC IOS Jul-Oct.mdb","Link")</f>
        <v>Link</v>
      </c>
      <c r="O305" s="79" t="str">
        <f>HYPERLINK("https://happywhale.com/individual/7119;enc=50763;event=111121","Bond (CRC-15979, MN0510036)")</f>
        <v>Bond (CRC-15979, MN0510036)</v>
      </c>
      <c r="P305" s="31" t="s">
        <v>41</v>
      </c>
      <c r="Q305" s="31">
        <f>LEFT(RIGHT(A305,LEN(A305)-FIND("-",A305)),MIN(SEARCH({"a","b","c","d","e","f","g","h","i","j","k","l","m","n","o","p","q","r","s","t","u","v","w","x","y","z"},RIGHT(A305,LEN(A305)-FIND("-",A305))&amp;"abcdefghijklmnopqrstuvwxyz"))-1)+1-1</f>
        <v>42</v>
      </c>
      <c r="R305" s="32" t="str">
        <f>IF(AND(Q305+1&gt;40,Q305+1&lt;=50),"Wireless","")</f>
        <v>Wireless</v>
      </c>
      <c r="S305" s="32" t="str">
        <f t="shared" si="86"/>
        <v>None</v>
      </c>
      <c r="T305" s="32" t="s">
        <v>533</v>
      </c>
      <c r="U305" s="17">
        <f t="shared" si="81"/>
        <v>0.22363425925868796</v>
      </c>
      <c r="V305" s="17">
        <f t="shared" si="82"/>
        <v>0.22363425925868796</v>
      </c>
      <c r="W305" s="56">
        <v>0.20192129629629629</v>
      </c>
      <c r="X305" s="54" t="str">
        <f>HYPERLINK("tag_data/mn180924-42 (WA)/mn180924-42 Map.bmp","7")</f>
        <v>7</v>
      </c>
      <c r="Y305" s="42"/>
      <c r="Z305" s="31" t="s">
        <v>39</v>
      </c>
      <c r="AA305" s="31" t="s">
        <v>41</v>
      </c>
      <c r="AB305" s="31" t="s">
        <v>277</v>
      </c>
      <c r="AC305" s="31" t="s">
        <v>41</v>
      </c>
      <c r="AD305" s="31" t="s">
        <v>39</v>
      </c>
      <c r="AE305" s="31" t="s">
        <v>41</v>
      </c>
      <c r="AF305" s="31" t="s">
        <v>39</v>
      </c>
      <c r="AG305" s="31" t="s">
        <v>41</v>
      </c>
      <c r="AH305" s="31" t="s">
        <v>41</v>
      </c>
      <c r="AI305" s="31" t="s">
        <v>39</v>
      </c>
      <c r="AJ305" s="31" t="s">
        <v>39</v>
      </c>
      <c r="AK305" s="31" t="s">
        <v>41</v>
      </c>
      <c r="AL305" s="31" t="s">
        <v>39</v>
      </c>
      <c r="AM305" s="31" t="s">
        <v>41</v>
      </c>
      <c r="AN305" s="32" t="s">
        <v>1166</v>
      </c>
      <c r="AO305" s="32" t="s">
        <v>1219</v>
      </c>
      <c r="AP305" s="30">
        <v>43367.524004629631</v>
      </c>
      <c r="AQ305" s="30">
        <v>43367.532997685186</v>
      </c>
      <c r="AR305" s="30">
        <v>43367.756631944445</v>
      </c>
      <c r="AS305" s="92" t="s">
        <v>651</v>
      </c>
      <c r="AT305" s="155">
        <v>48.356499999999997</v>
      </c>
      <c r="AU305" s="155">
        <v>-124.16540000000001</v>
      </c>
      <c r="AV305" s="153" t="s">
        <v>339</v>
      </c>
      <c r="AW305" s="153" t="s">
        <v>339</v>
      </c>
      <c r="AX305" s="30">
        <v>43368.414583333331</v>
      </c>
      <c r="AY305" s="213">
        <v>48.412199999999999</v>
      </c>
      <c r="AZ305" s="213">
        <v>-124.3407</v>
      </c>
      <c r="BA305" s="32" t="s">
        <v>1233</v>
      </c>
      <c r="BB305" s="49"/>
    </row>
    <row r="306" spans="1:56">
      <c r="A306" s="55" t="str">
        <f>HYPERLINK("tag_data/Quicklook/mn180924-48Quicklook.jpg","mn180924-48")</f>
        <v>mn180924-48</v>
      </c>
      <c r="B306" s="26" t="str">
        <f t="shared" si="83"/>
        <v>mn</v>
      </c>
      <c r="C306" s="46" t="str">
        <f>HYPERLINK("location data/WA_Coast/2018","WA Coast")</f>
        <v>WA Coast</v>
      </c>
      <c r="D306" s="64" t="s">
        <v>1099</v>
      </c>
      <c r="E306" s="61" t="s">
        <v>1100</v>
      </c>
      <c r="F306" s="85">
        <v>-7</v>
      </c>
      <c r="G306" s="60" t="s">
        <v>457</v>
      </c>
      <c r="H306" s="31" t="s">
        <v>39</v>
      </c>
      <c r="I306" s="46" t="str">
        <f>HYPERLINK("tag_data/mn180924-48 (WA)","Link")</f>
        <v>Link</v>
      </c>
      <c r="J306" s="46" t="str">
        <f>HYPERLINK("tag_data_raw/WA_Coast/2018/mn180924-48","Link")</f>
        <v>Link</v>
      </c>
      <c r="K306" s="72" t="str">
        <f>HYPERLINK("tag_data/mn180924-48 (WA)/Pics&amp;Vids","Link")</f>
        <v>Link</v>
      </c>
      <c r="L306" s="54" t="str">
        <f>HYPERLINK("location data\WA_Coast\2018\09.24\Pics&amp;Vids\Ziphiid Videos\20180924-ZIP-MN-CATS48-GOPR0626.MP4","Link")</f>
        <v>Link</v>
      </c>
      <c r="M306" s="82" t="s">
        <v>263</v>
      </c>
      <c r="N306" s="54" t="str">
        <f>HYPERLINK("location data\WA_Coast\2018\CRC Mobile Data Compiler-2018 CCES WC IOS Jul-Oct.mdb","Link")</f>
        <v>Link</v>
      </c>
      <c r="O306" s="31" t="s">
        <v>45</v>
      </c>
      <c r="P306" s="31" t="s">
        <v>41</v>
      </c>
      <c r="Q306" s="31">
        <f>LEFT(RIGHT(A306,LEN(A306)-FIND("-",A306)),MIN(SEARCH({"a","b","c","d","e","f","g","h","i","j","k","l","m","n","o","p","q","r","s","t","u","v","w","x","y","z"},RIGHT(A306,LEN(A306)-FIND("-",A306))&amp;"abcdefghijklmnopqrstuvwxyz"))-1)+1-1</f>
        <v>48</v>
      </c>
      <c r="R306" s="32" t="str">
        <f>IF(AND(Q306+1&gt;40,Q306+1&lt;=50),"Wireless","")</f>
        <v>Wireless</v>
      </c>
      <c r="S306" s="32" t="str">
        <f t="shared" si="86"/>
        <v>HTI</v>
      </c>
      <c r="T306" s="32" t="s">
        <v>38</v>
      </c>
      <c r="U306" s="17">
        <f t="shared" si="81"/>
        <v>0.507777777776937</v>
      </c>
      <c r="V306" s="17">
        <f t="shared" si="82"/>
        <v>0.507777777776937</v>
      </c>
      <c r="W306" s="56">
        <v>0.17460648148148147</v>
      </c>
      <c r="X306" s="54" t="str">
        <f>HYPERLINK("tag_data/mn180924-48 (WA)/mn180924-48 Map.bmp","13")</f>
        <v>13</v>
      </c>
      <c r="Y306" s="42"/>
      <c r="Z306" s="31" t="s">
        <v>39</v>
      </c>
      <c r="AA306" s="31" t="s">
        <v>41</v>
      </c>
      <c r="AB306" s="31" t="s">
        <v>277</v>
      </c>
      <c r="AC306" s="31" t="s">
        <v>41</v>
      </c>
      <c r="AD306" s="31" t="s">
        <v>41</v>
      </c>
      <c r="AE306" s="31" t="s">
        <v>266</v>
      </c>
      <c r="AF306" s="31" t="s">
        <v>39</v>
      </c>
      <c r="AG306" s="31" t="s">
        <v>266</v>
      </c>
      <c r="AH306" s="31" t="s">
        <v>41</v>
      </c>
      <c r="AI306" s="31" t="s">
        <v>39</v>
      </c>
      <c r="AJ306" s="31" t="s">
        <v>41</v>
      </c>
      <c r="AK306" s="31" t="s">
        <v>41</v>
      </c>
      <c r="AL306" s="31" t="s">
        <v>749</v>
      </c>
      <c r="AM306" s="31" t="s">
        <v>41</v>
      </c>
      <c r="AN306" s="32" t="s">
        <v>1252</v>
      </c>
      <c r="AO306" s="32" t="s">
        <v>1219</v>
      </c>
      <c r="AP306" s="30">
        <v>43367.463379629633</v>
      </c>
      <c r="AQ306" s="30">
        <v>43367.474918981483</v>
      </c>
      <c r="AR306" s="30">
        <v>43367.98269675926</v>
      </c>
      <c r="AS306" s="92" t="s">
        <v>651</v>
      </c>
      <c r="AT306" s="155">
        <v>48.386499999999998</v>
      </c>
      <c r="AU306" s="155">
        <v>-124.2089</v>
      </c>
      <c r="AV306" s="153" t="s">
        <v>339</v>
      </c>
      <c r="AW306" s="153" t="s">
        <v>339</v>
      </c>
      <c r="AX306" s="30">
        <v>43368.374282407407</v>
      </c>
      <c r="AY306" s="213">
        <v>48.319699999999997</v>
      </c>
      <c r="AZ306" s="213">
        <v>-124.2261</v>
      </c>
      <c r="BA306" s="32" t="s">
        <v>1251</v>
      </c>
      <c r="BB306" s="49" t="s">
        <v>1378</v>
      </c>
    </row>
    <row r="307" spans="1:56">
      <c r="A307" s="55" t="str">
        <f>HYPERLINK("tag_data/Quicklook/mn180924-49Quicklook.jpg","mn180924-49")</f>
        <v>mn180924-49</v>
      </c>
      <c r="B307" s="26" t="str">
        <f t="shared" si="83"/>
        <v>mn</v>
      </c>
      <c r="C307" s="46" t="str">
        <f>HYPERLINK("location data/WA_Coast/2018","WA Coast")</f>
        <v>WA Coast</v>
      </c>
      <c r="D307" s="64" t="s">
        <v>1099</v>
      </c>
      <c r="E307" s="61" t="s">
        <v>1100</v>
      </c>
      <c r="F307" s="85">
        <v>-7</v>
      </c>
      <c r="G307" s="60" t="s">
        <v>457</v>
      </c>
      <c r="H307" s="31" t="s">
        <v>39</v>
      </c>
      <c r="I307" s="46" t="str">
        <f>HYPERLINK("tag_data/mn180924-49 (WA)","Link")</f>
        <v>Link</v>
      </c>
      <c r="J307" s="46" t="str">
        <f>HYPERLINK("tag_data_raw/WA_Coast/2018/mn180924-49","Link")</f>
        <v>Link</v>
      </c>
      <c r="K307" s="72" t="str">
        <f>HYPERLINK("tag_data/mn180924-49 (WA)/Pics&amp;Vids","Link")</f>
        <v>Link</v>
      </c>
      <c r="L307" s="54" t="str">
        <f>HYPERLINK("location data\WA_Coast\2018\09.24\Pics&amp;Vids\Ziphiid Videos\20180924-ZIP-MN-CATS49-GOPR0629.MP4","Link")</f>
        <v>Link</v>
      </c>
      <c r="M307" s="82" t="s">
        <v>263</v>
      </c>
      <c r="N307" s="54" t="str">
        <f>HYPERLINK("location data\WA_Coast\2018\CRC Mobile Data Compiler-2018 CCES WC IOS Jul-Oct.mdb","Link")</f>
        <v>Link</v>
      </c>
      <c r="O307" s="31" t="s">
        <v>45</v>
      </c>
      <c r="P307" s="31" t="s">
        <v>41</v>
      </c>
      <c r="Q307" s="31">
        <f>LEFT(RIGHT(A307,LEN(A307)-FIND("-",A307)),MIN(SEARCH({"a","b","c","d","e","f","g","h","i","j","k","l","m","n","o","p","q","r","s","t","u","v","w","x","y","z"},RIGHT(A307,LEN(A307)-FIND("-",A307))&amp;"abcdefghijklmnopqrstuvwxyz"))-1)+1-1</f>
        <v>49</v>
      </c>
      <c r="R307" s="32" t="str">
        <f>IF(AND(Q307+1&gt;40,Q307+1&lt;=50),"Wireless","")</f>
        <v>Wireless</v>
      </c>
      <c r="S307" s="32" t="str">
        <f t="shared" si="86"/>
        <v>HTI</v>
      </c>
      <c r="T307" s="32" t="s">
        <v>533</v>
      </c>
      <c r="U307" s="17">
        <f t="shared" si="81"/>
        <v>0.3633333333345945</v>
      </c>
      <c r="V307" s="17">
        <f t="shared" si="82"/>
        <v>0.3633333333345945</v>
      </c>
      <c r="W307" s="56">
        <v>0.13052083333333334</v>
      </c>
      <c r="X307" s="31">
        <v>0</v>
      </c>
      <c r="Y307" s="42"/>
      <c r="Z307" s="31" t="s">
        <v>39</v>
      </c>
      <c r="AA307" s="31" t="s">
        <v>41</v>
      </c>
      <c r="AB307" s="31" t="s">
        <v>277</v>
      </c>
      <c r="AC307" s="31" t="s">
        <v>41</v>
      </c>
      <c r="AD307" s="31" t="s">
        <v>41</v>
      </c>
      <c r="AE307" s="31" t="s">
        <v>266</v>
      </c>
      <c r="AF307" s="31" t="s">
        <v>266</v>
      </c>
      <c r="AG307" s="31" t="s">
        <v>41</v>
      </c>
      <c r="AH307" s="31" t="s">
        <v>41</v>
      </c>
      <c r="AI307" s="31" t="s">
        <v>39</v>
      </c>
      <c r="AJ307" s="31" t="s">
        <v>749</v>
      </c>
      <c r="AK307" s="31" t="s">
        <v>41</v>
      </c>
      <c r="AL307" s="31" t="s">
        <v>41</v>
      </c>
      <c r="AM307" s="31" t="s">
        <v>41</v>
      </c>
      <c r="AN307" s="32" t="s">
        <v>1252</v>
      </c>
      <c r="AO307" s="32" t="s">
        <v>1219</v>
      </c>
      <c r="AP307" s="30">
        <v>43367.476446759261</v>
      </c>
      <c r="AQ307" s="30">
        <v>43367.518541666665</v>
      </c>
      <c r="AR307" s="30">
        <v>43367.881874999999</v>
      </c>
      <c r="AS307" s="92" t="s">
        <v>651</v>
      </c>
      <c r="AT307" s="155">
        <v>48.3645</v>
      </c>
      <c r="AU307" s="155">
        <v>-124.17100000000001</v>
      </c>
      <c r="AV307" s="153" t="s">
        <v>339</v>
      </c>
      <c r="AW307" s="153" t="s">
        <v>339</v>
      </c>
      <c r="AX307" s="30">
        <v>43368.379861111112</v>
      </c>
      <c r="AY307" s="202">
        <v>48.3337</v>
      </c>
      <c r="AZ307" s="202">
        <v>-124.2278</v>
      </c>
      <c r="BA307" s="32" t="s">
        <v>1254</v>
      </c>
      <c r="BB307" s="49" t="s">
        <v>1379</v>
      </c>
    </row>
    <row r="308" spans="1:56">
      <c r="A308" s="55" t="str">
        <f>HYPERLINK("tag_data/Quicklook/mn180924-53Quicklook.jpg","mn180924-53")</f>
        <v>mn180924-53</v>
      </c>
      <c r="B308" s="26" t="str">
        <f t="shared" si="83"/>
        <v>mn</v>
      </c>
      <c r="C308" s="46" t="str">
        <f>HYPERLINK("location data/WA_Coast/2018","WA Coast")</f>
        <v>WA Coast</v>
      </c>
      <c r="D308" s="64" t="s">
        <v>1099</v>
      </c>
      <c r="E308" s="61" t="s">
        <v>1100</v>
      </c>
      <c r="F308" s="85">
        <v>-7</v>
      </c>
      <c r="G308" s="60" t="s">
        <v>457</v>
      </c>
      <c r="H308" s="31" t="s">
        <v>39</v>
      </c>
      <c r="I308" s="46" t="str">
        <f>HYPERLINK("tag_data/mn180924-53 (WA)","Link")</f>
        <v>Link</v>
      </c>
      <c r="J308" s="46" t="str">
        <f>HYPERLINK("tag_data_raw/WA_Coast/2018/mn180924-53","Link")</f>
        <v>Link</v>
      </c>
      <c r="K308" s="72" t="str">
        <f>HYPERLINK("tag_data/mn180924-53 (WA)/Pics&amp;Vids","Link")</f>
        <v>Link</v>
      </c>
      <c r="L308" s="54" t="str">
        <f>HYPERLINK("location data\WA_Coast\2018\09.24\Pics&amp;Vids\Ziphiid Videos\20180924-ZIP-MN-CATS53-GOPR0642.MP4","Link")</f>
        <v>Link</v>
      </c>
      <c r="M308" s="82" t="s">
        <v>263</v>
      </c>
      <c r="N308" s="54" t="str">
        <f>HYPERLINK("location data\WA_Coast\2018\CRC Mobile Data Compiler-2018 CCES WC IOS Jul-Oct.mdb","Link")</f>
        <v>Link</v>
      </c>
      <c r="O308" s="79" t="str">
        <f>HYPERLINK("https://happywhale.com/individual/3670;enc=50773;event=107249","Tulip (CRC-16296)")</f>
        <v>Tulip (CRC-16296)</v>
      </c>
      <c r="P308" s="31" t="s">
        <v>41</v>
      </c>
      <c r="Q308" s="31">
        <f>LEFT(RIGHT(A308,LEN(A308)-FIND("-",A308)),MIN(SEARCH({"a","b","c","d","e","f","g","h","i","j","k","l","m","n","o","p","q","r","s","t","u","v","w","x","y","z"},RIGHT(A308,LEN(A308)-FIND("-",A308))&amp;"abcdefghijklmnopqrstuvwxyz"))-1)+1-1</f>
        <v>53</v>
      </c>
      <c r="R308" s="32" t="str">
        <f t="shared" ref="R308:R315" si="87">IF(OR(AND(Q308+1&gt;40,Q308+1&lt;=50),Q308&gt;51),"Wireless","")</f>
        <v>Wireless</v>
      </c>
      <c r="S308" s="32" t="str">
        <f t="shared" si="86"/>
        <v>HTI</v>
      </c>
      <c r="T308" s="32" t="s">
        <v>533</v>
      </c>
      <c r="U308" s="17">
        <f t="shared" si="81"/>
        <v>0.15935185185662704</v>
      </c>
      <c r="V308" s="17">
        <f t="shared" si="82"/>
        <v>0.15935185185662704</v>
      </c>
      <c r="W308" s="56">
        <v>6.1666666666666668E-2</v>
      </c>
      <c r="X308" s="54" t="str">
        <f>HYPERLINK("tag_data/mn180924-53 (WA)/mn180924-53 Map.bmp","155")</f>
        <v>155</v>
      </c>
      <c r="Y308" s="42"/>
      <c r="Z308" s="31" t="s">
        <v>39</v>
      </c>
      <c r="AA308" s="31" t="s">
        <v>41</v>
      </c>
      <c r="AB308" s="31" t="s">
        <v>277</v>
      </c>
      <c r="AC308" s="31" t="s">
        <v>41</v>
      </c>
      <c r="AD308" s="31" t="s">
        <v>41</v>
      </c>
      <c r="AE308" s="31" t="s">
        <v>39</v>
      </c>
      <c r="AF308" s="31" t="s">
        <v>266</v>
      </c>
      <c r="AG308" s="31" t="s">
        <v>39</v>
      </c>
      <c r="AH308" s="31" t="s">
        <v>41</v>
      </c>
      <c r="AI308" s="31" t="s">
        <v>39</v>
      </c>
      <c r="AJ308" s="31" t="s">
        <v>41</v>
      </c>
      <c r="AK308" s="31" t="s">
        <v>41</v>
      </c>
      <c r="AL308" s="31" t="s">
        <v>39</v>
      </c>
      <c r="AM308" s="31" t="s">
        <v>41</v>
      </c>
      <c r="AN308" s="32" t="s">
        <v>1252</v>
      </c>
      <c r="AO308" s="32" t="s">
        <v>1219</v>
      </c>
      <c r="AP308" s="30">
        <v>43367.535150462965</v>
      </c>
      <c r="AQ308" s="30">
        <v>43367.664490740739</v>
      </c>
      <c r="AR308" s="30">
        <v>43367.823842592596</v>
      </c>
      <c r="AS308" s="92" t="s">
        <v>651</v>
      </c>
      <c r="AT308" s="155">
        <v>48.3489</v>
      </c>
      <c r="AU308" s="155">
        <v>-124.2039</v>
      </c>
      <c r="AV308" s="153" t="s">
        <v>339</v>
      </c>
      <c r="AW308" s="153" t="s">
        <v>339</v>
      </c>
      <c r="AX308" s="30">
        <v>43368.418749999997</v>
      </c>
      <c r="AY308" s="202">
        <v>48.412500000000001</v>
      </c>
      <c r="AZ308" s="202">
        <v>-124.34220000000001</v>
      </c>
      <c r="BA308" s="32" t="s">
        <v>1253</v>
      </c>
      <c r="BB308" s="49" t="s">
        <v>1380</v>
      </c>
    </row>
    <row r="309" spans="1:56">
      <c r="A309" s="55" t="str">
        <f>HYPERLINK("tag_data/Quicklook/mn181002-45Quicklook.jpg","mn181002-45")</f>
        <v>mn181002-45</v>
      </c>
      <c r="B309" s="26" t="str">
        <f t="shared" si="83"/>
        <v>mn</v>
      </c>
      <c r="C309" s="46" t="str">
        <f t="shared" ref="C309:C316" si="88">HYPERLINK("location data/Monterey/2018","Monterey")</f>
        <v>Monterey</v>
      </c>
      <c r="D309" s="64" t="s">
        <v>465</v>
      </c>
      <c r="E309" s="69" t="s">
        <v>549</v>
      </c>
      <c r="F309" s="85">
        <v>-7</v>
      </c>
      <c r="G309" s="60" t="s">
        <v>455</v>
      </c>
      <c r="H309" s="31" t="s">
        <v>39</v>
      </c>
      <c r="I309" s="46" t="str">
        <f>HYPERLINK("tag_data/mn181002-45 (Monterey)","Link")</f>
        <v>Link</v>
      </c>
      <c r="J309" s="46" t="str">
        <f>HYPERLINK("tag_data_raw/Monterey/2018/mn181002-45","Link")</f>
        <v>Link</v>
      </c>
      <c r="K309" s="46" t="str">
        <f>HYPERLINK("tag_data/mn181002-45 (Monterey)/Pics&amp;Vids","Link")</f>
        <v>Link</v>
      </c>
      <c r="L309" s="54" t="str">
        <f>HYPERLINK("location data/Monterey/2018/Pics&amp;Vids/10.02/Musculus Videos/Tag 45 GOPR0568.MP4","Link")</f>
        <v>Link</v>
      </c>
      <c r="M309" s="46" t="str">
        <f>HYPERLINK("tag_data/mn181002-45 (Monterey)/Pics&amp;Vids/drone","12.3 m")</f>
        <v>12.3 m</v>
      </c>
      <c r="N309" s="54" t="str">
        <f>HYPERLINK("location data/Monterey/2018/20181002-MUS.mdb","Link")</f>
        <v>Link</v>
      </c>
      <c r="O309" s="54" t="str">
        <f>HYPERLINK("https://happywhale.com/individual/928;enc=50772;event=100348","CRC-15113")</f>
        <v>CRC-15113</v>
      </c>
      <c r="P309" s="33" t="s">
        <v>1186</v>
      </c>
      <c r="Q309" s="31">
        <f>LEFT(RIGHT(A309,LEN(A309)-FIND("-",A309)),MIN(SEARCH({"a","b","c","d","e","f","g","h","i","j","k","l","m","n","o","p","q","r","s","t","u","v","w","x","y","z"},RIGHT(A309,LEN(A309)-FIND("-",A309))&amp;"abcdefghijklmnopqrstuvwxyz"))-1)+1-1</f>
        <v>45</v>
      </c>
      <c r="R309" s="32" t="str">
        <f t="shared" si="87"/>
        <v>Wireless</v>
      </c>
      <c r="S309" s="32" t="str">
        <f t="shared" si="86"/>
        <v>HTI</v>
      </c>
      <c r="T309" s="32" t="s">
        <v>38</v>
      </c>
      <c r="U309" s="17">
        <f t="shared" si="81"/>
        <v>0.98590277777839219</v>
      </c>
      <c r="V309" s="17">
        <f t="shared" si="82"/>
        <v>0.77501157407095889</v>
      </c>
      <c r="W309" s="56">
        <v>0.20189814814814813</v>
      </c>
      <c r="X309" s="54" t="str">
        <f>HYPERLINK("tag_data/mn181002-45 (Monterey)/mn181002-45 Map.bmp","1436")</f>
        <v>1436</v>
      </c>
      <c r="Y309" s="42"/>
      <c r="Z309" s="31" t="s">
        <v>39</v>
      </c>
      <c r="AA309" s="31" t="s">
        <v>39</v>
      </c>
      <c r="AB309" s="31" t="s">
        <v>380</v>
      </c>
      <c r="AC309" s="31" t="s">
        <v>39</v>
      </c>
      <c r="AD309" s="31" t="s">
        <v>39</v>
      </c>
      <c r="AE309" s="31" t="s">
        <v>39</v>
      </c>
      <c r="AF309" s="31" t="s">
        <v>39</v>
      </c>
      <c r="AG309" s="31" t="s">
        <v>266</v>
      </c>
      <c r="AH309" s="33" t="s">
        <v>643</v>
      </c>
      <c r="AI309" s="31" t="s">
        <v>39</v>
      </c>
      <c r="AJ309" s="31" t="s">
        <v>41</v>
      </c>
      <c r="AK309" s="31" t="s">
        <v>41</v>
      </c>
      <c r="AL309" s="31" t="s">
        <v>41</v>
      </c>
      <c r="AM309" s="31" t="s">
        <v>1198</v>
      </c>
      <c r="AN309" s="32" t="s">
        <v>900</v>
      </c>
      <c r="AO309" s="32" t="s">
        <v>1124</v>
      </c>
      <c r="AP309" s="30">
        <v>43375.337546296294</v>
      </c>
      <c r="AQ309" s="30">
        <v>43375.347430555557</v>
      </c>
      <c r="AR309" s="30">
        <v>43376.333333333336</v>
      </c>
      <c r="AS309" s="92">
        <v>43376.122442129628</v>
      </c>
      <c r="AT309" s="155">
        <v>36.648600000000002</v>
      </c>
      <c r="AU309" s="155">
        <v>-121.97539999999999</v>
      </c>
      <c r="AV309" s="106" t="s">
        <v>313</v>
      </c>
      <c r="AW309" s="106" t="s">
        <v>313</v>
      </c>
      <c r="AX309" s="30">
        <v>43376.351793981485</v>
      </c>
      <c r="AY309" s="147">
        <v>36.659599999999998</v>
      </c>
      <c r="AZ309" s="147">
        <v>-121.9512</v>
      </c>
      <c r="BA309" s="32" t="s">
        <v>1185</v>
      </c>
      <c r="BB309" s="49" t="s">
        <v>1381</v>
      </c>
    </row>
    <row r="310" spans="1:56">
      <c r="A310" s="55" t="str">
        <f>HYPERLINK("tag_data/Quicklook/mn181002-47Quicklook.jpg","mn181002-47")</f>
        <v>mn181002-47</v>
      </c>
      <c r="B310" s="26" t="str">
        <f t="shared" si="83"/>
        <v>mn</v>
      </c>
      <c r="C310" s="46" t="str">
        <f t="shared" si="88"/>
        <v>Monterey</v>
      </c>
      <c r="D310" s="64" t="s">
        <v>465</v>
      </c>
      <c r="E310" s="69" t="s">
        <v>549</v>
      </c>
      <c r="F310" s="85">
        <v>-7</v>
      </c>
      <c r="G310" s="60" t="s">
        <v>455</v>
      </c>
      <c r="H310" s="31" t="s">
        <v>39</v>
      </c>
      <c r="I310" s="46" t="str">
        <f>HYPERLINK("tag_data/mn181002-47 (Monterey)","Link")</f>
        <v>Link</v>
      </c>
      <c r="J310" s="46" t="str">
        <f>HYPERLINK("tag_data_raw/Monterey/2018/mn181002-47","Link")</f>
        <v>Link</v>
      </c>
      <c r="K310" s="46" t="str">
        <f>HYPERLINK("tag_data/mn181002-47 (Monterey)/Pics&amp;Vids","Link")</f>
        <v>Link</v>
      </c>
      <c r="L310" s="54" t="str">
        <f>HYPERLINK("location data/Monterey/2018/Pics&amp;Vids/10.02/Musculus Videos/Tag 47 GOPR0569.MP4","Link")</f>
        <v>Link</v>
      </c>
      <c r="M310" s="82" t="s">
        <v>263</v>
      </c>
      <c r="N310" s="54" t="str">
        <f>HYPERLINK("location data/Monterey/2018/20181002-MUS.mdb","Link")</f>
        <v>Link</v>
      </c>
      <c r="O310" s="54" t="str">
        <f>HYPERLINK("https://happywhale.com/encounter/50769;event=100330","U")</f>
        <v>U</v>
      </c>
      <c r="P310" s="33" t="s">
        <v>1187</v>
      </c>
      <c r="Q310" s="31">
        <f>LEFT(RIGHT(A310,LEN(A310)-FIND("-",A310)),MIN(SEARCH({"a","b","c","d","e","f","g","h","i","j","k","l","m","n","o","p","q","r","s","t","u","v","w","x","y","z"},RIGHT(A310,LEN(A310)-FIND("-",A310))&amp;"abcdefghijklmnopqrstuvwxyz"))-1)+1-1</f>
        <v>47</v>
      </c>
      <c r="R310" s="32" t="str">
        <f t="shared" si="87"/>
        <v>Wireless</v>
      </c>
      <c r="S310" s="32" t="str">
        <f t="shared" si="86"/>
        <v>Cam Mic</v>
      </c>
      <c r="T310" s="32" t="s">
        <v>1202</v>
      </c>
      <c r="U310" s="17">
        <f t="shared" si="81"/>
        <v>0.29688657407677965</v>
      </c>
      <c r="V310" s="17">
        <f t="shared" si="82"/>
        <v>0.29688657407677965</v>
      </c>
      <c r="W310" s="56">
        <v>0.28472222222222221</v>
      </c>
      <c r="X310" s="54" t="str">
        <f>HYPERLINK("tag_data/mn181002-47 (Monterey)/mn181002-47 Map.bmp","2")</f>
        <v>2</v>
      </c>
      <c r="Y310" s="42"/>
      <c r="Z310" s="31" t="s">
        <v>39</v>
      </c>
      <c r="AA310" s="31" t="s">
        <v>39</v>
      </c>
      <c r="AB310" s="31" t="s">
        <v>380</v>
      </c>
      <c r="AC310" s="31" t="s">
        <v>39</v>
      </c>
      <c r="AD310" s="31" t="s">
        <v>39</v>
      </c>
      <c r="AE310" s="31" t="s">
        <v>41</v>
      </c>
      <c r="AF310" s="31" t="s">
        <v>39</v>
      </c>
      <c r="AG310" s="31" t="s">
        <v>39</v>
      </c>
      <c r="AH310" s="31" t="s">
        <v>41</v>
      </c>
      <c r="AI310" s="31" t="s">
        <v>41</v>
      </c>
      <c r="AJ310" s="31" t="s">
        <v>39</v>
      </c>
      <c r="AK310" s="31" t="s">
        <v>41</v>
      </c>
      <c r="AL310" s="31" t="s">
        <v>41</v>
      </c>
      <c r="AM310" s="33" t="s">
        <v>1200</v>
      </c>
      <c r="AN310" s="32" t="s">
        <v>1201</v>
      </c>
      <c r="AO310" s="32" t="s">
        <v>1124</v>
      </c>
      <c r="AP310" s="30">
        <v>43375.350543981483</v>
      </c>
      <c r="AQ310" s="30">
        <v>43375.356782407405</v>
      </c>
      <c r="AR310" s="30">
        <v>43375.653668981482</v>
      </c>
      <c r="AS310" s="92" t="s">
        <v>651</v>
      </c>
      <c r="AT310" s="155">
        <v>36.6511</v>
      </c>
      <c r="AU310" s="155">
        <v>-121.97329999999999</v>
      </c>
      <c r="AV310" s="106" t="s">
        <v>312</v>
      </c>
      <c r="AW310" s="106" t="s">
        <v>313</v>
      </c>
      <c r="AX310" s="30">
        <v>43376.339409722219</v>
      </c>
      <c r="AY310" s="147">
        <v>36.668900000000001</v>
      </c>
      <c r="AZ310" s="147">
        <v>-121.893</v>
      </c>
      <c r="BA310" s="32" t="s">
        <v>1203</v>
      </c>
      <c r="BB310" s="49" t="s">
        <v>1382</v>
      </c>
    </row>
    <row r="311" spans="1:56">
      <c r="A311" s="55" t="str">
        <f>HYPERLINK("tag_data/Quicklook/mn181002-48Quicklook.jpg","mn181002-48")</f>
        <v>mn181002-48</v>
      </c>
      <c r="B311" s="26" t="str">
        <f t="shared" si="83"/>
        <v>mn</v>
      </c>
      <c r="C311" s="46" t="str">
        <f t="shared" si="88"/>
        <v>Monterey</v>
      </c>
      <c r="D311" s="64" t="s">
        <v>465</v>
      </c>
      <c r="E311" s="69" t="s">
        <v>549</v>
      </c>
      <c r="F311" s="85">
        <v>-7</v>
      </c>
      <c r="G311" s="60" t="s">
        <v>455</v>
      </c>
      <c r="H311" s="31" t="s">
        <v>39</v>
      </c>
      <c r="I311" s="46" t="str">
        <f>HYPERLINK("tag_data/mn181002-48 (Monterey)","Link")</f>
        <v>Link</v>
      </c>
      <c r="J311" s="46" t="str">
        <f>HYPERLINK("tag_data_raw/Monterey/2018/mn181002-48","Link")</f>
        <v>Link</v>
      </c>
      <c r="K311" s="82" t="s">
        <v>263</v>
      </c>
      <c r="L311" s="82" t="s">
        <v>263</v>
      </c>
      <c r="M311" s="82" t="s">
        <v>263</v>
      </c>
      <c r="N311" s="54" t="str">
        <f>HYPERLINK("location data/Monterey/2018/20181002-MUS.mdb","Link")</f>
        <v>Link</v>
      </c>
      <c r="O311" s="31" t="s">
        <v>45</v>
      </c>
      <c r="P311" s="31" t="s">
        <v>41</v>
      </c>
      <c r="Q311" s="31">
        <f>LEFT(RIGHT(A311,LEN(A311)-FIND("-",A311)),MIN(SEARCH({"a","b","c","d","e","f","g","h","i","j","k","l","m","n","o","p","q","r","s","t","u","v","w","x","y","z"},RIGHT(A311,LEN(A311)-FIND("-",A311))&amp;"abcdefghijklmnopqrstuvwxyz"))-1)+1-1</f>
        <v>48</v>
      </c>
      <c r="R311" s="32" t="str">
        <f t="shared" si="87"/>
        <v>Wireless</v>
      </c>
      <c r="S311" s="32" t="str">
        <f t="shared" si="86"/>
        <v>HTI</v>
      </c>
      <c r="T311" s="32" t="s">
        <v>38</v>
      </c>
      <c r="U311" s="17">
        <f t="shared" si="81"/>
        <v>3.4027777801384218E-3</v>
      </c>
      <c r="V311" s="17">
        <f t="shared" si="82"/>
        <v>3.4027777801384218E-3</v>
      </c>
      <c r="W311" s="56">
        <f>V311</f>
        <v>3.4027777801384218E-3</v>
      </c>
      <c r="X311" s="54" t="str">
        <f>HYPERLINK("tag_data/mn181002-48 (Monterey)/mn181002-48 Map.bmp","2")</f>
        <v>2</v>
      </c>
      <c r="Y311" s="42"/>
      <c r="Z311" s="31" t="s">
        <v>41</v>
      </c>
      <c r="AA311" s="31" t="s">
        <v>41</v>
      </c>
      <c r="AB311" s="31" t="s">
        <v>380</v>
      </c>
      <c r="AC311" s="31" t="s">
        <v>41</v>
      </c>
      <c r="AD311" s="31" t="s">
        <v>41</v>
      </c>
      <c r="AE311" s="31" t="s">
        <v>41</v>
      </c>
      <c r="AF311" s="31" t="s">
        <v>39</v>
      </c>
      <c r="AG311" s="31" t="s">
        <v>41</v>
      </c>
      <c r="AH311" s="31" t="s">
        <v>41</v>
      </c>
      <c r="AI311" s="31" t="s">
        <v>39</v>
      </c>
      <c r="AJ311" s="31" t="s">
        <v>41</v>
      </c>
      <c r="AK311" s="31" t="s">
        <v>41</v>
      </c>
      <c r="AL311" s="31" t="s">
        <v>41</v>
      </c>
      <c r="AM311" s="31" t="s">
        <v>41</v>
      </c>
      <c r="AN311" s="32" t="s">
        <v>743</v>
      </c>
      <c r="AO311" s="32" t="s">
        <v>1124</v>
      </c>
      <c r="AP311" s="30">
        <v>43375.386643518519</v>
      </c>
      <c r="AQ311" s="30">
        <v>43375.392696759256</v>
      </c>
      <c r="AR311" s="30">
        <v>43375.396099537036</v>
      </c>
      <c r="AS311" s="92" t="s">
        <v>651</v>
      </c>
      <c r="AT311" s="155">
        <v>36.658099999999997</v>
      </c>
      <c r="AU311" s="155">
        <v>-121.965</v>
      </c>
      <c r="AV311" s="106" t="s">
        <v>312</v>
      </c>
      <c r="AW311" s="106" t="s">
        <v>312</v>
      </c>
      <c r="AX311" s="30">
        <v>43375.397291666668</v>
      </c>
      <c r="AY311" s="107">
        <v>36.655820341000002</v>
      </c>
      <c r="AZ311" s="107">
        <v>-121.964547724</v>
      </c>
      <c r="BA311" s="32" t="s">
        <v>1224</v>
      </c>
      <c r="BB311" s="49" t="s">
        <v>1383</v>
      </c>
    </row>
    <row r="312" spans="1:56">
      <c r="A312" s="55" t="str">
        <f>HYPERLINK("tag_data/Quicklook/mn181002-49Quicklook.jpg","mn181002-49")</f>
        <v>mn181002-49</v>
      </c>
      <c r="B312" s="26" t="str">
        <f t="shared" si="83"/>
        <v>mn</v>
      </c>
      <c r="C312" s="46" t="str">
        <f t="shared" si="88"/>
        <v>Monterey</v>
      </c>
      <c r="D312" s="64" t="s">
        <v>465</v>
      </c>
      <c r="E312" s="69" t="s">
        <v>549</v>
      </c>
      <c r="F312" s="85">
        <v>-7</v>
      </c>
      <c r="G312" s="60" t="s">
        <v>455</v>
      </c>
      <c r="H312" s="31" t="s">
        <v>39</v>
      </c>
      <c r="I312" s="46" t="str">
        <f>HYPERLINK("tag_data/mn181002-49 (Monterey)","Link")</f>
        <v>Link</v>
      </c>
      <c r="J312" s="46" t="str">
        <f>HYPERLINK("tag_data_raw/Monterey/2018/mn181002-49","Link")</f>
        <v>Link</v>
      </c>
      <c r="K312" s="46" t="str">
        <f>HYPERLINK("tag_data/mn181002-49 (Monterey)/Pics&amp;Vids","Link")</f>
        <v>Link</v>
      </c>
      <c r="L312" s="54" t="str">
        <f>HYPERLINK("location data/Monterey/2018/Pics&amp;Vids/10.02/Musculus Videos/Tag 49 GOPR0576.MP4","Link")</f>
        <v>Link</v>
      </c>
      <c r="M312" s="46" t="str">
        <f>HYPERLINK("tag_data/mn181002-49 (Monterey)/Pics&amp;Vids/drone","Rostrum")</f>
        <v>Rostrum</v>
      </c>
      <c r="N312" s="54" t="str">
        <f>HYPERLINK("location data/Monterey/2018/20181002-MUS.mdb","Link")</f>
        <v>Link</v>
      </c>
      <c r="O312" s="54" t="str">
        <f>HYPERLINK("https://happywhale.com/individual/410;enc=50770;event=100346","CRC-12434")</f>
        <v>CRC-12434</v>
      </c>
      <c r="P312" s="33" t="s">
        <v>1189</v>
      </c>
      <c r="Q312" s="31">
        <f>LEFT(RIGHT(A312,LEN(A312)-FIND("-",A312)),MIN(SEARCH({"a","b","c","d","e","f","g","h","i","j","k","l","m","n","o","p","q","r","s","t","u","v","w","x","y","z"},RIGHT(A312,LEN(A312)-FIND("-",A312))&amp;"abcdefghijklmnopqrstuvwxyz"))-1)+1-1</f>
        <v>49</v>
      </c>
      <c r="R312" s="32" t="str">
        <f t="shared" si="87"/>
        <v>Wireless</v>
      </c>
      <c r="S312" s="32" t="str">
        <f t="shared" si="86"/>
        <v>HTI</v>
      </c>
      <c r="T312" s="32" t="s">
        <v>649</v>
      </c>
      <c r="U312" s="17">
        <f t="shared" si="81"/>
        <v>0.31724537037371192</v>
      </c>
      <c r="V312" s="17">
        <f t="shared" si="82"/>
        <v>0.31724537037371192</v>
      </c>
      <c r="W312" s="56">
        <v>0.1504398148148148</v>
      </c>
      <c r="X312" s="31">
        <v>0</v>
      </c>
      <c r="Y312" s="42"/>
      <c r="Z312" s="31" t="s">
        <v>39</v>
      </c>
      <c r="AA312" s="31" t="s">
        <v>39</v>
      </c>
      <c r="AB312" s="31" t="s">
        <v>380</v>
      </c>
      <c r="AC312" s="31" t="s">
        <v>39</v>
      </c>
      <c r="AD312" s="31" t="s">
        <v>39</v>
      </c>
      <c r="AE312" s="31" t="s">
        <v>39</v>
      </c>
      <c r="AF312" s="31" t="s">
        <v>39</v>
      </c>
      <c r="AG312" s="31" t="s">
        <v>39</v>
      </c>
      <c r="AH312" s="33" t="s">
        <v>643</v>
      </c>
      <c r="AI312" s="31" t="s">
        <v>39</v>
      </c>
      <c r="AJ312" s="31" t="s">
        <v>39</v>
      </c>
      <c r="AK312" s="31" t="s">
        <v>41</v>
      </c>
      <c r="AL312" s="31" t="s">
        <v>41</v>
      </c>
      <c r="AM312" s="31" t="s">
        <v>1198</v>
      </c>
      <c r="AN312" s="32" t="s">
        <v>900</v>
      </c>
      <c r="AO312" s="32" t="s">
        <v>1124</v>
      </c>
      <c r="AP312" s="30">
        <v>43375.381006944444</v>
      </c>
      <c r="AQ312" s="30">
        <v>43375.392928240741</v>
      </c>
      <c r="AR312" s="30">
        <v>43375.710173611114</v>
      </c>
      <c r="AS312" s="92" t="s">
        <v>651</v>
      </c>
      <c r="AT312" s="155">
        <v>36.658099999999997</v>
      </c>
      <c r="AU312" s="155">
        <v>-121.965</v>
      </c>
      <c r="AV312" s="106" t="s">
        <v>313</v>
      </c>
      <c r="AW312" s="106" t="s">
        <v>313</v>
      </c>
      <c r="AX312" s="30">
        <v>43376.425625000003</v>
      </c>
      <c r="AY312" s="107">
        <v>36.793399999999998</v>
      </c>
      <c r="AZ312" s="107">
        <v>-121.9466</v>
      </c>
      <c r="BA312" s="32" t="s">
        <v>1199</v>
      </c>
      <c r="BB312" s="49" t="s">
        <v>1384</v>
      </c>
    </row>
    <row r="313" spans="1:56">
      <c r="A313" s="55" t="str">
        <f>HYPERLINK("tag_data/Quicklook/mn181002-53Quicklook.jpg","mn181002-53")</f>
        <v>mn181002-53</v>
      </c>
      <c r="B313" s="26" t="str">
        <f t="shared" si="83"/>
        <v>mn</v>
      </c>
      <c r="C313" s="46" t="str">
        <f t="shared" si="88"/>
        <v>Monterey</v>
      </c>
      <c r="D313" s="64" t="s">
        <v>465</v>
      </c>
      <c r="E313" s="69" t="s">
        <v>549</v>
      </c>
      <c r="F313" s="85">
        <v>-7</v>
      </c>
      <c r="G313" s="60" t="s">
        <v>455</v>
      </c>
      <c r="H313" s="31" t="s">
        <v>39</v>
      </c>
      <c r="I313" s="46" t="str">
        <f>HYPERLINK("tag_data/mn181002-53 (Monterey)","Link")</f>
        <v>Link</v>
      </c>
      <c r="J313" s="46" t="str">
        <f>HYPERLINK("tag_data_raw/Monterey/2018/mn181002-53","Link")</f>
        <v>Link</v>
      </c>
      <c r="K313" s="46" t="str">
        <f>HYPERLINK("tag_data/mn181002-53 (Monterey)/Pics&amp;Vids","Link")</f>
        <v>Link</v>
      </c>
      <c r="L313" s="54" t="str">
        <f>HYPERLINK("location data/Monterey/2018/Pics&amp;Vids/10.02/Musculus Videos/Tag 53 GOPR0572.MP4","Link")</f>
        <v>Link</v>
      </c>
      <c r="M313" s="46" t="str">
        <f>HYPERLINK("tag_data/mn181002-53 (Monterey)/Pics&amp;Vids/drone","12.3 m")</f>
        <v>12.3 m</v>
      </c>
      <c r="N313" s="54" t="str">
        <f>HYPERLINK("location data/Monterey/2018/20181002-MUS.mdb","Link")</f>
        <v>Link</v>
      </c>
      <c r="O313" s="54" t="str">
        <f>HYPERLINK("https://happywhale.com/individual/287;enc=50764;event=100344","CRC-15286")</f>
        <v>CRC-15286</v>
      </c>
      <c r="P313" s="33" t="s">
        <v>1188</v>
      </c>
      <c r="Q313" s="31">
        <f>LEFT(RIGHT(A313,LEN(A313)-FIND("-",A313)),MIN(SEARCH({"a","b","c","d","e","f","g","h","i","j","k","l","m","n","o","p","q","r","s","t","u","v","w","x","y","z"},RIGHT(A313,LEN(A313)-FIND("-",A313))&amp;"abcdefghijklmnopqrstuvwxyz"))-1)+1-1</f>
        <v>53</v>
      </c>
      <c r="R313" s="32" t="str">
        <f t="shared" si="87"/>
        <v>Wireless</v>
      </c>
      <c r="S313" s="32" t="str">
        <f t="shared" si="86"/>
        <v>HTI</v>
      </c>
      <c r="T313" s="32" t="s">
        <v>38</v>
      </c>
      <c r="U313" s="17">
        <f t="shared" si="81"/>
        <v>8.9837962965248153E-2</v>
      </c>
      <c r="V313" s="17">
        <f t="shared" si="82"/>
        <v>8.9837962965248153E-2</v>
      </c>
      <c r="W313" s="56">
        <v>8.1018518518518517E-2</v>
      </c>
      <c r="X313" s="54" t="str">
        <f>HYPERLINK("tag_data/mn181002-53 (Monterey)/mn181002-53 Map.bmp","83")</f>
        <v>83</v>
      </c>
      <c r="Y313" s="42"/>
      <c r="Z313" s="31" t="s">
        <v>39</v>
      </c>
      <c r="AA313" s="31" t="s">
        <v>39</v>
      </c>
      <c r="AB313" s="31" t="s">
        <v>380</v>
      </c>
      <c r="AC313" s="31" t="s">
        <v>39</v>
      </c>
      <c r="AD313" s="31" t="s">
        <v>39</v>
      </c>
      <c r="AE313" s="31" t="s">
        <v>39</v>
      </c>
      <c r="AF313" s="31" t="s">
        <v>39</v>
      </c>
      <c r="AG313" s="31" t="s">
        <v>41</v>
      </c>
      <c r="AH313" s="33" t="s">
        <v>643</v>
      </c>
      <c r="AI313" s="31" t="s">
        <v>39</v>
      </c>
      <c r="AJ313" s="31" t="s">
        <v>39</v>
      </c>
      <c r="AK313" s="31" t="s">
        <v>41</v>
      </c>
      <c r="AL313" s="31" t="s">
        <v>39</v>
      </c>
      <c r="AM313" s="31" t="s">
        <v>1198</v>
      </c>
      <c r="AN313" s="32" t="s">
        <v>900</v>
      </c>
      <c r="AO313" s="32" t="s">
        <v>1124</v>
      </c>
      <c r="AP313" s="30">
        <v>43375.349143518521</v>
      </c>
      <c r="AQ313" s="30">
        <v>43375.362118055556</v>
      </c>
      <c r="AR313" s="30">
        <v>43375.451956018522</v>
      </c>
      <c r="AS313" s="92" t="s">
        <v>651</v>
      </c>
      <c r="AT313" s="155">
        <v>36.6496</v>
      </c>
      <c r="AU313" s="155">
        <v>-121.9751</v>
      </c>
      <c r="AV313" s="106" t="s">
        <v>313</v>
      </c>
      <c r="AW313" s="106" t="s">
        <v>313</v>
      </c>
      <c r="AX313" s="30">
        <v>43375.491747685184</v>
      </c>
      <c r="AY313" s="107">
        <v>36.670499999999997</v>
      </c>
      <c r="AZ313" s="107">
        <v>-121.9402</v>
      </c>
      <c r="BA313" s="32" t="s">
        <v>1218</v>
      </c>
      <c r="BB313" s="49"/>
    </row>
    <row r="314" spans="1:56">
      <c r="A314" s="55" t="str">
        <f>HYPERLINK("tag_data/Quicklook/mn181003-46Quicklook.jpg","mn181003-46")</f>
        <v>mn181003-46</v>
      </c>
      <c r="B314" s="26" t="str">
        <f t="shared" si="83"/>
        <v>mn</v>
      </c>
      <c r="C314" s="46" t="str">
        <f t="shared" si="88"/>
        <v>Monterey</v>
      </c>
      <c r="D314" s="64" t="s">
        <v>465</v>
      </c>
      <c r="E314" s="69" t="s">
        <v>549</v>
      </c>
      <c r="F314" s="85">
        <v>-7</v>
      </c>
      <c r="G314" s="60" t="s">
        <v>455</v>
      </c>
      <c r="H314" s="31" t="s">
        <v>41</v>
      </c>
      <c r="I314" s="31" t="s">
        <v>263</v>
      </c>
      <c r="J314" s="46" t="str">
        <f>HYPERLINK("tag_data_raw/Monterey/2018/mn181003-46","Link")</f>
        <v>Link</v>
      </c>
      <c r="K314" s="46" t="str">
        <f>HYPERLINK("tag_data_raw/Monterey/2018/mn181003-46/Pics&amp;Vids","Link")</f>
        <v>Link</v>
      </c>
      <c r="L314" s="82" t="s">
        <v>263</v>
      </c>
      <c r="M314" s="41" t="s">
        <v>263</v>
      </c>
      <c r="N314" s="54" t="str">
        <f>HYPERLINK("location data\Monterey\2018\20181003-Cheeto.accdb","Link")</f>
        <v>Link</v>
      </c>
      <c r="O314" s="31" t="s">
        <v>45</v>
      </c>
      <c r="P314" s="31" t="s">
        <v>41</v>
      </c>
      <c r="Q314" s="31">
        <f>LEFT(RIGHT(A314,LEN(A314)-FIND("-",A314)),MIN(SEARCH({"a","b","c","d","e","f","g","h","i","j","k","l","m","n","o","p","q","r","s","t","u","v","w","x","y","z"},RIGHT(A314,LEN(A314)-FIND("-",A314))&amp;"abcdefghijklmnopqrstuvwxyz"))-1)+1-1</f>
        <v>46</v>
      </c>
      <c r="R314" s="32" t="str">
        <f t="shared" si="87"/>
        <v>Wireless</v>
      </c>
      <c r="S314" s="32" t="str">
        <f t="shared" si="86"/>
        <v>Cam Mic</v>
      </c>
      <c r="T314" s="32" t="s">
        <v>595</v>
      </c>
      <c r="U314" s="17">
        <f t="shared" si="81"/>
        <v>7.1874999994179234E-3</v>
      </c>
      <c r="V314" s="17">
        <f t="shared" si="82"/>
        <v>7.1874999994179234E-3</v>
      </c>
      <c r="W314" s="56">
        <f>V314</f>
        <v>7.1874999994179234E-3</v>
      </c>
      <c r="X314" s="54" t="str">
        <f>HYPERLINK("tag_data_raw\Monterey\2018\mn181003-46\mn181003-46 Map.bmp","10")</f>
        <v>10</v>
      </c>
      <c r="Y314" s="42"/>
      <c r="Z314" s="31" t="s">
        <v>41</v>
      </c>
      <c r="AA314" s="31" t="s">
        <v>41</v>
      </c>
      <c r="AB314" s="31" t="s">
        <v>263</v>
      </c>
      <c r="AC314" s="31" t="s">
        <v>39</v>
      </c>
      <c r="AD314" s="31" t="s">
        <v>41</v>
      </c>
      <c r="AE314" s="31" t="s">
        <v>41</v>
      </c>
      <c r="AF314" s="31" t="s">
        <v>39</v>
      </c>
      <c r="AG314" s="31" t="s">
        <v>41</v>
      </c>
      <c r="AH314" s="31" t="s">
        <v>41</v>
      </c>
      <c r="AI314" s="31" t="s">
        <v>41</v>
      </c>
      <c r="AJ314" s="31" t="s">
        <v>39</v>
      </c>
      <c r="AK314" s="31" t="s">
        <v>39</v>
      </c>
      <c r="AL314" s="31" t="s">
        <v>41</v>
      </c>
      <c r="AM314" s="31" t="s">
        <v>41</v>
      </c>
      <c r="AN314" s="32" t="s">
        <v>1429</v>
      </c>
      <c r="AO314" s="32" t="s">
        <v>1174</v>
      </c>
      <c r="AP314" s="30">
        <v>43376.34920138889</v>
      </c>
      <c r="AQ314" s="30">
        <v>43376.422060185185</v>
      </c>
      <c r="AR314" s="30">
        <v>43376.429247685184</v>
      </c>
      <c r="AS314" s="92" t="s">
        <v>651</v>
      </c>
      <c r="AT314" s="155">
        <f>36+47.62/60</f>
        <v>36.793666666666667</v>
      </c>
      <c r="AU314" s="155">
        <f>-121-55.747/60</f>
        <v>-121.92911666666667</v>
      </c>
      <c r="AV314" s="106" t="s">
        <v>312</v>
      </c>
      <c r="AW314" s="106" t="s">
        <v>312</v>
      </c>
      <c r="AX314" s="30">
        <v>43376.430555555555</v>
      </c>
      <c r="AY314" s="107">
        <f>36+47.4/60</f>
        <v>36.79</v>
      </c>
      <c r="AZ314" s="107">
        <f>-121 - 56.163/60</f>
        <v>-121.93604999999999</v>
      </c>
      <c r="BA314" s="32" t="s">
        <v>1447</v>
      </c>
      <c r="BB314" s="32"/>
    </row>
    <row r="315" spans="1:56">
      <c r="A315" s="55" t="str">
        <f>HYPERLINK("tag_data/Quicklook/mn181003-53Quicklook.jpg","mn181003-53")</f>
        <v>mn181003-53</v>
      </c>
      <c r="B315" s="26" t="str">
        <f t="shared" si="83"/>
        <v>mn</v>
      </c>
      <c r="C315" s="46" t="str">
        <f t="shared" si="88"/>
        <v>Monterey</v>
      </c>
      <c r="D315" s="64" t="s">
        <v>465</v>
      </c>
      <c r="E315" s="69" t="s">
        <v>549</v>
      </c>
      <c r="F315" s="85">
        <v>-7</v>
      </c>
      <c r="G315" s="60" t="s">
        <v>455</v>
      </c>
      <c r="H315" s="31" t="s">
        <v>39</v>
      </c>
      <c r="I315" s="46" t="str">
        <f>HYPERLINK("tag_data/mn181003-53 (Monterey)","Link")</f>
        <v>Link</v>
      </c>
      <c r="J315" s="46" t="str">
        <f>HYPERLINK("tag_data_raw/Monterey/2018/mn181003-53","Link")</f>
        <v>Link</v>
      </c>
      <c r="K315" s="46" t="str">
        <f>HYPERLINK("tag_data/mn181003-53 (Monterey)/Pics&amp;Vids","Link")</f>
        <v>Link</v>
      </c>
      <c r="L315" s="54" t="str">
        <f>HYPERLINK("location data/Monterey/2018/Pics&amp;Vids/10.03/GOPR0581 (tag 53).MP4","Link")</f>
        <v>Link</v>
      </c>
      <c r="M315" s="46" t="str">
        <f>HYPERLINK("tag_data/mn181003-53 (Monterey)/Pics&amp;Vids/drone","12.0 m")</f>
        <v>12.0 m</v>
      </c>
      <c r="N315" s="54" t="str">
        <f>HYPERLINK("location data/Monterey/2018/20181003-MUS.mdb","Link")</f>
        <v>Link</v>
      </c>
      <c r="O315" s="54" t="str">
        <f>HYPERLINK("https://happywhale.com/individual/14718;enc=50766;event=100345","CRC-12448")</f>
        <v>CRC-12448</v>
      </c>
      <c r="P315" s="33" t="s">
        <v>1188</v>
      </c>
      <c r="Q315" s="31">
        <f>LEFT(RIGHT(A315,LEN(A315)-FIND("-",A315)),MIN(SEARCH({"a","b","c","d","e","f","g","h","i","j","k","l","m","n","o","p","q","r","s","t","u","v","w","x","y","z"},RIGHT(A315,LEN(A315)-FIND("-",A315))&amp;"abcdefghijklmnopqrstuvwxyz"))-1)+1-1</f>
        <v>53</v>
      </c>
      <c r="R315" s="32" t="str">
        <f t="shared" si="87"/>
        <v>Wireless</v>
      </c>
      <c r="S315" s="32" t="str">
        <f t="shared" si="86"/>
        <v>HTI</v>
      </c>
      <c r="T315" s="32" t="s">
        <v>533</v>
      </c>
      <c r="U315" s="17">
        <f t="shared" si="81"/>
        <v>0.19542824074596865</v>
      </c>
      <c r="V315" s="17">
        <f t="shared" si="82"/>
        <v>0.19542824074596865</v>
      </c>
      <c r="W315" s="56">
        <v>9.0520833333333328E-2</v>
      </c>
      <c r="X315" s="54" t="str">
        <f>HYPERLINK("tag_data/mn181003-53 (Monterey)/mn181003-53 Map.bmp","188")</f>
        <v>188</v>
      </c>
      <c r="Y315" s="42"/>
      <c r="Z315" s="31" t="s">
        <v>39</v>
      </c>
      <c r="AA315" s="31" t="s">
        <v>39</v>
      </c>
      <c r="AB315" s="31" t="s">
        <v>380</v>
      </c>
      <c r="AC315" s="31" t="s">
        <v>39</v>
      </c>
      <c r="AD315" s="31" t="s">
        <v>41</v>
      </c>
      <c r="AE315" s="31" t="s">
        <v>39</v>
      </c>
      <c r="AF315" s="31" t="s">
        <v>41</v>
      </c>
      <c r="AG315" s="31" t="s">
        <v>39</v>
      </c>
      <c r="AH315" s="31" t="s">
        <v>41</v>
      </c>
      <c r="AI315" s="31" t="s">
        <v>41</v>
      </c>
      <c r="AJ315" s="31" t="s">
        <v>39</v>
      </c>
      <c r="AK315" s="31" t="s">
        <v>41</v>
      </c>
      <c r="AL315" s="31" t="s">
        <v>41</v>
      </c>
      <c r="AM315" s="31" t="s">
        <v>41</v>
      </c>
      <c r="AN315" s="32" t="s">
        <v>1205</v>
      </c>
      <c r="AO315" s="32" t="s">
        <v>1174</v>
      </c>
      <c r="AP315" s="30">
        <v>43376.379270833335</v>
      </c>
      <c r="AQ315" s="30">
        <v>43376.383703703701</v>
      </c>
      <c r="AR315" s="30">
        <v>43376.579131944447</v>
      </c>
      <c r="AS315" s="92" t="s">
        <v>651</v>
      </c>
      <c r="AT315" s="155">
        <v>36.792200000000001</v>
      </c>
      <c r="AU315" s="155">
        <v>-121.9532</v>
      </c>
      <c r="AV315" s="106" t="s">
        <v>313</v>
      </c>
      <c r="AW315" s="106" t="s">
        <v>312</v>
      </c>
      <c r="AX315" s="30">
        <v>43377.372256944444</v>
      </c>
      <c r="AY315" s="107">
        <f>36+42.498/60</f>
        <v>36.708300000000001</v>
      </c>
      <c r="AZ315" s="107">
        <f>-121-50.553/60</f>
        <v>-121.84255</v>
      </c>
      <c r="BA315" s="32" t="s">
        <v>1463</v>
      </c>
      <c r="BB315" s="49"/>
    </row>
    <row r="316" spans="1:56">
      <c r="A316" s="55" t="str">
        <f>HYPERLINK("tag_data/Quicklook/mn181003-62Quicklook.jpg","mn181003-62")</f>
        <v>mn181003-62</v>
      </c>
      <c r="B316" s="26" t="str">
        <f t="shared" si="83"/>
        <v>mn</v>
      </c>
      <c r="C316" s="46" t="str">
        <f t="shared" si="88"/>
        <v>Monterey</v>
      </c>
      <c r="D316" s="64" t="s">
        <v>465</v>
      </c>
      <c r="E316" s="69" t="s">
        <v>549</v>
      </c>
      <c r="F316" s="85">
        <v>-7</v>
      </c>
      <c r="G316" s="60" t="s">
        <v>953</v>
      </c>
      <c r="H316" s="31" t="s">
        <v>1170</v>
      </c>
      <c r="I316" s="46" t="str">
        <f>HYPERLINK("tag_data/mn181003-62 (Monterey)","Link")</f>
        <v>Link</v>
      </c>
      <c r="J316" s="46" t="str">
        <f>HYPERLINK("tag_data_raw/Monterey/2018/mn181003-62","Link")</f>
        <v>Link</v>
      </c>
      <c r="K316" s="46" t="str">
        <f>HYPERLINK("tag_data/mn181003-62 (Monterey)/Pics&amp;Vids","Link")</f>
        <v>Link</v>
      </c>
      <c r="L316" s="82" t="s">
        <v>263</v>
      </c>
      <c r="M316" s="46" t="str">
        <f>HYPERLINK("tag_data/mn181003-62 (Monterey)/Pics&amp;Vids/drone","?? m")</f>
        <v>?? m</v>
      </c>
      <c r="N316" s="54" t="str">
        <f>HYPERLINK("location data/Monterey/2018/20181003-MUS.mdb","Link")</f>
        <v>Link</v>
      </c>
      <c r="O316" s="54" t="str">
        <f>HYPERLINK("https://happywhale.com/encounter/50767;event=100328","U")</f>
        <v>U</v>
      </c>
      <c r="P316" s="33" t="s">
        <v>1191</v>
      </c>
      <c r="Q316" s="31">
        <f>LEFT(RIGHT(A316,LEN(A316)-FIND("-",A316)),MIN(SEARCH({"a","b","c","d","e","f","g","h","i","j","k","l","m","n","o","p","q","r","s","t","u","v","w","x","y","z"},RIGHT(A316,LEN(A316)-FIND("-",A316))&amp;"abcdefghijklmnopqrstuvwxyz"))-1)+1-1</f>
        <v>62</v>
      </c>
      <c r="R316" s="32" t="s">
        <v>950</v>
      </c>
      <c r="S316" s="32" t="s">
        <v>1393</v>
      </c>
      <c r="T316" s="31" t="s">
        <v>263</v>
      </c>
      <c r="U316" s="17">
        <f t="shared" si="81"/>
        <v>0.12061342592642177</v>
      </c>
      <c r="V316" s="17">
        <f t="shared" si="82"/>
        <v>0.12061342592642177</v>
      </c>
      <c r="W316" s="56" t="s">
        <v>346</v>
      </c>
      <c r="X316" s="31" t="s">
        <v>263</v>
      </c>
      <c r="Y316" s="42"/>
      <c r="Z316" s="31" t="s">
        <v>39</v>
      </c>
      <c r="AA316" s="31" t="s">
        <v>41</v>
      </c>
      <c r="AB316" s="31" t="s">
        <v>1204</v>
      </c>
      <c r="AC316" s="31" t="s">
        <v>39</v>
      </c>
      <c r="AD316" s="31" t="s">
        <v>41</v>
      </c>
      <c r="AE316" s="31" t="s">
        <v>41</v>
      </c>
      <c r="AF316" s="31" t="s">
        <v>41</v>
      </c>
      <c r="AG316" s="31" t="s">
        <v>41</v>
      </c>
      <c r="AH316" s="31" t="s">
        <v>41</v>
      </c>
      <c r="AI316" s="31" t="s">
        <v>41</v>
      </c>
      <c r="AJ316" s="31" t="s">
        <v>41</v>
      </c>
      <c r="AK316" s="31" t="s">
        <v>41</v>
      </c>
      <c r="AL316" s="31" t="s">
        <v>41</v>
      </c>
      <c r="AM316" s="31" t="s">
        <v>41</v>
      </c>
      <c r="AN316" s="32" t="s">
        <v>1431</v>
      </c>
      <c r="AO316" s="32" t="s">
        <v>345</v>
      </c>
      <c r="AP316" s="30">
        <v>43375.708333333336</v>
      </c>
      <c r="AQ316" s="30">
        <v>43376.52851851852</v>
      </c>
      <c r="AR316" s="30">
        <v>43376.649131944447</v>
      </c>
      <c r="AS316" s="92" t="s">
        <v>651</v>
      </c>
      <c r="AT316" s="155">
        <v>36.804200000000002</v>
      </c>
      <c r="AU316" s="155">
        <v>-121.8471</v>
      </c>
      <c r="AV316" s="106" t="s">
        <v>313</v>
      </c>
      <c r="AW316" s="106" t="s">
        <v>312</v>
      </c>
      <c r="AX316" s="30">
        <v>43377.404861111114</v>
      </c>
      <c r="AY316" s="107">
        <f>36+48.368/60</f>
        <v>36.806133333333335</v>
      </c>
      <c r="AZ316" s="107">
        <f>-121-50.845/60</f>
        <v>-121.84741666666666</v>
      </c>
      <c r="BA316" s="32" t="s">
        <v>1430</v>
      </c>
      <c r="BB316" s="32"/>
    </row>
    <row r="317" spans="1:56">
      <c r="A317" s="55" t="str">
        <f>HYPERLINK("tag_data/Quicklook/oo160125-10quicklook.jpg","oo160125-10")</f>
        <v>oo160125-10</v>
      </c>
      <c r="B317" s="26" t="str">
        <f t="shared" si="83"/>
        <v>oo</v>
      </c>
      <c r="C317" s="42" t="str">
        <f>HYPERLINK("location data/Norway/2016/","Norway")</f>
        <v>Norway</v>
      </c>
      <c r="D317" s="64" t="s">
        <v>286</v>
      </c>
      <c r="E317" s="77" t="s">
        <v>526</v>
      </c>
      <c r="F317" s="85">
        <v>1</v>
      </c>
      <c r="G317" s="59" t="s">
        <v>527</v>
      </c>
      <c r="H317" s="31" t="s">
        <v>39</v>
      </c>
      <c r="I317" s="42" t="str">
        <f>HYPERLINK("tag_data/oo160125-10 (Norway)","Link")</f>
        <v>Link</v>
      </c>
      <c r="J317" s="46" t="str">
        <f>HYPERLINK("tag_data_raw/Norway/2016/oo160125-10","Link")</f>
        <v>Link</v>
      </c>
      <c r="K317" s="42" t="str">
        <f>HYPERLINK("tag_data/oo160125-10 (Norway)/Pics&amp;Vids","Link")</f>
        <v>Link</v>
      </c>
      <c r="L317" s="41" t="s">
        <v>263</v>
      </c>
      <c r="M317" s="41" t="s">
        <v>263</v>
      </c>
      <c r="N317" s="54" t="str">
        <f>HYPERLINK("location data\Norway\2016\Summary_CATS_deployments_Dave.xlsx","Link")</f>
        <v>Link</v>
      </c>
      <c r="O317" s="31" t="s">
        <v>45</v>
      </c>
      <c r="P317" s="31" t="s">
        <v>41</v>
      </c>
      <c r="Q317" s="31">
        <v>10</v>
      </c>
      <c r="R317" s="32" t="s">
        <v>133</v>
      </c>
      <c r="S317" s="32" t="str">
        <f>IF(OR(Q317&lt;39,Q317=50,Q317=51,AND(OR(Q317=46,Q317=47),AQ317&gt;43313)),"Cam Mic",IF(AND(Q317&lt;45,AQ317&lt;42958),"Dolphin Ear",IF(AND(Q317&gt;44,NOT(OR(Q317=46,Q317=47,Q317=50,Q317=51))),"HTI","None")))</f>
        <v>Cam Mic</v>
      </c>
      <c r="T317" s="32" t="s">
        <v>330</v>
      </c>
      <c r="U317" s="17">
        <f t="shared" si="81"/>
        <v>0.62321527777385199</v>
      </c>
      <c r="V317" s="17">
        <f t="shared" si="82"/>
        <v>0.62321527777385199</v>
      </c>
      <c r="W317" s="56">
        <v>8.7719907407407413E-2</v>
      </c>
      <c r="X317" s="31">
        <v>0</v>
      </c>
      <c r="Y317" s="42" t="str">
        <f>HYPERLINK("tag_data/oo160125-10 (Norway)/oo160125-10 Video Audit.txt","Link")</f>
        <v>Link</v>
      </c>
      <c r="Z317" s="31" t="s">
        <v>39</v>
      </c>
      <c r="AA317" s="31" t="s">
        <v>41</v>
      </c>
      <c r="AB317" s="31" t="s">
        <v>297</v>
      </c>
      <c r="AC317" s="31" t="s">
        <v>41</v>
      </c>
      <c r="AD317" s="31" t="s">
        <v>41</v>
      </c>
      <c r="AE317" s="31" t="s">
        <v>39</v>
      </c>
      <c r="AF317" s="31" t="s">
        <v>39</v>
      </c>
      <c r="AG317" s="31" t="s">
        <v>41</v>
      </c>
      <c r="AH317" s="31" t="s">
        <v>263</v>
      </c>
      <c r="AI317" s="31" t="s">
        <v>39</v>
      </c>
      <c r="AJ317" s="31" t="s">
        <v>41</v>
      </c>
      <c r="AK317" s="31" t="s">
        <v>39</v>
      </c>
      <c r="AL317" s="31" t="s">
        <v>39</v>
      </c>
      <c r="AM317" s="31" t="s">
        <v>41</v>
      </c>
      <c r="AN317" s="32" t="s">
        <v>860</v>
      </c>
      <c r="AO317" s="32" t="s">
        <v>1450</v>
      </c>
      <c r="AP317" s="30">
        <v>42394.441377314812</v>
      </c>
      <c r="AQ317" s="30">
        <v>42394.579093981483</v>
      </c>
      <c r="AR317" s="30">
        <v>42395.202309259257</v>
      </c>
      <c r="AS317" s="92" t="s">
        <v>651</v>
      </c>
      <c r="AT317" s="152">
        <f>69+18.875/60</f>
        <v>69.314583333333331</v>
      </c>
      <c r="AU317" s="152">
        <f>16+8.902/60</f>
        <v>16.148366666666668</v>
      </c>
      <c r="AV317" s="153" t="s">
        <v>286</v>
      </c>
      <c r="AW317" s="106" t="s">
        <v>286</v>
      </c>
      <c r="AX317" s="30">
        <v>42396.458333333336</v>
      </c>
      <c r="AY317" s="155">
        <f>69+20/60+23.897/60/60</f>
        <v>69.339971388888884</v>
      </c>
      <c r="AZ317" s="155">
        <f>16+56/60+8.21/60/60</f>
        <v>16.935613888888888</v>
      </c>
      <c r="BA317" s="32" t="s">
        <v>1005</v>
      </c>
      <c r="BB317" s="49" t="s">
        <v>207</v>
      </c>
      <c r="BC317" s="7"/>
      <c r="BD317" s="7"/>
    </row>
    <row r="318" spans="1:56">
      <c r="A318" s="55" t="str">
        <f>HYPERLINK("tag_data/Quicklook/oo161118-14quicklook.jpg","oo161118-14")</f>
        <v>oo161118-14</v>
      </c>
      <c r="B318" s="26" t="str">
        <f t="shared" si="83"/>
        <v>oo</v>
      </c>
      <c r="C318" s="42" t="str">
        <f>HYPERLINK("location data/Norway/2016/","Norway")</f>
        <v>Norway</v>
      </c>
      <c r="D318" s="64" t="s">
        <v>286</v>
      </c>
      <c r="E318" s="77" t="s">
        <v>1452</v>
      </c>
      <c r="F318" s="85">
        <v>1</v>
      </c>
      <c r="G318" s="59" t="s">
        <v>527</v>
      </c>
      <c r="H318" s="31" t="s">
        <v>39</v>
      </c>
      <c r="I318" s="46" t="str">
        <f>HYPERLINK("tag_data\oo161118-14 (Norway)","Link")</f>
        <v>Link</v>
      </c>
      <c r="J318" s="46" t="str">
        <f>HYPERLINK("tag_data_raw/Norway/2016/oo161118-14","Link")</f>
        <v>Link</v>
      </c>
      <c r="K318" s="46" t="str">
        <f>HYPERLINK("tag_data\oo161118-14 (Norway)\pics&amp;Vids","Link")</f>
        <v>Link</v>
      </c>
      <c r="L318" s="41" t="s">
        <v>263</v>
      </c>
      <c r="M318" s="41" t="s">
        <v>263</v>
      </c>
      <c r="N318" s="54" t="str">
        <f>HYPERLINK("location data\Norway\2016\Summary_CATS_deployments_Dave.xlsx","Link")</f>
        <v>Link</v>
      </c>
      <c r="O318" s="31" t="s">
        <v>1234</v>
      </c>
      <c r="P318" s="31" t="s">
        <v>712</v>
      </c>
      <c r="Q318" s="31">
        <f>LEFT(RIGHT(A318,LEN(A318)-FIND("-",A318)),MIN(SEARCH({"a","b","c","d","e","f","g","h","i","j","k","l","m","n","o","p","q","r","s","t","u","v","w","x","y","z"},RIGHT(A318,LEN(A318)-FIND("-",A318))&amp;"abcdefghijklmnopqrstuvwxyz"))-1)+1-1</f>
        <v>14</v>
      </c>
      <c r="R318" s="32" t="s">
        <v>235</v>
      </c>
      <c r="S318" s="32" t="str">
        <f>IF(OR(Q318&lt;39,Q318=50,Q318=51,AND(OR(Q318=46,Q318=47),AQ318&gt;43313)),"Cam Mic",IF(AND(Q318&lt;45,AQ318&lt;42958),"Dolphin Ear",IF(AND(Q318&gt;44,NOT(OR(Q318=46,Q318=47,Q318=50,Q318=51))),"HTI","None")))</f>
        <v>Cam Mic</v>
      </c>
      <c r="T318" s="32" t="s">
        <v>38</v>
      </c>
      <c r="U318" s="17">
        <f t="shared" si="81"/>
        <v>0.40891041667055106</v>
      </c>
      <c r="V318" s="17">
        <f t="shared" si="82"/>
        <v>0.40891041667055106</v>
      </c>
      <c r="W318" s="56">
        <v>7.0532407407407405E-2</v>
      </c>
      <c r="X318" s="31" t="s">
        <v>263</v>
      </c>
      <c r="Y318" s="42"/>
      <c r="Z318" s="31" t="s">
        <v>39</v>
      </c>
      <c r="AA318" s="31" t="s">
        <v>39</v>
      </c>
      <c r="AB318" s="31" t="s">
        <v>297</v>
      </c>
      <c r="AC318" s="31" t="s">
        <v>41</v>
      </c>
      <c r="AD318" s="31" t="s">
        <v>39</v>
      </c>
      <c r="AE318" s="31" t="s">
        <v>39</v>
      </c>
      <c r="AF318" s="31" t="s">
        <v>39</v>
      </c>
      <c r="AG318" s="31" t="s">
        <v>41</v>
      </c>
      <c r="AH318" s="31" t="s">
        <v>263</v>
      </c>
      <c r="AI318" s="31" t="s">
        <v>39</v>
      </c>
      <c r="AJ318" s="31" t="s">
        <v>41</v>
      </c>
      <c r="AK318" s="31" t="s">
        <v>41</v>
      </c>
      <c r="AL318" s="31" t="s">
        <v>41</v>
      </c>
      <c r="AM318" s="31" t="s">
        <v>41</v>
      </c>
      <c r="AN318" s="32" t="s">
        <v>1433</v>
      </c>
      <c r="AO318" s="32" t="s">
        <v>1446</v>
      </c>
      <c r="AP318" s="30">
        <v>42692.423680555556</v>
      </c>
      <c r="AQ318" s="30">
        <v>42692.432953009258</v>
      </c>
      <c r="AR318" s="30">
        <v>42692.841863425929</v>
      </c>
      <c r="AS318" s="92" t="s">
        <v>651</v>
      </c>
      <c r="AT318" s="152">
        <f>69+52/60+9.83/60/60</f>
        <v>69.869397222222219</v>
      </c>
      <c r="AU318" s="152">
        <f>18+28/60+53.3/60/60</f>
        <v>18.481472222222219</v>
      </c>
      <c r="AV318" s="153" t="s">
        <v>286</v>
      </c>
      <c r="AW318" s="106" t="s">
        <v>286</v>
      </c>
      <c r="AX318" s="30">
        <v>42692.940972222219</v>
      </c>
      <c r="AY318" s="166">
        <f>69+46/60+13.03/60/60</f>
        <v>69.770286111111105</v>
      </c>
      <c r="AZ318" s="166">
        <f>18+39/60+52.13/60/60</f>
        <v>18.664480555555553</v>
      </c>
      <c r="BA318" s="32" t="s">
        <v>1432</v>
      </c>
      <c r="BB318" s="49"/>
      <c r="BC318" s="7"/>
      <c r="BD318" s="7"/>
    </row>
    <row r="319" spans="1:56">
      <c r="A319" s="55" t="str">
        <f>HYPERLINK("tag_data/Quicklook/oo161120-16quicklook.jpg","oo161120-16")</f>
        <v>oo161120-16</v>
      </c>
      <c r="B319" s="26" t="str">
        <f t="shared" si="83"/>
        <v>oo</v>
      </c>
      <c r="C319" s="42" t="str">
        <f>HYPERLINK("location data/Norway/2016/","Norway")</f>
        <v>Norway</v>
      </c>
      <c r="D319" s="64" t="s">
        <v>286</v>
      </c>
      <c r="E319" s="77" t="s">
        <v>1452</v>
      </c>
      <c r="F319" s="85">
        <v>1</v>
      </c>
      <c r="G319" s="59" t="s">
        <v>527</v>
      </c>
      <c r="H319" s="31" t="s">
        <v>39</v>
      </c>
      <c r="I319" s="46" t="str">
        <f>HYPERLINK("tag_data/oo161120-16 (Norway)","Link")</f>
        <v>Link</v>
      </c>
      <c r="J319" s="46" t="str">
        <f>HYPERLINK("tag_data_raw/Norway/2016/oo161120-16","Link")</f>
        <v>Link</v>
      </c>
      <c r="K319" s="46" t="str">
        <f>HYPERLINK("tag_data/oo161120-16 (Norway)/Pics&amp;Vids","Link")</f>
        <v>Link</v>
      </c>
      <c r="L319" s="41" t="s">
        <v>263</v>
      </c>
      <c r="M319" s="41" t="s">
        <v>263</v>
      </c>
      <c r="N319" s="54" t="str">
        <f>HYPERLINK("location data\Norway\2016\Summary_CATS_deployments_Dave.xlsx","Link")</f>
        <v>Link</v>
      </c>
      <c r="O319" s="31" t="s">
        <v>1236</v>
      </c>
      <c r="P319" s="31" t="s">
        <v>712</v>
      </c>
      <c r="Q319" s="31">
        <v>16</v>
      </c>
      <c r="R319" s="32" t="s">
        <v>235</v>
      </c>
      <c r="S319" s="32" t="s">
        <v>1393</v>
      </c>
      <c r="T319" s="32" t="s">
        <v>38</v>
      </c>
      <c r="U319" s="17">
        <f t="shared" si="81"/>
        <v>3.7696759260143153E-2</v>
      </c>
      <c r="V319" s="17">
        <f t="shared" si="82"/>
        <v>3.7696759260143153E-2</v>
      </c>
      <c r="W319" s="211" t="s">
        <v>1255</v>
      </c>
      <c r="X319" s="31" t="s">
        <v>263</v>
      </c>
      <c r="Y319" s="42"/>
      <c r="Z319" s="31" t="s">
        <v>39</v>
      </c>
      <c r="AA319" s="31" t="s">
        <v>39</v>
      </c>
      <c r="AB319" s="31" t="s">
        <v>297</v>
      </c>
      <c r="AC319" s="31" t="s">
        <v>41</v>
      </c>
      <c r="AD319" s="31" t="s">
        <v>39</v>
      </c>
      <c r="AE319" s="31" t="s">
        <v>41</v>
      </c>
      <c r="AF319" s="31" t="s">
        <v>39</v>
      </c>
      <c r="AG319" s="31" t="s">
        <v>41</v>
      </c>
      <c r="AH319" s="31" t="s">
        <v>263</v>
      </c>
      <c r="AI319" s="31" t="s">
        <v>39</v>
      </c>
      <c r="AJ319" s="31" t="s">
        <v>39</v>
      </c>
      <c r="AK319" s="31" t="s">
        <v>41</v>
      </c>
      <c r="AL319" s="31" t="s">
        <v>41</v>
      </c>
      <c r="AM319" s="31" t="s">
        <v>41</v>
      </c>
      <c r="AN319" s="32" t="s">
        <v>1433</v>
      </c>
      <c r="AO319" s="32" t="s">
        <v>1446</v>
      </c>
      <c r="AP319" s="30">
        <v>42694.414803240739</v>
      </c>
      <c r="AQ319" s="30">
        <v>42694.419571759259</v>
      </c>
      <c r="AR319" s="30">
        <v>42694.457268518519</v>
      </c>
      <c r="AS319" s="92" t="s">
        <v>651</v>
      </c>
      <c r="AT319" s="152">
        <f>69+51/60+20.83/60/60</f>
        <v>69.855786111111101</v>
      </c>
      <c r="AU319" s="152">
        <f>18+33/60+22.52/60/60</f>
        <v>18.556255555555556</v>
      </c>
      <c r="AV319" s="153" t="s">
        <v>286</v>
      </c>
      <c r="AW319" s="106" t="s">
        <v>1241</v>
      </c>
      <c r="AX319" s="30">
        <v>42694.458333333336</v>
      </c>
      <c r="AY319" s="166">
        <f>69+51/60+28.67/60/60</f>
        <v>69.857963888888889</v>
      </c>
      <c r="AZ319" s="166">
        <f>18+33/60+21.07/60/60</f>
        <v>18.55585277777778</v>
      </c>
      <c r="BA319" s="32" t="s">
        <v>1242</v>
      </c>
      <c r="BB319" s="49" t="s">
        <v>1356</v>
      </c>
      <c r="BC319" s="7"/>
      <c r="BD319" s="7"/>
    </row>
    <row r="320" spans="1:56">
      <c r="A320" s="55" t="str">
        <f>HYPERLINK("tag_data/Quicklook/oo161120-17quicklook.jpg","oo161120-17")</f>
        <v>oo161120-17</v>
      </c>
      <c r="B320" s="26" t="str">
        <f t="shared" si="83"/>
        <v>oo</v>
      </c>
      <c r="C320" s="42" t="str">
        <f>HYPERLINK("location data/Norway/2016/","Norway")</f>
        <v>Norway</v>
      </c>
      <c r="D320" s="64" t="s">
        <v>286</v>
      </c>
      <c r="E320" s="77" t="s">
        <v>1452</v>
      </c>
      <c r="F320" s="85">
        <v>1</v>
      </c>
      <c r="G320" s="59" t="s">
        <v>527</v>
      </c>
      <c r="H320" s="31" t="s">
        <v>39</v>
      </c>
      <c r="I320" s="46" t="str">
        <f>HYPERLINK("tag_data/oo161120-17 (Norway)","Link")</f>
        <v>Link</v>
      </c>
      <c r="J320" s="46" t="str">
        <f>HYPERLINK("tag_data_raw/Norway/2016/oo161120-17","Link")</f>
        <v>Link</v>
      </c>
      <c r="K320" s="46" t="str">
        <f>HYPERLINK("tag_data/oo161120-17 (Norway)/Pics&amp;Vids","Link")</f>
        <v>Link</v>
      </c>
      <c r="L320" s="41" t="s">
        <v>263</v>
      </c>
      <c r="M320" s="41" t="s">
        <v>263</v>
      </c>
      <c r="N320" s="54" t="str">
        <f>HYPERLINK("location data\Norway\2016\Summary_CATS_deployments_Dave.xlsx","Link")</f>
        <v>Link</v>
      </c>
      <c r="O320" s="31" t="s">
        <v>1235</v>
      </c>
      <c r="P320" s="31" t="s">
        <v>712</v>
      </c>
      <c r="Q320" s="31">
        <f>LEFT(RIGHT(A320,LEN(A320)-FIND("-",A320)),MIN(SEARCH({"a","b","c","d","e","f","g","h","i","j","k","l","m","n","o","p","q","r","s","t","u","v","w","x","y","z"},RIGHT(A320,LEN(A320)-FIND("-",A320))&amp;"abcdefghijklmnopqrstuvwxyz"))-1)+1-1</f>
        <v>17</v>
      </c>
      <c r="R320" s="32" t="s">
        <v>235</v>
      </c>
      <c r="S320" s="32" t="str">
        <f>IF(OR(Q320&lt;39,Q320=50,Q320=51,AND(OR(Q320=46,Q320=47),AQ320&gt;43313)),"Cam Mic",IF(AND(Q320&lt;45,AQ320&lt;42958),"Dolphin Ear",IF(AND(Q320&gt;44,NOT(OR(Q320=46,Q320=47,Q320=50,Q320=51))),"HTI","None")))</f>
        <v>Cam Mic</v>
      </c>
      <c r="T320" s="32" t="s">
        <v>566</v>
      </c>
      <c r="U320" s="17">
        <f t="shared" si="81"/>
        <v>1.0803009259252576</v>
      </c>
      <c r="V320" s="17">
        <f t="shared" si="82"/>
        <v>1.0803009259252576</v>
      </c>
      <c r="W320" s="56">
        <v>9.4988425925925934E-2</v>
      </c>
      <c r="X320" s="31" t="s">
        <v>263</v>
      </c>
      <c r="Y320" s="42"/>
      <c r="Z320" s="31" t="s">
        <v>39</v>
      </c>
      <c r="AA320" s="31" t="s">
        <v>39</v>
      </c>
      <c r="AB320" s="31" t="s">
        <v>297</v>
      </c>
      <c r="AC320" s="31" t="s">
        <v>41</v>
      </c>
      <c r="AD320" s="31" t="s">
        <v>39</v>
      </c>
      <c r="AE320" s="31" t="s">
        <v>39</v>
      </c>
      <c r="AF320" s="31" t="s">
        <v>39</v>
      </c>
      <c r="AG320" s="31" t="s">
        <v>41</v>
      </c>
      <c r="AH320" s="31" t="s">
        <v>263</v>
      </c>
      <c r="AI320" s="31" t="s">
        <v>41</v>
      </c>
      <c r="AJ320" s="31" t="s">
        <v>39</v>
      </c>
      <c r="AK320" s="31" t="s">
        <v>41</v>
      </c>
      <c r="AL320" s="31" t="s">
        <v>41</v>
      </c>
      <c r="AM320" s="31" t="s">
        <v>41</v>
      </c>
      <c r="AN320" s="32" t="s">
        <v>1453</v>
      </c>
      <c r="AO320" s="32" t="s">
        <v>1446</v>
      </c>
      <c r="AP320" s="30">
        <v>42694.39984953704</v>
      </c>
      <c r="AQ320" s="30">
        <v>42694.401875000003</v>
      </c>
      <c r="AR320" s="30">
        <v>42695.482175925928</v>
      </c>
      <c r="AS320" s="92" t="s">
        <v>651</v>
      </c>
      <c r="AT320" s="152">
        <f>69+51/60+36.09/60/60</f>
        <v>69.860024999999993</v>
      </c>
      <c r="AU320" s="152">
        <f>18+34/60+12.17/60/60</f>
        <v>18.570047222222222</v>
      </c>
      <c r="AV320" s="153" t="s">
        <v>286</v>
      </c>
      <c r="AW320" s="106" t="s">
        <v>286</v>
      </c>
      <c r="AX320" s="30">
        <v>42695.5625</v>
      </c>
      <c r="AY320" s="166">
        <f>69+42/60+11/60/60</f>
        <v>69.703055555555565</v>
      </c>
      <c r="AZ320" s="166">
        <f>18+32/60+44.09/60/60</f>
        <v>18.545580555555556</v>
      </c>
      <c r="BA320" s="32" t="s">
        <v>1451</v>
      </c>
      <c r="BB320" s="49"/>
      <c r="BC320" s="7"/>
      <c r="BD320" s="7"/>
    </row>
    <row r="321" spans="1:56">
      <c r="A321" s="55" t="str">
        <f>HYPERLINK("tag_data/Quicklook/oo161121-14quicklook.jpg","oo161121-14")</f>
        <v>oo161121-14</v>
      </c>
      <c r="B321" s="26" t="str">
        <f t="shared" si="83"/>
        <v>oo</v>
      </c>
      <c r="C321" s="42" t="str">
        <f>HYPERLINK("location data/Norway/2016/","Norway")</f>
        <v>Norway</v>
      </c>
      <c r="D321" s="64" t="s">
        <v>286</v>
      </c>
      <c r="E321" s="77" t="s">
        <v>1452</v>
      </c>
      <c r="F321" s="85">
        <v>1</v>
      </c>
      <c r="G321" s="59" t="s">
        <v>527</v>
      </c>
      <c r="H321" s="31" t="s">
        <v>39</v>
      </c>
      <c r="I321" s="46" t="str">
        <f>HYPERLINK("tag_data/oo161121-14 (Norway)","Link")</f>
        <v>Link</v>
      </c>
      <c r="J321" s="46" t="str">
        <f>HYPERLINK("tag_data_raw/Norway/2016/oo161121-14","Link")</f>
        <v>Link</v>
      </c>
      <c r="K321" s="46" t="str">
        <f>HYPERLINK("tag_data/oo161121-14 (Norway)/Pics&amp;Vids","Link")</f>
        <v>Link</v>
      </c>
      <c r="L321" s="41" t="s">
        <v>263</v>
      </c>
      <c r="M321" s="41" t="s">
        <v>263</v>
      </c>
      <c r="N321" s="54" t="str">
        <f>HYPERLINK("location data\Norway\2016\Summary_CATS_deployments_Dave.xlsx","Link")</f>
        <v>Link</v>
      </c>
      <c r="O321" s="31" t="s">
        <v>45</v>
      </c>
      <c r="P321" s="31" t="s">
        <v>712</v>
      </c>
      <c r="Q321" s="31">
        <f>LEFT(RIGHT(A321,LEN(A321)-FIND("-",A321)),MIN(SEARCH({"a","b","c","d","e","f","g","h","i","j","k","l","m","n","o","p","q","r","s","t","u","v","w","x","y","z"},RIGHT(A321,LEN(A321)-FIND("-",A321))&amp;"abcdefghijklmnopqrstuvwxyz"))-1)+1-1</f>
        <v>14</v>
      </c>
      <c r="R321" s="32" t="s">
        <v>235</v>
      </c>
      <c r="S321" s="32" t="str">
        <f>IF(OR(Q321&lt;39,Q321=50,Q321=51,AND(OR(Q321=46,Q321=47),AQ321&gt;43313)),"Cam Mic",IF(AND(Q321&lt;45,AQ321&lt;42958),"Dolphin Ear",IF(AND(Q321&gt;44,NOT(OR(Q321=46,Q321=47,Q321=50,Q321=51))),"HTI","None")))</f>
        <v>Cam Mic</v>
      </c>
      <c r="T321" s="32" t="s">
        <v>566</v>
      </c>
      <c r="U321" s="17">
        <f t="shared" si="81"/>
        <v>4.3011476851897896</v>
      </c>
      <c r="V321" s="17">
        <f t="shared" si="82"/>
        <v>4.0163421296310844</v>
      </c>
      <c r="W321" s="56">
        <v>0.20325231481481479</v>
      </c>
      <c r="X321" s="31" t="s">
        <v>263</v>
      </c>
      <c r="Y321" s="42"/>
      <c r="Z321" s="31" t="s">
        <v>39</v>
      </c>
      <c r="AA321" s="31" t="s">
        <v>41</v>
      </c>
      <c r="AB321" s="31" t="s">
        <v>297</v>
      </c>
      <c r="AC321" s="31" t="s">
        <v>41</v>
      </c>
      <c r="AD321" s="31" t="s">
        <v>41</v>
      </c>
      <c r="AE321" s="31" t="s">
        <v>39</v>
      </c>
      <c r="AF321" s="31" t="s">
        <v>39</v>
      </c>
      <c r="AG321" s="31" t="s">
        <v>41</v>
      </c>
      <c r="AH321" s="31" t="s">
        <v>263</v>
      </c>
      <c r="AI321" s="31" t="s">
        <v>41</v>
      </c>
      <c r="AJ321" s="31" t="s">
        <v>41</v>
      </c>
      <c r="AK321" s="31" t="s">
        <v>41</v>
      </c>
      <c r="AL321" s="31" t="s">
        <v>41</v>
      </c>
      <c r="AM321" s="31" t="s">
        <v>41</v>
      </c>
      <c r="AN321" s="32" t="s">
        <v>1448</v>
      </c>
      <c r="AO321" s="32" t="s">
        <v>1446</v>
      </c>
      <c r="AP321" s="30">
        <v>42695.458090277774</v>
      </c>
      <c r="AQ321" s="30">
        <v>42695.532185648146</v>
      </c>
      <c r="AR321" s="30">
        <v>42699.833333333336</v>
      </c>
      <c r="AS321" s="30">
        <v>42699.548527777777</v>
      </c>
      <c r="AT321" s="152">
        <f>69+48/60+27.94/60/60</f>
        <v>69.807761111111105</v>
      </c>
      <c r="AU321" s="152">
        <f>18+15/60+51.65/60/60</f>
        <v>18.264347222222224</v>
      </c>
      <c r="AV321" s="153" t="s">
        <v>286</v>
      </c>
      <c r="AW321" s="106" t="s">
        <v>341</v>
      </c>
      <c r="AX321" s="30">
        <v>42700.541666666664</v>
      </c>
      <c r="AY321" s="166">
        <v>69.770910999999998</v>
      </c>
      <c r="AZ321" s="166">
        <v>18.479924</v>
      </c>
      <c r="BA321" s="32" t="s">
        <v>1449</v>
      </c>
      <c r="BB321" s="49"/>
      <c r="BC321" s="7"/>
      <c r="BD321" s="7"/>
    </row>
    <row r="322" spans="1:56">
      <c r="A322" s="55" t="str">
        <f>HYPERLINK("tag_data/Quicklook/oo180303-45Quicklook.jpg","oo180303-45")</f>
        <v>oo180303-45</v>
      </c>
      <c r="B322" s="26" t="s">
        <v>731</v>
      </c>
      <c r="C322" s="46" t="str">
        <f>HYPERLINK("location data/Antarctic/2018/NSF","Antarctic")</f>
        <v>Antarctic</v>
      </c>
      <c r="D322" s="64" t="s">
        <v>713</v>
      </c>
      <c r="E322" s="61" t="s">
        <v>714</v>
      </c>
      <c r="F322" s="85">
        <v>-3</v>
      </c>
      <c r="G322" s="60" t="s">
        <v>459</v>
      </c>
      <c r="H322" s="31" t="s">
        <v>39</v>
      </c>
      <c r="I322" s="72" t="str">
        <f>HYPERLINK("tag_data/oo180303-45 (Antarctic)","Link")</f>
        <v>Link</v>
      </c>
      <c r="J322" s="72" t="str">
        <f>HYPERLINK("tag_data_raw/Antarctic/2018/NSF/oo180303-45","Link")</f>
        <v>Link</v>
      </c>
      <c r="K322" s="73" t="str">
        <f>HYPERLINK("tag_data/oo180303-45 (Antarctic)/Pics&amp;Vids","Link")</f>
        <v>Link</v>
      </c>
      <c r="L322" s="73" t="str">
        <f>HYPERLINK("tag_data/oo180303-45 (Antarctic)/Pics&amp;Vids/IMG_5552.JPG","Pic")</f>
        <v>Pic</v>
      </c>
      <c r="M322" s="82" t="s">
        <v>263</v>
      </c>
      <c r="N322" s="73" t="str">
        <f>HYPERLINK("location data/Antarctic/2018/NSF","Link")</f>
        <v>Link</v>
      </c>
      <c r="O322" s="31" t="s">
        <v>45</v>
      </c>
      <c r="P322" s="31" t="s">
        <v>41</v>
      </c>
      <c r="Q322" s="31">
        <f>LEFT(RIGHT(A322,LEN(A322)-FIND("-",A322)),MIN(SEARCH({"a","b","c","d","e","f","g","h","i","j","k","l","m","n","o","p","q","r","s","t","u","v","w","x","y","z"},RIGHT(A322,LEN(A322)-FIND("-",A322))&amp;"abcdefghijklmnopqrstuvwxyz"))-1)+1-1</f>
        <v>45</v>
      </c>
      <c r="R322" s="32" t="s">
        <v>347</v>
      </c>
      <c r="S322" s="32" t="str">
        <f>IF(OR(Q322&lt;39,Q322=50,Q322=51,AND(OR(Q322=46,Q322=47),AQ322&gt;43313)),"Cam Mic",IF(AND(Q322&lt;45,AQ322&lt;42958),"Dolphin Ear",IF(AND(Q322&gt;44,NOT(OR(Q322=46,Q322=47,Q322=50,Q322=51))),"HTI","None")))</f>
        <v>HTI</v>
      </c>
      <c r="T322" s="32" t="s">
        <v>788</v>
      </c>
      <c r="U322" s="95">
        <f t="shared" si="81"/>
        <v>8.1574074072705116E-2</v>
      </c>
      <c r="V322" s="95">
        <f t="shared" si="82"/>
        <v>8.1574074072705116E-2</v>
      </c>
      <c r="W322" s="56">
        <v>6.1550925925925926E-2</v>
      </c>
      <c r="X322" s="54" t="str">
        <f>HYPERLINK("tag_data/oo180303-45 (Antarctic)/oo180303-45 Map.bmp","78")</f>
        <v>78</v>
      </c>
      <c r="Y322" s="54" t="str">
        <f>HYPERLINK("tag_data/oo180303-45 (Antarctic)/video notes.txt","Link")</f>
        <v>Link</v>
      </c>
      <c r="Z322" s="93" t="s">
        <v>41</v>
      </c>
      <c r="AA322" s="93" t="s">
        <v>41</v>
      </c>
      <c r="AB322" s="93" t="s">
        <v>787</v>
      </c>
      <c r="AC322" s="93" t="s">
        <v>41</v>
      </c>
      <c r="AD322" s="31" t="s">
        <v>41</v>
      </c>
      <c r="AE322" s="31" t="s">
        <v>39</v>
      </c>
      <c r="AF322" s="31" t="s">
        <v>39</v>
      </c>
      <c r="AG322" s="31" t="s">
        <v>41</v>
      </c>
      <c r="AH322" s="31" t="s">
        <v>263</v>
      </c>
      <c r="AI322" s="31" t="s">
        <v>39</v>
      </c>
      <c r="AJ322" s="33" t="s">
        <v>789</v>
      </c>
      <c r="AK322" s="33" t="s">
        <v>789</v>
      </c>
      <c r="AL322" s="31" t="s">
        <v>41</v>
      </c>
      <c r="AM322" s="31" t="s">
        <v>41</v>
      </c>
      <c r="AN322" s="32" t="s">
        <v>860</v>
      </c>
      <c r="AO322" s="32" t="s">
        <v>746</v>
      </c>
      <c r="AP322" s="30">
        <v>43162.396249999998</v>
      </c>
      <c r="AQ322" s="30">
        <v>43162.397106481483</v>
      </c>
      <c r="AR322" s="30">
        <v>43162.478680555556</v>
      </c>
      <c r="AS322" s="92" t="s">
        <v>651</v>
      </c>
      <c r="AT322" s="107">
        <v>-64.823122377000004</v>
      </c>
      <c r="AU322" s="107">
        <v>-62.869549927000001</v>
      </c>
      <c r="AV322" s="142" t="s">
        <v>689</v>
      </c>
      <c r="AW322" s="106" t="s">
        <v>689</v>
      </c>
      <c r="AX322" s="30">
        <v>43162.673611111109</v>
      </c>
      <c r="AY322" s="166">
        <v>-64.841263636999997</v>
      </c>
      <c r="AZ322" s="166">
        <v>-63.130278027000003</v>
      </c>
      <c r="BA322" s="32" t="s">
        <v>790</v>
      </c>
      <c r="BB322" s="49" t="s">
        <v>1357</v>
      </c>
      <c r="BC322" s="7"/>
      <c r="BD322" s="7"/>
    </row>
    <row r="323" spans="1:56">
      <c r="A323" s="7"/>
      <c r="B323" s="26" t="str">
        <f t="shared" ref="B323:B354" si="89">LEFT(A323,2)</f>
        <v/>
      </c>
      <c r="C323" s="42"/>
      <c r="D323" s="64"/>
      <c r="E323" s="69"/>
      <c r="F323" s="85"/>
      <c r="G323" s="60"/>
      <c r="H323" s="31"/>
      <c r="I323" s="42"/>
      <c r="J323" s="42"/>
      <c r="K323" s="42"/>
      <c r="L323" s="36"/>
      <c r="M323" s="41"/>
      <c r="N323" s="31"/>
      <c r="O323" s="31"/>
      <c r="P323" s="33"/>
      <c r="Q323" s="31" t="e">
        <f>LEFT(RIGHT(A323,LEN(A323)-FIND("-",A323)),MIN(SEARCH({"a","b","c","d","e","f","g","h","i","j","k","l","m","n","o","p","q","r","s","t","u","v","w","x","y","z"},RIGHT(A323,LEN(A323)-FIND("-",A323))&amp;"abcdefghijklmnopqrstuvwxyz"))-1)+1-1</f>
        <v>#VALUE!</v>
      </c>
      <c r="R323" s="32" t="e">
        <f t="shared" ref="R323:R354" si="90">IF(OR(AND(Q323+1&gt;40,Q323+1&lt;=50),Q323&gt;51),"Wireless","")</f>
        <v>#VALUE!</v>
      </c>
      <c r="S323" s="32" t="s">
        <v>1393</v>
      </c>
      <c r="T323" s="32"/>
      <c r="U323" s="17">
        <f t="shared" si="81"/>
        <v>0</v>
      </c>
      <c r="V323" s="17">
        <f t="shared" si="82"/>
        <v>0</v>
      </c>
      <c r="W323" s="56"/>
      <c r="X323" s="31"/>
      <c r="Y323" s="42"/>
      <c r="Z323" s="31"/>
      <c r="AA323" s="31"/>
      <c r="AB323" s="31"/>
      <c r="AC323" s="31"/>
      <c r="AD323" s="31"/>
      <c r="AE323" s="31"/>
      <c r="AF323" s="31"/>
      <c r="AG323" s="31"/>
      <c r="AH323" s="31"/>
      <c r="AI323" s="31"/>
      <c r="AJ323" s="31"/>
      <c r="AK323" s="31"/>
      <c r="AL323" s="31"/>
      <c r="AM323" s="31"/>
      <c r="AN323" s="32"/>
      <c r="AO323" s="32"/>
      <c r="AP323" s="30"/>
      <c r="AQ323" s="30"/>
      <c r="AR323" s="30"/>
      <c r="AS323" s="92"/>
      <c r="AT323" s="155"/>
      <c r="AU323" s="155"/>
      <c r="AV323" s="106"/>
      <c r="AW323" s="106"/>
      <c r="AX323" s="30"/>
      <c r="AY323" s="107"/>
      <c r="AZ323" s="107"/>
      <c r="BA323" s="32"/>
    </row>
    <row r="324" spans="1:56">
      <c r="A324" s="7"/>
      <c r="B324" s="26" t="str">
        <f t="shared" si="89"/>
        <v/>
      </c>
      <c r="C324" s="42"/>
      <c r="D324" s="64"/>
      <c r="E324" s="69"/>
      <c r="F324" s="85"/>
      <c r="G324" s="60"/>
      <c r="H324" s="31"/>
      <c r="I324" s="42"/>
      <c r="J324" s="42"/>
      <c r="K324" s="42"/>
      <c r="L324" s="36"/>
      <c r="M324" s="41"/>
      <c r="N324" s="31"/>
      <c r="O324" s="31"/>
      <c r="P324" s="33"/>
      <c r="Q324" s="31" t="e">
        <f>LEFT(RIGHT(A324,LEN(A324)-FIND("-",A324)),MIN(SEARCH({"a","b","c","d","e","f","g","h","i","j","k","l","m","n","o","p","q","r","s","t","u","v","w","x","y","z"},RIGHT(A324,LEN(A324)-FIND("-",A324))&amp;"abcdefghijklmnopqrstuvwxyz"))-1)+1-1</f>
        <v>#VALUE!</v>
      </c>
      <c r="R324" s="32" t="e">
        <f t="shared" si="90"/>
        <v>#VALUE!</v>
      </c>
      <c r="S324" s="32" t="s">
        <v>1393</v>
      </c>
      <c r="T324" s="32"/>
      <c r="U324" s="17">
        <f t="shared" si="81"/>
        <v>0</v>
      </c>
      <c r="V324" s="17">
        <f t="shared" si="82"/>
        <v>0</v>
      </c>
      <c r="W324" s="56"/>
      <c r="X324" s="31"/>
      <c r="Y324" s="42"/>
      <c r="Z324" s="31"/>
      <c r="AA324" s="31"/>
      <c r="AB324" s="31"/>
      <c r="AC324" s="31"/>
      <c r="AD324" s="31"/>
      <c r="AE324" s="31"/>
      <c r="AF324" s="31"/>
      <c r="AG324" s="31"/>
      <c r="AH324" s="31"/>
      <c r="AI324" s="31"/>
      <c r="AJ324" s="31"/>
      <c r="AK324" s="31"/>
      <c r="AL324" s="31"/>
      <c r="AM324" s="31"/>
      <c r="AN324" s="32"/>
      <c r="AO324" s="32"/>
      <c r="AP324" s="30"/>
      <c r="AQ324" s="30"/>
      <c r="AR324" s="30"/>
      <c r="AS324" s="92"/>
      <c r="AT324" s="155"/>
      <c r="AU324" s="155"/>
      <c r="AV324" s="106"/>
      <c r="AW324" s="106"/>
      <c r="AX324" s="30"/>
      <c r="AY324" s="107"/>
      <c r="AZ324" s="107"/>
      <c r="BA324" s="32"/>
    </row>
    <row r="325" spans="1:56">
      <c r="A325" s="7"/>
      <c r="B325" s="26" t="str">
        <f t="shared" si="89"/>
        <v/>
      </c>
      <c r="C325" s="42"/>
      <c r="D325" s="64"/>
      <c r="E325" s="69"/>
      <c r="F325" s="85"/>
      <c r="G325" s="60"/>
      <c r="H325" s="31"/>
      <c r="I325" s="42"/>
      <c r="J325" s="42"/>
      <c r="K325" s="42"/>
      <c r="L325" s="36"/>
      <c r="M325" s="41"/>
      <c r="N325" s="31"/>
      <c r="O325" s="31"/>
      <c r="P325" s="33"/>
      <c r="Q325" s="31" t="e">
        <f>LEFT(RIGHT(A325,LEN(A325)-FIND("-",A325)),MIN(SEARCH({"a","b","c","d","e","f","g","h","i","j","k","l","m","n","o","p","q","r","s","t","u","v","w","x","y","z"},RIGHT(A325,LEN(A325)-FIND("-",A325))&amp;"abcdefghijklmnopqrstuvwxyz"))-1)+1-1</f>
        <v>#VALUE!</v>
      </c>
      <c r="R325" s="32" t="e">
        <f t="shared" si="90"/>
        <v>#VALUE!</v>
      </c>
      <c r="S325" s="32" t="s">
        <v>1393</v>
      </c>
      <c r="T325" s="32"/>
      <c r="U325" s="17">
        <f t="shared" si="81"/>
        <v>0</v>
      </c>
      <c r="V325" s="17">
        <f t="shared" si="82"/>
        <v>0</v>
      </c>
      <c r="W325" s="56"/>
      <c r="X325" s="31"/>
      <c r="Y325" s="42"/>
      <c r="Z325" s="31"/>
      <c r="AA325" s="31"/>
      <c r="AB325" s="31"/>
      <c r="AC325" s="31"/>
      <c r="AD325" s="31"/>
      <c r="AE325" s="31"/>
      <c r="AF325" s="31"/>
      <c r="AG325" s="31"/>
      <c r="AH325" s="31"/>
      <c r="AI325" s="31"/>
      <c r="AJ325" s="31"/>
      <c r="AK325" s="31"/>
      <c r="AL325" s="31"/>
      <c r="AM325" s="31"/>
      <c r="AN325" s="32"/>
      <c r="AO325" s="32"/>
      <c r="AP325" s="30"/>
      <c r="AQ325" s="30"/>
      <c r="AR325" s="30"/>
      <c r="AS325" s="92"/>
      <c r="AT325" s="155"/>
      <c r="AU325" s="155"/>
      <c r="AV325" s="106"/>
      <c r="AW325" s="106"/>
      <c r="AX325" s="30"/>
      <c r="AY325" s="107"/>
      <c r="AZ325" s="107"/>
      <c r="BA325" s="32"/>
    </row>
    <row r="326" spans="1:56">
      <c r="A326" s="7"/>
      <c r="B326" s="26" t="str">
        <f t="shared" si="89"/>
        <v/>
      </c>
      <c r="C326" s="42"/>
      <c r="D326" s="64"/>
      <c r="E326" s="69"/>
      <c r="F326" s="85"/>
      <c r="G326" s="60"/>
      <c r="H326" s="31"/>
      <c r="I326" s="42"/>
      <c r="J326" s="42"/>
      <c r="K326" s="42"/>
      <c r="L326" s="36"/>
      <c r="M326" s="41"/>
      <c r="N326" s="31"/>
      <c r="O326" s="31"/>
      <c r="P326" s="33"/>
      <c r="Q326" s="31" t="e">
        <f>LEFT(RIGHT(A326,LEN(A326)-FIND("-",A326)),MIN(SEARCH({"a","b","c","d","e","f","g","h","i","j","k","l","m","n","o","p","q","r","s","t","u","v","w","x","y","z"},RIGHT(A326,LEN(A326)-FIND("-",A326))&amp;"abcdefghijklmnopqrstuvwxyz"))-1)+1-1</f>
        <v>#VALUE!</v>
      </c>
      <c r="R326" s="32" t="e">
        <f t="shared" si="90"/>
        <v>#VALUE!</v>
      </c>
      <c r="S326" s="32" t="s">
        <v>1393</v>
      </c>
      <c r="T326" s="32"/>
      <c r="U326" s="17">
        <f t="shared" si="81"/>
        <v>0</v>
      </c>
      <c r="V326" s="17">
        <f t="shared" si="82"/>
        <v>0</v>
      </c>
      <c r="W326" s="56"/>
      <c r="X326" s="31"/>
      <c r="Y326" s="42"/>
      <c r="Z326" s="31"/>
      <c r="AA326" s="31"/>
      <c r="AB326" s="31"/>
      <c r="AC326" s="31"/>
      <c r="AD326" s="31"/>
      <c r="AE326" s="31"/>
      <c r="AF326" s="31"/>
      <c r="AG326" s="31"/>
      <c r="AH326" s="31"/>
      <c r="AI326" s="31"/>
      <c r="AJ326" s="31"/>
      <c r="AK326" s="31"/>
      <c r="AL326" s="31"/>
      <c r="AM326" s="31"/>
      <c r="AN326" s="32"/>
      <c r="AO326" s="32"/>
      <c r="AP326" s="30"/>
      <c r="AQ326" s="30"/>
      <c r="AR326" s="30"/>
      <c r="AS326" s="92"/>
      <c r="AT326" s="155"/>
      <c r="AU326" s="155"/>
      <c r="AV326" s="106"/>
      <c r="AW326" s="106"/>
      <c r="AX326" s="30"/>
      <c r="AY326" s="107"/>
      <c r="AZ326" s="107"/>
      <c r="BA326" s="32"/>
    </row>
    <row r="327" spans="1:56">
      <c r="A327" s="7"/>
      <c r="B327" s="26" t="str">
        <f t="shared" si="89"/>
        <v/>
      </c>
      <c r="C327" s="42"/>
      <c r="D327" s="64"/>
      <c r="E327" s="69"/>
      <c r="F327" s="85"/>
      <c r="G327" s="60"/>
      <c r="H327" s="31"/>
      <c r="I327" s="42"/>
      <c r="J327" s="42"/>
      <c r="K327" s="42"/>
      <c r="L327" s="36"/>
      <c r="M327" s="41"/>
      <c r="N327" s="31"/>
      <c r="O327" s="31"/>
      <c r="P327" s="33"/>
      <c r="Q327" s="31" t="e">
        <f>LEFT(RIGHT(A327,LEN(A327)-FIND("-",A327)),MIN(SEARCH({"a","b","c","d","e","f","g","h","i","j","k","l","m","n","o","p","q","r","s","t","u","v","w","x","y","z"},RIGHT(A327,LEN(A327)-FIND("-",A327))&amp;"abcdefghijklmnopqrstuvwxyz"))-1)+1-1</f>
        <v>#VALUE!</v>
      </c>
      <c r="R327" s="32" t="e">
        <f t="shared" si="90"/>
        <v>#VALUE!</v>
      </c>
      <c r="S327" s="32" t="s">
        <v>1393</v>
      </c>
      <c r="T327" s="32"/>
      <c r="U327" s="17">
        <f t="shared" si="81"/>
        <v>0</v>
      </c>
      <c r="V327" s="17">
        <f t="shared" si="82"/>
        <v>0</v>
      </c>
      <c r="W327" s="56"/>
      <c r="X327" s="31"/>
      <c r="Y327" s="42"/>
      <c r="Z327" s="31"/>
      <c r="AA327" s="31"/>
      <c r="AB327" s="31"/>
      <c r="AC327" s="31"/>
      <c r="AD327" s="31"/>
      <c r="AE327" s="31"/>
      <c r="AF327" s="31"/>
      <c r="AG327" s="31"/>
      <c r="AH327" s="31"/>
      <c r="AI327" s="31"/>
      <c r="AJ327" s="31"/>
      <c r="AK327" s="31"/>
      <c r="AL327" s="31"/>
      <c r="AM327" s="31"/>
      <c r="AN327" s="32"/>
      <c r="AO327" s="32"/>
      <c r="AP327" s="30"/>
      <c r="AQ327" s="30"/>
      <c r="AR327" s="30"/>
      <c r="AS327" s="92"/>
      <c r="AT327" s="155"/>
      <c r="AU327" s="155"/>
      <c r="AV327" s="106"/>
      <c r="AW327" s="106"/>
      <c r="AX327" s="30"/>
      <c r="AY327" s="107"/>
      <c r="AZ327" s="107"/>
      <c r="BA327" s="32"/>
    </row>
    <row r="328" spans="1:56">
      <c r="A328" s="7"/>
      <c r="B328" s="26" t="str">
        <f t="shared" si="89"/>
        <v/>
      </c>
      <c r="C328" s="42"/>
      <c r="D328" s="64"/>
      <c r="E328" s="69"/>
      <c r="F328" s="85"/>
      <c r="G328" s="60"/>
      <c r="H328" s="31"/>
      <c r="I328" s="42"/>
      <c r="J328" s="42"/>
      <c r="K328" s="42"/>
      <c r="L328" s="36"/>
      <c r="M328" s="41"/>
      <c r="N328" s="31"/>
      <c r="O328" s="31"/>
      <c r="P328" s="33"/>
      <c r="Q328" s="31" t="e">
        <f>LEFT(RIGHT(A328,LEN(A328)-FIND("-",A328)),MIN(SEARCH({"a","b","c","d","e","f","g","h","i","j","k","l","m","n","o","p","q","r","s","t","u","v","w","x","y","z"},RIGHT(A328,LEN(A328)-FIND("-",A328))&amp;"abcdefghijklmnopqrstuvwxyz"))-1)+1-1</f>
        <v>#VALUE!</v>
      </c>
      <c r="R328" s="32" t="e">
        <f t="shared" si="90"/>
        <v>#VALUE!</v>
      </c>
      <c r="S328" s="32" t="s">
        <v>1393</v>
      </c>
      <c r="T328" s="32"/>
      <c r="U328" s="17">
        <f t="shared" si="81"/>
        <v>0</v>
      </c>
      <c r="V328" s="17">
        <f t="shared" si="82"/>
        <v>0</v>
      </c>
      <c r="W328" s="56"/>
      <c r="X328" s="31"/>
      <c r="Y328" s="42"/>
      <c r="Z328" s="31"/>
      <c r="AA328" s="31"/>
      <c r="AB328" s="31"/>
      <c r="AC328" s="31"/>
      <c r="AD328" s="31"/>
      <c r="AE328" s="31"/>
      <c r="AF328" s="31"/>
      <c r="AG328" s="31"/>
      <c r="AH328" s="31"/>
      <c r="AI328" s="31"/>
      <c r="AJ328" s="31"/>
      <c r="AK328" s="31"/>
      <c r="AL328" s="31"/>
      <c r="AM328" s="31"/>
      <c r="AN328" s="32"/>
      <c r="AO328" s="32"/>
      <c r="AP328" s="30"/>
      <c r="AQ328" s="30"/>
      <c r="AR328" s="30"/>
      <c r="AS328" s="92"/>
      <c r="AT328" s="155"/>
      <c r="AU328" s="155"/>
      <c r="AV328" s="106"/>
      <c r="AW328" s="106"/>
      <c r="AX328" s="30"/>
      <c r="AY328" s="107"/>
      <c r="AZ328" s="107"/>
      <c r="BA328" s="32"/>
    </row>
    <row r="329" spans="1:56">
      <c r="A329" s="7"/>
      <c r="B329" s="26" t="str">
        <f t="shared" si="89"/>
        <v/>
      </c>
      <c r="C329" s="42"/>
      <c r="D329" s="64"/>
      <c r="E329" s="69"/>
      <c r="F329" s="85"/>
      <c r="G329" s="60"/>
      <c r="H329" s="31"/>
      <c r="I329" s="42"/>
      <c r="J329" s="42"/>
      <c r="K329" s="42"/>
      <c r="L329" s="36"/>
      <c r="M329" s="41"/>
      <c r="N329" s="31"/>
      <c r="O329" s="31"/>
      <c r="P329" s="33"/>
      <c r="Q329" s="31" t="e">
        <f>LEFT(RIGHT(A329,LEN(A329)-FIND("-",A329)),MIN(SEARCH({"a","b","c","d","e","f","g","h","i","j","k","l","m","n","o","p","q","r","s","t","u","v","w","x","y","z"},RIGHT(A329,LEN(A329)-FIND("-",A329))&amp;"abcdefghijklmnopqrstuvwxyz"))-1)+1-1</f>
        <v>#VALUE!</v>
      </c>
      <c r="R329" s="32" t="e">
        <f t="shared" si="90"/>
        <v>#VALUE!</v>
      </c>
      <c r="S329" s="32" t="s">
        <v>1393</v>
      </c>
      <c r="T329" s="32"/>
      <c r="U329" s="17">
        <f t="shared" si="81"/>
        <v>0</v>
      </c>
      <c r="V329" s="17">
        <f t="shared" si="82"/>
        <v>0</v>
      </c>
      <c r="W329" s="56"/>
      <c r="X329" s="31"/>
      <c r="Y329" s="42"/>
      <c r="Z329" s="31"/>
      <c r="AA329" s="31"/>
      <c r="AB329" s="31"/>
      <c r="AC329" s="31"/>
      <c r="AD329" s="31"/>
      <c r="AE329" s="31"/>
      <c r="AF329" s="31"/>
      <c r="AG329" s="31"/>
      <c r="AH329" s="31"/>
      <c r="AI329" s="31"/>
      <c r="AJ329" s="31"/>
      <c r="AK329" s="31"/>
      <c r="AL329" s="31"/>
      <c r="AM329" s="31"/>
      <c r="AN329" s="32"/>
      <c r="AO329" s="32"/>
      <c r="AP329" s="30"/>
      <c r="AQ329" s="30"/>
      <c r="AR329" s="30"/>
      <c r="AS329" s="92"/>
      <c r="AT329" s="155"/>
      <c r="AU329" s="155"/>
      <c r="AV329" s="106"/>
      <c r="AW329" s="106"/>
      <c r="AX329" s="30"/>
      <c r="AY329" s="107"/>
      <c r="AZ329" s="107"/>
      <c r="BA329" s="32"/>
    </row>
    <row r="330" spans="1:56">
      <c r="A330" s="7"/>
      <c r="B330" s="26" t="str">
        <f t="shared" si="89"/>
        <v/>
      </c>
      <c r="C330" s="42"/>
      <c r="D330" s="64"/>
      <c r="E330" s="69"/>
      <c r="F330" s="85"/>
      <c r="G330" s="60"/>
      <c r="H330" s="31"/>
      <c r="I330" s="42"/>
      <c r="J330" s="42"/>
      <c r="K330" s="42"/>
      <c r="L330" s="36"/>
      <c r="M330" s="41"/>
      <c r="N330" s="31"/>
      <c r="O330" s="31"/>
      <c r="P330" s="33"/>
      <c r="Q330" s="31" t="e">
        <f>LEFT(RIGHT(A330,LEN(A330)-FIND("-",A330)),MIN(SEARCH({"a","b","c","d","e","f","g","h","i","j","k","l","m","n","o","p","q","r","s","t","u","v","w","x","y","z"},RIGHT(A330,LEN(A330)-FIND("-",A330))&amp;"abcdefghijklmnopqrstuvwxyz"))-1)+1-1</f>
        <v>#VALUE!</v>
      </c>
      <c r="R330" s="32" t="e">
        <f t="shared" si="90"/>
        <v>#VALUE!</v>
      </c>
      <c r="S330" s="32" t="s">
        <v>1393</v>
      </c>
      <c r="T330" s="32"/>
      <c r="U330" s="17">
        <f t="shared" si="81"/>
        <v>0</v>
      </c>
      <c r="V330" s="17">
        <f t="shared" si="82"/>
        <v>0</v>
      </c>
      <c r="W330" s="56"/>
      <c r="X330" s="31"/>
      <c r="Y330" s="42"/>
      <c r="Z330" s="31"/>
      <c r="AA330" s="31"/>
      <c r="AB330" s="31"/>
      <c r="AC330" s="31"/>
      <c r="AD330" s="31"/>
      <c r="AE330" s="31"/>
      <c r="AF330" s="31"/>
      <c r="AG330" s="31"/>
      <c r="AH330" s="31"/>
      <c r="AI330" s="31"/>
      <c r="AJ330" s="31"/>
      <c r="AK330" s="31"/>
      <c r="AL330" s="31"/>
      <c r="AM330" s="31"/>
      <c r="AN330" s="32"/>
      <c r="AO330" s="32"/>
      <c r="AP330" s="30"/>
      <c r="AQ330" s="30"/>
      <c r="AR330" s="30"/>
      <c r="AS330" s="92"/>
      <c r="AT330" s="155"/>
      <c r="AU330" s="155"/>
      <c r="AV330" s="106"/>
      <c r="AW330" s="106"/>
      <c r="AX330" s="30"/>
      <c r="AY330" s="107"/>
      <c r="AZ330" s="107"/>
      <c r="BA330" s="32"/>
    </row>
    <row r="331" spans="1:56">
      <c r="A331" s="7"/>
      <c r="B331" s="26" t="str">
        <f t="shared" si="89"/>
        <v/>
      </c>
      <c r="C331" s="42"/>
      <c r="D331" s="64"/>
      <c r="E331" s="69"/>
      <c r="F331" s="85"/>
      <c r="G331" s="60"/>
      <c r="H331" s="31"/>
      <c r="I331" s="42"/>
      <c r="J331" s="42"/>
      <c r="K331" s="42"/>
      <c r="L331" s="36"/>
      <c r="M331" s="41"/>
      <c r="N331" s="31"/>
      <c r="O331" s="31"/>
      <c r="P331" s="33"/>
      <c r="Q331" s="31" t="e">
        <f>LEFT(RIGHT(A331,LEN(A331)-FIND("-",A331)),MIN(SEARCH({"a","b","c","d","e","f","g","h","i","j","k","l","m","n","o","p","q","r","s","t","u","v","w","x","y","z"},RIGHT(A331,LEN(A331)-FIND("-",A331))&amp;"abcdefghijklmnopqrstuvwxyz"))-1)+1-1</f>
        <v>#VALUE!</v>
      </c>
      <c r="R331" s="32" t="e">
        <f t="shared" si="90"/>
        <v>#VALUE!</v>
      </c>
      <c r="S331" s="32" t="s">
        <v>1393</v>
      </c>
      <c r="T331" s="32"/>
      <c r="U331" s="17">
        <f t="shared" si="81"/>
        <v>0</v>
      </c>
      <c r="V331" s="17">
        <f t="shared" si="82"/>
        <v>0</v>
      </c>
      <c r="W331" s="56"/>
      <c r="X331" s="31"/>
      <c r="Y331" s="42"/>
      <c r="Z331" s="31"/>
      <c r="AA331" s="31"/>
      <c r="AB331" s="31"/>
      <c r="AC331" s="31"/>
      <c r="AD331" s="31"/>
      <c r="AE331" s="31"/>
      <c r="AF331" s="31"/>
      <c r="AG331" s="31"/>
      <c r="AH331" s="31"/>
      <c r="AI331" s="31"/>
      <c r="AJ331" s="31"/>
      <c r="AK331" s="31"/>
      <c r="AL331" s="31"/>
      <c r="AM331" s="31"/>
      <c r="AN331" s="32"/>
      <c r="AO331" s="32"/>
      <c r="AP331" s="30"/>
      <c r="AQ331" s="30"/>
      <c r="AR331" s="30"/>
      <c r="AS331" s="92"/>
      <c r="AT331" s="155"/>
      <c r="AU331" s="155"/>
      <c r="AV331" s="106"/>
      <c r="AW331" s="106"/>
      <c r="AX331" s="30"/>
      <c r="AY331" s="107"/>
      <c r="AZ331" s="107"/>
      <c r="BA331" s="32"/>
    </row>
    <row r="332" spans="1:56">
      <c r="A332" s="7"/>
      <c r="B332" s="26" t="str">
        <f t="shared" si="89"/>
        <v/>
      </c>
      <c r="C332" s="42"/>
      <c r="D332" s="64"/>
      <c r="E332" s="69"/>
      <c r="F332" s="85"/>
      <c r="G332" s="60"/>
      <c r="H332" s="31"/>
      <c r="I332" s="42"/>
      <c r="J332" s="42"/>
      <c r="K332" s="42"/>
      <c r="L332" s="36"/>
      <c r="M332" s="41"/>
      <c r="N332" s="31"/>
      <c r="O332" s="31"/>
      <c r="P332" s="33"/>
      <c r="Q332" s="31" t="e">
        <f>LEFT(RIGHT(A332,LEN(A332)-FIND("-",A332)),MIN(SEARCH({"a","b","c","d","e","f","g","h","i","j","k","l","m","n","o","p","q","r","s","t","u","v","w","x","y","z"},RIGHT(A332,LEN(A332)-FIND("-",A332))&amp;"abcdefghijklmnopqrstuvwxyz"))-1)+1-1</f>
        <v>#VALUE!</v>
      </c>
      <c r="R332" s="32" t="e">
        <f t="shared" si="90"/>
        <v>#VALUE!</v>
      </c>
      <c r="S332" s="32" t="s">
        <v>1393</v>
      </c>
      <c r="T332" s="32"/>
      <c r="U332" s="17">
        <f t="shared" si="81"/>
        <v>0</v>
      </c>
      <c r="V332" s="17">
        <f t="shared" si="82"/>
        <v>0</v>
      </c>
      <c r="W332" s="56"/>
      <c r="X332" s="31"/>
      <c r="Y332" s="42"/>
      <c r="Z332" s="31"/>
      <c r="AA332" s="31"/>
      <c r="AB332" s="31"/>
      <c r="AC332" s="31"/>
      <c r="AD332" s="31"/>
      <c r="AE332" s="31"/>
      <c r="AF332" s="31"/>
      <c r="AG332" s="31"/>
      <c r="AH332" s="31"/>
      <c r="AI332" s="31"/>
      <c r="AJ332" s="31"/>
      <c r="AK332" s="31"/>
      <c r="AL332" s="31"/>
      <c r="AM332" s="31"/>
      <c r="AN332" s="32"/>
      <c r="AO332" s="32"/>
      <c r="AP332" s="30"/>
      <c r="AQ332" s="30"/>
      <c r="AR332" s="30"/>
      <c r="AS332" s="92"/>
      <c r="AT332" s="155"/>
      <c r="AU332" s="155"/>
      <c r="AV332" s="106"/>
      <c r="AW332" s="106"/>
      <c r="AX332" s="30"/>
      <c r="AY332" s="107"/>
      <c r="AZ332" s="107"/>
      <c r="BA332" s="32"/>
    </row>
    <row r="333" spans="1:56">
      <c r="A333" s="7"/>
      <c r="B333" s="26" t="str">
        <f t="shared" si="89"/>
        <v/>
      </c>
      <c r="C333" s="42"/>
      <c r="D333" s="64"/>
      <c r="E333" s="69"/>
      <c r="F333" s="85"/>
      <c r="G333" s="60"/>
      <c r="H333" s="31"/>
      <c r="I333" s="42"/>
      <c r="J333" s="42"/>
      <c r="K333" s="42"/>
      <c r="L333" s="36"/>
      <c r="M333" s="41"/>
      <c r="N333" s="31"/>
      <c r="O333" s="31"/>
      <c r="P333" s="33"/>
      <c r="Q333" s="31" t="e">
        <f>LEFT(RIGHT(A333,LEN(A333)-FIND("-",A333)),MIN(SEARCH({"a","b","c","d","e","f","g","h","i","j","k","l","m","n","o","p","q","r","s","t","u","v","w","x","y","z"},RIGHT(A333,LEN(A333)-FIND("-",A333))&amp;"abcdefghijklmnopqrstuvwxyz"))-1)+1-1</f>
        <v>#VALUE!</v>
      </c>
      <c r="R333" s="32" t="e">
        <f t="shared" si="90"/>
        <v>#VALUE!</v>
      </c>
      <c r="S333" s="32" t="s">
        <v>1393</v>
      </c>
      <c r="T333" s="32"/>
      <c r="U333" s="17">
        <f t="shared" si="81"/>
        <v>0</v>
      </c>
      <c r="V333" s="17">
        <f t="shared" si="82"/>
        <v>0</v>
      </c>
      <c r="W333" s="56"/>
      <c r="X333" s="31"/>
      <c r="Y333" s="42"/>
      <c r="Z333" s="31"/>
      <c r="AA333" s="31"/>
      <c r="AB333" s="31"/>
      <c r="AC333" s="31"/>
      <c r="AD333" s="31"/>
      <c r="AE333" s="31"/>
      <c r="AF333" s="31"/>
      <c r="AG333" s="31"/>
      <c r="AH333" s="31"/>
      <c r="AI333" s="31"/>
      <c r="AJ333" s="31"/>
      <c r="AK333" s="31"/>
      <c r="AL333" s="31"/>
      <c r="AM333" s="31"/>
      <c r="AN333" s="32"/>
      <c r="AO333" s="32"/>
      <c r="AP333" s="30"/>
      <c r="AQ333" s="30"/>
      <c r="AR333" s="30"/>
      <c r="AS333" s="92"/>
      <c r="AT333" s="155"/>
      <c r="AU333" s="155"/>
      <c r="AV333" s="106"/>
      <c r="AW333" s="106"/>
      <c r="AX333" s="30"/>
      <c r="AY333" s="107"/>
      <c r="AZ333" s="107"/>
      <c r="BA333" s="32"/>
    </row>
    <row r="334" spans="1:56">
      <c r="A334" s="7"/>
      <c r="B334" s="26" t="str">
        <f t="shared" si="89"/>
        <v/>
      </c>
      <c r="C334" s="42"/>
      <c r="D334" s="64"/>
      <c r="E334" s="69"/>
      <c r="F334" s="85"/>
      <c r="G334" s="60"/>
      <c r="H334" s="31"/>
      <c r="I334" s="42"/>
      <c r="J334" s="42"/>
      <c r="K334" s="42"/>
      <c r="L334" s="36"/>
      <c r="M334" s="41"/>
      <c r="N334" s="31"/>
      <c r="O334" s="31"/>
      <c r="P334" s="33"/>
      <c r="Q334" s="31" t="e">
        <f>LEFT(RIGHT(A334,LEN(A334)-FIND("-",A334)),MIN(SEARCH({"a","b","c","d","e","f","g","h","i","j","k","l","m","n","o","p","q","r","s","t","u","v","w","x","y","z"},RIGHT(A334,LEN(A334)-FIND("-",A334))&amp;"abcdefghijklmnopqrstuvwxyz"))-1)+1-1</f>
        <v>#VALUE!</v>
      </c>
      <c r="R334" s="32" t="e">
        <f t="shared" si="90"/>
        <v>#VALUE!</v>
      </c>
      <c r="S334" s="32" t="s">
        <v>1393</v>
      </c>
      <c r="T334" s="32"/>
      <c r="U334" s="17">
        <f t="shared" si="81"/>
        <v>0</v>
      </c>
      <c r="V334" s="17">
        <f t="shared" si="82"/>
        <v>0</v>
      </c>
      <c r="W334" s="56"/>
      <c r="X334" s="31"/>
      <c r="Y334" s="42"/>
      <c r="Z334" s="31"/>
      <c r="AA334" s="31"/>
      <c r="AB334" s="31"/>
      <c r="AC334" s="31"/>
      <c r="AD334" s="31"/>
      <c r="AE334" s="31"/>
      <c r="AF334" s="31"/>
      <c r="AG334" s="31"/>
      <c r="AH334" s="31"/>
      <c r="AI334" s="31"/>
      <c r="AJ334" s="31"/>
      <c r="AK334" s="31"/>
      <c r="AL334" s="31"/>
      <c r="AM334" s="31"/>
      <c r="AN334" s="32"/>
      <c r="AO334" s="32"/>
      <c r="AP334" s="30"/>
      <c r="AQ334" s="30"/>
      <c r="AR334" s="30"/>
      <c r="AS334" s="92"/>
      <c r="AT334" s="155"/>
      <c r="AU334" s="155"/>
      <c r="AV334" s="106"/>
      <c r="AW334" s="106"/>
      <c r="AX334" s="30"/>
      <c r="AY334" s="107"/>
      <c r="AZ334" s="107"/>
      <c r="BA334" s="32"/>
    </row>
    <row r="335" spans="1:56">
      <c r="A335" s="7"/>
      <c r="B335" s="26" t="str">
        <f t="shared" si="89"/>
        <v/>
      </c>
      <c r="C335" s="42"/>
      <c r="D335" s="64"/>
      <c r="E335" s="69"/>
      <c r="F335" s="85"/>
      <c r="G335" s="60"/>
      <c r="H335" s="31"/>
      <c r="I335" s="42"/>
      <c r="J335" s="42"/>
      <c r="K335" s="42"/>
      <c r="L335" s="36"/>
      <c r="M335" s="41"/>
      <c r="N335" s="31"/>
      <c r="O335" s="31"/>
      <c r="P335" s="33"/>
      <c r="Q335" s="31" t="e">
        <f>LEFT(RIGHT(A335,LEN(A335)-FIND("-",A335)),MIN(SEARCH({"a","b","c","d","e","f","g","h","i","j","k","l","m","n","o","p","q","r","s","t","u","v","w","x","y","z"},RIGHT(A335,LEN(A335)-FIND("-",A335))&amp;"abcdefghijklmnopqrstuvwxyz"))-1)+1-1</f>
        <v>#VALUE!</v>
      </c>
      <c r="R335" s="32" t="e">
        <f t="shared" si="90"/>
        <v>#VALUE!</v>
      </c>
      <c r="S335" s="32" t="s">
        <v>1393</v>
      </c>
      <c r="T335" s="32"/>
      <c r="U335" s="17">
        <f t="shared" si="81"/>
        <v>0</v>
      </c>
      <c r="V335" s="17">
        <f t="shared" si="82"/>
        <v>0</v>
      </c>
      <c r="W335" s="56"/>
      <c r="X335" s="31"/>
      <c r="Y335" s="42"/>
      <c r="Z335" s="31"/>
      <c r="AA335" s="31"/>
      <c r="AB335" s="31"/>
      <c r="AC335" s="31"/>
      <c r="AD335" s="31"/>
      <c r="AE335" s="31"/>
      <c r="AF335" s="31"/>
      <c r="AG335" s="31"/>
      <c r="AH335" s="31"/>
      <c r="AI335" s="31"/>
      <c r="AJ335" s="31"/>
      <c r="AK335" s="31"/>
      <c r="AL335" s="31"/>
      <c r="AM335" s="31"/>
      <c r="AN335" s="32"/>
      <c r="AO335" s="32"/>
      <c r="AP335" s="30"/>
      <c r="AQ335" s="30"/>
      <c r="AR335" s="30"/>
      <c r="AS335" s="92"/>
      <c r="AT335" s="155"/>
      <c r="AU335" s="155"/>
      <c r="AV335" s="106"/>
      <c r="AW335" s="106"/>
      <c r="AX335" s="30"/>
      <c r="AY335" s="107"/>
      <c r="AZ335" s="107"/>
      <c r="BA335" s="32"/>
    </row>
    <row r="336" spans="1:56">
      <c r="A336" s="7"/>
      <c r="B336" s="26" t="str">
        <f t="shared" si="89"/>
        <v/>
      </c>
      <c r="C336" s="42"/>
      <c r="D336" s="64"/>
      <c r="E336" s="69"/>
      <c r="F336" s="85"/>
      <c r="G336" s="60"/>
      <c r="H336" s="31"/>
      <c r="I336" s="42"/>
      <c r="J336" s="42"/>
      <c r="K336" s="42"/>
      <c r="L336" s="36"/>
      <c r="M336" s="41"/>
      <c r="N336" s="31"/>
      <c r="O336" s="31"/>
      <c r="P336" s="33"/>
      <c r="Q336" s="31" t="e">
        <f>LEFT(RIGHT(A336,LEN(A336)-FIND("-",A336)),MIN(SEARCH({"a","b","c","d","e","f","g","h","i","j","k","l","m","n","o","p","q","r","s","t","u","v","w","x","y","z"},RIGHT(A336,LEN(A336)-FIND("-",A336))&amp;"abcdefghijklmnopqrstuvwxyz"))-1)+1-1</f>
        <v>#VALUE!</v>
      </c>
      <c r="R336" s="32" t="e">
        <f t="shared" si="90"/>
        <v>#VALUE!</v>
      </c>
      <c r="S336" s="32" t="s">
        <v>1393</v>
      </c>
      <c r="T336" s="32"/>
      <c r="U336" s="17">
        <f t="shared" si="81"/>
        <v>0</v>
      </c>
      <c r="V336" s="17">
        <f t="shared" si="82"/>
        <v>0</v>
      </c>
      <c r="W336" s="56"/>
      <c r="X336" s="31"/>
      <c r="Y336" s="42"/>
      <c r="Z336" s="31"/>
      <c r="AA336" s="31"/>
      <c r="AB336" s="31"/>
      <c r="AC336" s="31"/>
      <c r="AD336" s="31"/>
      <c r="AE336" s="31"/>
      <c r="AF336" s="31"/>
      <c r="AG336" s="31"/>
      <c r="AH336" s="31"/>
      <c r="AI336" s="31"/>
      <c r="AJ336" s="31"/>
      <c r="AK336" s="31"/>
      <c r="AL336" s="31"/>
      <c r="AM336" s="31"/>
      <c r="AN336" s="32"/>
      <c r="AO336" s="32"/>
      <c r="AP336" s="30"/>
      <c r="AQ336" s="30"/>
      <c r="AR336" s="30"/>
      <c r="AS336" s="92"/>
      <c r="AT336" s="155"/>
      <c r="AU336" s="155"/>
      <c r="AV336" s="106"/>
      <c r="AW336" s="106"/>
      <c r="AX336" s="30"/>
      <c r="AY336" s="107"/>
      <c r="AZ336" s="107"/>
      <c r="BA336" s="32"/>
    </row>
    <row r="337" spans="1:53">
      <c r="A337" s="7"/>
      <c r="B337" s="26" t="str">
        <f t="shared" si="89"/>
        <v/>
      </c>
      <c r="C337" s="42"/>
      <c r="D337" s="64"/>
      <c r="E337" s="69"/>
      <c r="F337" s="85"/>
      <c r="G337" s="60"/>
      <c r="H337" s="31"/>
      <c r="I337" s="42"/>
      <c r="J337" s="42"/>
      <c r="K337" s="42"/>
      <c r="L337" s="36"/>
      <c r="M337" s="41"/>
      <c r="N337" s="31"/>
      <c r="O337" s="31"/>
      <c r="P337" s="33"/>
      <c r="Q337" s="31" t="e">
        <f>LEFT(RIGHT(A337,LEN(A337)-FIND("-",A337)),MIN(SEARCH({"a","b","c","d","e","f","g","h","i","j","k","l","m","n","o","p","q","r","s","t","u","v","w","x","y","z"},RIGHT(A337,LEN(A337)-FIND("-",A337))&amp;"abcdefghijklmnopqrstuvwxyz"))-1)+1-1</f>
        <v>#VALUE!</v>
      </c>
      <c r="R337" s="32" t="e">
        <f t="shared" si="90"/>
        <v>#VALUE!</v>
      </c>
      <c r="S337" s="32" t="s">
        <v>1393</v>
      </c>
      <c r="T337" s="32"/>
      <c r="U337" s="17">
        <f t="shared" si="81"/>
        <v>0</v>
      </c>
      <c r="V337" s="17">
        <f t="shared" si="82"/>
        <v>0</v>
      </c>
      <c r="W337" s="56"/>
      <c r="X337" s="31"/>
      <c r="Y337" s="42"/>
      <c r="Z337" s="31"/>
      <c r="AA337" s="31"/>
      <c r="AB337" s="31"/>
      <c r="AC337" s="31"/>
      <c r="AD337" s="31"/>
      <c r="AE337" s="31"/>
      <c r="AF337" s="31"/>
      <c r="AG337" s="31"/>
      <c r="AH337" s="31"/>
      <c r="AI337" s="31"/>
      <c r="AJ337" s="31"/>
      <c r="AK337" s="31"/>
      <c r="AL337" s="31"/>
      <c r="AM337" s="31"/>
      <c r="AN337" s="32"/>
      <c r="AO337" s="32"/>
      <c r="AP337" s="30"/>
      <c r="AQ337" s="30"/>
      <c r="AR337" s="30"/>
      <c r="AS337" s="92"/>
      <c r="AT337" s="155"/>
      <c r="AU337" s="155"/>
      <c r="AV337" s="106"/>
      <c r="AW337" s="106"/>
      <c r="AX337" s="30"/>
      <c r="AY337" s="107"/>
      <c r="AZ337" s="107"/>
      <c r="BA337" s="32"/>
    </row>
    <row r="338" spans="1:53">
      <c r="A338" s="7"/>
      <c r="B338" s="26" t="str">
        <f t="shared" si="89"/>
        <v/>
      </c>
      <c r="C338" s="42"/>
      <c r="D338" s="64"/>
      <c r="E338" s="69"/>
      <c r="F338" s="85"/>
      <c r="G338" s="60"/>
      <c r="H338" s="31"/>
      <c r="I338" s="42"/>
      <c r="J338" s="42"/>
      <c r="K338" s="42"/>
      <c r="L338" s="36"/>
      <c r="M338" s="41"/>
      <c r="N338" s="31"/>
      <c r="O338" s="31"/>
      <c r="P338" s="33"/>
      <c r="Q338" s="31" t="e">
        <f>LEFT(RIGHT(A338,LEN(A338)-FIND("-",A338)),MIN(SEARCH({"a","b","c","d","e","f","g","h","i","j","k","l","m","n","o","p","q","r","s","t","u","v","w","x","y","z"},RIGHT(A338,LEN(A338)-FIND("-",A338))&amp;"abcdefghijklmnopqrstuvwxyz"))-1)+1-1</f>
        <v>#VALUE!</v>
      </c>
      <c r="R338" s="32" t="e">
        <f t="shared" si="90"/>
        <v>#VALUE!</v>
      </c>
      <c r="S338" s="32" t="s">
        <v>1393</v>
      </c>
      <c r="T338" s="32"/>
      <c r="U338" s="17">
        <f t="shared" si="81"/>
        <v>0</v>
      </c>
      <c r="V338" s="17">
        <f t="shared" si="82"/>
        <v>0</v>
      </c>
      <c r="W338" s="56"/>
      <c r="X338" s="31"/>
      <c r="Y338" s="42"/>
      <c r="Z338" s="31"/>
      <c r="AA338" s="31"/>
      <c r="AB338" s="31"/>
      <c r="AC338" s="31"/>
      <c r="AD338" s="31"/>
      <c r="AE338" s="31"/>
      <c r="AF338" s="31"/>
      <c r="AG338" s="31"/>
      <c r="AH338" s="31"/>
      <c r="AI338" s="31"/>
      <c r="AJ338" s="31"/>
      <c r="AK338" s="31"/>
      <c r="AL338" s="31"/>
      <c r="AM338" s="31"/>
      <c r="AN338" s="32"/>
      <c r="AO338" s="32"/>
      <c r="AP338" s="30"/>
      <c r="AQ338" s="30"/>
      <c r="AR338" s="30"/>
      <c r="AS338" s="92"/>
      <c r="AT338" s="155"/>
      <c r="AU338" s="155"/>
      <c r="AV338" s="106"/>
      <c r="AW338" s="106"/>
      <c r="AX338" s="30"/>
      <c r="AY338" s="107"/>
      <c r="AZ338" s="107"/>
      <c r="BA338" s="32"/>
    </row>
    <row r="339" spans="1:53">
      <c r="A339" s="7"/>
      <c r="B339" s="26" t="str">
        <f t="shared" si="89"/>
        <v/>
      </c>
      <c r="C339" s="42"/>
      <c r="D339" s="64"/>
      <c r="E339" s="69"/>
      <c r="F339" s="85"/>
      <c r="G339" s="60"/>
      <c r="H339" s="31"/>
      <c r="I339" s="42"/>
      <c r="J339" s="42"/>
      <c r="K339" s="42"/>
      <c r="L339" s="36"/>
      <c r="M339" s="41"/>
      <c r="N339" s="31"/>
      <c r="O339" s="31"/>
      <c r="P339" s="33"/>
      <c r="Q339" s="31" t="e">
        <f>LEFT(RIGHT(A339,LEN(A339)-FIND("-",A339)),MIN(SEARCH({"a","b","c","d","e","f","g","h","i","j","k","l","m","n","o","p","q","r","s","t","u","v","w","x","y","z"},RIGHT(A339,LEN(A339)-FIND("-",A339))&amp;"abcdefghijklmnopqrstuvwxyz"))-1)+1-1</f>
        <v>#VALUE!</v>
      </c>
      <c r="R339" s="32" t="e">
        <f t="shared" si="90"/>
        <v>#VALUE!</v>
      </c>
      <c r="S339" s="32" t="s">
        <v>1393</v>
      </c>
      <c r="T339" s="32"/>
      <c r="U339" s="17">
        <f t="shared" si="81"/>
        <v>0</v>
      </c>
      <c r="V339" s="17">
        <f t="shared" si="82"/>
        <v>0</v>
      </c>
      <c r="W339" s="56"/>
      <c r="X339" s="31"/>
      <c r="Y339" s="42"/>
      <c r="Z339" s="31"/>
      <c r="AA339" s="31"/>
      <c r="AB339" s="31"/>
      <c r="AC339" s="31"/>
      <c r="AD339" s="31"/>
      <c r="AE339" s="31"/>
      <c r="AF339" s="31"/>
      <c r="AG339" s="31"/>
      <c r="AH339" s="31"/>
      <c r="AI339" s="31"/>
      <c r="AJ339" s="31"/>
      <c r="AK339" s="31"/>
      <c r="AL339" s="31"/>
      <c r="AM339" s="31"/>
      <c r="AN339" s="32"/>
      <c r="AO339" s="32"/>
      <c r="AP339" s="30"/>
      <c r="AQ339" s="30"/>
      <c r="AR339" s="30"/>
      <c r="AS339" s="92"/>
      <c r="AT339" s="155"/>
      <c r="AU339" s="155"/>
      <c r="AV339" s="106"/>
      <c r="AW339" s="106"/>
      <c r="AX339" s="30"/>
      <c r="AY339" s="107"/>
      <c r="AZ339" s="107"/>
      <c r="BA339" s="32"/>
    </row>
    <row r="340" spans="1:53">
      <c r="A340" s="7"/>
      <c r="B340" s="26" t="str">
        <f t="shared" si="89"/>
        <v/>
      </c>
      <c r="C340" s="42"/>
      <c r="D340" s="64"/>
      <c r="E340" s="69"/>
      <c r="F340" s="85"/>
      <c r="G340" s="60"/>
      <c r="H340" s="31"/>
      <c r="I340" s="42"/>
      <c r="J340" s="42"/>
      <c r="K340" s="42"/>
      <c r="L340" s="36"/>
      <c r="M340" s="41"/>
      <c r="N340" s="31"/>
      <c r="O340" s="31"/>
      <c r="P340" s="33"/>
      <c r="Q340" s="31" t="e">
        <f>LEFT(RIGHT(A340,LEN(A340)-FIND("-",A340)),MIN(SEARCH({"a","b","c","d","e","f","g","h","i","j","k","l","m","n","o","p","q","r","s","t","u","v","w","x","y","z"},RIGHT(A340,LEN(A340)-FIND("-",A340))&amp;"abcdefghijklmnopqrstuvwxyz"))-1)+1-1</f>
        <v>#VALUE!</v>
      </c>
      <c r="R340" s="32" t="e">
        <f t="shared" si="90"/>
        <v>#VALUE!</v>
      </c>
      <c r="S340" s="32" t="s">
        <v>1393</v>
      </c>
      <c r="T340" s="32"/>
      <c r="U340" s="17">
        <f t="shared" si="81"/>
        <v>0</v>
      </c>
      <c r="V340" s="17">
        <f t="shared" si="82"/>
        <v>0</v>
      </c>
      <c r="W340" s="56"/>
      <c r="X340" s="31"/>
      <c r="Y340" s="42"/>
      <c r="Z340" s="31"/>
      <c r="AA340" s="31"/>
      <c r="AB340" s="31"/>
      <c r="AC340" s="31"/>
      <c r="AD340" s="31"/>
      <c r="AE340" s="31"/>
      <c r="AF340" s="31"/>
      <c r="AG340" s="31"/>
      <c r="AH340" s="31"/>
      <c r="AI340" s="31"/>
      <c r="AJ340" s="31"/>
      <c r="AK340" s="31"/>
      <c r="AL340" s="31"/>
      <c r="AM340" s="31"/>
      <c r="AN340" s="32"/>
      <c r="AO340" s="32"/>
      <c r="AP340" s="30"/>
      <c r="AQ340" s="30"/>
      <c r="AR340" s="30"/>
      <c r="AS340" s="92"/>
      <c r="AT340" s="155"/>
      <c r="AU340" s="155"/>
      <c r="AV340" s="106"/>
      <c r="AW340" s="106"/>
      <c r="AX340" s="30"/>
      <c r="AY340" s="107"/>
      <c r="AZ340" s="107"/>
      <c r="BA340" s="32"/>
    </row>
    <row r="341" spans="1:53">
      <c r="A341" s="7"/>
      <c r="B341" s="26" t="str">
        <f t="shared" si="89"/>
        <v/>
      </c>
      <c r="C341" s="42"/>
      <c r="D341" s="64"/>
      <c r="E341" s="69"/>
      <c r="F341" s="85"/>
      <c r="G341" s="60"/>
      <c r="H341" s="31"/>
      <c r="I341" s="42"/>
      <c r="J341" s="42"/>
      <c r="K341" s="42"/>
      <c r="L341" s="36"/>
      <c r="M341" s="41"/>
      <c r="N341" s="31"/>
      <c r="O341" s="31"/>
      <c r="P341" s="33"/>
      <c r="Q341" s="31" t="e">
        <f>LEFT(RIGHT(A341,LEN(A341)-FIND("-",A341)),MIN(SEARCH({"a","b","c","d","e","f","g","h","i","j","k","l","m","n","o","p","q","r","s","t","u","v","w","x","y","z"},RIGHT(A341,LEN(A341)-FIND("-",A341))&amp;"abcdefghijklmnopqrstuvwxyz"))-1)+1-1</f>
        <v>#VALUE!</v>
      </c>
      <c r="R341" s="32" t="e">
        <f t="shared" si="90"/>
        <v>#VALUE!</v>
      </c>
      <c r="S341" s="32" t="s">
        <v>1393</v>
      </c>
      <c r="T341" s="32"/>
      <c r="U341" s="17">
        <f t="shared" si="81"/>
        <v>0</v>
      </c>
      <c r="V341" s="17">
        <f t="shared" si="82"/>
        <v>0</v>
      </c>
      <c r="W341" s="56"/>
      <c r="X341" s="31"/>
      <c r="Y341" s="42"/>
      <c r="Z341" s="31"/>
      <c r="AA341" s="31"/>
      <c r="AB341" s="31"/>
      <c r="AC341" s="31"/>
      <c r="AD341" s="31"/>
      <c r="AE341" s="31"/>
      <c r="AF341" s="31"/>
      <c r="AG341" s="31"/>
      <c r="AH341" s="31"/>
      <c r="AI341" s="31"/>
      <c r="AJ341" s="31"/>
      <c r="AK341" s="31"/>
      <c r="AL341" s="31"/>
      <c r="AM341" s="31"/>
      <c r="AN341" s="32"/>
      <c r="AO341" s="32"/>
      <c r="AP341" s="30"/>
      <c r="AQ341" s="30"/>
      <c r="AR341" s="30"/>
      <c r="AS341" s="92"/>
      <c r="AT341" s="155"/>
      <c r="AU341" s="155"/>
      <c r="AV341" s="106"/>
      <c r="AW341" s="106"/>
      <c r="AX341" s="30"/>
      <c r="AY341" s="107"/>
      <c r="AZ341" s="107"/>
      <c r="BA341" s="32"/>
    </row>
    <row r="342" spans="1:53">
      <c r="A342" s="7"/>
      <c r="B342" s="26" t="str">
        <f t="shared" si="89"/>
        <v/>
      </c>
      <c r="C342" s="42"/>
      <c r="D342" s="64"/>
      <c r="E342" s="69"/>
      <c r="F342" s="85"/>
      <c r="G342" s="60"/>
      <c r="H342" s="31"/>
      <c r="I342" s="42"/>
      <c r="J342" s="42"/>
      <c r="K342" s="42"/>
      <c r="L342" s="36"/>
      <c r="M342" s="41"/>
      <c r="N342" s="31"/>
      <c r="O342" s="31"/>
      <c r="P342" s="33"/>
      <c r="Q342" s="31" t="e">
        <f>LEFT(RIGHT(A342,LEN(A342)-FIND("-",A342)),MIN(SEARCH({"a","b","c","d","e","f","g","h","i","j","k","l","m","n","o","p","q","r","s","t","u","v","w","x","y","z"},RIGHT(A342,LEN(A342)-FIND("-",A342))&amp;"abcdefghijklmnopqrstuvwxyz"))-1)+1-1</f>
        <v>#VALUE!</v>
      </c>
      <c r="R342" s="32" t="e">
        <f t="shared" si="90"/>
        <v>#VALUE!</v>
      </c>
      <c r="S342" s="32" t="s">
        <v>1393</v>
      </c>
      <c r="T342" s="32"/>
      <c r="U342" s="17">
        <f t="shared" si="81"/>
        <v>0</v>
      </c>
      <c r="V342" s="17">
        <f t="shared" si="82"/>
        <v>0</v>
      </c>
      <c r="W342" s="56"/>
      <c r="X342" s="31"/>
      <c r="Y342" s="42"/>
      <c r="Z342" s="31"/>
      <c r="AA342" s="31"/>
      <c r="AB342" s="31"/>
      <c r="AC342" s="31"/>
      <c r="AD342" s="31"/>
      <c r="AE342" s="31"/>
      <c r="AF342" s="31"/>
      <c r="AG342" s="31"/>
      <c r="AH342" s="31"/>
      <c r="AI342" s="31"/>
      <c r="AJ342" s="31"/>
      <c r="AK342" s="31"/>
      <c r="AL342" s="31"/>
      <c r="AM342" s="31"/>
      <c r="AN342" s="32"/>
      <c r="AO342" s="32"/>
      <c r="AP342" s="30"/>
      <c r="AQ342" s="30"/>
      <c r="AR342" s="30"/>
      <c r="AS342" s="92"/>
      <c r="AT342" s="155"/>
      <c r="AU342" s="155"/>
      <c r="AV342" s="106"/>
      <c r="AW342" s="106"/>
      <c r="AX342" s="30"/>
      <c r="AY342" s="107"/>
      <c r="AZ342" s="107"/>
      <c r="BA342" s="32"/>
    </row>
    <row r="343" spans="1:53">
      <c r="A343" s="7"/>
      <c r="B343" s="26" t="str">
        <f t="shared" si="89"/>
        <v/>
      </c>
      <c r="C343" s="42"/>
      <c r="D343" s="64"/>
      <c r="E343" s="69"/>
      <c r="F343" s="85"/>
      <c r="G343" s="60"/>
      <c r="H343" s="31"/>
      <c r="I343" s="42"/>
      <c r="J343" s="42"/>
      <c r="K343" s="42"/>
      <c r="L343" s="36"/>
      <c r="M343" s="41"/>
      <c r="N343" s="31"/>
      <c r="O343" s="31"/>
      <c r="P343" s="33"/>
      <c r="Q343" s="31" t="e">
        <f>LEFT(RIGHT(A343,LEN(A343)-FIND("-",A343)),MIN(SEARCH({"a","b","c","d","e","f","g","h","i","j","k","l","m","n","o","p","q","r","s","t","u","v","w","x","y","z"},RIGHT(A343,LEN(A343)-FIND("-",A343))&amp;"abcdefghijklmnopqrstuvwxyz"))-1)+1-1</f>
        <v>#VALUE!</v>
      </c>
      <c r="R343" s="32" t="e">
        <f t="shared" si="90"/>
        <v>#VALUE!</v>
      </c>
      <c r="S343" s="32" t="s">
        <v>1393</v>
      </c>
      <c r="T343" s="32"/>
      <c r="U343" s="17">
        <f t="shared" si="81"/>
        <v>0</v>
      </c>
      <c r="V343" s="17">
        <f t="shared" si="82"/>
        <v>0</v>
      </c>
      <c r="W343" s="56"/>
      <c r="X343" s="31"/>
      <c r="Y343" s="42"/>
      <c r="Z343" s="31"/>
      <c r="AA343" s="31"/>
      <c r="AB343" s="31"/>
      <c r="AC343" s="31"/>
      <c r="AD343" s="31"/>
      <c r="AE343" s="31"/>
      <c r="AF343" s="31"/>
      <c r="AG343" s="31"/>
      <c r="AH343" s="31"/>
      <c r="AI343" s="31"/>
      <c r="AJ343" s="31"/>
      <c r="AK343" s="31"/>
      <c r="AL343" s="31"/>
      <c r="AM343" s="31"/>
      <c r="AN343" s="32"/>
      <c r="AO343" s="32"/>
      <c r="AP343" s="30"/>
      <c r="AQ343" s="30"/>
      <c r="AR343" s="30"/>
      <c r="AS343" s="92"/>
      <c r="AT343" s="155"/>
      <c r="AU343" s="155"/>
      <c r="AV343" s="106"/>
      <c r="AW343" s="106"/>
      <c r="AX343" s="30"/>
      <c r="AY343" s="107"/>
      <c r="AZ343" s="107"/>
      <c r="BA343" s="32"/>
    </row>
    <row r="344" spans="1:53">
      <c r="A344" s="7"/>
      <c r="B344" s="26" t="str">
        <f t="shared" si="89"/>
        <v/>
      </c>
      <c r="C344" s="42"/>
      <c r="D344" s="64"/>
      <c r="E344" s="69"/>
      <c r="F344" s="85"/>
      <c r="G344" s="60"/>
      <c r="H344" s="31"/>
      <c r="I344" s="42"/>
      <c r="J344" s="42"/>
      <c r="K344" s="42"/>
      <c r="L344" s="36"/>
      <c r="M344" s="41"/>
      <c r="N344" s="31"/>
      <c r="O344" s="31"/>
      <c r="P344" s="33"/>
      <c r="Q344" s="31" t="e">
        <f>LEFT(RIGHT(A344,LEN(A344)-FIND("-",A344)),MIN(SEARCH({"a","b","c","d","e","f","g","h","i","j","k","l","m","n","o","p","q","r","s","t","u","v","w","x","y","z"},RIGHT(A344,LEN(A344)-FIND("-",A344))&amp;"abcdefghijklmnopqrstuvwxyz"))-1)+1-1</f>
        <v>#VALUE!</v>
      </c>
      <c r="R344" s="32" t="e">
        <f t="shared" si="90"/>
        <v>#VALUE!</v>
      </c>
      <c r="S344" s="32" t="s">
        <v>1393</v>
      </c>
      <c r="T344" s="32"/>
      <c r="U344" s="17">
        <f t="shared" si="81"/>
        <v>0</v>
      </c>
      <c r="V344" s="17">
        <f t="shared" si="82"/>
        <v>0</v>
      </c>
      <c r="W344" s="56"/>
      <c r="X344" s="31"/>
      <c r="Y344" s="42"/>
      <c r="Z344" s="31"/>
      <c r="AA344" s="31"/>
      <c r="AB344" s="31"/>
      <c r="AC344" s="31"/>
      <c r="AD344" s="31"/>
      <c r="AE344" s="31"/>
      <c r="AF344" s="31"/>
      <c r="AG344" s="31"/>
      <c r="AH344" s="31"/>
      <c r="AI344" s="31"/>
      <c r="AJ344" s="31"/>
      <c r="AK344" s="31"/>
      <c r="AL344" s="31"/>
      <c r="AM344" s="31"/>
      <c r="AN344" s="32"/>
      <c r="AO344" s="32"/>
      <c r="AP344" s="30"/>
      <c r="AQ344" s="30"/>
      <c r="AR344" s="30"/>
      <c r="AS344" s="92"/>
      <c r="AT344" s="155"/>
      <c r="AU344" s="155"/>
      <c r="AV344" s="106"/>
      <c r="AW344" s="106"/>
      <c r="AX344" s="30"/>
      <c r="AY344" s="107"/>
      <c r="AZ344" s="107"/>
      <c r="BA344" s="32"/>
    </row>
    <row r="345" spans="1:53">
      <c r="A345" s="7"/>
      <c r="B345" s="26" t="str">
        <f t="shared" si="89"/>
        <v/>
      </c>
      <c r="C345" s="42"/>
      <c r="D345" s="64"/>
      <c r="E345" s="69"/>
      <c r="F345" s="85"/>
      <c r="G345" s="60"/>
      <c r="H345" s="31"/>
      <c r="I345" s="42"/>
      <c r="J345" s="42"/>
      <c r="K345" s="42"/>
      <c r="L345" s="36"/>
      <c r="M345" s="41"/>
      <c r="N345" s="31"/>
      <c r="O345" s="31"/>
      <c r="P345" s="33"/>
      <c r="Q345" s="31" t="e">
        <f>LEFT(RIGHT(A345,LEN(A345)-FIND("-",A345)),MIN(SEARCH({"a","b","c","d","e","f","g","h","i","j","k","l","m","n","o","p","q","r","s","t","u","v","w","x","y","z"},RIGHT(A345,LEN(A345)-FIND("-",A345))&amp;"abcdefghijklmnopqrstuvwxyz"))-1)+1-1</f>
        <v>#VALUE!</v>
      </c>
      <c r="R345" s="32" t="e">
        <f t="shared" si="90"/>
        <v>#VALUE!</v>
      </c>
      <c r="S345" s="32" t="s">
        <v>1393</v>
      </c>
      <c r="T345" s="32"/>
      <c r="U345" s="17">
        <f t="shared" si="81"/>
        <v>0</v>
      </c>
      <c r="V345" s="17">
        <f t="shared" si="82"/>
        <v>0</v>
      </c>
      <c r="W345" s="56"/>
      <c r="X345" s="31"/>
      <c r="Y345" s="42"/>
      <c r="Z345" s="31"/>
      <c r="AA345" s="31"/>
      <c r="AB345" s="31"/>
      <c r="AC345" s="31"/>
      <c r="AD345" s="31"/>
      <c r="AE345" s="31"/>
      <c r="AF345" s="31"/>
      <c r="AG345" s="31"/>
      <c r="AH345" s="31"/>
      <c r="AI345" s="31"/>
      <c r="AJ345" s="31"/>
      <c r="AK345" s="31"/>
      <c r="AL345" s="31"/>
      <c r="AM345" s="31"/>
      <c r="AN345" s="32"/>
      <c r="AO345" s="32"/>
      <c r="AP345" s="30"/>
      <c r="AQ345" s="30"/>
      <c r="AR345" s="30"/>
      <c r="AS345" s="92"/>
      <c r="AT345" s="155"/>
      <c r="AU345" s="155"/>
      <c r="AV345" s="106"/>
      <c r="AW345" s="106"/>
      <c r="AX345" s="30"/>
      <c r="AY345" s="107"/>
      <c r="AZ345" s="107"/>
      <c r="BA345" s="32"/>
    </row>
    <row r="346" spans="1:53">
      <c r="A346" s="7"/>
      <c r="B346" s="26" t="str">
        <f t="shared" si="89"/>
        <v/>
      </c>
      <c r="C346" s="42"/>
      <c r="D346" s="64"/>
      <c r="E346" s="69"/>
      <c r="F346" s="85"/>
      <c r="G346" s="60"/>
      <c r="H346" s="31"/>
      <c r="I346" s="42"/>
      <c r="J346" s="42"/>
      <c r="K346" s="42"/>
      <c r="L346" s="36"/>
      <c r="M346" s="41"/>
      <c r="N346" s="31"/>
      <c r="O346" s="31"/>
      <c r="P346" s="33"/>
      <c r="Q346" s="31" t="e">
        <f>LEFT(RIGHT(A346,LEN(A346)-FIND("-",A346)),MIN(SEARCH({"a","b","c","d","e","f","g","h","i","j","k","l","m","n","o","p","q","r","s","t","u","v","w","x","y","z"},RIGHT(A346,LEN(A346)-FIND("-",A346))&amp;"abcdefghijklmnopqrstuvwxyz"))-1)+1-1</f>
        <v>#VALUE!</v>
      </c>
      <c r="R346" s="32" t="e">
        <f t="shared" si="90"/>
        <v>#VALUE!</v>
      </c>
      <c r="S346" s="32" t="s">
        <v>1393</v>
      </c>
      <c r="T346" s="32"/>
      <c r="U346" s="17">
        <f t="shared" si="81"/>
        <v>0</v>
      </c>
      <c r="V346" s="17">
        <f t="shared" si="82"/>
        <v>0</v>
      </c>
      <c r="W346" s="56"/>
      <c r="X346" s="31"/>
      <c r="Y346" s="42"/>
      <c r="Z346" s="31"/>
      <c r="AA346" s="31"/>
      <c r="AB346" s="31"/>
      <c r="AC346" s="31"/>
      <c r="AD346" s="31"/>
      <c r="AE346" s="31"/>
      <c r="AF346" s="31"/>
      <c r="AG346" s="31"/>
      <c r="AH346" s="31"/>
      <c r="AI346" s="31"/>
      <c r="AJ346" s="31"/>
      <c r="AK346" s="31"/>
      <c r="AL346" s="31"/>
      <c r="AM346" s="31"/>
      <c r="AN346" s="32"/>
      <c r="AO346" s="32"/>
      <c r="AP346" s="30"/>
      <c r="AQ346" s="30"/>
      <c r="AR346" s="30"/>
      <c r="AS346" s="92"/>
      <c r="AT346" s="155"/>
      <c r="AU346" s="155"/>
      <c r="AV346" s="106"/>
      <c r="AW346" s="106"/>
      <c r="AX346" s="30"/>
      <c r="AY346" s="107"/>
      <c r="AZ346" s="107"/>
      <c r="BA346" s="32"/>
    </row>
    <row r="347" spans="1:53">
      <c r="A347" s="7"/>
      <c r="B347" s="26" t="str">
        <f t="shared" si="89"/>
        <v/>
      </c>
      <c r="C347" s="42"/>
      <c r="D347" s="64"/>
      <c r="E347" s="69"/>
      <c r="F347" s="85"/>
      <c r="G347" s="60"/>
      <c r="H347" s="31"/>
      <c r="I347" s="42"/>
      <c r="J347" s="42"/>
      <c r="K347" s="42"/>
      <c r="L347" s="36"/>
      <c r="M347" s="41"/>
      <c r="N347" s="31"/>
      <c r="O347" s="31"/>
      <c r="P347" s="33"/>
      <c r="Q347" s="31" t="e">
        <f>LEFT(RIGHT(A347,LEN(A347)-FIND("-",A347)),MIN(SEARCH({"a","b","c","d","e","f","g","h","i","j","k","l","m","n","o","p","q","r","s","t","u","v","w","x","y","z"},RIGHT(A347,LEN(A347)-FIND("-",A347))&amp;"abcdefghijklmnopqrstuvwxyz"))-1)+1-1</f>
        <v>#VALUE!</v>
      </c>
      <c r="R347" s="32" t="e">
        <f t="shared" si="90"/>
        <v>#VALUE!</v>
      </c>
      <c r="S347" s="32" t="s">
        <v>1393</v>
      </c>
      <c r="T347" s="32"/>
      <c r="U347" s="17">
        <f t="shared" si="81"/>
        <v>0</v>
      </c>
      <c r="V347" s="17">
        <f t="shared" si="82"/>
        <v>0</v>
      </c>
      <c r="W347" s="56"/>
      <c r="X347" s="31"/>
      <c r="Y347" s="42"/>
      <c r="Z347" s="31"/>
      <c r="AA347" s="31"/>
      <c r="AB347" s="31"/>
      <c r="AC347" s="31"/>
      <c r="AD347" s="31"/>
      <c r="AE347" s="31"/>
      <c r="AF347" s="31"/>
      <c r="AG347" s="31"/>
      <c r="AH347" s="31"/>
      <c r="AI347" s="31"/>
      <c r="AJ347" s="31"/>
      <c r="AK347" s="31"/>
      <c r="AL347" s="31"/>
      <c r="AM347" s="31"/>
      <c r="AN347" s="32"/>
      <c r="AO347" s="32"/>
      <c r="AP347" s="30"/>
      <c r="AQ347" s="30"/>
      <c r="AR347" s="30"/>
      <c r="AS347" s="92"/>
      <c r="AT347" s="155"/>
      <c r="AU347" s="155"/>
      <c r="AV347" s="106"/>
      <c r="AW347" s="106"/>
      <c r="AX347" s="30"/>
      <c r="AY347" s="107"/>
      <c r="AZ347" s="107"/>
      <c r="BA347" s="32"/>
    </row>
    <row r="348" spans="1:53">
      <c r="A348" s="7"/>
      <c r="B348" s="26" t="str">
        <f t="shared" si="89"/>
        <v/>
      </c>
      <c r="C348" s="42"/>
      <c r="D348" s="64"/>
      <c r="E348" s="69"/>
      <c r="F348" s="85"/>
      <c r="G348" s="60"/>
      <c r="H348" s="31"/>
      <c r="I348" s="42"/>
      <c r="J348" s="42"/>
      <c r="K348" s="42"/>
      <c r="L348" s="36"/>
      <c r="M348" s="41"/>
      <c r="N348" s="31"/>
      <c r="O348" s="31"/>
      <c r="P348" s="33"/>
      <c r="Q348" s="31" t="e">
        <f>LEFT(RIGHT(A348,LEN(A348)-FIND("-",A348)),MIN(SEARCH({"a","b","c","d","e","f","g","h","i","j","k","l","m","n","o","p","q","r","s","t","u","v","w","x","y","z"},RIGHT(A348,LEN(A348)-FIND("-",A348))&amp;"abcdefghijklmnopqrstuvwxyz"))-1)+1-1</f>
        <v>#VALUE!</v>
      </c>
      <c r="R348" s="32" t="e">
        <f t="shared" si="90"/>
        <v>#VALUE!</v>
      </c>
      <c r="S348" s="32" t="s">
        <v>1393</v>
      </c>
      <c r="T348" s="32"/>
      <c r="U348" s="17">
        <f t="shared" ref="U348:U411" si="91">AR348-AQ348</f>
        <v>0</v>
      </c>
      <c r="V348" s="17">
        <f t="shared" ref="V348:V411" si="92">MIN(AR348,AS348)-MAX(AP348,AQ348)</f>
        <v>0</v>
      </c>
      <c r="W348" s="56"/>
      <c r="X348" s="31"/>
      <c r="Y348" s="42"/>
      <c r="Z348" s="31"/>
      <c r="AA348" s="31"/>
      <c r="AB348" s="31"/>
      <c r="AC348" s="31"/>
      <c r="AD348" s="31"/>
      <c r="AE348" s="31"/>
      <c r="AF348" s="31"/>
      <c r="AG348" s="31"/>
      <c r="AH348" s="31"/>
      <c r="AI348" s="31"/>
      <c r="AJ348" s="31"/>
      <c r="AK348" s="31"/>
      <c r="AL348" s="31"/>
      <c r="AM348" s="31"/>
      <c r="AN348" s="32"/>
      <c r="AO348" s="32"/>
      <c r="AP348" s="30"/>
      <c r="AQ348" s="30"/>
      <c r="AR348" s="30"/>
      <c r="AS348" s="92"/>
      <c r="AT348" s="155"/>
      <c r="AU348" s="155"/>
      <c r="AV348" s="106"/>
      <c r="AW348" s="106"/>
      <c r="AX348" s="30"/>
      <c r="AY348" s="107"/>
      <c r="AZ348" s="107"/>
      <c r="BA348" s="32"/>
    </row>
    <row r="349" spans="1:53">
      <c r="A349" s="7"/>
      <c r="B349" s="26" t="str">
        <f t="shared" si="89"/>
        <v/>
      </c>
      <c r="C349" s="42"/>
      <c r="D349" s="64"/>
      <c r="E349" s="69"/>
      <c r="F349" s="85"/>
      <c r="G349" s="60"/>
      <c r="H349" s="31"/>
      <c r="I349" s="42"/>
      <c r="J349" s="42"/>
      <c r="K349" s="42"/>
      <c r="L349" s="36"/>
      <c r="M349" s="41"/>
      <c r="N349" s="31"/>
      <c r="O349" s="31"/>
      <c r="P349" s="33"/>
      <c r="Q349" s="31" t="e">
        <f>LEFT(RIGHT(A349,LEN(A349)-FIND("-",A349)),MIN(SEARCH({"a","b","c","d","e","f","g","h","i","j","k","l","m","n","o","p","q","r","s","t","u","v","w","x","y","z"},RIGHT(A349,LEN(A349)-FIND("-",A349))&amp;"abcdefghijklmnopqrstuvwxyz"))-1)+1-1</f>
        <v>#VALUE!</v>
      </c>
      <c r="R349" s="32" t="e">
        <f t="shared" si="90"/>
        <v>#VALUE!</v>
      </c>
      <c r="S349" s="32" t="s">
        <v>1393</v>
      </c>
      <c r="T349" s="32"/>
      <c r="U349" s="17">
        <f t="shared" si="91"/>
        <v>0</v>
      </c>
      <c r="V349" s="17">
        <f t="shared" si="92"/>
        <v>0</v>
      </c>
      <c r="W349" s="56"/>
      <c r="X349" s="31"/>
      <c r="Y349" s="42"/>
      <c r="Z349" s="31"/>
      <c r="AA349" s="31"/>
      <c r="AB349" s="31"/>
      <c r="AC349" s="31"/>
      <c r="AD349" s="31"/>
      <c r="AE349" s="31"/>
      <c r="AF349" s="31"/>
      <c r="AG349" s="31"/>
      <c r="AH349" s="31"/>
      <c r="AI349" s="31"/>
      <c r="AJ349" s="31"/>
      <c r="AK349" s="31"/>
      <c r="AL349" s="31"/>
      <c r="AM349" s="31"/>
      <c r="AN349" s="32"/>
      <c r="AO349" s="32"/>
      <c r="AP349" s="30"/>
      <c r="AQ349" s="30"/>
      <c r="AR349" s="30"/>
      <c r="AS349" s="92"/>
      <c r="AT349" s="155"/>
      <c r="AU349" s="155"/>
      <c r="AV349" s="106"/>
      <c r="AW349" s="106"/>
      <c r="AX349" s="30"/>
      <c r="AY349" s="107"/>
      <c r="AZ349" s="107"/>
      <c r="BA349" s="32"/>
    </row>
    <row r="350" spans="1:53">
      <c r="A350" s="7"/>
      <c r="B350" s="26" t="str">
        <f t="shared" si="89"/>
        <v/>
      </c>
      <c r="C350" s="42"/>
      <c r="D350" s="64"/>
      <c r="E350" s="69"/>
      <c r="F350" s="85"/>
      <c r="G350" s="60"/>
      <c r="H350" s="31"/>
      <c r="I350" s="42"/>
      <c r="J350" s="42"/>
      <c r="K350" s="42"/>
      <c r="L350" s="36"/>
      <c r="M350" s="41"/>
      <c r="N350" s="31"/>
      <c r="O350" s="31"/>
      <c r="P350" s="33"/>
      <c r="Q350" s="31" t="e">
        <f>LEFT(RIGHT(A350,LEN(A350)-FIND("-",A350)),MIN(SEARCH({"a","b","c","d","e","f","g","h","i","j","k","l","m","n","o","p","q","r","s","t","u","v","w","x","y","z"},RIGHT(A350,LEN(A350)-FIND("-",A350))&amp;"abcdefghijklmnopqrstuvwxyz"))-1)+1-1</f>
        <v>#VALUE!</v>
      </c>
      <c r="R350" s="32" t="e">
        <f t="shared" si="90"/>
        <v>#VALUE!</v>
      </c>
      <c r="S350" s="32" t="s">
        <v>1393</v>
      </c>
      <c r="T350" s="32"/>
      <c r="U350" s="17">
        <f t="shared" si="91"/>
        <v>0</v>
      </c>
      <c r="V350" s="17">
        <f t="shared" si="92"/>
        <v>0</v>
      </c>
      <c r="W350" s="56"/>
      <c r="X350" s="31"/>
      <c r="Y350" s="42"/>
      <c r="Z350" s="31"/>
      <c r="AA350" s="31"/>
      <c r="AB350" s="31"/>
      <c r="AC350" s="31"/>
      <c r="AD350" s="31"/>
      <c r="AE350" s="31"/>
      <c r="AF350" s="31"/>
      <c r="AG350" s="31"/>
      <c r="AH350" s="31"/>
      <c r="AI350" s="31"/>
      <c r="AJ350" s="31"/>
      <c r="AK350" s="31"/>
      <c r="AL350" s="31"/>
      <c r="AM350" s="31"/>
      <c r="AN350" s="32"/>
      <c r="AO350" s="32"/>
      <c r="AP350" s="30"/>
      <c r="AQ350" s="30"/>
      <c r="AR350" s="30"/>
      <c r="AS350" s="92"/>
      <c r="AT350" s="155"/>
      <c r="AU350" s="155"/>
      <c r="AV350" s="106"/>
      <c r="AW350" s="106"/>
      <c r="AX350" s="30"/>
      <c r="AY350" s="107"/>
      <c r="AZ350" s="107"/>
      <c r="BA350" s="32"/>
    </row>
    <row r="351" spans="1:53">
      <c r="A351" s="7"/>
      <c r="B351" s="26" t="str">
        <f t="shared" si="89"/>
        <v/>
      </c>
      <c r="C351" s="42"/>
      <c r="D351" s="64"/>
      <c r="E351" s="69"/>
      <c r="F351" s="85"/>
      <c r="G351" s="60"/>
      <c r="H351" s="31"/>
      <c r="I351" s="42"/>
      <c r="J351" s="42"/>
      <c r="K351" s="42"/>
      <c r="L351" s="36"/>
      <c r="M351" s="41"/>
      <c r="N351" s="31"/>
      <c r="O351" s="31"/>
      <c r="P351" s="33"/>
      <c r="Q351" s="31" t="e">
        <f>LEFT(RIGHT(A351,LEN(A351)-FIND("-",A351)),MIN(SEARCH({"a","b","c","d","e","f","g","h","i","j","k","l","m","n","o","p","q","r","s","t","u","v","w","x","y","z"},RIGHT(A351,LEN(A351)-FIND("-",A351))&amp;"abcdefghijklmnopqrstuvwxyz"))-1)+1-1</f>
        <v>#VALUE!</v>
      </c>
      <c r="R351" s="32" t="e">
        <f t="shared" si="90"/>
        <v>#VALUE!</v>
      </c>
      <c r="S351" s="32" t="s">
        <v>1393</v>
      </c>
      <c r="T351" s="32"/>
      <c r="U351" s="17">
        <f t="shared" si="91"/>
        <v>0</v>
      </c>
      <c r="V351" s="17">
        <f t="shared" si="92"/>
        <v>0</v>
      </c>
      <c r="W351" s="56"/>
      <c r="X351" s="31"/>
      <c r="Y351" s="42"/>
      <c r="Z351" s="31"/>
      <c r="AA351" s="31"/>
      <c r="AB351" s="31"/>
      <c r="AC351" s="31"/>
      <c r="AD351" s="31"/>
      <c r="AE351" s="31"/>
      <c r="AF351" s="31"/>
      <c r="AG351" s="31"/>
      <c r="AH351" s="31"/>
      <c r="AI351" s="31"/>
      <c r="AJ351" s="31"/>
      <c r="AK351" s="31"/>
      <c r="AL351" s="31"/>
      <c r="AM351" s="31"/>
      <c r="AN351" s="32"/>
      <c r="AO351" s="32"/>
      <c r="AP351" s="30"/>
      <c r="AQ351" s="30"/>
      <c r="AR351" s="30"/>
      <c r="AS351" s="92"/>
      <c r="AT351" s="155"/>
      <c r="AU351" s="155"/>
      <c r="AV351" s="106"/>
      <c r="AW351" s="106"/>
      <c r="AX351" s="30"/>
      <c r="AY351" s="107"/>
      <c r="AZ351" s="107"/>
      <c r="BA351" s="32"/>
    </row>
    <row r="352" spans="1:53">
      <c r="A352" s="7"/>
      <c r="B352" s="26" t="str">
        <f t="shared" si="89"/>
        <v/>
      </c>
      <c r="C352" s="42"/>
      <c r="D352" s="64"/>
      <c r="E352" s="69"/>
      <c r="F352" s="85"/>
      <c r="G352" s="60"/>
      <c r="H352" s="31"/>
      <c r="I352" s="42"/>
      <c r="J352" s="42"/>
      <c r="K352" s="42"/>
      <c r="L352" s="36"/>
      <c r="M352" s="41"/>
      <c r="N352" s="31"/>
      <c r="O352" s="31"/>
      <c r="P352" s="33"/>
      <c r="Q352" s="31" t="e">
        <f>LEFT(RIGHT(A352,LEN(A352)-FIND("-",A352)),MIN(SEARCH({"a","b","c","d","e","f","g","h","i","j","k","l","m","n","o","p","q","r","s","t","u","v","w","x","y","z"},RIGHT(A352,LEN(A352)-FIND("-",A352))&amp;"abcdefghijklmnopqrstuvwxyz"))-1)+1-1</f>
        <v>#VALUE!</v>
      </c>
      <c r="R352" s="32" t="e">
        <f t="shared" si="90"/>
        <v>#VALUE!</v>
      </c>
      <c r="S352" s="32" t="s">
        <v>1393</v>
      </c>
      <c r="T352" s="32"/>
      <c r="U352" s="17">
        <f t="shared" si="91"/>
        <v>0</v>
      </c>
      <c r="V352" s="17">
        <f t="shared" si="92"/>
        <v>0</v>
      </c>
      <c r="W352" s="56"/>
      <c r="X352" s="31"/>
      <c r="Y352" s="42"/>
      <c r="Z352" s="31"/>
      <c r="AA352" s="31"/>
      <c r="AB352" s="31"/>
      <c r="AC352" s="31"/>
      <c r="AD352" s="31"/>
      <c r="AE352" s="31"/>
      <c r="AF352" s="31"/>
      <c r="AG352" s="31"/>
      <c r="AH352" s="31"/>
      <c r="AI352" s="31"/>
      <c r="AJ352" s="31"/>
      <c r="AK352" s="31"/>
      <c r="AL352" s="31"/>
      <c r="AM352" s="31"/>
      <c r="AN352" s="32"/>
      <c r="AO352" s="32"/>
      <c r="AP352" s="30"/>
      <c r="AQ352" s="30"/>
      <c r="AR352" s="30"/>
      <c r="AS352" s="92"/>
      <c r="AT352" s="155"/>
      <c r="AU352" s="155"/>
      <c r="AV352" s="106"/>
      <c r="AW352" s="106"/>
      <c r="AX352" s="30"/>
      <c r="AY352" s="107"/>
      <c r="AZ352" s="107"/>
      <c r="BA352" s="32"/>
    </row>
    <row r="353" spans="1:53">
      <c r="A353" s="7"/>
      <c r="B353" s="26" t="str">
        <f t="shared" si="89"/>
        <v/>
      </c>
      <c r="C353" s="42"/>
      <c r="D353" s="64"/>
      <c r="E353" s="69"/>
      <c r="F353" s="85"/>
      <c r="G353" s="60"/>
      <c r="H353" s="31"/>
      <c r="I353" s="42"/>
      <c r="J353" s="42"/>
      <c r="K353" s="42"/>
      <c r="L353" s="36"/>
      <c r="M353" s="41"/>
      <c r="N353" s="31"/>
      <c r="O353" s="31"/>
      <c r="P353" s="33"/>
      <c r="Q353" s="31" t="e">
        <f>LEFT(RIGHT(A353,LEN(A353)-FIND("-",A353)),MIN(SEARCH({"a","b","c","d","e","f","g","h","i","j","k","l","m","n","o","p","q","r","s","t","u","v","w","x","y","z"},RIGHT(A353,LEN(A353)-FIND("-",A353))&amp;"abcdefghijklmnopqrstuvwxyz"))-1)+1-1</f>
        <v>#VALUE!</v>
      </c>
      <c r="R353" s="32" t="e">
        <f t="shared" si="90"/>
        <v>#VALUE!</v>
      </c>
      <c r="S353" s="32" t="s">
        <v>1393</v>
      </c>
      <c r="T353" s="32"/>
      <c r="U353" s="17">
        <f t="shared" si="91"/>
        <v>0</v>
      </c>
      <c r="V353" s="17">
        <f t="shared" si="92"/>
        <v>0</v>
      </c>
      <c r="W353" s="56"/>
      <c r="X353" s="31"/>
      <c r="Y353" s="42"/>
      <c r="Z353" s="31"/>
      <c r="AA353" s="31"/>
      <c r="AB353" s="31"/>
      <c r="AC353" s="31"/>
      <c r="AD353" s="31"/>
      <c r="AE353" s="31"/>
      <c r="AF353" s="31"/>
      <c r="AG353" s="31"/>
      <c r="AH353" s="31"/>
      <c r="AI353" s="31"/>
      <c r="AJ353" s="31"/>
      <c r="AK353" s="31"/>
      <c r="AL353" s="31"/>
      <c r="AM353" s="31"/>
      <c r="AN353" s="32"/>
      <c r="AO353" s="32"/>
      <c r="AP353" s="30"/>
      <c r="AQ353" s="30"/>
      <c r="AR353" s="30"/>
      <c r="AS353" s="92"/>
      <c r="AT353" s="155"/>
      <c r="AU353" s="155"/>
      <c r="AV353" s="106"/>
      <c r="AW353" s="106"/>
      <c r="AX353" s="30"/>
      <c r="AY353" s="107"/>
      <c r="AZ353" s="107"/>
      <c r="BA353" s="32"/>
    </row>
    <row r="354" spans="1:53">
      <c r="A354" s="7"/>
      <c r="B354" s="26" t="str">
        <f t="shared" si="89"/>
        <v/>
      </c>
      <c r="C354" s="42"/>
      <c r="D354" s="64"/>
      <c r="E354" s="69"/>
      <c r="F354" s="85"/>
      <c r="G354" s="60"/>
      <c r="H354" s="31"/>
      <c r="I354" s="42"/>
      <c r="J354" s="42"/>
      <c r="K354" s="42"/>
      <c r="L354" s="36"/>
      <c r="M354" s="41"/>
      <c r="N354" s="31"/>
      <c r="O354" s="31"/>
      <c r="P354" s="33"/>
      <c r="Q354" s="31" t="e">
        <f>LEFT(RIGHT(A354,LEN(A354)-FIND("-",A354)),MIN(SEARCH({"a","b","c","d","e","f","g","h","i","j","k","l","m","n","o","p","q","r","s","t","u","v","w","x","y","z"},RIGHT(A354,LEN(A354)-FIND("-",A354))&amp;"abcdefghijklmnopqrstuvwxyz"))-1)+1-1</f>
        <v>#VALUE!</v>
      </c>
      <c r="R354" s="32" t="e">
        <f t="shared" si="90"/>
        <v>#VALUE!</v>
      </c>
      <c r="S354" s="32" t="s">
        <v>1393</v>
      </c>
      <c r="T354" s="32"/>
      <c r="U354" s="17">
        <f t="shared" si="91"/>
        <v>0</v>
      </c>
      <c r="V354" s="17">
        <f t="shared" si="92"/>
        <v>0</v>
      </c>
      <c r="W354" s="56"/>
      <c r="X354" s="31"/>
      <c r="Y354" s="42"/>
      <c r="Z354" s="31"/>
      <c r="AA354" s="31"/>
      <c r="AB354" s="31"/>
      <c r="AC354" s="31"/>
      <c r="AD354" s="31"/>
      <c r="AE354" s="31"/>
      <c r="AF354" s="31"/>
      <c r="AG354" s="31"/>
      <c r="AH354" s="31"/>
      <c r="AI354" s="31"/>
      <c r="AJ354" s="31"/>
      <c r="AK354" s="31"/>
      <c r="AL354" s="31"/>
      <c r="AM354" s="31"/>
      <c r="AN354" s="32"/>
      <c r="AO354" s="32"/>
      <c r="AP354" s="30"/>
      <c r="AQ354" s="30"/>
      <c r="AR354" s="30"/>
      <c r="AS354" s="92"/>
      <c r="AT354" s="155"/>
      <c r="AU354" s="155"/>
      <c r="AV354" s="106"/>
      <c r="AW354" s="106"/>
      <c r="AX354" s="30"/>
      <c r="AY354" s="107"/>
      <c r="AZ354" s="107"/>
      <c r="BA354" s="32"/>
    </row>
    <row r="355" spans="1:53">
      <c r="A355" s="7"/>
      <c r="B355" s="26" t="str">
        <f t="shared" ref="B355:B386" si="93">LEFT(A355,2)</f>
        <v/>
      </c>
      <c r="C355" s="42"/>
      <c r="D355" s="64"/>
      <c r="E355" s="69"/>
      <c r="F355" s="85"/>
      <c r="G355" s="60"/>
      <c r="H355" s="31"/>
      <c r="I355" s="42"/>
      <c r="J355" s="42"/>
      <c r="K355" s="42"/>
      <c r="L355" s="36"/>
      <c r="M355" s="41"/>
      <c r="N355" s="31"/>
      <c r="O355" s="31"/>
      <c r="P355" s="33"/>
      <c r="Q355" s="31" t="e">
        <f>LEFT(RIGHT(A355,LEN(A355)-FIND("-",A355)),MIN(SEARCH({"a","b","c","d","e","f","g","h","i","j","k","l","m","n","o","p","q","r","s","t","u","v","w","x","y","z"},RIGHT(A355,LEN(A355)-FIND("-",A355))&amp;"abcdefghijklmnopqrstuvwxyz"))-1)+1-1</f>
        <v>#VALUE!</v>
      </c>
      <c r="R355" s="32" t="e">
        <f t="shared" ref="R355:R386" si="94">IF(OR(AND(Q355+1&gt;40,Q355+1&lt;=50),Q355&gt;51),"Wireless","")</f>
        <v>#VALUE!</v>
      </c>
      <c r="S355" s="32" t="s">
        <v>1393</v>
      </c>
      <c r="T355" s="32"/>
      <c r="U355" s="17">
        <f t="shared" si="91"/>
        <v>0</v>
      </c>
      <c r="V355" s="17">
        <f t="shared" si="92"/>
        <v>0</v>
      </c>
      <c r="W355" s="56"/>
      <c r="X355" s="31"/>
      <c r="Y355" s="42"/>
      <c r="Z355" s="31"/>
      <c r="AA355" s="31"/>
      <c r="AB355" s="31"/>
      <c r="AC355" s="31"/>
      <c r="AD355" s="31"/>
      <c r="AE355" s="31"/>
      <c r="AF355" s="31"/>
      <c r="AG355" s="31"/>
      <c r="AH355" s="31"/>
      <c r="AI355" s="31"/>
      <c r="AJ355" s="31"/>
      <c r="AK355" s="31"/>
      <c r="AL355" s="31"/>
      <c r="AM355" s="31"/>
      <c r="AN355" s="32"/>
      <c r="AO355" s="32"/>
      <c r="AP355" s="30"/>
      <c r="AQ355" s="30"/>
      <c r="AR355" s="30"/>
      <c r="AS355" s="92"/>
      <c r="AT355" s="155"/>
      <c r="AU355" s="155"/>
      <c r="AV355" s="106"/>
      <c r="AW355" s="106"/>
      <c r="AX355" s="30"/>
      <c r="AY355" s="107"/>
      <c r="AZ355" s="107"/>
      <c r="BA355" s="32"/>
    </row>
    <row r="356" spans="1:53">
      <c r="A356" s="7"/>
      <c r="B356" s="26" t="str">
        <f t="shared" si="93"/>
        <v/>
      </c>
      <c r="C356" s="42"/>
      <c r="D356" s="64"/>
      <c r="E356" s="69"/>
      <c r="F356" s="85"/>
      <c r="G356" s="60"/>
      <c r="H356" s="31"/>
      <c r="I356" s="42"/>
      <c r="J356" s="42"/>
      <c r="K356" s="42"/>
      <c r="L356" s="36"/>
      <c r="M356" s="41"/>
      <c r="N356" s="31"/>
      <c r="O356" s="31"/>
      <c r="P356" s="33"/>
      <c r="Q356" s="31" t="e">
        <f>LEFT(RIGHT(A356,LEN(A356)-FIND("-",A356)),MIN(SEARCH({"a","b","c","d","e","f","g","h","i","j","k","l","m","n","o","p","q","r","s","t","u","v","w","x","y","z"},RIGHT(A356,LEN(A356)-FIND("-",A356))&amp;"abcdefghijklmnopqrstuvwxyz"))-1)+1-1</f>
        <v>#VALUE!</v>
      </c>
      <c r="R356" s="32" t="e">
        <f t="shared" si="94"/>
        <v>#VALUE!</v>
      </c>
      <c r="S356" s="32" t="s">
        <v>1393</v>
      </c>
      <c r="T356" s="32"/>
      <c r="U356" s="17">
        <f t="shared" si="91"/>
        <v>0</v>
      </c>
      <c r="V356" s="17">
        <f t="shared" si="92"/>
        <v>0</v>
      </c>
      <c r="W356" s="56"/>
      <c r="X356" s="31"/>
      <c r="Y356" s="42"/>
      <c r="Z356" s="31"/>
      <c r="AA356" s="31"/>
      <c r="AB356" s="31"/>
      <c r="AC356" s="31"/>
      <c r="AD356" s="31"/>
      <c r="AE356" s="31"/>
      <c r="AF356" s="31"/>
      <c r="AG356" s="31"/>
      <c r="AH356" s="31"/>
      <c r="AI356" s="31"/>
      <c r="AJ356" s="31"/>
      <c r="AK356" s="31"/>
      <c r="AL356" s="31"/>
      <c r="AM356" s="31"/>
      <c r="AN356" s="32"/>
      <c r="AO356" s="32"/>
      <c r="AP356" s="30"/>
      <c r="AQ356" s="30"/>
      <c r="AR356" s="30"/>
      <c r="AS356" s="92"/>
      <c r="AT356" s="155"/>
      <c r="AU356" s="155"/>
      <c r="AV356" s="106"/>
      <c r="AW356" s="106"/>
      <c r="AX356" s="30"/>
      <c r="AY356" s="107"/>
      <c r="AZ356" s="107"/>
      <c r="BA356" s="32"/>
    </row>
    <row r="357" spans="1:53">
      <c r="A357" s="7"/>
      <c r="B357" s="26" t="str">
        <f t="shared" si="93"/>
        <v/>
      </c>
      <c r="C357" s="42"/>
      <c r="D357" s="64"/>
      <c r="E357" s="69"/>
      <c r="F357" s="85"/>
      <c r="G357" s="60"/>
      <c r="H357" s="31"/>
      <c r="I357" s="42"/>
      <c r="J357" s="42"/>
      <c r="K357" s="42"/>
      <c r="L357" s="36"/>
      <c r="M357" s="41"/>
      <c r="N357" s="31"/>
      <c r="O357" s="31"/>
      <c r="P357" s="33"/>
      <c r="Q357" s="31" t="e">
        <f>LEFT(RIGHT(A357,LEN(A357)-FIND("-",A357)),MIN(SEARCH({"a","b","c","d","e","f","g","h","i","j","k","l","m","n","o","p","q","r","s","t","u","v","w","x","y","z"},RIGHT(A357,LEN(A357)-FIND("-",A357))&amp;"abcdefghijklmnopqrstuvwxyz"))-1)+1-1</f>
        <v>#VALUE!</v>
      </c>
      <c r="R357" s="32" t="e">
        <f t="shared" si="94"/>
        <v>#VALUE!</v>
      </c>
      <c r="S357" s="32" t="s">
        <v>1393</v>
      </c>
      <c r="T357" s="32"/>
      <c r="U357" s="17">
        <f t="shared" si="91"/>
        <v>0</v>
      </c>
      <c r="V357" s="17">
        <f t="shared" si="92"/>
        <v>0</v>
      </c>
      <c r="W357" s="56"/>
      <c r="X357" s="31"/>
      <c r="Y357" s="42"/>
      <c r="Z357" s="31"/>
      <c r="AA357" s="31"/>
      <c r="AB357" s="31"/>
      <c r="AC357" s="31"/>
      <c r="AD357" s="31"/>
      <c r="AE357" s="31"/>
      <c r="AF357" s="31"/>
      <c r="AG357" s="31"/>
      <c r="AH357" s="31"/>
      <c r="AI357" s="31"/>
      <c r="AJ357" s="31"/>
      <c r="AK357" s="31"/>
      <c r="AL357" s="31"/>
      <c r="AM357" s="31"/>
      <c r="AN357" s="32"/>
      <c r="AO357" s="32"/>
      <c r="AP357" s="30"/>
      <c r="AQ357" s="30"/>
      <c r="AR357" s="30"/>
      <c r="AS357" s="92"/>
      <c r="AT357" s="155"/>
      <c r="AU357" s="155"/>
      <c r="AV357" s="106"/>
      <c r="AW357" s="106"/>
      <c r="AX357" s="30"/>
      <c r="AY357" s="107"/>
      <c r="AZ357" s="107"/>
      <c r="BA357" s="32"/>
    </row>
    <row r="358" spans="1:53">
      <c r="A358" s="7"/>
      <c r="B358" s="26" t="str">
        <f t="shared" si="93"/>
        <v/>
      </c>
      <c r="C358" s="42"/>
      <c r="D358" s="64"/>
      <c r="E358" s="69"/>
      <c r="F358" s="85"/>
      <c r="G358" s="60"/>
      <c r="H358" s="31"/>
      <c r="I358" s="42"/>
      <c r="J358" s="42"/>
      <c r="K358" s="42"/>
      <c r="L358" s="36"/>
      <c r="M358" s="41"/>
      <c r="N358" s="31"/>
      <c r="O358" s="31"/>
      <c r="P358" s="33"/>
      <c r="Q358" s="31" t="e">
        <f>LEFT(RIGHT(A358,LEN(A358)-FIND("-",A358)),MIN(SEARCH({"a","b","c","d","e","f","g","h","i","j","k","l","m","n","o","p","q","r","s","t","u","v","w","x","y","z"},RIGHT(A358,LEN(A358)-FIND("-",A358))&amp;"abcdefghijklmnopqrstuvwxyz"))-1)+1-1</f>
        <v>#VALUE!</v>
      </c>
      <c r="R358" s="32" t="e">
        <f t="shared" si="94"/>
        <v>#VALUE!</v>
      </c>
      <c r="S358" s="32" t="s">
        <v>1393</v>
      </c>
      <c r="T358" s="32"/>
      <c r="U358" s="17">
        <f t="shared" si="91"/>
        <v>0</v>
      </c>
      <c r="V358" s="17">
        <f t="shared" si="92"/>
        <v>0</v>
      </c>
      <c r="W358" s="56"/>
      <c r="X358" s="31"/>
      <c r="Y358" s="42"/>
      <c r="Z358" s="31"/>
      <c r="AA358" s="31"/>
      <c r="AB358" s="31"/>
      <c r="AC358" s="31"/>
      <c r="AD358" s="31"/>
      <c r="AE358" s="31"/>
      <c r="AF358" s="31"/>
      <c r="AG358" s="31"/>
      <c r="AH358" s="31"/>
      <c r="AI358" s="31"/>
      <c r="AJ358" s="31"/>
      <c r="AK358" s="31"/>
      <c r="AL358" s="31"/>
      <c r="AM358" s="31"/>
      <c r="AN358" s="32"/>
      <c r="AO358" s="32"/>
      <c r="AP358" s="30"/>
      <c r="AQ358" s="30"/>
      <c r="AR358" s="30"/>
      <c r="AS358" s="92"/>
      <c r="AT358" s="155"/>
      <c r="AU358" s="155"/>
      <c r="AV358" s="106"/>
      <c r="AW358" s="106"/>
      <c r="AX358" s="30"/>
      <c r="AY358" s="107"/>
      <c r="AZ358" s="107"/>
      <c r="BA358" s="32"/>
    </row>
    <row r="359" spans="1:53">
      <c r="A359" s="7"/>
      <c r="B359" s="26" t="str">
        <f t="shared" si="93"/>
        <v/>
      </c>
      <c r="C359" s="42"/>
      <c r="D359" s="64"/>
      <c r="E359" s="69"/>
      <c r="F359" s="85"/>
      <c r="G359" s="60"/>
      <c r="H359" s="31"/>
      <c r="I359" s="42"/>
      <c r="J359" s="42"/>
      <c r="K359" s="42"/>
      <c r="L359" s="36"/>
      <c r="M359" s="41"/>
      <c r="N359" s="31"/>
      <c r="O359" s="31"/>
      <c r="P359" s="33"/>
      <c r="Q359" s="31" t="e">
        <f>LEFT(RIGHT(A359,LEN(A359)-FIND("-",A359)),MIN(SEARCH({"a","b","c","d","e","f","g","h","i","j","k","l","m","n","o","p","q","r","s","t","u","v","w","x","y","z"},RIGHT(A359,LEN(A359)-FIND("-",A359))&amp;"abcdefghijklmnopqrstuvwxyz"))-1)+1-1</f>
        <v>#VALUE!</v>
      </c>
      <c r="R359" s="32" t="e">
        <f t="shared" si="94"/>
        <v>#VALUE!</v>
      </c>
      <c r="S359" s="32" t="s">
        <v>1393</v>
      </c>
      <c r="T359" s="32"/>
      <c r="U359" s="17">
        <f t="shared" si="91"/>
        <v>0</v>
      </c>
      <c r="V359" s="17">
        <f t="shared" si="92"/>
        <v>0</v>
      </c>
      <c r="W359" s="56"/>
      <c r="X359" s="31"/>
      <c r="Y359" s="42"/>
      <c r="Z359" s="31"/>
      <c r="AA359" s="31"/>
      <c r="AB359" s="31"/>
      <c r="AC359" s="31"/>
      <c r="AD359" s="31"/>
      <c r="AE359" s="31"/>
      <c r="AF359" s="31"/>
      <c r="AG359" s="31"/>
      <c r="AH359" s="31"/>
      <c r="AI359" s="31"/>
      <c r="AJ359" s="31"/>
      <c r="AK359" s="31"/>
      <c r="AL359" s="31"/>
      <c r="AM359" s="31"/>
      <c r="AN359" s="32"/>
      <c r="AO359" s="32"/>
      <c r="AP359" s="30"/>
      <c r="AQ359" s="30"/>
      <c r="AR359" s="30"/>
      <c r="AS359" s="92"/>
      <c r="AT359" s="155"/>
      <c r="AU359" s="155"/>
      <c r="AV359" s="106"/>
      <c r="AW359" s="106"/>
      <c r="AX359" s="30"/>
      <c r="AY359" s="107"/>
      <c r="AZ359" s="107"/>
      <c r="BA359" s="32"/>
    </row>
    <row r="360" spans="1:53">
      <c r="A360" s="7"/>
      <c r="B360" s="26" t="str">
        <f t="shared" si="93"/>
        <v/>
      </c>
      <c r="C360" s="42"/>
      <c r="D360" s="64"/>
      <c r="E360" s="69"/>
      <c r="F360" s="85"/>
      <c r="G360" s="60"/>
      <c r="H360" s="31"/>
      <c r="I360" s="42"/>
      <c r="J360" s="42"/>
      <c r="K360" s="42"/>
      <c r="L360" s="36"/>
      <c r="M360" s="41"/>
      <c r="N360" s="31"/>
      <c r="O360" s="31"/>
      <c r="P360" s="33"/>
      <c r="Q360" s="31" t="e">
        <f>LEFT(RIGHT(A360,LEN(A360)-FIND("-",A360)),MIN(SEARCH({"a","b","c","d","e","f","g","h","i","j","k","l","m","n","o","p","q","r","s","t","u","v","w","x","y","z"},RIGHT(A360,LEN(A360)-FIND("-",A360))&amp;"abcdefghijklmnopqrstuvwxyz"))-1)+1-1</f>
        <v>#VALUE!</v>
      </c>
      <c r="R360" s="32" t="e">
        <f t="shared" si="94"/>
        <v>#VALUE!</v>
      </c>
      <c r="S360" s="32" t="s">
        <v>1393</v>
      </c>
      <c r="T360" s="32"/>
      <c r="U360" s="17">
        <f t="shared" si="91"/>
        <v>0</v>
      </c>
      <c r="V360" s="17">
        <f t="shared" si="92"/>
        <v>0</v>
      </c>
      <c r="W360" s="56"/>
      <c r="X360" s="31"/>
      <c r="Y360" s="42"/>
      <c r="Z360" s="31"/>
      <c r="AA360" s="31"/>
      <c r="AB360" s="31"/>
      <c r="AC360" s="31"/>
      <c r="AD360" s="31"/>
      <c r="AE360" s="31"/>
      <c r="AF360" s="31"/>
      <c r="AG360" s="31"/>
      <c r="AH360" s="31"/>
      <c r="AI360" s="31"/>
      <c r="AJ360" s="31"/>
      <c r="AK360" s="31"/>
      <c r="AL360" s="31"/>
      <c r="AM360" s="31"/>
      <c r="AN360" s="32"/>
      <c r="AO360" s="32"/>
      <c r="AP360" s="30"/>
      <c r="AQ360" s="30"/>
      <c r="AR360" s="30"/>
      <c r="AS360" s="92"/>
      <c r="AT360" s="155"/>
      <c r="AU360" s="155"/>
      <c r="AV360" s="106"/>
      <c r="AW360" s="106"/>
      <c r="AX360" s="30"/>
      <c r="AY360" s="107"/>
      <c r="AZ360" s="107"/>
      <c r="BA360" s="32"/>
    </row>
    <row r="361" spans="1:53">
      <c r="A361" s="7"/>
      <c r="B361" s="26" t="str">
        <f t="shared" si="93"/>
        <v/>
      </c>
      <c r="C361" s="42"/>
      <c r="D361" s="64"/>
      <c r="E361" s="69"/>
      <c r="F361" s="85"/>
      <c r="G361" s="60"/>
      <c r="H361" s="31"/>
      <c r="I361" s="42"/>
      <c r="J361" s="42"/>
      <c r="K361" s="42"/>
      <c r="L361" s="36"/>
      <c r="M361" s="41"/>
      <c r="N361" s="31"/>
      <c r="O361" s="31"/>
      <c r="P361" s="33"/>
      <c r="Q361" s="31" t="e">
        <f>LEFT(RIGHT(A361,LEN(A361)-FIND("-",A361)),MIN(SEARCH({"a","b","c","d","e","f","g","h","i","j","k","l","m","n","o","p","q","r","s","t","u","v","w","x","y","z"},RIGHT(A361,LEN(A361)-FIND("-",A361))&amp;"abcdefghijklmnopqrstuvwxyz"))-1)+1-1</f>
        <v>#VALUE!</v>
      </c>
      <c r="R361" s="32" t="e">
        <f t="shared" si="94"/>
        <v>#VALUE!</v>
      </c>
      <c r="S361" s="32" t="s">
        <v>1393</v>
      </c>
      <c r="T361" s="32"/>
      <c r="U361" s="17">
        <f t="shared" si="91"/>
        <v>0</v>
      </c>
      <c r="V361" s="17">
        <f t="shared" si="92"/>
        <v>0</v>
      </c>
      <c r="W361" s="56"/>
      <c r="X361" s="31"/>
      <c r="Y361" s="42"/>
      <c r="Z361" s="31"/>
      <c r="AA361" s="31"/>
      <c r="AB361" s="31"/>
      <c r="AC361" s="31"/>
      <c r="AD361" s="31"/>
      <c r="AE361" s="31"/>
      <c r="AF361" s="31"/>
      <c r="AG361" s="31"/>
      <c r="AH361" s="31"/>
      <c r="AI361" s="31"/>
      <c r="AJ361" s="31"/>
      <c r="AK361" s="31"/>
      <c r="AL361" s="31"/>
      <c r="AM361" s="31"/>
      <c r="AN361" s="32"/>
      <c r="AO361" s="32"/>
      <c r="AP361" s="30"/>
      <c r="AQ361" s="30"/>
      <c r="AR361" s="30"/>
      <c r="AS361" s="92"/>
      <c r="AT361" s="155"/>
      <c r="AU361" s="155"/>
      <c r="AV361" s="106"/>
      <c r="AW361" s="106"/>
      <c r="AX361" s="30"/>
      <c r="AY361" s="107"/>
      <c r="AZ361" s="107"/>
      <c r="BA361" s="32"/>
    </row>
    <row r="362" spans="1:53">
      <c r="A362" s="7"/>
      <c r="B362" s="26" t="str">
        <f t="shared" si="93"/>
        <v/>
      </c>
      <c r="C362" s="42"/>
      <c r="D362" s="64"/>
      <c r="E362" s="69"/>
      <c r="F362" s="85"/>
      <c r="G362" s="60"/>
      <c r="H362" s="31"/>
      <c r="I362" s="42"/>
      <c r="J362" s="42"/>
      <c r="K362" s="42"/>
      <c r="L362" s="36"/>
      <c r="M362" s="41"/>
      <c r="N362" s="31"/>
      <c r="O362" s="31"/>
      <c r="P362" s="33"/>
      <c r="Q362" s="31" t="e">
        <f>LEFT(RIGHT(A362,LEN(A362)-FIND("-",A362)),MIN(SEARCH({"a","b","c","d","e","f","g","h","i","j","k","l","m","n","o","p","q","r","s","t","u","v","w","x","y","z"},RIGHT(A362,LEN(A362)-FIND("-",A362))&amp;"abcdefghijklmnopqrstuvwxyz"))-1)+1-1</f>
        <v>#VALUE!</v>
      </c>
      <c r="R362" s="32" t="e">
        <f t="shared" si="94"/>
        <v>#VALUE!</v>
      </c>
      <c r="S362" s="32" t="s">
        <v>1393</v>
      </c>
      <c r="T362" s="32"/>
      <c r="U362" s="17">
        <f t="shared" si="91"/>
        <v>0</v>
      </c>
      <c r="V362" s="17">
        <f t="shared" si="92"/>
        <v>0</v>
      </c>
      <c r="W362" s="56"/>
      <c r="X362" s="31"/>
      <c r="Y362" s="42"/>
      <c r="Z362" s="31"/>
      <c r="AA362" s="31"/>
      <c r="AB362" s="31"/>
      <c r="AC362" s="31"/>
      <c r="AD362" s="31"/>
      <c r="AE362" s="31"/>
      <c r="AF362" s="31"/>
      <c r="AG362" s="31"/>
      <c r="AH362" s="31"/>
      <c r="AI362" s="31"/>
      <c r="AJ362" s="31"/>
      <c r="AK362" s="31"/>
      <c r="AL362" s="31"/>
      <c r="AM362" s="31"/>
      <c r="AN362" s="32"/>
      <c r="AO362" s="32"/>
      <c r="AP362" s="30"/>
      <c r="AQ362" s="30"/>
      <c r="AR362" s="30"/>
      <c r="AS362" s="92"/>
      <c r="AT362" s="155"/>
      <c r="AU362" s="155"/>
      <c r="AV362" s="106"/>
      <c r="AW362" s="106"/>
      <c r="AX362" s="30"/>
      <c r="AY362" s="107"/>
      <c r="AZ362" s="107"/>
      <c r="BA362" s="32"/>
    </row>
    <row r="363" spans="1:53">
      <c r="A363" s="7"/>
      <c r="B363" s="26" t="str">
        <f t="shared" si="93"/>
        <v/>
      </c>
      <c r="C363" s="42"/>
      <c r="D363" s="64"/>
      <c r="E363" s="69"/>
      <c r="F363" s="85"/>
      <c r="G363" s="60"/>
      <c r="H363" s="31"/>
      <c r="I363" s="42"/>
      <c r="J363" s="42"/>
      <c r="K363" s="42"/>
      <c r="L363" s="36"/>
      <c r="M363" s="41"/>
      <c r="N363" s="31"/>
      <c r="O363" s="31"/>
      <c r="P363" s="33"/>
      <c r="Q363" s="31" t="e">
        <f>LEFT(RIGHT(A363,LEN(A363)-FIND("-",A363)),MIN(SEARCH({"a","b","c","d","e","f","g","h","i","j","k","l","m","n","o","p","q","r","s","t","u","v","w","x","y","z"},RIGHT(A363,LEN(A363)-FIND("-",A363))&amp;"abcdefghijklmnopqrstuvwxyz"))-1)+1-1</f>
        <v>#VALUE!</v>
      </c>
      <c r="R363" s="32" t="e">
        <f t="shared" si="94"/>
        <v>#VALUE!</v>
      </c>
      <c r="S363" s="32" t="s">
        <v>1393</v>
      </c>
      <c r="T363" s="32"/>
      <c r="U363" s="17">
        <f t="shared" si="91"/>
        <v>0</v>
      </c>
      <c r="V363" s="17">
        <f t="shared" si="92"/>
        <v>0</v>
      </c>
      <c r="W363" s="56"/>
      <c r="X363" s="31"/>
      <c r="Y363" s="42"/>
      <c r="Z363" s="31"/>
      <c r="AA363" s="31"/>
      <c r="AB363" s="31"/>
      <c r="AC363" s="31"/>
      <c r="AD363" s="31"/>
      <c r="AE363" s="31"/>
      <c r="AF363" s="31"/>
      <c r="AG363" s="31"/>
      <c r="AH363" s="31"/>
      <c r="AI363" s="31"/>
      <c r="AJ363" s="31"/>
      <c r="AK363" s="31"/>
      <c r="AL363" s="31"/>
      <c r="AM363" s="31"/>
      <c r="AN363" s="32"/>
      <c r="AO363" s="32"/>
      <c r="AP363" s="30"/>
      <c r="AQ363" s="30"/>
      <c r="AR363" s="30"/>
      <c r="AS363" s="92"/>
      <c r="AT363" s="155"/>
      <c r="AU363" s="155"/>
      <c r="AV363" s="106"/>
      <c r="AW363" s="106"/>
      <c r="AX363" s="30"/>
      <c r="AY363" s="107"/>
      <c r="AZ363" s="107"/>
      <c r="BA363" s="32"/>
    </row>
    <row r="364" spans="1:53">
      <c r="A364" s="7"/>
      <c r="B364" s="26" t="str">
        <f t="shared" si="93"/>
        <v/>
      </c>
      <c r="C364" s="42"/>
      <c r="D364" s="64"/>
      <c r="E364" s="69"/>
      <c r="F364" s="85"/>
      <c r="G364" s="60"/>
      <c r="H364" s="31"/>
      <c r="I364" s="42"/>
      <c r="J364" s="42"/>
      <c r="K364" s="42"/>
      <c r="L364" s="36"/>
      <c r="M364" s="41"/>
      <c r="N364" s="31"/>
      <c r="O364" s="31"/>
      <c r="P364" s="33"/>
      <c r="Q364" s="31" t="e">
        <f>LEFT(RIGHT(A364,LEN(A364)-FIND("-",A364)),MIN(SEARCH({"a","b","c","d","e","f","g","h","i","j","k","l","m","n","o","p","q","r","s","t","u","v","w","x","y","z"},RIGHT(A364,LEN(A364)-FIND("-",A364))&amp;"abcdefghijklmnopqrstuvwxyz"))-1)+1-1</f>
        <v>#VALUE!</v>
      </c>
      <c r="R364" s="32" t="e">
        <f t="shared" si="94"/>
        <v>#VALUE!</v>
      </c>
      <c r="S364" s="32" t="s">
        <v>1393</v>
      </c>
      <c r="T364" s="32"/>
      <c r="U364" s="17">
        <f t="shared" si="91"/>
        <v>0</v>
      </c>
      <c r="V364" s="17">
        <f t="shared" si="92"/>
        <v>0</v>
      </c>
      <c r="W364" s="56"/>
      <c r="X364" s="31"/>
      <c r="Y364" s="42"/>
      <c r="Z364" s="31"/>
      <c r="AA364" s="31"/>
      <c r="AB364" s="31"/>
      <c r="AC364" s="31"/>
      <c r="AD364" s="31"/>
      <c r="AE364" s="31"/>
      <c r="AF364" s="31"/>
      <c r="AG364" s="31"/>
      <c r="AH364" s="31"/>
      <c r="AI364" s="31"/>
      <c r="AJ364" s="31"/>
      <c r="AK364" s="31"/>
      <c r="AL364" s="31"/>
      <c r="AM364" s="31"/>
      <c r="AN364" s="32"/>
      <c r="AO364" s="32"/>
      <c r="AP364" s="30"/>
      <c r="AQ364" s="30"/>
      <c r="AR364" s="30"/>
      <c r="AS364" s="92"/>
      <c r="AT364" s="155"/>
      <c r="AU364" s="155"/>
      <c r="AV364" s="106"/>
      <c r="AW364" s="106"/>
      <c r="AX364" s="30"/>
      <c r="AY364" s="107"/>
      <c r="AZ364" s="107"/>
      <c r="BA364" s="32"/>
    </row>
    <row r="365" spans="1:53">
      <c r="A365" s="7"/>
      <c r="B365" s="26" t="str">
        <f t="shared" si="93"/>
        <v/>
      </c>
      <c r="C365" s="42"/>
      <c r="D365" s="64"/>
      <c r="E365" s="69"/>
      <c r="F365" s="85"/>
      <c r="G365" s="60"/>
      <c r="H365" s="31"/>
      <c r="I365" s="42"/>
      <c r="J365" s="42"/>
      <c r="K365" s="42"/>
      <c r="L365" s="36"/>
      <c r="M365" s="41"/>
      <c r="N365" s="31"/>
      <c r="O365" s="31"/>
      <c r="P365" s="33"/>
      <c r="Q365" s="31" t="e">
        <f>LEFT(RIGHT(A365,LEN(A365)-FIND("-",A365)),MIN(SEARCH({"a","b","c","d","e","f","g","h","i","j","k","l","m","n","o","p","q","r","s","t","u","v","w","x","y","z"},RIGHT(A365,LEN(A365)-FIND("-",A365))&amp;"abcdefghijklmnopqrstuvwxyz"))-1)+1-1</f>
        <v>#VALUE!</v>
      </c>
      <c r="R365" s="32" t="e">
        <f t="shared" si="94"/>
        <v>#VALUE!</v>
      </c>
      <c r="S365" s="32" t="s">
        <v>1393</v>
      </c>
      <c r="T365" s="32"/>
      <c r="U365" s="17">
        <f t="shared" si="91"/>
        <v>0</v>
      </c>
      <c r="V365" s="17">
        <f t="shared" si="92"/>
        <v>0</v>
      </c>
      <c r="W365" s="56"/>
      <c r="X365" s="31"/>
      <c r="Y365" s="42"/>
      <c r="Z365" s="31"/>
      <c r="AA365" s="31"/>
      <c r="AB365" s="31"/>
      <c r="AC365" s="31"/>
      <c r="AD365" s="31"/>
      <c r="AE365" s="31"/>
      <c r="AF365" s="31"/>
      <c r="AG365" s="31"/>
      <c r="AH365" s="31"/>
      <c r="AI365" s="31"/>
      <c r="AJ365" s="31"/>
      <c r="AK365" s="31"/>
      <c r="AL365" s="31"/>
      <c r="AM365" s="31"/>
      <c r="AN365" s="32"/>
      <c r="AO365" s="32"/>
      <c r="AP365" s="30"/>
      <c r="AQ365" s="30"/>
      <c r="AR365" s="30"/>
      <c r="AS365" s="92"/>
      <c r="AT365" s="155"/>
      <c r="AU365" s="155"/>
      <c r="AV365" s="106"/>
      <c r="AW365" s="106"/>
      <c r="AX365" s="30"/>
      <c r="AY365" s="107"/>
      <c r="AZ365" s="107"/>
      <c r="BA365" s="32"/>
    </row>
    <row r="366" spans="1:53">
      <c r="A366" s="7"/>
      <c r="B366" s="26" t="str">
        <f t="shared" si="93"/>
        <v/>
      </c>
      <c r="C366" s="42"/>
      <c r="D366" s="64"/>
      <c r="E366" s="69"/>
      <c r="F366" s="85"/>
      <c r="G366" s="60"/>
      <c r="H366" s="31"/>
      <c r="I366" s="42"/>
      <c r="J366" s="42"/>
      <c r="K366" s="42"/>
      <c r="L366" s="36"/>
      <c r="M366" s="41"/>
      <c r="N366" s="31"/>
      <c r="O366" s="31"/>
      <c r="P366" s="33"/>
      <c r="Q366" s="31" t="e">
        <f>LEFT(RIGHT(A366,LEN(A366)-FIND("-",A366)),MIN(SEARCH({"a","b","c","d","e","f","g","h","i","j","k","l","m","n","o","p","q","r","s","t","u","v","w","x","y","z"},RIGHT(A366,LEN(A366)-FIND("-",A366))&amp;"abcdefghijklmnopqrstuvwxyz"))-1)+1-1</f>
        <v>#VALUE!</v>
      </c>
      <c r="R366" s="32" t="e">
        <f t="shared" si="94"/>
        <v>#VALUE!</v>
      </c>
      <c r="S366" s="32" t="s">
        <v>1393</v>
      </c>
      <c r="T366" s="32"/>
      <c r="U366" s="17">
        <f t="shared" si="91"/>
        <v>0</v>
      </c>
      <c r="V366" s="17">
        <f t="shared" si="92"/>
        <v>0</v>
      </c>
      <c r="W366" s="56"/>
      <c r="X366" s="31"/>
      <c r="Y366" s="42"/>
      <c r="Z366" s="31"/>
      <c r="AA366" s="31"/>
      <c r="AB366" s="31"/>
      <c r="AC366" s="31"/>
      <c r="AD366" s="31"/>
      <c r="AE366" s="31"/>
      <c r="AF366" s="31"/>
      <c r="AG366" s="31"/>
      <c r="AH366" s="31"/>
      <c r="AI366" s="31"/>
      <c r="AJ366" s="31"/>
      <c r="AK366" s="31"/>
      <c r="AL366" s="31"/>
      <c r="AM366" s="31"/>
      <c r="AN366" s="32"/>
      <c r="AO366" s="32"/>
      <c r="AP366" s="30"/>
      <c r="AQ366" s="30"/>
      <c r="AR366" s="30"/>
      <c r="AS366" s="92"/>
      <c r="AT366" s="155"/>
      <c r="AU366" s="155"/>
      <c r="AV366" s="106"/>
      <c r="AW366" s="106"/>
      <c r="AX366" s="30"/>
      <c r="AY366" s="107"/>
      <c r="AZ366" s="107"/>
      <c r="BA366" s="32"/>
    </row>
    <row r="367" spans="1:53">
      <c r="A367" s="7"/>
      <c r="B367" s="26" t="str">
        <f t="shared" si="93"/>
        <v/>
      </c>
      <c r="C367" s="42"/>
      <c r="D367" s="64"/>
      <c r="E367" s="69"/>
      <c r="F367" s="85"/>
      <c r="G367" s="60"/>
      <c r="H367" s="31"/>
      <c r="I367" s="42"/>
      <c r="J367" s="42"/>
      <c r="K367" s="42"/>
      <c r="L367" s="36"/>
      <c r="M367" s="41"/>
      <c r="N367" s="31"/>
      <c r="O367" s="31"/>
      <c r="P367" s="33"/>
      <c r="Q367" s="31" t="e">
        <f>LEFT(RIGHT(A367,LEN(A367)-FIND("-",A367)),MIN(SEARCH({"a","b","c","d","e","f","g","h","i","j","k","l","m","n","o","p","q","r","s","t","u","v","w","x","y","z"},RIGHT(A367,LEN(A367)-FIND("-",A367))&amp;"abcdefghijklmnopqrstuvwxyz"))-1)+1-1</f>
        <v>#VALUE!</v>
      </c>
      <c r="R367" s="32" t="e">
        <f t="shared" si="94"/>
        <v>#VALUE!</v>
      </c>
      <c r="S367" s="32" t="s">
        <v>1393</v>
      </c>
      <c r="T367" s="32"/>
      <c r="U367" s="17">
        <f t="shared" si="91"/>
        <v>0</v>
      </c>
      <c r="V367" s="17">
        <f t="shared" si="92"/>
        <v>0</v>
      </c>
      <c r="W367" s="56"/>
      <c r="X367" s="31"/>
      <c r="Y367" s="42"/>
      <c r="Z367" s="31"/>
      <c r="AA367" s="31"/>
      <c r="AB367" s="31"/>
      <c r="AC367" s="31"/>
      <c r="AD367" s="31"/>
      <c r="AE367" s="31"/>
      <c r="AF367" s="31"/>
      <c r="AG367" s="31"/>
      <c r="AH367" s="31"/>
      <c r="AI367" s="31"/>
      <c r="AJ367" s="31"/>
      <c r="AK367" s="31"/>
      <c r="AL367" s="31"/>
      <c r="AM367" s="31"/>
      <c r="AN367" s="32"/>
      <c r="AO367" s="32"/>
      <c r="AP367" s="30"/>
      <c r="AQ367" s="30"/>
      <c r="AR367" s="30"/>
      <c r="AS367" s="92"/>
      <c r="AT367" s="155"/>
      <c r="AU367" s="155"/>
      <c r="AV367" s="106"/>
      <c r="AW367" s="106"/>
      <c r="AX367" s="30"/>
      <c r="AY367" s="107"/>
      <c r="AZ367" s="107"/>
      <c r="BA367" s="32"/>
    </row>
    <row r="368" spans="1:53">
      <c r="A368" s="7"/>
      <c r="B368" s="26" t="str">
        <f t="shared" si="93"/>
        <v/>
      </c>
      <c r="C368" s="42"/>
      <c r="D368" s="64"/>
      <c r="E368" s="69"/>
      <c r="F368" s="85"/>
      <c r="G368" s="60"/>
      <c r="H368" s="31"/>
      <c r="I368" s="42"/>
      <c r="J368" s="42"/>
      <c r="K368" s="42"/>
      <c r="L368" s="36"/>
      <c r="M368" s="41"/>
      <c r="N368" s="31"/>
      <c r="O368" s="31"/>
      <c r="P368" s="33"/>
      <c r="Q368" s="31" t="e">
        <f>LEFT(RIGHT(A368,LEN(A368)-FIND("-",A368)),MIN(SEARCH({"a","b","c","d","e","f","g","h","i","j","k","l","m","n","o","p","q","r","s","t","u","v","w","x","y","z"},RIGHT(A368,LEN(A368)-FIND("-",A368))&amp;"abcdefghijklmnopqrstuvwxyz"))-1)+1-1</f>
        <v>#VALUE!</v>
      </c>
      <c r="R368" s="32" t="e">
        <f t="shared" si="94"/>
        <v>#VALUE!</v>
      </c>
      <c r="S368" s="32" t="s">
        <v>1393</v>
      </c>
      <c r="T368" s="32"/>
      <c r="U368" s="17">
        <f t="shared" si="91"/>
        <v>0</v>
      </c>
      <c r="V368" s="17">
        <f t="shared" si="92"/>
        <v>0</v>
      </c>
      <c r="W368" s="56"/>
      <c r="X368" s="31"/>
      <c r="Y368" s="42"/>
      <c r="Z368" s="31"/>
      <c r="AA368" s="31"/>
      <c r="AB368" s="31"/>
      <c r="AC368" s="31"/>
      <c r="AD368" s="31"/>
      <c r="AE368" s="31"/>
      <c r="AF368" s="31"/>
      <c r="AG368" s="31"/>
      <c r="AH368" s="31"/>
      <c r="AI368" s="31"/>
      <c r="AJ368" s="31"/>
      <c r="AK368" s="31"/>
      <c r="AL368" s="31"/>
      <c r="AM368" s="31"/>
      <c r="AN368" s="32"/>
      <c r="AO368" s="32"/>
      <c r="AP368" s="30"/>
      <c r="AQ368" s="30"/>
      <c r="AR368" s="30"/>
      <c r="AS368" s="92"/>
      <c r="AT368" s="155"/>
      <c r="AU368" s="155"/>
      <c r="AV368" s="106"/>
      <c r="AW368" s="106"/>
      <c r="AX368" s="30"/>
      <c r="AY368" s="107"/>
      <c r="AZ368" s="107"/>
      <c r="BA368" s="32"/>
    </row>
    <row r="369" spans="1:53">
      <c r="A369" s="7"/>
      <c r="B369" s="26" t="str">
        <f t="shared" si="93"/>
        <v/>
      </c>
      <c r="C369" s="42"/>
      <c r="D369" s="64"/>
      <c r="E369" s="69"/>
      <c r="F369" s="85"/>
      <c r="G369" s="60"/>
      <c r="H369" s="31"/>
      <c r="I369" s="42"/>
      <c r="J369" s="42"/>
      <c r="K369" s="42"/>
      <c r="L369" s="36"/>
      <c r="M369" s="41"/>
      <c r="N369" s="31"/>
      <c r="O369" s="31"/>
      <c r="P369" s="33"/>
      <c r="Q369" s="31" t="e">
        <f>LEFT(RIGHT(A369,LEN(A369)-FIND("-",A369)),MIN(SEARCH({"a","b","c","d","e","f","g","h","i","j","k","l","m","n","o","p","q","r","s","t","u","v","w","x","y","z"},RIGHT(A369,LEN(A369)-FIND("-",A369))&amp;"abcdefghijklmnopqrstuvwxyz"))-1)+1-1</f>
        <v>#VALUE!</v>
      </c>
      <c r="R369" s="32" t="e">
        <f t="shared" si="94"/>
        <v>#VALUE!</v>
      </c>
      <c r="S369" s="32" t="s">
        <v>1393</v>
      </c>
      <c r="T369" s="32"/>
      <c r="U369" s="17">
        <f t="shared" si="91"/>
        <v>0</v>
      </c>
      <c r="V369" s="17">
        <f t="shared" si="92"/>
        <v>0</v>
      </c>
      <c r="W369" s="56"/>
      <c r="X369" s="31"/>
      <c r="Y369" s="42"/>
      <c r="Z369" s="31"/>
      <c r="AA369" s="31"/>
      <c r="AB369" s="31"/>
      <c r="AC369" s="31"/>
      <c r="AD369" s="31"/>
      <c r="AE369" s="31"/>
      <c r="AF369" s="31"/>
      <c r="AG369" s="31"/>
      <c r="AH369" s="31"/>
      <c r="AI369" s="31"/>
      <c r="AJ369" s="31"/>
      <c r="AK369" s="31"/>
      <c r="AL369" s="31"/>
      <c r="AM369" s="31"/>
      <c r="AN369" s="32"/>
      <c r="AO369" s="32"/>
      <c r="AP369" s="30"/>
      <c r="AQ369" s="30"/>
      <c r="AR369" s="30"/>
      <c r="AS369" s="92"/>
      <c r="AT369" s="155"/>
      <c r="AU369" s="155"/>
      <c r="AV369" s="106"/>
      <c r="AW369" s="106"/>
      <c r="AX369" s="30"/>
      <c r="AY369" s="107"/>
      <c r="AZ369" s="107"/>
      <c r="BA369" s="32"/>
    </row>
    <row r="370" spans="1:53">
      <c r="A370" s="7"/>
      <c r="B370" s="26" t="str">
        <f t="shared" si="93"/>
        <v/>
      </c>
      <c r="C370" s="42"/>
      <c r="D370" s="64"/>
      <c r="E370" s="69"/>
      <c r="F370" s="85"/>
      <c r="G370" s="60"/>
      <c r="H370" s="31"/>
      <c r="I370" s="42"/>
      <c r="J370" s="42"/>
      <c r="K370" s="42"/>
      <c r="L370" s="36"/>
      <c r="M370" s="41"/>
      <c r="N370" s="31"/>
      <c r="O370" s="31"/>
      <c r="P370" s="33"/>
      <c r="Q370" s="31" t="e">
        <f>LEFT(RIGHT(A370,LEN(A370)-FIND("-",A370)),MIN(SEARCH({"a","b","c","d","e","f","g","h","i","j","k","l","m","n","o","p","q","r","s","t","u","v","w","x","y","z"},RIGHT(A370,LEN(A370)-FIND("-",A370))&amp;"abcdefghijklmnopqrstuvwxyz"))-1)+1-1</f>
        <v>#VALUE!</v>
      </c>
      <c r="R370" s="32" t="e">
        <f t="shared" si="94"/>
        <v>#VALUE!</v>
      </c>
      <c r="S370" s="32" t="s">
        <v>1393</v>
      </c>
      <c r="T370" s="32"/>
      <c r="U370" s="17">
        <f t="shared" si="91"/>
        <v>0</v>
      </c>
      <c r="V370" s="17">
        <f t="shared" si="92"/>
        <v>0</v>
      </c>
      <c r="W370" s="56"/>
      <c r="X370" s="31"/>
      <c r="Y370" s="42"/>
      <c r="Z370" s="31"/>
      <c r="AA370" s="31"/>
      <c r="AB370" s="31"/>
      <c r="AC370" s="31"/>
      <c r="AD370" s="31"/>
      <c r="AE370" s="31"/>
      <c r="AF370" s="31"/>
      <c r="AG370" s="31"/>
      <c r="AH370" s="31"/>
      <c r="AI370" s="31"/>
      <c r="AJ370" s="31"/>
      <c r="AK370" s="31"/>
      <c r="AL370" s="31"/>
      <c r="AM370" s="31"/>
      <c r="AN370" s="32"/>
      <c r="AO370" s="32"/>
      <c r="AP370" s="30"/>
      <c r="AQ370" s="30"/>
      <c r="AR370" s="30"/>
      <c r="AS370" s="92"/>
      <c r="AT370" s="155"/>
      <c r="AU370" s="155"/>
      <c r="AV370" s="106"/>
      <c r="AW370" s="106"/>
      <c r="AX370" s="30"/>
      <c r="AY370" s="107"/>
      <c r="AZ370" s="107"/>
      <c r="BA370" s="32"/>
    </row>
    <row r="371" spans="1:53">
      <c r="A371" s="7"/>
      <c r="B371" s="26" t="str">
        <f t="shared" si="93"/>
        <v/>
      </c>
      <c r="C371" s="42"/>
      <c r="D371" s="64"/>
      <c r="E371" s="69"/>
      <c r="F371" s="85"/>
      <c r="G371" s="60"/>
      <c r="H371" s="31"/>
      <c r="I371" s="42"/>
      <c r="J371" s="42"/>
      <c r="K371" s="42"/>
      <c r="L371" s="36"/>
      <c r="M371" s="41"/>
      <c r="N371" s="31"/>
      <c r="O371" s="31"/>
      <c r="P371" s="33"/>
      <c r="Q371" s="31" t="e">
        <f>LEFT(RIGHT(A371,LEN(A371)-FIND("-",A371)),MIN(SEARCH({"a","b","c","d","e","f","g","h","i","j","k","l","m","n","o","p","q","r","s","t","u","v","w","x","y","z"},RIGHT(A371,LEN(A371)-FIND("-",A371))&amp;"abcdefghijklmnopqrstuvwxyz"))-1)+1-1</f>
        <v>#VALUE!</v>
      </c>
      <c r="R371" s="32" t="e">
        <f t="shared" si="94"/>
        <v>#VALUE!</v>
      </c>
      <c r="S371" s="32" t="s">
        <v>1393</v>
      </c>
      <c r="T371" s="32"/>
      <c r="U371" s="17">
        <f t="shared" si="91"/>
        <v>0</v>
      </c>
      <c r="V371" s="17">
        <f t="shared" si="92"/>
        <v>0</v>
      </c>
      <c r="W371" s="56"/>
      <c r="X371" s="31"/>
      <c r="Y371" s="42"/>
      <c r="Z371" s="31"/>
      <c r="AA371" s="31"/>
      <c r="AB371" s="31"/>
      <c r="AC371" s="31"/>
      <c r="AD371" s="31"/>
      <c r="AE371" s="31"/>
      <c r="AF371" s="31"/>
      <c r="AG371" s="31"/>
      <c r="AH371" s="31"/>
      <c r="AI371" s="31"/>
      <c r="AJ371" s="31"/>
      <c r="AK371" s="31"/>
      <c r="AL371" s="31"/>
      <c r="AM371" s="31"/>
      <c r="AN371" s="32"/>
      <c r="AO371" s="32"/>
      <c r="AP371" s="30"/>
      <c r="AQ371" s="30"/>
      <c r="AR371" s="30"/>
      <c r="AS371" s="92"/>
      <c r="AT371" s="155"/>
      <c r="AU371" s="155"/>
      <c r="AV371" s="106"/>
      <c r="AW371" s="106"/>
      <c r="AX371" s="30"/>
      <c r="AY371" s="107"/>
      <c r="AZ371" s="107"/>
      <c r="BA371" s="32"/>
    </row>
    <row r="372" spans="1:53">
      <c r="A372" s="7"/>
      <c r="B372" s="26" t="str">
        <f t="shared" si="93"/>
        <v/>
      </c>
      <c r="C372" s="42"/>
      <c r="D372" s="64"/>
      <c r="E372" s="69"/>
      <c r="F372" s="85"/>
      <c r="G372" s="60"/>
      <c r="H372" s="31"/>
      <c r="I372" s="42"/>
      <c r="J372" s="42"/>
      <c r="K372" s="42"/>
      <c r="L372" s="36"/>
      <c r="M372" s="41"/>
      <c r="N372" s="31"/>
      <c r="O372" s="31"/>
      <c r="P372" s="33"/>
      <c r="Q372" s="31" t="e">
        <f>LEFT(RIGHT(A372,LEN(A372)-FIND("-",A372)),MIN(SEARCH({"a","b","c","d","e","f","g","h","i","j","k","l","m","n","o","p","q","r","s","t","u","v","w","x","y","z"},RIGHT(A372,LEN(A372)-FIND("-",A372))&amp;"abcdefghijklmnopqrstuvwxyz"))-1)+1-1</f>
        <v>#VALUE!</v>
      </c>
      <c r="R372" s="32" t="e">
        <f t="shared" si="94"/>
        <v>#VALUE!</v>
      </c>
      <c r="S372" s="32" t="s">
        <v>1393</v>
      </c>
      <c r="T372" s="32"/>
      <c r="U372" s="17">
        <f t="shared" si="91"/>
        <v>0</v>
      </c>
      <c r="V372" s="17">
        <f t="shared" si="92"/>
        <v>0</v>
      </c>
      <c r="W372" s="56"/>
      <c r="X372" s="31"/>
      <c r="Y372" s="42"/>
      <c r="Z372" s="31"/>
      <c r="AA372" s="31"/>
      <c r="AB372" s="31"/>
      <c r="AC372" s="31"/>
      <c r="AD372" s="31"/>
      <c r="AE372" s="31"/>
      <c r="AF372" s="31"/>
      <c r="AG372" s="31"/>
      <c r="AH372" s="31"/>
      <c r="AI372" s="31"/>
      <c r="AJ372" s="31"/>
      <c r="AK372" s="31"/>
      <c r="AL372" s="31"/>
      <c r="AM372" s="31"/>
      <c r="AN372" s="32"/>
      <c r="AO372" s="32"/>
      <c r="AP372" s="30"/>
      <c r="AQ372" s="30"/>
      <c r="AR372" s="30"/>
      <c r="AS372" s="92"/>
      <c r="AT372" s="155"/>
      <c r="AU372" s="155"/>
      <c r="AV372" s="106"/>
      <c r="AW372" s="106"/>
      <c r="AX372" s="30"/>
      <c r="AY372" s="107"/>
      <c r="AZ372" s="107"/>
      <c r="BA372" s="32"/>
    </row>
    <row r="373" spans="1:53">
      <c r="A373" s="7"/>
      <c r="B373" s="26" t="str">
        <f t="shared" si="93"/>
        <v/>
      </c>
      <c r="C373" s="42"/>
      <c r="D373" s="64"/>
      <c r="E373" s="69"/>
      <c r="F373" s="85"/>
      <c r="G373" s="60"/>
      <c r="H373" s="31"/>
      <c r="I373" s="42"/>
      <c r="J373" s="42"/>
      <c r="K373" s="42"/>
      <c r="L373" s="36"/>
      <c r="M373" s="41"/>
      <c r="N373" s="31"/>
      <c r="O373" s="31"/>
      <c r="P373" s="33"/>
      <c r="Q373" s="31" t="e">
        <f>LEFT(RIGHT(A373,LEN(A373)-FIND("-",A373)),MIN(SEARCH({"a","b","c","d","e","f","g","h","i","j","k","l","m","n","o","p","q","r","s","t","u","v","w","x","y","z"},RIGHT(A373,LEN(A373)-FIND("-",A373))&amp;"abcdefghijklmnopqrstuvwxyz"))-1)+1-1</f>
        <v>#VALUE!</v>
      </c>
      <c r="R373" s="32" t="e">
        <f t="shared" si="94"/>
        <v>#VALUE!</v>
      </c>
      <c r="S373" s="32" t="s">
        <v>1393</v>
      </c>
      <c r="T373" s="32"/>
      <c r="U373" s="17">
        <f t="shared" si="91"/>
        <v>0</v>
      </c>
      <c r="V373" s="17">
        <f t="shared" si="92"/>
        <v>0</v>
      </c>
      <c r="W373" s="56"/>
      <c r="X373" s="31"/>
      <c r="Y373" s="42"/>
      <c r="Z373" s="31"/>
      <c r="AA373" s="31"/>
      <c r="AB373" s="31"/>
      <c r="AC373" s="31"/>
      <c r="AD373" s="31"/>
      <c r="AE373" s="31"/>
      <c r="AF373" s="31"/>
      <c r="AG373" s="31"/>
      <c r="AH373" s="31"/>
      <c r="AI373" s="31"/>
      <c r="AJ373" s="31"/>
      <c r="AK373" s="31"/>
      <c r="AL373" s="31"/>
      <c r="AM373" s="31"/>
      <c r="AN373" s="32"/>
      <c r="AO373" s="32"/>
      <c r="AP373" s="30"/>
      <c r="AQ373" s="30"/>
      <c r="AR373" s="30"/>
      <c r="AS373" s="92"/>
      <c r="AT373" s="155"/>
      <c r="AU373" s="155"/>
      <c r="AV373" s="106"/>
      <c r="AW373" s="106"/>
      <c r="AX373" s="30"/>
      <c r="AY373" s="107"/>
      <c r="AZ373" s="107"/>
      <c r="BA373" s="32"/>
    </row>
    <row r="374" spans="1:53">
      <c r="A374" s="7"/>
      <c r="B374" s="26" t="str">
        <f t="shared" si="93"/>
        <v/>
      </c>
      <c r="C374" s="42"/>
      <c r="D374" s="64"/>
      <c r="E374" s="69"/>
      <c r="F374" s="85"/>
      <c r="G374" s="60"/>
      <c r="H374" s="31"/>
      <c r="I374" s="42"/>
      <c r="J374" s="42"/>
      <c r="K374" s="42"/>
      <c r="L374" s="36"/>
      <c r="M374" s="41"/>
      <c r="N374" s="31"/>
      <c r="O374" s="31"/>
      <c r="P374" s="33"/>
      <c r="Q374" s="31" t="e">
        <f>LEFT(RIGHT(A374,LEN(A374)-FIND("-",A374)),MIN(SEARCH({"a","b","c","d","e","f","g","h","i","j","k","l","m","n","o","p","q","r","s","t","u","v","w","x","y","z"},RIGHT(A374,LEN(A374)-FIND("-",A374))&amp;"abcdefghijklmnopqrstuvwxyz"))-1)+1-1</f>
        <v>#VALUE!</v>
      </c>
      <c r="R374" s="32" t="e">
        <f t="shared" si="94"/>
        <v>#VALUE!</v>
      </c>
      <c r="S374" s="32" t="s">
        <v>1393</v>
      </c>
      <c r="T374" s="32"/>
      <c r="U374" s="17">
        <f t="shared" si="91"/>
        <v>0</v>
      </c>
      <c r="V374" s="17">
        <f t="shared" si="92"/>
        <v>0</v>
      </c>
      <c r="W374" s="56"/>
      <c r="X374" s="31"/>
      <c r="Y374" s="42"/>
      <c r="Z374" s="31"/>
      <c r="AA374" s="31"/>
      <c r="AB374" s="31"/>
      <c r="AC374" s="31"/>
      <c r="AD374" s="31"/>
      <c r="AE374" s="31"/>
      <c r="AF374" s="31"/>
      <c r="AG374" s="31"/>
      <c r="AH374" s="31"/>
      <c r="AI374" s="31"/>
      <c r="AJ374" s="31"/>
      <c r="AK374" s="31"/>
      <c r="AL374" s="31"/>
      <c r="AM374" s="31"/>
      <c r="AN374" s="32"/>
      <c r="AO374" s="32"/>
      <c r="AP374" s="30"/>
      <c r="AQ374" s="30"/>
      <c r="AR374" s="30"/>
      <c r="AS374" s="92"/>
      <c r="AT374" s="155"/>
      <c r="AU374" s="155"/>
      <c r="AV374" s="106"/>
      <c r="AW374" s="106"/>
      <c r="AX374" s="30"/>
      <c r="AY374" s="107"/>
      <c r="AZ374" s="107"/>
      <c r="BA374" s="32"/>
    </row>
    <row r="375" spans="1:53">
      <c r="A375" s="7"/>
      <c r="B375" s="26" t="str">
        <f t="shared" si="93"/>
        <v/>
      </c>
      <c r="C375" s="42"/>
      <c r="D375" s="64"/>
      <c r="E375" s="69"/>
      <c r="F375" s="85"/>
      <c r="G375" s="60"/>
      <c r="H375" s="31"/>
      <c r="I375" s="42"/>
      <c r="J375" s="42"/>
      <c r="K375" s="42"/>
      <c r="L375" s="36"/>
      <c r="M375" s="41"/>
      <c r="N375" s="31"/>
      <c r="O375" s="31"/>
      <c r="P375" s="33"/>
      <c r="Q375" s="31" t="e">
        <f>LEFT(RIGHT(A375,LEN(A375)-FIND("-",A375)),MIN(SEARCH({"a","b","c","d","e","f","g","h","i","j","k","l","m","n","o","p","q","r","s","t","u","v","w","x","y","z"},RIGHT(A375,LEN(A375)-FIND("-",A375))&amp;"abcdefghijklmnopqrstuvwxyz"))-1)+1-1</f>
        <v>#VALUE!</v>
      </c>
      <c r="R375" s="32" t="e">
        <f t="shared" si="94"/>
        <v>#VALUE!</v>
      </c>
      <c r="S375" s="32" t="s">
        <v>1393</v>
      </c>
      <c r="T375" s="32"/>
      <c r="U375" s="17">
        <f t="shared" si="91"/>
        <v>0</v>
      </c>
      <c r="V375" s="17">
        <f t="shared" si="92"/>
        <v>0</v>
      </c>
      <c r="W375" s="56"/>
      <c r="X375" s="31"/>
      <c r="Y375" s="42"/>
      <c r="Z375" s="31"/>
      <c r="AA375" s="31"/>
      <c r="AB375" s="31"/>
      <c r="AC375" s="31"/>
      <c r="AD375" s="31"/>
      <c r="AE375" s="31"/>
      <c r="AF375" s="31"/>
      <c r="AG375" s="31"/>
      <c r="AH375" s="31"/>
      <c r="AI375" s="31"/>
      <c r="AJ375" s="31"/>
      <c r="AK375" s="31"/>
      <c r="AL375" s="31"/>
      <c r="AM375" s="31"/>
      <c r="AN375" s="32"/>
      <c r="AO375" s="32"/>
      <c r="AP375" s="30"/>
      <c r="AQ375" s="30"/>
      <c r="AR375" s="30"/>
      <c r="AS375" s="92"/>
      <c r="AT375" s="155"/>
      <c r="AU375" s="155"/>
      <c r="AV375" s="106"/>
      <c r="AW375" s="106"/>
      <c r="AX375" s="30"/>
      <c r="AY375" s="107"/>
      <c r="AZ375" s="107"/>
      <c r="BA375" s="32"/>
    </row>
    <row r="376" spans="1:53">
      <c r="A376" s="7"/>
      <c r="B376" s="26" t="str">
        <f t="shared" si="93"/>
        <v/>
      </c>
      <c r="C376" s="42"/>
      <c r="D376" s="64"/>
      <c r="E376" s="69"/>
      <c r="F376" s="85"/>
      <c r="G376" s="60"/>
      <c r="H376" s="31"/>
      <c r="I376" s="42"/>
      <c r="J376" s="42"/>
      <c r="K376" s="42"/>
      <c r="L376" s="36"/>
      <c r="M376" s="41"/>
      <c r="N376" s="31"/>
      <c r="O376" s="31"/>
      <c r="P376" s="33"/>
      <c r="Q376" s="31" t="e">
        <f>LEFT(RIGHT(A376,LEN(A376)-FIND("-",A376)),MIN(SEARCH({"a","b","c","d","e","f","g","h","i","j","k","l","m","n","o","p","q","r","s","t","u","v","w","x","y","z"},RIGHT(A376,LEN(A376)-FIND("-",A376))&amp;"abcdefghijklmnopqrstuvwxyz"))-1)+1-1</f>
        <v>#VALUE!</v>
      </c>
      <c r="R376" s="32" t="e">
        <f t="shared" si="94"/>
        <v>#VALUE!</v>
      </c>
      <c r="S376" s="32" t="s">
        <v>1393</v>
      </c>
      <c r="T376" s="32"/>
      <c r="U376" s="17">
        <f t="shared" si="91"/>
        <v>0</v>
      </c>
      <c r="V376" s="17">
        <f t="shared" si="92"/>
        <v>0</v>
      </c>
      <c r="W376" s="56"/>
      <c r="X376" s="31"/>
      <c r="Y376" s="42"/>
      <c r="Z376" s="31"/>
      <c r="AA376" s="31"/>
      <c r="AB376" s="31"/>
      <c r="AC376" s="31"/>
      <c r="AD376" s="31"/>
      <c r="AE376" s="31"/>
      <c r="AF376" s="31"/>
      <c r="AG376" s="31"/>
      <c r="AH376" s="31"/>
      <c r="AI376" s="31"/>
      <c r="AJ376" s="31"/>
      <c r="AK376" s="31"/>
      <c r="AL376" s="31"/>
      <c r="AM376" s="31"/>
      <c r="AN376" s="32"/>
      <c r="AO376" s="32"/>
      <c r="AP376" s="30"/>
      <c r="AQ376" s="30"/>
      <c r="AR376" s="30"/>
      <c r="AS376" s="92"/>
      <c r="AT376" s="155"/>
      <c r="AU376" s="155"/>
      <c r="AV376" s="106"/>
      <c r="AW376" s="106"/>
      <c r="AX376" s="30"/>
      <c r="AY376" s="107"/>
      <c r="AZ376" s="107"/>
      <c r="BA376" s="32"/>
    </row>
    <row r="377" spans="1:53">
      <c r="A377" s="7"/>
      <c r="B377" s="26" t="str">
        <f t="shared" si="93"/>
        <v/>
      </c>
      <c r="C377" s="42"/>
      <c r="D377" s="64"/>
      <c r="E377" s="69"/>
      <c r="F377" s="85"/>
      <c r="G377" s="60"/>
      <c r="H377" s="31"/>
      <c r="I377" s="42"/>
      <c r="J377" s="42"/>
      <c r="K377" s="42"/>
      <c r="L377" s="36"/>
      <c r="M377" s="41"/>
      <c r="N377" s="31"/>
      <c r="O377" s="31"/>
      <c r="P377" s="33"/>
      <c r="Q377" s="31" t="e">
        <f>LEFT(RIGHT(A377,LEN(A377)-FIND("-",A377)),MIN(SEARCH({"a","b","c","d","e","f","g","h","i","j","k","l","m","n","o","p","q","r","s","t","u","v","w","x","y","z"},RIGHT(A377,LEN(A377)-FIND("-",A377))&amp;"abcdefghijklmnopqrstuvwxyz"))-1)+1-1</f>
        <v>#VALUE!</v>
      </c>
      <c r="R377" s="32" t="e">
        <f t="shared" si="94"/>
        <v>#VALUE!</v>
      </c>
      <c r="S377" s="32" t="s">
        <v>1393</v>
      </c>
      <c r="T377" s="32"/>
      <c r="U377" s="17">
        <f t="shared" si="91"/>
        <v>0</v>
      </c>
      <c r="V377" s="17">
        <f t="shared" si="92"/>
        <v>0</v>
      </c>
      <c r="W377" s="56"/>
      <c r="X377" s="31"/>
      <c r="Y377" s="42"/>
      <c r="Z377" s="31"/>
      <c r="AA377" s="31"/>
      <c r="AB377" s="31"/>
      <c r="AC377" s="31"/>
      <c r="AD377" s="31"/>
      <c r="AE377" s="31"/>
      <c r="AF377" s="31"/>
      <c r="AG377" s="31"/>
      <c r="AH377" s="31"/>
      <c r="AI377" s="31"/>
      <c r="AJ377" s="31"/>
      <c r="AK377" s="31"/>
      <c r="AL377" s="31"/>
      <c r="AM377" s="31"/>
      <c r="AN377" s="32"/>
      <c r="AO377" s="32"/>
      <c r="AP377" s="30"/>
      <c r="AQ377" s="30"/>
      <c r="AR377" s="30"/>
      <c r="AS377" s="92"/>
      <c r="AT377" s="155"/>
      <c r="AU377" s="155"/>
      <c r="AV377" s="106"/>
      <c r="AW377" s="106"/>
      <c r="AX377" s="30"/>
      <c r="AY377" s="107"/>
      <c r="AZ377" s="107"/>
      <c r="BA377" s="32"/>
    </row>
    <row r="378" spans="1:53">
      <c r="A378" s="7"/>
      <c r="B378" s="26" t="str">
        <f t="shared" si="93"/>
        <v/>
      </c>
      <c r="C378" s="42"/>
      <c r="D378" s="64"/>
      <c r="E378" s="69"/>
      <c r="F378" s="85"/>
      <c r="G378" s="60"/>
      <c r="H378" s="31"/>
      <c r="I378" s="42"/>
      <c r="J378" s="42"/>
      <c r="K378" s="42"/>
      <c r="L378" s="36"/>
      <c r="M378" s="41"/>
      <c r="N378" s="31"/>
      <c r="O378" s="31"/>
      <c r="P378" s="33"/>
      <c r="Q378" s="31" t="e">
        <f>LEFT(RIGHT(A378,LEN(A378)-FIND("-",A378)),MIN(SEARCH({"a","b","c","d","e","f","g","h","i","j","k","l","m","n","o","p","q","r","s","t","u","v","w","x","y","z"},RIGHT(A378,LEN(A378)-FIND("-",A378))&amp;"abcdefghijklmnopqrstuvwxyz"))-1)+1-1</f>
        <v>#VALUE!</v>
      </c>
      <c r="R378" s="32" t="e">
        <f t="shared" si="94"/>
        <v>#VALUE!</v>
      </c>
      <c r="S378" s="32" t="s">
        <v>1393</v>
      </c>
      <c r="T378" s="32"/>
      <c r="U378" s="17">
        <f t="shared" si="91"/>
        <v>0</v>
      </c>
      <c r="V378" s="17">
        <f t="shared" si="92"/>
        <v>0</v>
      </c>
      <c r="W378" s="56"/>
      <c r="X378" s="31"/>
      <c r="Y378" s="42"/>
      <c r="Z378" s="31"/>
      <c r="AA378" s="31"/>
      <c r="AB378" s="31"/>
      <c r="AC378" s="31"/>
      <c r="AD378" s="31"/>
      <c r="AE378" s="31"/>
      <c r="AF378" s="31"/>
      <c r="AG378" s="31"/>
      <c r="AH378" s="31"/>
      <c r="AI378" s="31"/>
      <c r="AJ378" s="31"/>
      <c r="AK378" s="31"/>
      <c r="AL378" s="31"/>
      <c r="AM378" s="31"/>
      <c r="AN378" s="32"/>
      <c r="AO378" s="32"/>
      <c r="AP378" s="30"/>
      <c r="AQ378" s="30"/>
      <c r="AR378" s="30"/>
      <c r="AS378" s="92"/>
      <c r="AT378" s="155"/>
      <c r="AU378" s="155"/>
      <c r="AV378" s="106"/>
      <c r="AW378" s="106"/>
      <c r="AX378" s="30"/>
      <c r="AY378" s="107"/>
      <c r="AZ378" s="107"/>
      <c r="BA378" s="32"/>
    </row>
    <row r="379" spans="1:53">
      <c r="A379" s="7"/>
      <c r="B379" s="26" t="str">
        <f t="shared" si="93"/>
        <v/>
      </c>
      <c r="C379" s="42"/>
      <c r="D379" s="64"/>
      <c r="E379" s="69"/>
      <c r="F379" s="85"/>
      <c r="G379" s="60"/>
      <c r="H379" s="31"/>
      <c r="I379" s="42"/>
      <c r="J379" s="42"/>
      <c r="K379" s="42"/>
      <c r="L379" s="36"/>
      <c r="M379" s="41"/>
      <c r="N379" s="31"/>
      <c r="O379" s="31"/>
      <c r="P379" s="33"/>
      <c r="Q379" s="31" t="e">
        <f>LEFT(RIGHT(A379,LEN(A379)-FIND("-",A379)),MIN(SEARCH({"a","b","c","d","e","f","g","h","i","j","k","l","m","n","o","p","q","r","s","t","u","v","w","x","y","z"},RIGHT(A379,LEN(A379)-FIND("-",A379))&amp;"abcdefghijklmnopqrstuvwxyz"))-1)+1-1</f>
        <v>#VALUE!</v>
      </c>
      <c r="R379" s="32" t="e">
        <f t="shared" si="94"/>
        <v>#VALUE!</v>
      </c>
      <c r="S379" s="32" t="s">
        <v>1393</v>
      </c>
      <c r="T379" s="32"/>
      <c r="U379" s="17">
        <f t="shared" si="91"/>
        <v>0</v>
      </c>
      <c r="V379" s="17">
        <f t="shared" si="92"/>
        <v>0</v>
      </c>
      <c r="W379" s="56"/>
      <c r="X379" s="31"/>
      <c r="Y379" s="42"/>
      <c r="Z379" s="31"/>
      <c r="AA379" s="31"/>
      <c r="AB379" s="31"/>
      <c r="AC379" s="31"/>
      <c r="AD379" s="31"/>
      <c r="AE379" s="31"/>
      <c r="AF379" s="31"/>
      <c r="AG379" s="31"/>
      <c r="AH379" s="31"/>
      <c r="AI379" s="31"/>
      <c r="AJ379" s="31"/>
      <c r="AK379" s="31"/>
      <c r="AL379" s="31"/>
      <c r="AM379" s="31"/>
      <c r="AN379" s="32"/>
      <c r="AO379" s="32"/>
      <c r="AP379" s="30"/>
      <c r="AQ379" s="30"/>
      <c r="AR379" s="30"/>
      <c r="AS379" s="92"/>
      <c r="AT379" s="155"/>
      <c r="AU379" s="155"/>
      <c r="AV379" s="106"/>
      <c r="AW379" s="106"/>
      <c r="AX379" s="30"/>
      <c r="AY379" s="107"/>
      <c r="AZ379" s="107"/>
      <c r="BA379" s="32"/>
    </row>
    <row r="380" spans="1:53">
      <c r="A380" s="7"/>
      <c r="B380" s="26" t="str">
        <f t="shared" si="93"/>
        <v/>
      </c>
      <c r="C380" s="42"/>
      <c r="D380" s="64"/>
      <c r="E380" s="69"/>
      <c r="F380" s="85"/>
      <c r="G380" s="60"/>
      <c r="H380" s="31"/>
      <c r="I380" s="42"/>
      <c r="J380" s="42"/>
      <c r="K380" s="42"/>
      <c r="L380" s="36"/>
      <c r="M380" s="41"/>
      <c r="N380" s="31"/>
      <c r="O380" s="31"/>
      <c r="P380" s="33"/>
      <c r="Q380" s="31" t="e">
        <f>LEFT(RIGHT(A380,LEN(A380)-FIND("-",A380)),MIN(SEARCH({"a","b","c","d","e","f","g","h","i","j","k","l","m","n","o","p","q","r","s","t","u","v","w","x","y","z"},RIGHT(A380,LEN(A380)-FIND("-",A380))&amp;"abcdefghijklmnopqrstuvwxyz"))-1)+1-1</f>
        <v>#VALUE!</v>
      </c>
      <c r="R380" s="32" t="e">
        <f t="shared" si="94"/>
        <v>#VALUE!</v>
      </c>
      <c r="S380" s="32" t="s">
        <v>1393</v>
      </c>
      <c r="T380" s="32"/>
      <c r="U380" s="17">
        <f t="shared" si="91"/>
        <v>0</v>
      </c>
      <c r="V380" s="17">
        <f t="shared" si="92"/>
        <v>0</v>
      </c>
      <c r="W380" s="56"/>
      <c r="X380" s="31"/>
      <c r="Y380" s="42"/>
      <c r="Z380" s="31"/>
      <c r="AA380" s="31"/>
      <c r="AB380" s="31"/>
      <c r="AC380" s="31"/>
      <c r="AD380" s="31"/>
      <c r="AE380" s="31"/>
      <c r="AF380" s="31"/>
      <c r="AG380" s="31"/>
      <c r="AH380" s="31"/>
      <c r="AI380" s="31"/>
      <c r="AJ380" s="31"/>
      <c r="AK380" s="31"/>
      <c r="AL380" s="31"/>
      <c r="AM380" s="31"/>
      <c r="AN380" s="32"/>
      <c r="AO380" s="32"/>
      <c r="AP380" s="30"/>
      <c r="AQ380" s="30"/>
      <c r="AR380" s="30"/>
      <c r="AS380" s="92"/>
      <c r="AT380" s="155"/>
      <c r="AU380" s="155"/>
      <c r="AV380" s="106"/>
      <c r="AW380" s="106"/>
      <c r="AX380" s="30"/>
      <c r="AY380" s="107"/>
      <c r="AZ380" s="107"/>
      <c r="BA380" s="32"/>
    </row>
    <row r="381" spans="1:53">
      <c r="A381" s="7"/>
      <c r="B381" s="26" t="str">
        <f t="shared" si="93"/>
        <v/>
      </c>
      <c r="C381" s="42"/>
      <c r="D381" s="64"/>
      <c r="E381" s="69"/>
      <c r="F381" s="85"/>
      <c r="G381" s="60"/>
      <c r="H381" s="31"/>
      <c r="I381" s="42"/>
      <c r="J381" s="42"/>
      <c r="K381" s="42"/>
      <c r="L381" s="36"/>
      <c r="M381" s="41"/>
      <c r="N381" s="31"/>
      <c r="O381" s="31"/>
      <c r="P381" s="33"/>
      <c r="Q381" s="31" t="e">
        <f>LEFT(RIGHT(A381,LEN(A381)-FIND("-",A381)),MIN(SEARCH({"a","b","c","d","e","f","g","h","i","j","k","l","m","n","o","p","q","r","s","t","u","v","w","x","y","z"},RIGHT(A381,LEN(A381)-FIND("-",A381))&amp;"abcdefghijklmnopqrstuvwxyz"))-1)+1-1</f>
        <v>#VALUE!</v>
      </c>
      <c r="R381" s="32" t="e">
        <f t="shared" si="94"/>
        <v>#VALUE!</v>
      </c>
      <c r="S381" s="32" t="s">
        <v>1393</v>
      </c>
      <c r="T381" s="32"/>
      <c r="U381" s="17">
        <f t="shared" si="91"/>
        <v>0</v>
      </c>
      <c r="V381" s="17">
        <f t="shared" si="92"/>
        <v>0</v>
      </c>
      <c r="W381" s="56"/>
      <c r="X381" s="31"/>
      <c r="Y381" s="42"/>
      <c r="Z381" s="31"/>
      <c r="AA381" s="31"/>
      <c r="AB381" s="31"/>
      <c r="AC381" s="31"/>
      <c r="AD381" s="31"/>
      <c r="AE381" s="31"/>
      <c r="AF381" s="31"/>
      <c r="AG381" s="31"/>
      <c r="AH381" s="31"/>
      <c r="AI381" s="31"/>
      <c r="AJ381" s="31"/>
      <c r="AK381" s="31"/>
      <c r="AL381" s="31"/>
      <c r="AM381" s="31"/>
      <c r="AN381" s="32"/>
      <c r="AO381" s="32"/>
      <c r="AP381" s="30"/>
      <c r="AQ381" s="30"/>
      <c r="AR381" s="30"/>
      <c r="AS381" s="92"/>
      <c r="AT381" s="155"/>
      <c r="AU381" s="155"/>
      <c r="AV381" s="106"/>
      <c r="AW381" s="106"/>
      <c r="AX381" s="30"/>
      <c r="AY381" s="107"/>
      <c r="AZ381" s="107"/>
      <c r="BA381" s="32"/>
    </row>
    <row r="382" spans="1:53">
      <c r="A382" s="7"/>
      <c r="B382" s="26" t="str">
        <f t="shared" si="93"/>
        <v/>
      </c>
      <c r="C382" s="42"/>
      <c r="D382" s="64"/>
      <c r="E382" s="69"/>
      <c r="F382" s="85"/>
      <c r="G382" s="60"/>
      <c r="H382" s="31"/>
      <c r="I382" s="42"/>
      <c r="J382" s="42"/>
      <c r="K382" s="42"/>
      <c r="L382" s="36"/>
      <c r="M382" s="41"/>
      <c r="N382" s="31"/>
      <c r="O382" s="31"/>
      <c r="P382" s="33"/>
      <c r="Q382" s="31" t="e">
        <f>LEFT(RIGHT(A382,LEN(A382)-FIND("-",A382)),MIN(SEARCH({"a","b","c","d","e","f","g","h","i","j","k","l","m","n","o","p","q","r","s","t","u","v","w","x","y","z"},RIGHT(A382,LEN(A382)-FIND("-",A382))&amp;"abcdefghijklmnopqrstuvwxyz"))-1)+1-1</f>
        <v>#VALUE!</v>
      </c>
      <c r="R382" s="32" t="e">
        <f t="shared" si="94"/>
        <v>#VALUE!</v>
      </c>
      <c r="S382" s="32" t="s">
        <v>1393</v>
      </c>
      <c r="T382" s="32"/>
      <c r="U382" s="17">
        <f t="shared" si="91"/>
        <v>0</v>
      </c>
      <c r="V382" s="17">
        <f t="shared" si="92"/>
        <v>0</v>
      </c>
      <c r="W382" s="56"/>
      <c r="X382" s="31"/>
      <c r="Y382" s="42"/>
      <c r="Z382" s="31"/>
      <c r="AA382" s="31"/>
      <c r="AB382" s="31"/>
      <c r="AC382" s="31"/>
      <c r="AD382" s="31"/>
      <c r="AE382" s="31"/>
      <c r="AF382" s="31"/>
      <c r="AG382" s="31"/>
      <c r="AH382" s="31"/>
      <c r="AI382" s="31"/>
      <c r="AJ382" s="31"/>
      <c r="AK382" s="31"/>
      <c r="AL382" s="31"/>
      <c r="AM382" s="31"/>
      <c r="AN382" s="32"/>
      <c r="AO382" s="32"/>
      <c r="AP382" s="30"/>
      <c r="AQ382" s="30"/>
      <c r="AR382" s="30"/>
      <c r="AS382" s="92"/>
      <c r="AT382" s="155"/>
      <c r="AU382" s="155"/>
      <c r="AV382" s="106"/>
      <c r="AW382" s="106"/>
      <c r="AX382" s="30"/>
      <c r="AY382" s="107"/>
      <c r="AZ382" s="107"/>
      <c r="BA382" s="32"/>
    </row>
    <row r="383" spans="1:53">
      <c r="A383" s="7"/>
      <c r="B383" s="26" t="str">
        <f t="shared" si="93"/>
        <v/>
      </c>
      <c r="C383" s="42"/>
      <c r="D383" s="64"/>
      <c r="E383" s="69"/>
      <c r="F383" s="85"/>
      <c r="G383" s="60"/>
      <c r="H383" s="31"/>
      <c r="I383" s="42"/>
      <c r="J383" s="42"/>
      <c r="K383" s="42"/>
      <c r="L383" s="36"/>
      <c r="M383" s="41"/>
      <c r="N383" s="31"/>
      <c r="O383" s="31"/>
      <c r="P383" s="33"/>
      <c r="Q383" s="31" t="e">
        <f>LEFT(RIGHT(A383,LEN(A383)-FIND("-",A383)),MIN(SEARCH({"a","b","c","d","e","f","g","h","i","j","k","l","m","n","o","p","q","r","s","t","u","v","w","x","y","z"},RIGHT(A383,LEN(A383)-FIND("-",A383))&amp;"abcdefghijklmnopqrstuvwxyz"))-1)+1-1</f>
        <v>#VALUE!</v>
      </c>
      <c r="R383" s="32" t="e">
        <f t="shared" si="94"/>
        <v>#VALUE!</v>
      </c>
      <c r="S383" s="32" t="s">
        <v>1393</v>
      </c>
      <c r="T383" s="32"/>
      <c r="U383" s="17">
        <f t="shared" si="91"/>
        <v>0</v>
      </c>
      <c r="V383" s="17">
        <f t="shared" si="92"/>
        <v>0</v>
      </c>
      <c r="W383" s="56"/>
      <c r="X383" s="31"/>
      <c r="Y383" s="42"/>
      <c r="Z383" s="31"/>
      <c r="AA383" s="31"/>
      <c r="AB383" s="31"/>
      <c r="AC383" s="31"/>
      <c r="AD383" s="31"/>
      <c r="AE383" s="31"/>
      <c r="AF383" s="31"/>
      <c r="AG383" s="31"/>
      <c r="AH383" s="31"/>
      <c r="AI383" s="31"/>
      <c r="AJ383" s="31"/>
      <c r="AK383" s="31"/>
      <c r="AL383" s="31"/>
      <c r="AM383" s="31"/>
      <c r="AN383" s="32"/>
      <c r="AO383" s="32"/>
      <c r="AP383" s="30"/>
      <c r="AQ383" s="30"/>
      <c r="AR383" s="30"/>
      <c r="AS383" s="92"/>
      <c r="AT383" s="155"/>
      <c r="AU383" s="155"/>
      <c r="AV383" s="106"/>
      <c r="AW383" s="106"/>
      <c r="AX383" s="30"/>
      <c r="AY383" s="107"/>
      <c r="AZ383" s="107"/>
      <c r="BA383" s="32"/>
    </row>
    <row r="384" spans="1:53">
      <c r="A384" s="7"/>
      <c r="B384" s="26" t="str">
        <f t="shared" si="93"/>
        <v/>
      </c>
      <c r="C384" s="42"/>
      <c r="D384" s="64"/>
      <c r="E384" s="69"/>
      <c r="F384" s="85"/>
      <c r="G384" s="60"/>
      <c r="H384" s="31"/>
      <c r="I384" s="42"/>
      <c r="J384" s="42"/>
      <c r="K384" s="42"/>
      <c r="L384" s="36"/>
      <c r="M384" s="41"/>
      <c r="N384" s="31"/>
      <c r="O384" s="31"/>
      <c r="P384" s="33"/>
      <c r="Q384" s="31" t="e">
        <f>LEFT(RIGHT(A384,LEN(A384)-FIND("-",A384)),MIN(SEARCH({"a","b","c","d","e","f","g","h","i","j","k","l","m","n","o","p","q","r","s","t","u","v","w","x","y","z"},RIGHT(A384,LEN(A384)-FIND("-",A384))&amp;"abcdefghijklmnopqrstuvwxyz"))-1)+1-1</f>
        <v>#VALUE!</v>
      </c>
      <c r="R384" s="32" t="e">
        <f t="shared" si="94"/>
        <v>#VALUE!</v>
      </c>
      <c r="S384" s="32" t="s">
        <v>1393</v>
      </c>
      <c r="T384" s="32"/>
      <c r="U384" s="17">
        <f t="shared" si="91"/>
        <v>0</v>
      </c>
      <c r="V384" s="17">
        <f t="shared" si="92"/>
        <v>0</v>
      </c>
      <c r="W384" s="56"/>
      <c r="X384" s="31"/>
      <c r="Y384" s="42"/>
      <c r="Z384" s="31"/>
      <c r="AA384" s="31"/>
      <c r="AB384" s="31"/>
      <c r="AC384" s="31"/>
      <c r="AD384" s="31"/>
      <c r="AE384" s="31"/>
      <c r="AF384" s="31"/>
      <c r="AG384" s="31"/>
      <c r="AH384" s="31"/>
      <c r="AI384" s="31"/>
      <c r="AJ384" s="31"/>
      <c r="AK384" s="31"/>
      <c r="AL384" s="31"/>
      <c r="AM384" s="31"/>
      <c r="AN384" s="32"/>
      <c r="AO384" s="32"/>
      <c r="AP384" s="30"/>
      <c r="AQ384" s="30"/>
      <c r="AR384" s="30"/>
      <c r="AS384" s="92"/>
      <c r="AT384" s="155"/>
      <c r="AU384" s="155"/>
      <c r="AV384" s="106"/>
      <c r="AW384" s="106"/>
      <c r="AX384" s="30"/>
      <c r="AY384" s="107"/>
      <c r="AZ384" s="107"/>
      <c r="BA384" s="32"/>
    </row>
    <row r="385" spans="1:53">
      <c r="A385" s="7"/>
      <c r="B385" s="26" t="str">
        <f t="shared" si="93"/>
        <v/>
      </c>
      <c r="C385" s="42"/>
      <c r="D385" s="64"/>
      <c r="E385" s="69"/>
      <c r="F385" s="85"/>
      <c r="G385" s="60"/>
      <c r="H385" s="31"/>
      <c r="I385" s="42"/>
      <c r="J385" s="42"/>
      <c r="K385" s="42"/>
      <c r="L385" s="36"/>
      <c r="M385" s="41"/>
      <c r="N385" s="31"/>
      <c r="O385" s="31"/>
      <c r="P385" s="33"/>
      <c r="Q385" s="31" t="e">
        <f>LEFT(RIGHT(A385,LEN(A385)-FIND("-",A385)),MIN(SEARCH({"a","b","c","d","e","f","g","h","i","j","k","l","m","n","o","p","q","r","s","t","u","v","w","x","y","z"},RIGHT(A385,LEN(A385)-FIND("-",A385))&amp;"abcdefghijklmnopqrstuvwxyz"))-1)+1-1</f>
        <v>#VALUE!</v>
      </c>
      <c r="R385" s="32" t="e">
        <f t="shared" si="94"/>
        <v>#VALUE!</v>
      </c>
      <c r="S385" s="32" t="s">
        <v>1393</v>
      </c>
      <c r="T385" s="32"/>
      <c r="U385" s="17">
        <f t="shared" si="91"/>
        <v>0</v>
      </c>
      <c r="V385" s="17">
        <f t="shared" si="92"/>
        <v>0</v>
      </c>
      <c r="W385" s="56"/>
      <c r="X385" s="31"/>
      <c r="Y385" s="42"/>
      <c r="Z385" s="31"/>
      <c r="AA385" s="31"/>
      <c r="AB385" s="31"/>
      <c r="AC385" s="31"/>
      <c r="AD385" s="31"/>
      <c r="AE385" s="31"/>
      <c r="AF385" s="31"/>
      <c r="AG385" s="31"/>
      <c r="AH385" s="31"/>
      <c r="AI385" s="31"/>
      <c r="AJ385" s="31"/>
      <c r="AK385" s="31"/>
      <c r="AL385" s="31"/>
      <c r="AM385" s="31"/>
      <c r="AN385" s="32"/>
      <c r="AO385" s="32"/>
      <c r="AP385" s="30"/>
      <c r="AQ385" s="30"/>
      <c r="AR385" s="30"/>
      <c r="AS385" s="92"/>
      <c r="AT385" s="155"/>
      <c r="AU385" s="155"/>
      <c r="AV385" s="106"/>
      <c r="AW385" s="106"/>
      <c r="AX385" s="30"/>
      <c r="AY385" s="107"/>
      <c r="AZ385" s="107"/>
      <c r="BA385" s="32"/>
    </row>
    <row r="386" spans="1:53">
      <c r="A386" s="7"/>
      <c r="B386" s="26" t="str">
        <f t="shared" si="93"/>
        <v/>
      </c>
      <c r="C386" s="42"/>
      <c r="D386" s="64"/>
      <c r="E386" s="69"/>
      <c r="F386" s="85"/>
      <c r="G386" s="60"/>
      <c r="H386" s="31"/>
      <c r="I386" s="42"/>
      <c r="J386" s="42"/>
      <c r="K386" s="42"/>
      <c r="L386" s="36"/>
      <c r="M386" s="41"/>
      <c r="N386" s="31"/>
      <c r="O386" s="31"/>
      <c r="P386" s="33"/>
      <c r="Q386" s="31" t="e">
        <f>LEFT(RIGHT(A386,LEN(A386)-FIND("-",A386)),MIN(SEARCH({"a","b","c","d","e","f","g","h","i","j","k","l","m","n","o","p","q","r","s","t","u","v","w","x","y","z"},RIGHT(A386,LEN(A386)-FIND("-",A386))&amp;"abcdefghijklmnopqrstuvwxyz"))-1)+1-1</f>
        <v>#VALUE!</v>
      </c>
      <c r="R386" s="32" t="e">
        <f t="shared" si="94"/>
        <v>#VALUE!</v>
      </c>
      <c r="S386" s="32" t="s">
        <v>1393</v>
      </c>
      <c r="T386" s="32"/>
      <c r="U386" s="17">
        <f t="shared" si="91"/>
        <v>0</v>
      </c>
      <c r="V386" s="17">
        <f t="shared" si="92"/>
        <v>0</v>
      </c>
      <c r="W386" s="56"/>
      <c r="X386" s="31"/>
      <c r="Y386" s="42"/>
      <c r="Z386" s="31"/>
      <c r="AA386" s="31"/>
      <c r="AB386" s="31"/>
      <c r="AC386" s="31"/>
      <c r="AD386" s="31"/>
      <c r="AE386" s="31"/>
      <c r="AF386" s="31"/>
      <c r="AG386" s="31"/>
      <c r="AH386" s="31"/>
      <c r="AI386" s="31"/>
      <c r="AJ386" s="31"/>
      <c r="AK386" s="31"/>
      <c r="AL386" s="31"/>
      <c r="AM386" s="31"/>
      <c r="AN386" s="32"/>
      <c r="AO386" s="32"/>
      <c r="AP386" s="30"/>
      <c r="AQ386" s="30"/>
      <c r="AR386" s="30"/>
      <c r="AS386" s="92"/>
      <c r="AT386" s="155"/>
      <c r="AU386" s="155"/>
      <c r="AV386" s="106"/>
      <c r="AW386" s="106"/>
      <c r="AX386" s="30"/>
      <c r="AY386" s="107"/>
      <c r="AZ386" s="107"/>
      <c r="BA386" s="32"/>
    </row>
    <row r="387" spans="1:53">
      <c r="A387" s="7"/>
      <c r="B387" s="26" t="str">
        <f t="shared" ref="B387:B418" si="95">LEFT(A387,2)</f>
        <v/>
      </c>
      <c r="C387" s="42"/>
      <c r="D387" s="64"/>
      <c r="E387" s="69"/>
      <c r="F387" s="85"/>
      <c r="G387" s="60"/>
      <c r="H387" s="31"/>
      <c r="I387" s="42"/>
      <c r="J387" s="42"/>
      <c r="K387" s="42"/>
      <c r="L387" s="36"/>
      <c r="M387" s="41"/>
      <c r="N387" s="31"/>
      <c r="O387" s="31"/>
      <c r="P387" s="33"/>
      <c r="Q387" s="31" t="e">
        <f>LEFT(RIGHT(A387,LEN(A387)-FIND("-",A387)),MIN(SEARCH({"a","b","c","d","e","f","g","h","i","j","k","l","m","n","o","p","q","r","s","t","u","v","w","x","y","z"},RIGHT(A387,LEN(A387)-FIND("-",A387))&amp;"abcdefghijklmnopqrstuvwxyz"))-1)+1-1</f>
        <v>#VALUE!</v>
      </c>
      <c r="R387" s="32" t="e">
        <f t="shared" ref="R387:R418" si="96">IF(OR(AND(Q387+1&gt;40,Q387+1&lt;=50),Q387&gt;51),"Wireless","")</f>
        <v>#VALUE!</v>
      </c>
      <c r="S387" s="32" t="s">
        <v>1393</v>
      </c>
      <c r="T387" s="32"/>
      <c r="U387" s="17">
        <f t="shared" si="91"/>
        <v>0</v>
      </c>
      <c r="V387" s="17">
        <f t="shared" si="92"/>
        <v>0</v>
      </c>
      <c r="W387" s="56"/>
      <c r="X387" s="31"/>
      <c r="Y387" s="42"/>
      <c r="Z387" s="31"/>
      <c r="AA387" s="31"/>
      <c r="AB387" s="31"/>
      <c r="AC387" s="31"/>
      <c r="AD387" s="31"/>
      <c r="AE387" s="31"/>
      <c r="AF387" s="31"/>
      <c r="AG387" s="31"/>
      <c r="AH387" s="31"/>
      <c r="AI387" s="31"/>
      <c r="AJ387" s="31"/>
      <c r="AK387" s="31"/>
      <c r="AL387" s="31"/>
      <c r="AM387" s="31"/>
      <c r="AN387" s="32"/>
      <c r="AO387" s="32"/>
      <c r="AP387" s="30"/>
      <c r="AQ387" s="30"/>
      <c r="AR387" s="30"/>
      <c r="AS387" s="92"/>
      <c r="AT387" s="155"/>
      <c r="AU387" s="155"/>
      <c r="AV387" s="106"/>
      <c r="AW387" s="106"/>
      <c r="AX387" s="30"/>
      <c r="AY387" s="107"/>
      <c r="AZ387" s="107"/>
      <c r="BA387" s="32"/>
    </row>
    <row r="388" spans="1:53">
      <c r="A388" s="7"/>
      <c r="B388" s="26" t="str">
        <f t="shared" si="95"/>
        <v/>
      </c>
      <c r="C388" s="42"/>
      <c r="D388" s="64"/>
      <c r="E388" s="69"/>
      <c r="F388" s="85"/>
      <c r="G388" s="60"/>
      <c r="H388" s="31"/>
      <c r="I388" s="42"/>
      <c r="J388" s="42"/>
      <c r="K388" s="42"/>
      <c r="L388" s="36"/>
      <c r="M388" s="41"/>
      <c r="N388" s="31"/>
      <c r="O388" s="31"/>
      <c r="P388" s="33"/>
      <c r="Q388" s="31" t="e">
        <f>LEFT(RIGHT(A388,LEN(A388)-FIND("-",A388)),MIN(SEARCH({"a","b","c","d","e","f","g","h","i","j","k","l","m","n","o","p","q","r","s","t","u","v","w","x","y","z"},RIGHT(A388,LEN(A388)-FIND("-",A388))&amp;"abcdefghijklmnopqrstuvwxyz"))-1)+1-1</f>
        <v>#VALUE!</v>
      </c>
      <c r="R388" s="32" t="e">
        <f t="shared" si="96"/>
        <v>#VALUE!</v>
      </c>
      <c r="S388" s="32" t="s">
        <v>1393</v>
      </c>
      <c r="T388" s="32"/>
      <c r="U388" s="17">
        <f t="shared" si="91"/>
        <v>0</v>
      </c>
      <c r="V388" s="17">
        <f t="shared" si="92"/>
        <v>0</v>
      </c>
      <c r="W388" s="56"/>
      <c r="X388" s="31"/>
      <c r="Y388" s="42"/>
      <c r="Z388" s="31"/>
      <c r="AA388" s="31"/>
      <c r="AB388" s="31"/>
      <c r="AC388" s="31"/>
      <c r="AD388" s="31"/>
      <c r="AE388" s="31"/>
      <c r="AF388" s="31"/>
      <c r="AG388" s="31"/>
      <c r="AH388" s="31"/>
      <c r="AI388" s="31"/>
      <c r="AJ388" s="31"/>
      <c r="AK388" s="31"/>
      <c r="AL388" s="31"/>
      <c r="AM388" s="31"/>
      <c r="AN388" s="32"/>
      <c r="AO388" s="32"/>
      <c r="AP388" s="30"/>
      <c r="AQ388" s="30"/>
      <c r="AR388" s="30"/>
      <c r="AS388" s="92"/>
      <c r="AT388" s="155"/>
      <c r="AU388" s="155"/>
      <c r="AV388" s="106"/>
      <c r="AW388" s="106"/>
      <c r="AX388" s="30"/>
      <c r="AY388" s="107"/>
      <c r="AZ388" s="107"/>
      <c r="BA388" s="32"/>
    </row>
    <row r="389" spans="1:53">
      <c r="A389" s="7"/>
      <c r="B389" s="26" t="str">
        <f t="shared" si="95"/>
        <v/>
      </c>
      <c r="C389" s="42"/>
      <c r="D389" s="64"/>
      <c r="E389" s="69"/>
      <c r="F389" s="85"/>
      <c r="G389" s="60"/>
      <c r="H389" s="31"/>
      <c r="I389" s="42"/>
      <c r="J389" s="42"/>
      <c r="K389" s="42"/>
      <c r="L389" s="36"/>
      <c r="M389" s="41"/>
      <c r="N389" s="31"/>
      <c r="O389" s="31"/>
      <c r="P389" s="33"/>
      <c r="Q389" s="31" t="e">
        <f>LEFT(RIGHT(A389,LEN(A389)-FIND("-",A389)),MIN(SEARCH({"a","b","c","d","e","f","g","h","i","j","k","l","m","n","o","p","q","r","s","t","u","v","w","x","y","z"},RIGHT(A389,LEN(A389)-FIND("-",A389))&amp;"abcdefghijklmnopqrstuvwxyz"))-1)+1-1</f>
        <v>#VALUE!</v>
      </c>
      <c r="R389" s="32" t="e">
        <f t="shared" si="96"/>
        <v>#VALUE!</v>
      </c>
      <c r="S389" s="32" t="s">
        <v>1393</v>
      </c>
      <c r="T389" s="32"/>
      <c r="U389" s="17">
        <f t="shared" si="91"/>
        <v>0</v>
      </c>
      <c r="V389" s="17">
        <f t="shared" si="92"/>
        <v>0</v>
      </c>
      <c r="W389" s="56"/>
      <c r="X389" s="31"/>
      <c r="Y389" s="42"/>
      <c r="Z389" s="31"/>
      <c r="AA389" s="31"/>
      <c r="AB389" s="31"/>
      <c r="AC389" s="31"/>
      <c r="AD389" s="31"/>
      <c r="AE389" s="31"/>
      <c r="AF389" s="31"/>
      <c r="AG389" s="31"/>
      <c r="AH389" s="31"/>
      <c r="AI389" s="31"/>
      <c r="AJ389" s="31"/>
      <c r="AK389" s="31"/>
      <c r="AL389" s="31"/>
      <c r="AM389" s="31"/>
      <c r="AN389" s="32"/>
      <c r="AO389" s="32"/>
      <c r="AP389" s="30"/>
      <c r="AQ389" s="30"/>
      <c r="AR389" s="30"/>
      <c r="AS389" s="92"/>
      <c r="AT389" s="155"/>
      <c r="AU389" s="155"/>
      <c r="AV389" s="106"/>
      <c r="AW389" s="106"/>
      <c r="AX389" s="30"/>
      <c r="AY389" s="107"/>
      <c r="AZ389" s="107"/>
      <c r="BA389" s="32"/>
    </row>
    <row r="390" spans="1:53">
      <c r="A390" s="7"/>
      <c r="B390" s="26" t="str">
        <f t="shared" si="95"/>
        <v/>
      </c>
      <c r="C390" s="42"/>
      <c r="D390" s="64"/>
      <c r="E390" s="69"/>
      <c r="F390" s="85"/>
      <c r="G390" s="60"/>
      <c r="H390" s="31"/>
      <c r="I390" s="42"/>
      <c r="J390" s="42"/>
      <c r="K390" s="42"/>
      <c r="L390" s="36"/>
      <c r="M390" s="41"/>
      <c r="N390" s="31"/>
      <c r="O390" s="31"/>
      <c r="P390" s="33"/>
      <c r="Q390" s="31" t="e">
        <f>LEFT(RIGHT(A390,LEN(A390)-FIND("-",A390)),MIN(SEARCH({"a","b","c","d","e","f","g","h","i","j","k","l","m","n","o","p","q","r","s","t","u","v","w","x","y","z"},RIGHT(A390,LEN(A390)-FIND("-",A390))&amp;"abcdefghijklmnopqrstuvwxyz"))-1)+1-1</f>
        <v>#VALUE!</v>
      </c>
      <c r="R390" s="32" t="e">
        <f t="shared" si="96"/>
        <v>#VALUE!</v>
      </c>
      <c r="S390" s="32" t="s">
        <v>1393</v>
      </c>
      <c r="T390" s="32"/>
      <c r="U390" s="17">
        <f t="shared" si="91"/>
        <v>0</v>
      </c>
      <c r="V390" s="17">
        <f t="shared" si="92"/>
        <v>0</v>
      </c>
      <c r="W390" s="56"/>
      <c r="X390" s="31"/>
      <c r="Y390" s="42"/>
      <c r="Z390" s="31"/>
      <c r="AA390" s="31"/>
      <c r="AB390" s="31"/>
      <c r="AC390" s="31"/>
      <c r="AD390" s="31"/>
      <c r="AE390" s="31"/>
      <c r="AF390" s="31"/>
      <c r="AG390" s="31"/>
      <c r="AH390" s="31"/>
      <c r="AI390" s="31"/>
      <c r="AJ390" s="31"/>
      <c r="AK390" s="31"/>
      <c r="AL390" s="31"/>
      <c r="AM390" s="31"/>
      <c r="AN390" s="32"/>
      <c r="AO390" s="32"/>
      <c r="AP390" s="30"/>
      <c r="AQ390" s="30"/>
      <c r="AR390" s="30"/>
      <c r="AS390" s="92"/>
      <c r="AT390" s="155"/>
      <c r="AU390" s="155"/>
      <c r="AV390" s="106"/>
      <c r="AW390" s="106"/>
      <c r="AX390" s="30"/>
      <c r="AY390" s="107"/>
      <c r="AZ390" s="107"/>
      <c r="BA390" s="32"/>
    </row>
    <row r="391" spans="1:53">
      <c r="A391" s="7"/>
      <c r="B391" s="26" t="str">
        <f t="shared" si="95"/>
        <v/>
      </c>
      <c r="C391" s="42"/>
      <c r="D391" s="64"/>
      <c r="E391" s="69"/>
      <c r="F391" s="85"/>
      <c r="G391" s="60"/>
      <c r="H391" s="31"/>
      <c r="I391" s="42"/>
      <c r="J391" s="42"/>
      <c r="K391" s="42"/>
      <c r="L391" s="36"/>
      <c r="M391" s="41"/>
      <c r="N391" s="31"/>
      <c r="O391" s="31"/>
      <c r="P391" s="33"/>
      <c r="Q391" s="31" t="e">
        <f>LEFT(RIGHT(A391,LEN(A391)-FIND("-",A391)),MIN(SEARCH({"a","b","c","d","e","f","g","h","i","j","k","l","m","n","o","p","q","r","s","t","u","v","w","x","y","z"},RIGHT(A391,LEN(A391)-FIND("-",A391))&amp;"abcdefghijklmnopqrstuvwxyz"))-1)+1-1</f>
        <v>#VALUE!</v>
      </c>
      <c r="R391" s="32" t="e">
        <f t="shared" si="96"/>
        <v>#VALUE!</v>
      </c>
      <c r="S391" s="32" t="s">
        <v>1393</v>
      </c>
      <c r="T391" s="32"/>
      <c r="U391" s="17">
        <f t="shared" si="91"/>
        <v>0</v>
      </c>
      <c r="V391" s="17">
        <f t="shared" si="92"/>
        <v>0</v>
      </c>
      <c r="W391" s="56"/>
      <c r="X391" s="31"/>
      <c r="Y391" s="42"/>
      <c r="Z391" s="31"/>
      <c r="AA391" s="31"/>
      <c r="AB391" s="31"/>
      <c r="AC391" s="31"/>
      <c r="AD391" s="31"/>
      <c r="AE391" s="31"/>
      <c r="AF391" s="31"/>
      <c r="AG391" s="31"/>
      <c r="AH391" s="31"/>
      <c r="AI391" s="31"/>
      <c r="AJ391" s="31"/>
      <c r="AK391" s="31"/>
      <c r="AL391" s="31"/>
      <c r="AM391" s="31"/>
      <c r="AN391" s="32"/>
      <c r="AO391" s="32"/>
      <c r="AP391" s="30"/>
      <c r="AQ391" s="30"/>
      <c r="AR391" s="30"/>
      <c r="AS391" s="92"/>
      <c r="AT391" s="155"/>
      <c r="AU391" s="155"/>
      <c r="AV391" s="106"/>
      <c r="AW391" s="106"/>
      <c r="AX391" s="30"/>
      <c r="AY391" s="107"/>
      <c r="AZ391" s="107"/>
      <c r="BA391" s="32"/>
    </row>
    <row r="392" spans="1:53">
      <c r="A392" s="7"/>
      <c r="B392" s="26" t="str">
        <f t="shared" si="95"/>
        <v/>
      </c>
      <c r="C392" s="42"/>
      <c r="D392" s="64"/>
      <c r="E392" s="69"/>
      <c r="F392" s="85"/>
      <c r="G392" s="60"/>
      <c r="H392" s="31"/>
      <c r="I392" s="42"/>
      <c r="J392" s="42"/>
      <c r="K392" s="42"/>
      <c r="L392" s="36"/>
      <c r="M392" s="41"/>
      <c r="N392" s="31"/>
      <c r="O392" s="31"/>
      <c r="P392" s="33"/>
      <c r="Q392" s="31" t="e">
        <f>LEFT(RIGHT(A392,LEN(A392)-FIND("-",A392)),MIN(SEARCH({"a","b","c","d","e","f","g","h","i","j","k","l","m","n","o","p","q","r","s","t","u","v","w","x","y","z"},RIGHT(A392,LEN(A392)-FIND("-",A392))&amp;"abcdefghijklmnopqrstuvwxyz"))-1)+1-1</f>
        <v>#VALUE!</v>
      </c>
      <c r="R392" s="32" t="e">
        <f t="shared" si="96"/>
        <v>#VALUE!</v>
      </c>
      <c r="S392" s="32" t="s">
        <v>1393</v>
      </c>
      <c r="T392" s="32"/>
      <c r="U392" s="17">
        <f t="shared" si="91"/>
        <v>0</v>
      </c>
      <c r="V392" s="17">
        <f t="shared" si="92"/>
        <v>0</v>
      </c>
      <c r="W392" s="56"/>
      <c r="X392" s="31"/>
      <c r="Y392" s="42"/>
      <c r="Z392" s="31"/>
      <c r="AA392" s="31"/>
      <c r="AB392" s="31"/>
      <c r="AC392" s="31"/>
      <c r="AD392" s="31"/>
      <c r="AE392" s="31"/>
      <c r="AF392" s="31"/>
      <c r="AG392" s="31"/>
      <c r="AH392" s="31"/>
      <c r="AI392" s="31"/>
      <c r="AJ392" s="31"/>
      <c r="AK392" s="31"/>
      <c r="AL392" s="31"/>
      <c r="AM392" s="31"/>
      <c r="AN392" s="32"/>
      <c r="AO392" s="32"/>
      <c r="AP392" s="30"/>
      <c r="AQ392" s="30"/>
      <c r="AR392" s="30"/>
      <c r="AS392" s="92"/>
      <c r="AT392" s="155"/>
      <c r="AU392" s="155"/>
      <c r="AV392" s="106"/>
      <c r="AW392" s="106"/>
      <c r="AX392" s="30"/>
      <c r="AY392" s="107"/>
      <c r="AZ392" s="107"/>
      <c r="BA392" s="32"/>
    </row>
    <row r="393" spans="1:53">
      <c r="A393" s="7"/>
      <c r="B393" s="26" t="str">
        <f t="shared" si="95"/>
        <v/>
      </c>
      <c r="C393" s="42"/>
      <c r="D393" s="64"/>
      <c r="E393" s="69"/>
      <c r="F393" s="85"/>
      <c r="G393" s="60"/>
      <c r="H393" s="31"/>
      <c r="I393" s="42"/>
      <c r="J393" s="42"/>
      <c r="K393" s="42"/>
      <c r="L393" s="36"/>
      <c r="M393" s="41"/>
      <c r="N393" s="31"/>
      <c r="O393" s="31"/>
      <c r="P393" s="33"/>
      <c r="Q393" s="31" t="e">
        <f>LEFT(RIGHT(A393,LEN(A393)-FIND("-",A393)),MIN(SEARCH({"a","b","c","d","e","f","g","h","i","j","k","l","m","n","o","p","q","r","s","t","u","v","w","x","y","z"},RIGHT(A393,LEN(A393)-FIND("-",A393))&amp;"abcdefghijklmnopqrstuvwxyz"))-1)+1-1</f>
        <v>#VALUE!</v>
      </c>
      <c r="R393" s="32" t="e">
        <f t="shared" si="96"/>
        <v>#VALUE!</v>
      </c>
      <c r="S393" s="32" t="s">
        <v>1393</v>
      </c>
      <c r="T393" s="32"/>
      <c r="U393" s="17">
        <f t="shared" si="91"/>
        <v>0</v>
      </c>
      <c r="V393" s="17">
        <f t="shared" si="92"/>
        <v>0</v>
      </c>
      <c r="W393" s="56"/>
      <c r="X393" s="31"/>
      <c r="Y393" s="42"/>
      <c r="Z393" s="31"/>
      <c r="AA393" s="31"/>
      <c r="AB393" s="31"/>
      <c r="AC393" s="31"/>
      <c r="AD393" s="31"/>
      <c r="AE393" s="31"/>
      <c r="AF393" s="31"/>
      <c r="AG393" s="31"/>
      <c r="AH393" s="31"/>
      <c r="AI393" s="31"/>
      <c r="AJ393" s="31"/>
      <c r="AK393" s="31"/>
      <c r="AL393" s="31"/>
      <c r="AM393" s="31"/>
      <c r="AN393" s="32"/>
      <c r="AO393" s="32"/>
      <c r="AP393" s="30"/>
      <c r="AQ393" s="30"/>
      <c r="AR393" s="30"/>
      <c r="AS393" s="92"/>
      <c r="AT393" s="155"/>
      <c r="AU393" s="155"/>
      <c r="AV393" s="106"/>
      <c r="AW393" s="106"/>
      <c r="AX393" s="30"/>
      <c r="AY393" s="107"/>
      <c r="AZ393" s="107"/>
      <c r="BA393" s="32"/>
    </row>
    <row r="394" spans="1:53">
      <c r="A394" s="7"/>
      <c r="B394" s="26" t="str">
        <f t="shared" si="95"/>
        <v/>
      </c>
      <c r="C394" s="42"/>
      <c r="D394" s="64"/>
      <c r="E394" s="69"/>
      <c r="F394" s="85"/>
      <c r="G394" s="60"/>
      <c r="H394" s="31"/>
      <c r="I394" s="42"/>
      <c r="J394" s="42"/>
      <c r="K394" s="42"/>
      <c r="L394" s="36"/>
      <c r="M394" s="41"/>
      <c r="N394" s="31"/>
      <c r="O394" s="31"/>
      <c r="P394" s="33"/>
      <c r="Q394" s="31" t="e">
        <f>LEFT(RIGHT(A394,LEN(A394)-FIND("-",A394)),MIN(SEARCH({"a","b","c","d","e","f","g","h","i","j","k","l","m","n","o","p","q","r","s","t","u","v","w","x","y","z"},RIGHT(A394,LEN(A394)-FIND("-",A394))&amp;"abcdefghijklmnopqrstuvwxyz"))-1)+1-1</f>
        <v>#VALUE!</v>
      </c>
      <c r="R394" s="32" t="e">
        <f t="shared" si="96"/>
        <v>#VALUE!</v>
      </c>
      <c r="S394" s="32" t="s">
        <v>1393</v>
      </c>
      <c r="T394" s="32"/>
      <c r="U394" s="17">
        <f t="shared" si="91"/>
        <v>0</v>
      </c>
      <c r="V394" s="17">
        <f t="shared" si="92"/>
        <v>0</v>
      </c>
      <c r="W394" s="56"/>
      <c r="X394" s="31"/>
      <c r="Y394" s="42"/>
      <c r="Z394" s="31"/>
      <c r="AA394" s="31"/>
      <c r="AB394" s="31"/>
      <c r="AC394" s="31"/>
      <c r="AD394" s="31"/>
      <c r="AE394" s="31"/>
      <c r="AF394" s="31"/>
      <c r="AG394" s="31"/>
      <c r="AH394" s="31"/>
      <c r="AI394" s="31"/>
      <c r="AJ394" s="31"/>
      <c r="AK394" s="31"/>
      <c r="AL394" s="31"/>
      <c r="AM394" s="31"/>
      <c r="AN394" s="32"/>
      <c r="AO394" s="32"/>
      <c r="AP394" s="30"/>
      <c r="AQ394" s="30"/>
      <c r="AR394" s="30"/>
      <c r="AS394" s="92"/>
      <c r="AT394" s="155"/>
      <c r="AU394" s="155"/>
      <c r="AV394" s="106"/>
      <c r="AW394" s="106"/>
      <c r="AX394" s="30"/>
      <c r="AY394" s="107"/>
      <c r="AZ394" s="107"/>
      <c r="BA394" s="32"/>
    </row>
    <row r="395" spans="1:53">
      <c r="A395" s="7"/>
      <c r="B395" s="26" t="str">
        <f t="shared" si="95"/>
        <v/>
      </c>
      <c r="C395" s="42"/>
      <c r="D395" s="64"/>
      <c r="E395" s="69"/>
      <c r="F395" s="85"/>
      <c r="G395" s="60"/>
      <c r="H395" s="31"/>
      <c r="I395" s="42"/>
      <c r="J395" s="42"/>
      <c r="K395" s="42"/>
      <c r="L395" s="36"/>
      <c r="M395" s="41"/>
      <c r="N395" s="31"/>
      <c r="O395" s="31"/>
      <c r="P395" s="33"/>
      <c r="Q395" s="31" t="e">
        <f>LEFT(RIGHT(A395,LEN(A395)-FIND("-",A395)),MIN(SEARCH({"a","b","c","d","e","f","g","h","i","j","k","l","m","n","o","p","q","r","s","t","u","v","w","x","y","z"},RIGHT(A395,LEN(A395)-FIND("-",A395))&amp;"abcdefghijklmnopqrstuvwxyz"))-1)+1-1</f>
        <v>#VALUE!</v>
      </c>
      <c r="R395" s="32" t="e">
        <f t="shared" si="96"/>
        <v>#VALUE!</v>
      </c>
      <c r="S395" s="32" t="s">
        <v>1393</v>
      </c>
      <c r="T395" s="32"/>
      <c r="U395" s="17">
        <f t="shared" si="91"/>
        <v>0</v>
      </c>
      <c r="V395" s="17">
        <f t="shared" si="92"/>
        <v>0</v>
      </c>
      <c r="W395" s="56"/>
      <c r="X395" s="31"/>
      <c r="Y395" s="42"/>
      <c r="Z395" s="31"/>
      <c r="AA395" s="31"/>
      <c r="AB395" s="31"/>
      <c r="AC395" s="31"/>
      <c r="AD395" s="31"/>
      <c r="AE395" s="31"/>
      <c r="AF395" s="31"/>
      <c r="AG395" s="31"/>
      <c r="AH395" s="31"/>
      <c r="AI395" s="31"/>
      <c r="AJ395" s="31"/>
      <c r="AK395" s="31"/>
      <c r="AL395" s="31"/>
      <c r="AM395" s="31"/>
      <c r="AN395" s="32"/>
      <c r="AO395" s="32"/>
      <c r="AP395" s="30"/>
      <c r="AQ395" s="30"/>
      <c r="AR395" s="30"/>
      <c r="AS395" s="92"/>
      <c r="AT395" s="155"/>
      <c r="AU395" s="155"/>
      <c r="AV395" s="106"/>
      <c r="AW395" s="106"/>
      <c r="AX395" s="30"/>
      <c r="AY395" s="107"/>
      <c r="AZ395" s="107"/>
      <c r="BA395" s="32"/>
    </row>
    <row r="396" spans="1:53">
      <c r="A396" s="7"/>
      <c r="B396" s="26" t="str">
        <f t="shared" si="95"/>
        <v/>
      </c>
      <c r="C396" s="42"/>
      <c r="D396" s="64"/>
      <c r="E396" s="69"/>
      <c r="F396" s="85"/>
      <c r="G396" s="60"/>
      <c r="H396" s="31"/>
      <c r="I396" s="42"/>
      <c r="J396" s="42"/>
      <c r="K396" s="42"/>
      <c r="L396" s="36"/>
      <c r="M396" s="41"/>
      <c r="N396" s="31"/>
      <c r="O396" s="31"/>
      <c r="P396" s="33"/>
      <c r="Q396" s="31" t="e">
        <f>LEFT(RIGHT(A396,LEN(A396)-FIND("-",A396)),MIN(SEARCH({"a","b","c","d","e","f","g","h","i","j","k","l","m","n","o","p","q","r","s","t","u","v","w","x","y","z"},RIGHT(A396,LEN(A396)-FIND("-",A396))&amp;"abcdefghijklmnopqrstuvwxyz"))-1)+1-1</f>
        <v>#VALUE!</v>
      </c>
      <c r="R396" s="32" t="e">
        <f t="shared" si="96"/>
        <v>#VALUE!</v>
      </c>
      <c r="S396" s="32" t="s">
        <v>1393</v>
      </c>
      <c r="T396" s="32"/>
      <c r="U396" s="17">
        <f t="shared" si="91"/>
        <v>0</v>
      </c>
      <c r="V396" s="17">
        <f t="shared" si="92"/>
        <v>0</v>
      </c>
      <c r="W396" s="56"/>
      <c r="X396" s="31"/>
      <c r="Y396" s="42"/>
      <c r="Z396" s="31"/>
      <c r="AA396" s="31"/>
      <c r="AB396" s="31"/>
      <c r="AC396" s="31"/>
      <c r="AD396" s="31"/>
      <c r="AE396" s="31"/>
      <c r="AF396" s="31"/>
      <c r="AG396" s="31"/>
      <c r="AH396" s="31"/>
      <c r="AI396" s="31"/>
      <c r="AJ396" s="31"/>
      <c r="AK396" s="31"/>
      <c r="AL396" s="31"/>
      <c r="AM396" s="31"/>
      <c r="AN396" s="32"/>
      <c r="AO396" s="32"/>
      <c r="AP396" s="30"/>
      <c r="AQ396" s="30"/>
      <c r="AR396" s="30"/>
      <c r="AS396" s="92"/>
      <c r="AT396" s="155"/>
      <c r="AU396" s="155"/>
      <c r="AV396" s="106"/>
      <c r="AW396" s="106"/>
      <c r="AX396" s="30"/>
      <c r="AY396" s="107"/>
      <c r="AZ396" s="107"/>
      <c r="BA396" s="32"/>
    </row>
    <row r="397" spans="1:53">
      <c r="A397" s="7"/>
      <c r="B397" s="26" t="str">
        <f t="shared" si="95"/>
        <v/>
      </c>
      <c r="C397" s="42"/>
      <c r="D397" s="64"/>
      <c r="E397" s="69"/>
      <c r="F397" s="85"/>
      <c r="G397" s="60"/>
      <c r="H397" s="31"/>
      <c r="I397" s="42"/>
      <c r="J397" s="42"/>
      <c r="K397" s="42"/>
      <c r="L397" s="36"/>
      <c r="M397" s="41"/>
      <c r="N397" s="31"/>
      <c r="O397" s="31"/>
      <c r="P397" s="33"/>
      <c r="Q397" s="31" t="e">
        <f>LEFT(RIGHT(A397,LEN(A397)-FIND("-",A397)),MIN(SEARCH({"a","b","c","d","e","f","g","h","i","j","k","l","m","n","o","p","q","r","s","t","u","v","w","x","y","z"},RIGHT(A397,LEN(A397)-FIND("-",A397))&amp;"abcdefghijklmnopqrstuvwxyz"))-1)+1-1</f>
        <v>#VALUE!</v>
      </c>
      <c r="R397" s="32" t="e">
        <f t="shared" si="96"/>
        <v>#VALUE!</v>
      </c>
      <c r="S397" s="32" t="s">
        <v>1393</v>
      </c>
      <c r="T397" s="32"/>
      <c r="U397" s="17">
        <f t="shared" si="91"/>
        <v>0</v>
      </c>
      <c r="V397" s="17">
        <f t="shared" si="92"/>
        <v>0</v>
      </c>
      <c r="W397" s="56"/>
      <c r="X397" s="31"/>
      <c r="Y397" s="42"/>
      <c r="Z397" s="31"/>
      <c r="AA397" s="31"/>
      <c r="AB397" s="31"/>
      <c r="AC397" s="31"/>
      <c r="AD397" s="31"/>
      <c r="AE397" s="31"/>
      <c r="AF397" s="31"/>
      <c r="AG397" s="31"/>
      <c r="AH397" s="31"/>
      <c r="AI397" s="31"/>
      <c r="AJ397" s="31"/>
      <c r="AK397" s="31"/>
      <c r="AL397" s="31"/>
      <c r="AM397" s="31"/>
      <c r="AN397" s="32"/>
      <c r="AO397" s="32"/>
      <c r="AP397" s="30"/>
      <c r="AQ397" s="30"/>
      <c r="AR397" s="30"/>
      <c r="AS397" s="92"/>
      <c r="AT397" s="155"/>
      <c r="AU397" s="155"/>
      <c r="AV397" s="106"/>
      <c r="AW397" s="106"/>
      <c r="AX397" s="30"/>
      <c r="AY397" s="107"/>
      <c r="AZ397" s="107"/>
      <c r="BA397" s="32"/>
    </row>
    <row r="398" spans="1:53">
      <c r="A398" s="7"/>
      <c r="B398" s="26" t="str">
        <f t="shared" si="95"/>
        <v/>
      </c>
      <c r="C398" s="42"/>
      <c r="D398" s="64"/>
      <c r="E398" s="69"/>
      <c r="F398" s="85"/>
      <c r="G398" s="60"/>
      <c r="H398" s="31"/>
      <c r="I398" s="42"/>
      <c r="J398" s="42"/>
      <c r="K398" s="42"/>
      <c r="L398" s="36"/>
      <c r="M398" s="41"/>
      <c r="N398" s="31"/>
      <c r="O398" s="31"/>
      <c r="P398" s="33"/>
      <c r="Q398" s="31" t="e">
        <f>LEFT(RIGHT(A398,LEN(A398)-FIND("-",A398)),MIN(SEARCH({"a","b","c","d","e","f","g","h","i","j","k","l","m","n","o","p","q","r","s","t","u","v","w","x","y","z"},RIGHT(A398,LEN(A398)-FIND("-",A398))&amp;"abcdefghijklmnopqrstuvwxyz"))-1)+1-1</f>
        <v>#VALUE!</v>
      </c>
      <c r="R398" s="32" t="e">
        <f t="shared" si="96"/>
        <v>#VALUE!</v>
      </c>
      <c r="S398" s="32" t="s">
        <v>1393</v>
      </c>
      <c r="T398" s="32"/>
      <c r="U398" s="17">
        <f t="shared" si="91"/>
        <v>0</v>
      </c>
      <c r="V398" s="17">
        <f t="shared" si="92"/>
        <v>0</v>
      </c>
      <c r="W398" s="56"/>
      <c r="X398" s="31"/>
      <c r="Y398" s="42"/>
      <c r="Z398" s="31"/>
      <c r="AA398" s="31"/>
      <c r="AB398" s="31"/>
      <c r="AC398" s="31"/>
      <c r="AD398" s="31"/>
      <c r="AE398" s="31"/>
      <c r="AF398" s="31"/>
      <c r="AG398" s="31"/>
      <c r="AH398" s="31"/>
      <c r="AI398" s="31"/>
      <c r="AJ398" s="31"/>
      <c r="AK398" s="31"/>
      <c r="AL398" s="31"/>
      <c r="AM398" s="31"/>
      <c r="AN398" s="32"/>
      <c r="AO398" s="32"/>
      <c r="AP398" s="30"/>
      <c r="AQ398" s="30"/>
      <c r="AR398" s="30"/>
      <c r="AS398" s="92"/>
      <c r="AT398" s="155"/>
      <c r="AU398" s="155"/>
      <c r="AV398" s="106"/>
      <c r="AW398" s="106"/>
      <c r="AX398" s="30"/>
      <c r="AY398" s="107"/>
      <c r="AZ398" s="107"/>
      <c r="BA398" s="32"/>
    </row>
    <row r="399" spans="1:53">
      <c r="A399" s="7"/>
      <c r="B399" s="26" t="str">
        <f t="shared" si="95"/>
        <v/>
      </c>
      <c r="C399" s="42"/>
      <c r="D399" s="64"/>
      <c r="E399" s="69"/>
      <c r="F399" s="85"/>
      <c r="G399" s="60"/>
      <c r="H399" s="31"/>
      <c r="I399" s="42"/>
      <c r="J399" s="42"/>
      <c r="K399" s="42"/>
      <c r="L399" s="36"/>
      <c r="M399" s="41"/>
      <c r="N399" s="31"/>
      <c r="O399" s="31"/>
      <c r="P399" s="33"/>
      <c r="Q399" s="31" t="e">
        <f>LEFT(RIGHT(A399,LEN(A399)-FIND("-",A399)),MIN(SEARCH({"a","b","c","d","e","f","g","h","i","j","k","l","m","n","o","p","q","r","s","t","u","v","w","x","y","z"},RIGHT(A399,LEN(A399)-FIND("-",A399))&amp;"abcdefghijklmnopqrstuvwxyz"))-1)+1-1</f>
        <v>#VALUE!</v>
      </c>
      <c r="R399" s="32" t="e">
        <f t="shared" si="96"/>
        <v>#VALUE!</v>
      </c>
      <c r="S399" s="32" t="s">
        <v>1393</v>
      </c>
      <c r="T399" s="32"/>
      <c r="U399" s="17">
        <f t="shared" si="91"/>
        <v>0</v>
      </c>
      <c r="V399" s="17">
        <f t="shared" si="92"/>
        <v>0</v>
      </c>
      <c r="W399" s="56"/>
      <c r="X399" s="31"/>
      <c r="Y399" s="42"/>
      <c r="Z399" s="31"/>
      <c r="AA399" s="31"/>
      <c r="AB399" s="31"/>
      <c r="AC399" s="31"/>
      <c r="AD399" s="31"/>
      <c r="AE399" s="31"/>
      <c r="AF399" s="31"/>
      <c r="AG399" s="31"/>
      <c r="AH399" s="31"/>
      <c r="AI399" s="31"/>
      <c r="AJ399" s="31"/>
      <c r="AK399" s="31"/>
      <c r="AL399" s="31"/>
      <c r="AM399" s="31"/>
      <c r="AN399" s="32"/>
      <c r="AO399" s="32"/>
      <c r="AP399" s="30"/>
      <c r="AQ399" s="30"/>
      <c r="AR399" s="30"/>
      <c r="AS399" s="92"/>
      <c r="AT399" s="155"/>
      <c r="AU399" s="155"/>
      <c r="AV399" s="106"/>
      <c r="AW399" s="106"/>
      <c r="AX399" s="30"/>
      <c r="AY399" s="107"/>
      <c r="AZ399" s="107"/>
      <c r="BA399" s="32"/>
    </row>
    <row r="400" spans="1:53">
      <c r="A400" s="7"/>
      <c r="B400" s="26" t="str">
        <f t="shared" si="95"/>
        <v/>
      </c>
      <c r="C400" s="42"/>
      <c r="D400" s="64"/>
      <c r="E400" s="69"/>
      <c r="F400" s="85"/>
      <c r="G400" s="60"/>
      <c r="H400" s="31"/>
      <c r="I400" s="42"/>
      <c r="J400" s="42"/>
      <c r="K400" s="42"/>
      <c r="L400" s="36"/>
      <c r="M400" s="41"/>
      <c r="N400" s="31"/>
      <c r="O400" s="31"/>
      <c r="P400" s="33"/>
      <c r="Q400" s="31" t="e">
        <f>LEFT(RIGHT(A400,LEN(A400)-FIND("-",A400)),MIN(SEARCH({"a","b","c","d","e","f","g","h","i","j","k","l","m","n","o","p","q","r","s","t","u","v","w","x","y","z"},RIGHT(A400,LEN(A400)-FIND("-",A400))&amp;"abcdefghijklmnopqrstuvwxyz"))-1)+1-1</f>
        <v>#VALUE!</v>
      </c>
      <c r="R400" s="32" t="e">
        <f t="shared" si="96"/>
        <v>#VALUE!</v>
      </c>
      <c r="S400" s="32" t="s">
        <v>1393</v>
      </c>
      <c r="T400" s="32"/>
      <c r="U400" s="17">
        <f t="shared" si="91"/>
        <v>0</v>
      </c>
      <c r="V400" s="17">
        <f t="shared" si="92"/>
        <v>0</v>
      </c>
      <c r="W400" s="56"/>
      <c r="X400" s="31"/>
      <c r="Y400" s="42"/>
      <c r="Z400" s="31"/>
      <c r="AA400" s="31"/>
      <c r="AB400" s="31"/>
      <c r="AC400" s="31"/>
      <c r="AD400" s="31"/>
      <c r="AE400" s="31"/>
      <c r="AF400" s="31"/>
      <c r="AG400" s="31"/>
      <c r="AH400" s="31"/>
      <c r="AI400" s="31"/>
      <c r="AJ400" s="31"/>
      <c r="AK400" s="31"/>
      <c r="AL400" s="31"/>
      <c r="AM400" s="31"/>
      <c r="AN400" s="32"/>
      <c r="AO400" s="32"/>
      <c r="AP400" s="30"/>
      <c r="AQ400" s="30"/>
      <c r="AR400" s="30"/>
      <c r="AS400" s="92"/>
      <c r="AT400" s="155"/>
      <c r="AU400" s="155"/>
      <c r="AV400" s="106"/>
      <c r="AW400" s="106"/>
      <c r="AX400" s="30"/>
      <c r="AY400" s="107"/>
      <c r="AZ400" s="107"/>
      <c r="BA400" s="32"/>
    </row>
    <row r="401" spans="1:53">
      <c r="A401" s="7"/>
      <c r="B401" s="26" t="str">
        <f t="shared" si="95"/>
        <v/>
      </c>
      <c r="C401" s="42"/>
      <c r="D401" s="64"/>
      <c r="E401" s="69"/>
      <c r="F401" s="85"/>
      <c r="G401" s="60"/>
      <c r="H401" s="31"/>
      <c r="I401" s="42"/>
      <c r="J401" s="42"/>
      <c r="K401" s="42"/>
      <c r="L401" s="36"/>
      <c r="M401" s="41"/>
      <c r="N401" s="31"/>
      <c r="O401" s="31"/>
      <c r="P401" s="33"/>
      <c r="Q401" s="31" t="e">
        <f>LEFT(RIGHT(A401,LEN(A401)-FIND("-",A401)),MIN(SEARCH({"a","b","c","d","e","f","g","h","i","j","k","l","m","n","o","p","q","r","s","t","u","v","w","x","y","z"},RIGHT(A401,LEN(A401)-FIND("-",A401))&amp;"abcdefghijklmnopqrstuvwxyz"))-1)+1-1</f>
        <v>#VALUE!</v>
      </c>
      <c r="R401" s="32" t="e">
        <f t="shared" si="96"/>
        <v>#VALUE!</v>
      </c>
      <c r="S401" s="32" t="s">
        <v>1393</v>
      </c>
      <c r="T401" s="32"/>
      <c r="U401" s="17">
        <f t="shared" si="91"/>
        <v>0</v>
      </c>
      <c r="V401" s="17">
        <f t="shared" si="92"/>
        <v>0</v>
      </c>
      <c r="W401" s="56"/>
      <c r="X401" s="31"/>
      <c r="Y401" s="42"/>
      <c r="Z401" s="31"/>
      <c r="AA401" s="31"/>
      <c r="AB401" s="31"/>
      <c r="AC401" s="31"/>
      <c r="AD401" s="31"/>
      <c r="AE401" s="31"/>
      <c r="AF401" s="31"/>
      <c r="AG401" s="31"/>
      <c r="AH401" s="31"/>
      <c r="AI401" s="31"/>
      <c r="AJ401" s="31"/>
      <c r="AK401" s="31"/>
      <c r="AL401" s="31"/>
      <c r="AM401" s="31"/>
      <c r="AN401" s="32"/>
      <c r="AO401" s="32"/>
      <c r="AP401" s="30"/>
      <c r="AQ401" s="30"/>
      <c r="AR401" s="30"/>
      <c r="AS401" s="92"/>
      <c r="AT401" s="155"/>
      <c r="AU401" s="155"/>
      <c r="AV401" s="106"/>
      <c r="AW401" s="106"/>
      <c r="AX401" s="30"/>
      <c r="AY401" s="107"/>
      <c r="AZ401" s="107"/>
      <c r="BA401" s="32"/>
    </row>
    <row r="402" spans="1:53">
      <c r="A402" s="7"/>
      <c r="B402" s="26" t="str">
        <f t="shared" si="95"/>
        <v/>
      </c>
      <c r="C402" s="42"/>
      <c r="D402" s="64"/>
      <c r="E402" s="69"/>
      <c r="F402" s="85"/>
      <c r="G402" s="60"/>
      <c r="H402" s="31"/>
      <c r="I402" s="42"/>
      <c r="J402" s="42"/>
      <c r="K402" s="42"/>
      <c r="L402" s="36"/>
      <c r="M402" s="41"/>
      <c r="N402" s="31"/>
      <c r="O402" s="31"/>
      <c r="P402" s="33"/>
      <c r="Q402" s="31" t="e">
        <f>LEFT(RIGHT(A402,LEN(A402)-FIND("-",A402)),MIN(SEARCH({"a","b","c","d","e","f","g","h","i","j","k","l","m","n","o","p","q","r","s","t","u","v","w","x","y","z"},RIGHT(A402,LEN(A402)-FIND("-",A402))&amp;"abcdefghijklmnopqrstuvwxyz"))-1)+1-1</f>
        <v>#VALUE!</v>
      </c>
      <c r="R402" s="32" t="e">
        <f t="shared" si="96"/>
        <v>#VALUE!</v>
      </c>
      <c r="S402" s="32" t="s">
        <v>1393</v>
      </c>
      <c r="T402" s="32"/>
      <c r="U402" s="17">
        <f t="shared" si="91"/>
        <v>0</v>
      </c>
      <c r="V402" s="17">
        <f t="shared" si="92"/>
        <v>0</v>
      </c>
      <c r="W402" s="56"/>
      <c r="X402" s="31"/>
      <c r="Y402" s="42"/>
      <c r="Z402" s="31"/>
      <c r="AA402" s="31"/>
      <c r="AB402" s="31"/>
      <c r="AC402" s="31"/>
      <c r="AD402" s="31"/>
      <c r="AE402" s="31"/>
      <c r="AF402" s="31"/>
      <c r="AG402" s="31"/>
      <c r="AH402" s="31"/>
      <c r="AI402" s="31"/>
      <c r="AJ402" s="31"/>
      <c r="AK402" s="31"/>
      <c r="AL402" s="31"/>
      <c r="AM402" s="31"/>
      <c r="AN402" s="32"/>
      <c r="AO402" s="32"/>
      <c r="AP402" s="30"/>
      <c r="AQ402" s="30"/>
      <c r="AR402" s="30"/>
      <c r="AS402" s="92"/>
      <c r="AT402" s="155"/>
      <c r="AU402" s="155"/>
      <c r="AV402" s="106"/>
      <c r="AW402" s="106"/>
      <c r="AX402" s="30"/>
      <c r="AY402" s="107"/>
      <c r="AZ402" s="107"/>
      <c r="BA402" s="32"/>
    </row>
    <row r="403" spans="1:53">
      <c r="A403" s="7"/>
      <c r="B403" s="26" t="str">
        <f t="shared" si="95"/>
        <v/>
      </c>
      <c r="C403" s="42"/>
      <c r="D403" s="64"/>
      <c r="E403" s="69"/>
      <c r="F403" s="85"/>
      <c r="G403" s="60"/>
      <c r="H403" s="31"/>
      <c r="I403" s="42"/>
      <c r="J403" s="42"/>
      <c r="K403" s="42"/>
      <c r="L403" s="36"/>
      <c r="M403" s="41"/>
      <c r="N403" s="31"/>
      <c r="O403" s="31"/>
      <c r="P403" s="33"/>
      <c r="Q403" s="31" t="e">
        <f>LEFT(RIGHT(A403,LEN(A403)-FIND("-",A403)),MIN(SEARCH({"a","b","c","d","e","f","g","h","i","j","k","l","m","n","o","p","q","r","s","t","u","v","w","x","y","z"},RIGHT(A403,LEN(A403)-FIND("-",A403))&amp;"abcdefghijklmnopqrstuvwxyz"))-1)+1-1</f>
        <v>#VALUE!</v>
      </c>
      <c r="R403" s="32" t="e">
        <f t="shared" si="96"/>
        <v>#VALUE!</v>
      </c>
      <c r="S403" s="32" t="s">
        <v>1393</v>
      </c>
      <c r="T403" s="32"/>
      <c r="U403" s="17">
        <f t="shared" si="91"/>
        <v>0</v>
      </c>
      <c r="V403" s="17">
        <f t="shared" si="92"/>
        <v>0</v>
      </c>
      <c r="W403" s="56"/>
      <c r="X403" s="31"/>
      <c r="Y403" s="42"/>
      <c r="Z403" s="31"/>
      <c r="AA403" s="31"/>
      <c r="AB403" s="31"/>
      <c r="AC403" s="31"/>
      <c r="AD403" s="31"/>
      <c r="AE403" s="31"/>
      <c r="AF403" s="31"/>
      <c r="AG403" s="31"/>
      <c r="AH403" s="31"/>
      <c r="AI403" s="31"/>
      <c r="AJ403" s="31"/>
      <c r="AK403" s="31"/>
      <c r="AL403" s="31"/>
      <c r="AM403" s="31"/>
      <c r="AN403" s="32"/>
      <c r="AO403" s="32"/>
      <c r="AP403" s="30"/>
      <c r="AQ403" s="30"/>
      <c r="AR403" s="30"/>
      <c r="AS403" s="92"/>
      <c r="AT403" s="155"/>
      <c r="AU403" s="155"/>
      <c r="AV403" s="106"/>
      <c r="AW403" s="106"/>
      <c r="AX403" s="30"/>
      <c r="AY403" s="107"/>
      <c r="AZ403" s="107"/>
      <c r="BA403" s="32"/>
    </row>
    <row r="404" spans="1:53">
      <c r="A404" s="7"/>
      <c r="B404" s="26" t="str">
        <f t="shared" si="95"/>
        <v/>
      </c>
      <c r="C404" s="42"/>
      <c r="D404" s="64"/>
      <c r="E404" s="69"/>
      <c r="F404" s="85"/>
      <c r="G404" s="60"/>
      <c r="H404" s="31"/>
      <c r="I404" s="42"/>
      <c r="J404" s="42"/>
      <c r="K404" s="42"/>
      <c r="L404" s="36"/>
      <c r="M404" s="41"/>
      <c r="N404" s="31"/>
      <c r="O404" s="31"/>
      <c r="P404" s="33"/>
      <c r="Q404" s="31" t="e">
        <f>LEFT(RIGHT(A404,LEN(A404)-FIND("-",A404)),MIN(SEARCH({"a","b","c","d","e","f","g","h","i","j","k","l","m","n","o","p","q","r","s","t","u","v","w","x","y","z"},RIGHT(A404,LEN(A404)-FIND("-",A404))&amp;"abcdefghijklmnopqrstuvwxyz"))-1)+1-1</f>
        <v>#VALUE!</v>
      </c>
      <c r="R404" s="32" t="e">
        <f t="shared" si="96"/>
        <v>#VALUE!</v>
      </c>
      <c r="S404" s="32" t="s">
        <v>1393</v>
      </c>
      <c r="T404" s="32"/>
      <c r="U404" s="17">
        <f t="shared" si="91"/>
        <v>0</v>
      </c>
      <c r="V404" s="17">
        <f t="shared" si="92"/>
        <v>0</v>
      </c>
      <c r="W404" s="56"/>
      <c r="X404" s="31"/>
      <c r="Y404" s="42"/>
      <c r="Z404" s="31"/>
      <c r="AA404" s="31"/>
      <c r="AB404" s="31"/>
      <c r="AC404" s="31"/>
      <c r="AD404" s="31"/>
      <c r="AE404" s="31"/>
      <c r="AF404" s="31"/>
      <c r="AG404" s="31"/>
      <c r="AH404" s="31"/>
      <c r="AI404" s="31"/>
      <c r="AJ404" s="31"/>
      <c r="AK404" s="31"/>
      <c r="AL404" s="31"/>
      <c r="AM404" s="31"/>
      <c r="AN404" s="32"/>
      <c r="AO404" s="32"/>
      <c r="AP404" s="30"/>
      <c r="AQ404" s="30"/>
      <c r="AR404" s="30"/>
      <c r="AS404" s="92"/>
      <c r="AT404" s="155"/>
      <c r="AU404" s="155"/>
      <c r="AV404" s="106"/>
      <c r="AW404" s="106"/>
      <c r="AX404" s="30"/>
      <c r="AY404" s="107"/>
      <c r="AZ404" s="107"/>
      <c r="BA404" s="32"/>
    </row>
    <row r="405" spans="1:53">
      <c r="A405" s="7"/>
      <c r="B405" s="26" t="str">
        <f t="shared" si="95"/>
        <v/>
      </c>
      <c r="C405" s="42"/>
      <c r="D405" s="64"/>
      <c r="E405" s="69"/>
      <c r="F405" s="85"/>
      <c r="G405" s="60"/>
      <c r="H405" s="31"/>
      <c r="I405" s="42"/>
      <c r="J405" s="42"/>
      <c r="K405" s="42"/>
      <c r="L405" s="36"/>
      <c r="M405" s="41"/>
      <c r="N405" s="31"/>
      <c r="O405" s="31"/>
      <c r="P405" s="33"/>
      <c r="Q405" s="31" t="e">
        <f>LEFT(RIGHT(A405,LEN(A405)-FIND("-",A405)),MIN(SEARCH({"a","b","c","d","e","f","g","h","i","j","k","l","m","n","o","p","q","r","s","t","u","v","w","x","y","z"},RIGHT(A405,LEN(A405)-FIND("-",A405))&amp;"abcdefghijklmnopqrstuvwxyz"))-1)+1-1</f>
        <v>#VALUE!</v>
      </c>
      <c r="R405" s="32" t="e">
        <f t="shared" si="96"/>
        <v>#VALUE!</v>
      </c>
      <c r="S405" s="32" t="s">
        <v>1393</v>
      </c>
      <c r="T405" s="32"/>
      <c r="U405" s="17">
        <f t="shared" si="91"/>
        <v>0</v>
      </c>
      <c r="V405" s="17">
        <f t="shared" si="92"/>
        <v>0</v>
      </c>
      <c r="W405" s="56"/>
      <c r="X405" s="31"/>
      <c r="Y405" s="42"/>
      <c r="Z405" s="31"/>
      <c r="AA405" s="31"/>
      <c r="AB405" s="31"/>
      <c r="AC405" s="31"/>
      <c r="AD405" s="31"/>
      <c r="AE405" s="31"/>
      <c r="AF405" s="31"/>
      <c r="AG405" s="31"/>
      <c r="AH405" s="31"/>
      <c r="AI405" s="31"/>
      <c r="AJ405" s="31"/>
      <c r="AK405" s="31"/>
      <c r="AL405" s="31"/>
      <c r="AM405" s="31"/>
      <c r="AN405" s="32"/>
      <c r="AO405" s="32"/>
      <c r="AP405" s="30"/>
      <c r="AQ405" s="30"/>
      <c r="AR405" s="30"/>
      <c r="AS405" s="92"/>
      <c r="AT405" s="155"/>
      <c r="AU405" s="155"/>
      <c r="AV405" s="106"/>
      <c r="AW405" s="106"/>
      <c r="AX405" s="30"/>
      <c r="AY405" s="107"/>
      <c r="AZ405" s="107"/>
      <c r="BA405" s="32"/>
    </row>
    <row r="406" spans="1:53">
      <c r="A406" s="7"/>
      <c r="B406" s="26" t="str">
        <f t="shared" si="95"/>
        <v/>
      </c>
      <c r="C406" s="42"/>
      <c r="D406" s="64"/>
      <c r="E406" s="69"/>
      <c r="F406" s="85"/>
      <c r="G406" s="60"/>
      <c r="H406" s="31"/>
      <c r="I406" s="42"/>
      <c r="J406" s="42"/>
      <c r="K406" s="42"/>
      <c r="L406" s="36"/>
      <c r="M406" s="41"/>
      <c r="N406" s="31"/>
      <c r="O406" s="31"/>
      <c r="P406" s="33"/>
      <c r="Q406" s="31" t="e">
        <f>LEFT(RIGHT(A406,LEN(A406)-FIND("-",A406)),MIN(SEARCH({"a","b","c","d","e","f","g","h","i","j","k","l","m","n","o","p","q","r","s","t","u","v","w","x","y","z"},RIGHT(A406,LEN(A406)-FIND("-",A406))&amp;"abcdefghijklmnopqrstuvwxyz"))-1)+1-1</f>
        <v>#VALUE!</v>
      </c>
      <c r="R406" s="32" t="e">
        <f t="shared" si="96"/>
        <v>#VALUE!</v>
      </c>
      <c r="S406" s="32" t="s">
        <v>1393</v>
      </c>
      <c r="T406" s="32"/>
      <c r="U406" s="17">
        <f t="shared" si="91"/>
        <v>0</v>
      </c>
      <c r="V406" s="17">
        <f t="shared" si="92"/>
        <v>0</v>
      </c>
      <c r="W406" s="56"/>
      <c r="X406" s="31"/>
      <c r="Y406" s="42"/>
      <c r="Z406" s="31"/>
      <c r="AA406" s="31"/>
      <c r="AB406" s="31"/>
      <c r="AC406" s="31"/>
      <c r="AD406" s="31"/>
      <c r="AE406" s="31"/>
      <c r="AF406" s="31"/>
      <c r="AG406" s="31"/>
      <c r="AH406" s="31"/>
      <c r="AI406" s="31"/>
      <c r="AJ406" s="31"/>
      <c r="AK406" s="31"/>
      <c r="AL406" s="31"/>
      <c r="AM406" s="31"/>
      <c r="AN406" s="32"/>
      <c r="AO406" s="32"/>
      <c r="AP406" s="30"/>
      <c r="AQ406" s="30"/>
      <c r="AR406" s="30"/>
      <c r="AS406" s="92"/>
      <c r="AT406" s="155"/>
      <c r="AU406" s="155"/>
      <c r="AV406" s="106"/>
      <c r="AW406" s="106"/>
      <c r="AX406" s="30"/>
      <c r="AY406" s="107"/>
      <c r="AZ406" s="107"/>
      <c r="BA406" s="32"/>
    </row>
    <row r="407" spans="1:53">
      <c r="A407" s="7"/>
      <c r="B407" s="26" t="str">
        <f t="shared" si="95"/>
        <v/>
      </c>
      <c r="C407" s="42"/>
      <c r="D407" s="64"/>
      <c r="E407" s="69"/>
      <c r="F407" s="85"/>
      <c r="G407" s="60"/>
      <c r="H407" s="31"/>
      <c r="I407" s="42"/>
      <c r="J407" s="42"/>
      <c r="K407" s="42"/>
      <c r="L407" s="36"/>
      <c r="M407" s="41"/>
      <c r="N407" s="31"/>
      <c r="O407" s="31"/>
      <c r="P407" s="33"/>
      <c r="Q407" s="31" t="e">
        <f>LEFT(RIGHT(A407,LEN(A407)-FIND("-",A407)),MIN(SEARCH({"a","b","c","d","e","f","g","h","i","j","k","l","m","n","o","p","q","r","s","t","u","v","w","x","y","z"},RIGHT(A407,LEN(A407)-FIND("-",A407))&amp;"abcdefghijklmnopqrstuvwxyz"))-1)+1-1</f>
        <v>#VALUE!</v>
      </c>
      <c r="R407" s="32" t="e">
        <f t="shared" si="96"/>
        <v>#VALUE!</v>
      </c>
      <c r="S407" s="32" t="s">
        <v>1393</v>
      </c>
      <c r="T407" s="32"/>
      <c r="U407" s="17">
        <f t="shared" si="91"/>
        <v>0</v>
      </c>
      <c r="V407" s="17">
        <f t="shared" si="92"/>
        <v>0</v>
      </c>
      <c r="W407" s="56"/>
      <c r="X407" s="31"/>
      <c r="Y407" s="42"/>
      <c r="Z407" s="31"/>
      <c r="AA407" s="31"/>
      <c r="AB407" s="31"/>
      <c r="AC407" s="31"/>
      <c r="AD407" s="31"/>
      <c r="AE407" s="31"/>
      <c r="AF407" s="31"/>
      <c r="AG407" s="31"/>
      <c r="AH407" s="31"/>
      <c r="AI407" s="31"/>
      <c r="AJ407" s="31"/>
      <c r="AK407" s="31"/>
      <c r="AL407" s="31"/>
      <c r="AM407" s="31"/>
      <c r="AN407" s="32"/>
      <c r="AO407" s="32"/>
      <c r="AP407" s="30"/>
      <c r="AQ407" s="30"/>
      <c r="AR407" s="30"/>
      <c r="AS407" s="92"/>
      <c r="AT407" s="155"/>
      <c r="AU407" s="155"/>
      <c r="AV407" s="106"/>
      <c r="AW407" s="106"/>
      <c r="AX407" s="30"/>
      <c r="AY407" s="107"/>
      <c r="AZ407" s="107"/>
      <c r="BA407" s="32"/>
    </row>
    <row r="408" spans="1:53">
      <c r="A408" s="7"/>
      <c r="B408" s="26" t="str">
        <f t="shared" si="95"/>
        <v/>
      </c>
      <c r="C408" s="42"/>
      <c r="D408" s="64"/>
      <c r="E408" s="69"/>
      <c r="F408" s="85"/>
      <c r="G408" s="60"/>
      <c r="H408" s="31"/>
      <c r="I408" s="42"/>
      <c r="J408" s="42"/>
      <c r="K408" s="42"/>
      <c r="L408" s="36"/>
      <c r="M408" s="41"/>
      <c r="N408" s="31"/>
      <c r="O408" s="31"/>
      <c r="P408" s="33"/>
      <c r="Q408" s="31" t="e">
        <f>LEFT(RIGHT(A408,LEN(A408)-FIND("-",A408)),MIN(SEARCH({"a","b","c","d","e","f","g","h","i","j","k","l","m","n","o","p","q","r","s","t","u","v","w","x","y","z"},RIGHT(A408,LEN(A408)-FIND("-",A408))&amp;"abcdefghijklmnopqrstuvwxyz"))-1)+1-1</f>
        <v>#VALUE!</v>
      </c>
      <c r="R408" s="32" t="e">
        <f t="shared" si="96"/>
        <v>#VALUE!</v>
      </c>
      <c r="S408" s="32" t="s">
        <v>1393</v>
      </c>
      <c r="T408" s="32"/>
      <c r="U408" s="17">
        <f t="shared" si="91"/>
        <v>0</v>
      </c>
      <c r="V408" s="17">
        <f t="shared" si="92"/>
        <v>0</v>
      </c>
      <c r="W408" s="56"/>
      <c r="X408" s="31"/>
      <c r="Y408" s="42"/>
      <c r="Z408" s="31"/>
      <c r="AA408" s="31"/>
      <c r="AB408" s="31"/>
      <c r="AC408" s="31"/>
      <c r="AD408" s="31"/>
      <c r="AE408" s="31"/>
      <c r="AF408" s="31"/>
      <c r="AG408" s="31"/>
      <c r="AH408" s="31"/>
      <c r="AI408" s="31"/>
      <c r="AJ408" s="31"/>
      <c r="AK408" s="31"/>
      <c r="AL408" s="31"/>
      <c r="AM408" s="31"/>
      <c r="AN408" s="32"/>
      <c r="AO408" s="32"/>
      <c r="AP408" s="30"/>
      <c r="AQ408" s="30"/>
      <c r="AR408" s="30"/>
      <c r="AS408" s="92"/>
      <c r="AT408" s="155"/>
      <c r="AU408" s="155"/>
      <c r="AV408" s="106"/>
      <c r="AW408" s="106"/>
      <c r="AX408" s="30"/>
      <c r="AY408" s="107"/>
      <c r="AZ408" s="107"/>
      <c r="BA408" s="32"/>
    </row>
    <row r="409" spans="1:53">
      <c r="A409" s="7"/>
      <c r="B409" s="26" t="str">
        <f t="shared" si="95"/>
        <v/>
      </c>
      <c r="C409" s="42"/>
      <c r="D409" s="64"/>
      <c r="E409" s="69"/>
      <c r="F409" s="85"/>
      <c r="G409" s="60"/>
      <c r="H409" s="31"/>
      <c r="I409" s="42"/>
      <c r="J409" s="42"/>
      <c r="K409" s="42"/>
      <c r="L409" s="36"/>
      <c r="M409" s="41"/>
      <c r="N409" s="31"/>
      <c r="O409" s="31"/>
      <c r="P409" s="33"/>
      <c r="Q409" s="31" t="e">
        <f>LEFT(RIGHT(A409,LEN(A409)-FIND("-",A409)),MIN(SEARCH({"a","b","c","d","e","f","g","h","i","j","k","l","m","n","o","p","q","r","s","t","u","v","w","x","y","z"},RIGHT(A409,LEN(A409)-FIND("-",A409))&amp;"abcdefghijklmnopqrstuvwxyz"))-1)+1-1</f>
        <v>#VALUE!</v>
      </c>
      <c r="R409" s="32" t="e">
        <f t="shared" si="96"/>
        <v>#VALUE!</v>
      </c>
      <c r="S409" s="32" t="s">
        <v>1393</v>
      </c>
      <c r="T409" s="32"/>
      <c r="U409" s="17">
        <f t="shared" si="91"/>
        <v>0</v>
      </c>
      <c r="V409" s="17">
        <f t="shared" si="92"/>
        <v>0</v>
      </c>
      <c r="W409" s="56"/>
      <c r="X409" s="31"/>
      <c r="Y409" s="42"/>
      <c r="Z409" s="31"/>
      <c r="AA409" s="31"/>
      <c r="AB409" s="31"/>
      <c r="AC409" s="31"/>
      <c r="AD409" s="31"/>
      <c r="AE409" s="31"/>
      <c r="AF409" s="31"/>
      <c r="AG409" s="31"/>
      <c r="AH409" s="31"/>
      <c r="AI409" s="31"/>
      <c r="AJ409" s="31"/>
      <c r="AK409" s="31"/>
      <c r="AL409" s="31"/>
      <c r="AM409" s="31"/>
      <c r="AN409" s="32"/>
      <c r="AO409" s="32"/>
      <c r="AP409" s="30"/>
      <c r="AQ409" s="30"/>
      <c r="AR409" s="30"/>
      <c r="AS409" s="92"/>
      <c r="AT409" s="155"/>
      <c r="AU409" s="155"/>
      <c r="AV409" s="106"/>
      <c r="AW409" s="106"/>
      <c r="AX409" s="30"/>
      <c r="AY409" s="107"/>
      <c r="AZ409" s="107"/>
      <c r="BA409" s="32"/>
    </row>
    <row r="410" spans="1:53">
      <c r="A410" s="7"/>
      <c r="B410" s="26" t="str">
        <f t="shared" si="95"/>
        <v/>
      </c>
      <c r="C410" s="42"/>
      <c r="D410" s="64"/>
      <c r="E410" s="69"/>
      <c r="F410" s="85"/>
      <c r="G410" s="60"/>
      <c r="H410" s="31"/>
      <c r="I410" s="42"/>
      <c r="J410" s="42"/>
      <c r="K410" s="42"/>
      <c r="L410" s="36"/>
      <c r="M410" s="41"/>
      <c r="N410" s="31"/>
      <c r="O410" s="31"/>
      <c r="P410" s="33"/>
      <c r="Q410" s="31" t="e">
        <f>LEFT(RIGHT(A410,LEN(A410)-FIND("-",A410)),MIN(SEARCH({"a","b","c","d","e","f","g","h","i","j","k","l","m","n","o","p","q","r","s","t","u","v","w","x","y","z"},RIGHT(A410,LEN(A410)-FIND("-",A410))&amp;"abcdefghijklmnopqrstuvwxyz"))-1)+1-1</f>
        <v>#VALUE!</v>
      </c>
      <c r="R410" s="32" t="e">
        <f t="shared" si="96"/>
        <v>#VALUE!</v>
      </c>
      <c r="S410" s="32" t="s">
        <v>1393</v>
      </c>
      <c r="T410" s="32"/>
      <c r="U410" s="17">
        <f t="shared" si="91"/>
        <v>0</v>
      </c>
      <c r="V410" s="17">
        <f t="shared" si="92"/>
        <v>0</v>
      </c>
      <c r="W410" s="56"/>
      <c r="X410" s="31"/>
      <c r="Y410" s="42"/>
      <c r="Z410" s="31"/>
      <c r="AA410" s="31"/>
      <c r="AB410" s="31"/>
      <c r="AC410" s="31"/>
      <c r="AD410" s="31"/>
      <c r="AE410" s="31"/>
      <c r="AF410" s="31"/>
      <c r="AG410" s="31"/>
      <c r="AH410" s="31"/>
      <c r="AI410" s="31"/>
      <c r="AJ410" s="31"/>
      <c r="AK410" s="31"/>
      <c r="AL410" s="31"/>
      <c r="AM410" s="31"/>
      <c r="AN410" s="32"/>
      <c r="AO410" s="32"/>
      <c r="AP410" s="30"/>
      <c r="AQ410" s="30"/>
      <c r="AR410" s="30"/>
      <c r="AS410" s="92"/>
      <c r="AT410" s="155"/>
      <c r="AU410" s="155"/>
      <c r="AV410" s="106"/>
      <c r="AW410" s="106"/>
      <c r="AX410" s="30"/>
      <c r="AY410" s="107"/>
      <c r="AZ410" s="107"/>
      <c r="BA410" s="32"/>
    </row>
    <row r="411" spans="1:53">
      <c r="A411" s="7"/>
      <c r="B411" s="26" t="str">
        <f t="shared" si="95"/>
        <v/>
      </c>
      <c r="C411" s="42"/>
      <c r="D411" s="64"/>
      <c r="E411" s="69"/>
      <c r="F411" s="85"/>
      <c r="G411" s="60"/>
      <c r="H411" s="31"/>
      <c r="I411" s="42"/>
      <c r="J411" s="42"/>
      <c r="K411" s="42"/>
      <c r="L411" s="36"/>
      <c r="M411" s="41"/>
      <c r="N411" s="31"/>
      <c r="O411" s="31"/>
      <c r="P411" s="33"/>
      <c r="Q411" s="31" t="e">
        <f>LEFT(RIGHT(A411,LEN(A411)-FIND("-",A411)),MIN(SEARCH({"a","b","c","d","e","f","g","h","i","j","k","l","m","n","o","p","q","r","s","t","u","v","w","x","y","z"},RIGHT(A411,LEN(A411)-FIND("-",A411))&amp;"abcdefghijklmnopqrstuvwxyz"))-1)+1-1</f>
        <v>#VALUE!</v>
      </c>
      <c r="R411" s="32" t="e">
        <f t="shared" si="96"/>
        <v>#VALUE!</v>
      </c>
      <c r="S411" s="32" t="s">
        <v>1393</v>
      </c>
      <c r="T411" s="32"/>
      <c r="U411" s="17">
        <f t="shared" si="91"/>
        <v>0</v>
      </c>
      <c r="V411" s="17">
        <f t="shared" si="92"/>
        <v>0</v>
      </c>
      <c r="W411" s="56"/>
      <c r="X411" s="31"/>
      <c r="Y411" s="42"/>
      <c r="Z411" s="31"/>
      <c r="AA411" s="31"/>
      <c r="AB411" s="31"/>
      <c r="AC411" s="31"/>
      <c r="AD411" s="31"/>
      <c r="AE411" s="31"/>
      <c r="AF411" s="31"/>
      <c r="AG411" s="31"/>
      <c r="AH411" s="31"/>
      <c r="AI411" s="31"/>
      <c r="AJ411" s="31"/>
      <c r="AK411" s="31"/>
      <c r="AL411" s="31"/>
      <c r="AM411" s="31"/>
      <c r="AN411" s="32"/>
      <c r="AO411" s="32"/>
      <c r="AP411" s="30"/>
      <c r="AQ411" s="30"/>
      <c r="AR411" s="30"/>
      <c r="AS411" s="92"/>
      <c r="AT411" s="155"/>
      <c r="AU411" s="155"/>
      <c r="AV411" s="106"/>
      <c r="AW411" s="106"/>
      <c r="AX411" s="30"/>
      <c r="AY411" s="107"/>
      <c r="AZ411" s="107"/>
      <c r="BA411" s="32"/>
    </row>
    <row r="412" spans="1:53">
      <c r="A412" s="7"/>
      <c r="B412" s="26" t="str">
        <f t="shared" si="95"/>
        <v/>
      </c>
      <c r="C412" s="42"/>
      <c r="D412" s="64"/>
      <c r="E412" s="69"/>
      <c r="F412" s="85"/>
      <c r="G412" s="60"/>
      <c r="H412" s="31"/>
      <c r="I412" s="42"/>
      <c r="J412" s="42"/>
      <c r="K412" s="42"/>
      <c r="L412" s="36"/>
      <c r="M412" s="41"/>
      <c r="N412" s="31"/>
      <c r="O412" s="31"/>
      <c r="P412" s="33"/>
      <c r="Q412" s="31" t="e">
        <f>LEFT(RIGHT(A412,LEN(A412)-FIND("-",A412)),MIN(SEARCH({"a","b","c","d","e","f","g","h","i","j","k","l","m","n","o","p","q","r","s","t","u","v","w","x","y","z"},RIGHT(A412,LEN(A412)-FIND("-",A412))&amp;"abcdefghijklmnopqrstuvwxyz"))-1)+1-1</f>
        <v>#VALUE!</v>
      </c>
      <c r="R412" s="32" t="e">
        <f t="shared" si="96"/>
        <v>#VALUE!</v>
      </c>
      <c r="S412" s="32" t="s">
        <v>1393</v>
      </c>
      <c r="T412" s="32"/>
      <c r="U412" s="17">
        <f t="shared" ref="U412:U475" si="97">AR412-AQ412</f>
        <v>0</v>
      </c>
      <c r="V412" s="17">
        <f t="shared" ref="V412:V475" si="98">MIN(AR412,AS412)-MAX(AP412,AQ412)</f>
        <v>0</v>
      </c>
      <c r="W412" s="56"/>
      <c r="X412" s="31"/>
      <c r="Y412" s="42"/>
      <c r="Z412" s="31"/>
      <c r="AA412" s="31"/>
      <c r="AB412" s="31"/>
      <c r="AC412" s="31"/>
      <c r="AD412" s="31"/>
      <c r="AE412" s="31"/>
      <c r="AF412" s="31"/>
      <c r="AG412" s="31"/>
      <c r="AH412" s="31"/>
      <c r="AI412" s="31"/>
      <c r="AJ412" s="31"/>
      <c r="AK412" s="31"/>
      <c r="AL412" s="31"/>
      <c r="AM412" s="31"/>
      <c r="AN412" s="32"/>
      <c r="AO412" s="32"/>
      <c r="AP412" s="30"/>
      <c r="AQ412" s="30"/>
      <c r="AR412" s="30"/>
      <c r="AS412" s="92"/>
      <c r="AT412" s="155"/>
      <c r="AU412" s="155"/>
      <c r="AV412" s="106"/>
      <c r="AW412" s="106"/>
      <c r="AX412" s="30"/>
      <c r="AY412" s="107"/>
      <c r="AZ412" s="107"/>
      <c r="BA412" s="32"/>
    </row>
    <row r="413" spans="1:53">
      <c r="A413" s="7"/>
      <c r="B413" s="26" t="str">
        <f t="shared" si="95"/>
        <v/>
      </c>
      <c r="C413" s="42"/>
      <c r="D413" s="64"/>
      <c r="E413" s="69"/>
      <c r="F413" s="85"/>
      <c r="G413" s="60"/>
      <c r="H413" s="31"/>
      <c r="I413" s="42"/>
      <c r="J413" s="42"/>
      <c r="K413" s="42"/>
      <c r="L413" s="36"/>
      <c r="M413" s="41"/>
      <c r="N413" s="31"/>
      <c r="O413" s="31"/>
      <c r="P413" s="33"/>
      <c r="Q413" s="31" t="e">
        <f>LEFT(RIGHT(A413,LEN(A413)-FIND("-",A413)),MIN(SEARCH({"a","b","c","d","e","f","g","h","i","j","k","l","m","n","o","p","q","r","s","t","u","v","w","x","y","z"},RIGHT(A413,LEN(A413)-FIND("-",A413))&amp;"abcdefghijklmnopqrstuvwxyz"))-1)+1-1</f>
        <v>#VALUE!</v>
      </c>
      <c r="R413" s="32" t="e">
        <f t="shared" si="96"/>
        <v>#VALUE!</v>
      </c>
      <c r="S413" s="32" t="s">
        <v>1393</v>
      </c>
      <c r="T413" s="32"/>
      <c r="U413" s="17">
        <f t="shared" si="97"/>
        <v>0</v>
      </c>
      <c r="V413" s="17">
        <f t="shared" si="98"/>
        <v>0</v>
      </c>
      <c r="W413" s="56"/>
      <c r="X413" s="31"/>
      <c r="Y413" s="42"/>
      <c r="Z413" s="31"/>
      <c r="AA413" s="31"/>
      <c r="AB413" s="31"/>
      <c r="AC413" s="31"/>
      <c r="AD413" s="31"/>
      <c r="AE413" s="31"/>
      <c r="AF413" s="31"/>
      <c r="AG413" s="31"/>
      <c r="AH413" s="31"/>
      <c r="AI413" s="31"/>
      <c r="AJ413" s="31"/>
      <c r="AK413" s="31"/>
      <c r="AL413" s="31"/>
      <c r="AM413" s="31"/>
      <c r="AN413" s="32"/>
      <c r="AO413" s="32"/>
      <c r="AP413" s="30"/>
      <c r="AQ413" s="30"/>
      <c r="AR413" s="30"/>
      <c r="AS413" s="92"/>
      <c r="AT413" s="155"/>
      <c r="AU413" s="155"/>
      <c r="AV413" s="106"/>
      <c r="AW413" s="106"/>
      <c r="AX413" s="30"/>
      <c r="AY413" s="107"/>
      <c r="AZ413" s="107"/>
      <c r="BA413" s="32"/>
    </row>
    <row r="414" spans="1:53">
      <c r="A414" s="7"/>
      <c r="B414" s="26" t="str">
        <f t="shared" si="95"/>
        <v/>
      </c>
      <c r="C414" s="42"/>
      <c r="D414" s="64"/>
      <c r="E414" s="69"/>
      <c r="F414" s="85"/>
      <c r="G414" s="60"/>
      <c r="H414" s="31"/>
      <c r="I414" s="42"/>
      <c r="J414" s="42"/>
      <c r="K414" s="42"/>
      <c r="L414" s="36"/>
      <c r="M414" s="41"/>
      <c r="N414" s="31"/>
      <c r="O414" s="31"/>
      <c r="P414" s="33"/>
      <c r="Q414" s="31" t="e">
        <f>LEFT(RIGHT(A414,LEN(A414)-FIND("-",A414)),MIN(SEARCH({"a","b","c","d","e","f","g","h","i","j","k","l","m","n","o","p","q","r","s","t","u","v","w","x","y","z"},RIGHT(A414,LEN(A414)-FIND("-",A414))&amp;"abcdefghijklmnopqrstuvwxyz"))-1)+1-1</f>
        <v>#VALUE!</v>
      </c>
      <c r="R414" s="32" t="e">
        <f t="shared" si="96"/>
        <v>#VALUE!</v>
      </c>
      <c r="S414" s="32" t="s">
        <v>1393</v>
      </c>
      <c r="T414" s="32"/>
      <c r="U414" s="17">
        <f t="shared" si="97"/>
        <v>0</v>
      </c>
      <c r="V414" s="17">
        <f t="shared" si="98"/>
        <v>0</v>
      </c>
      <c r="W414" s="56"/>
      <c r="X414" s="31"/>
      <c r="Y414" s="42"/>
      <c r="Z414" s="31"/>
      <c r="AA414" s="31"/>
      <c r="AB414" s="31"/>
      <c r="AC414" s="31"/>
      <c r="AD414" s="31"/>
      <c r="AE414" s="31"/>
      <c r="AF414" s="31"/>
      <c r="AG414" s="31"/>
      <c r="AH414" s="31"/>
      <c r="AI414" s="31"/>
      <c r="AJ414" s="31"/>
      <c r="AK414" s="31"/>
      <c r="AL414" s="31"/>
      <c r="AM414" s="31"/>
      <c r="AN414" s="32"/>
      <c r="AO414" s="32"/>
      <c r="AP414" s="30"/>
      <c r="AQ414" s="30"/>
      <c r="AR414" s="30"/>
      <c r="AS414" s="92"/>
      <c r="AT414" s="155"/>
      <c r="AU414" s="155"/>
      <c r="AV414" s="106"/>
      <c r="AW414" s="106"/>
      <c r="AX414" s="30"/>
      <c r="AY414" s="107"/>
      <c r="AZ414" s="107"/>
      <c r="BA414" s="32"/>
    </row>
    <row r="415" spans="1:53">
      <c r="A415" s="7"/>
      <c r="B415" s="26" t="str">
        <f t="shared" si="95"/>
        <v/>
      </c>
      <c r="C415" s="42"/>
      <c r="D415" s="64"/>
      <c r="E415" s="69"/>
      <c r="F415" s="85"/>
      <c r="G415" s="60"/>
      <c r="H415" s="31"/>
      <c r="I415" s="42"/>
      <c r="J415" s="42"/>
      <c r="K415" s="42"/>
      <c r="L415" s="36"/>
      <c r="M415" s="41"/>
      <c r="N415" s="31"/>
      <c r="O415" s="31"/>
      <c r="P415" s="33"/>
      <c r="Q415" s="31" t="e">
        <f>LEFT(RIGHT(A415,LEN(A415)-FIND("-",A415)),MIN(SEARCH({"a","b","c","d","e","f","g","h","i","j","k","l","m","n","o","p","q","r","s","t","u","v","w","x","y","z"},RIGHT(A415,LEN(A415)-FIND("-",A415))&amp;"abcdefghijklmnopqrstuvwxyz"))-1)+1-1</f>
        <v>#VALUE!</v>
      </c>
      <c r="R415" s="32" t="e">
        <f t="shared" si="96"/>
        <v>#VALUE!</v>
      </c>
      <c r="S415" s="32" t="s">
        <v>1393</v>
      </c>
      <c r="T415" s="32"/>
      <c r="U415" s="17">
        <f t="shared" si="97"/>
        <v>0</v>
      </c>
      <c r="V415" s="17">
        <f t="shared" si="98"/>
        <v>0</v>
      </c>
      <c r="W415" s="56"/>
      <c r="X415" s="31"/>
      <c r="Y415" s="42"/>
      <c r="Z415" s="31"/>
      <c r="AA415" s="31"/>
      <c r="AB415" s="31"/>
      <c r="AC415" s="31"/>
      <c r="AD415" s="31"/>
      <c r="AE415" s="31"/>
      <c r="AF415" s="31"/>
      <c r="AG415" s="31"/>
      <c r="AH415" s="31"/>
      <c r="AI415" s="31"/>
      <c r="AJ415" s="31"/>
      <c r="AK415" s="31"/>
      <c r="AL415" s="31"/>
      <c r="AM415" s="31"/>
      <c r="AN415" s="32"/>
      <c r="AO415" s="32"/>
      <c r="AP415" s="30"/>
      <c r="AQ415" s="30"/>
      <c r="AR415" s="30"/>
      <c r="AS415" s="92"/>
      <c r="AT415" s="155"/>
      <c r="AU415" s="155"/>
      <c r="AV415" s="106"/>
      <c r="AW415" s="106"/>
      <c r="AX415" s="30"/>
      <c r="AY415" s="107"/>
      <c r="AZ415" s="107"/>
      <c r="BA415" s="32"/>
    </row>
    <row r="416" spans="1:53">
      <c r="A416" s="7"/>
      <c r="B416" s="26" t="str">
        <f t="shared" si="95"/>
        <v/>
      </c>
      <c r="C416" s="42"/>
      <c r="D416" s="64"/>
      <c r="E416" s="69"/>
      <c r="F416" s="85"/>
      <c r="G416" s="60"/>
      <c r="H416" s="31"/>
      <c r="I416" s="42"/>
      <c r="J416" s="42"/>
      <c r="K416" s="42"/>
      <c r="L416" s="36"/>
      <c r="M416" s="41"/>
      <c r="N416" s="31"/>
      <c r="O416" s="31"/>
      <c r="P416" s="33"/>
      <c r="Q416" s="31" t="e">
        <f>LEFT(RIGHT(A416,LEN(A416)-FIND("-",A416)),MIN(SEARCH({"a","b","c","d","e","f","g","h","i","j","k","l","m","n","o","p","q","r","s","t","u","v","w","x","y","z"},RIGHT(A416,LEN(A416)-FIND("-",A416))&amp;"abcdefghijklmnopqrstuvwxyz"))-1)+1-1</f>
        <v>#VALUE!</v>
      </c>
      <c r="R416" s="32" t="e">
        <f t="shared" si="96"/>
        <v>#VALUE!</v>
      </c>
      <c r="S416" s="32" t="s">
        <v>1393</v>
      </c>
      <c r="T416" s="32"/>
      <c r="U416" s="17">
        <f t="shared" si="97"/>
        <v>0</v>
      </c>
      <c r="V416" s="17">
        <f t="shared" si="98"/>
        <v>0</v>
      </c>
      <c r="W416" s="56"/>
      <c r="X416" s="31"/>
      <c r="Y416" s="42"/>
      <c r="Z416" s="31"/>
      <c r="AA416" s="31"/>
      <c r="AB416" s="31"/>
      <c r="AC416" s="31"/>
      <c r="AD416" s="31"/>
      <c r="AE416" s="31"/>
      <c r="AF416" s="31"/>
      <c r="AG416" s="31"/>
      <c r="AH416" s="31"/>
      <c r="AI416" s="31"/>
      <c r="AJ416" s="31"/>
      <c r="AK416" s="31"/>
      <c r="AL416" s="31"/>
      <c r="AM416" s="31"/>
      <c r="AN416" s="32"/>
      <c r="AO416" s="32"/>
      <c r="AP416" s="30"/>
      <c r="AQ416" s="30"/>
      <c r="AR416" s="30"/>
      <c r="AS416" s="92"/>
      <c r="AT416" s="155"/>
      <c r="AU416" s="155"/>
      <c r="AV416" s="106"/>
      <c r="AW416" s="106"/>
      <c r="AX416" s="30"/>
      <c r="AY416" s="107"/>
      <c r="AZ416" s="107"/>
      <c r="BA416" s="32"/>
    </row>
    <row r="417" spans="1:53">
      <c r="A417" s="7"/>
      <c r="B417" s="26" t="str">
        <f t="shared" si="95"/>
        <v/>
      </c>
      <c r="C417" s="42"/>
      <c r="D417" s="64"/>
      <c r="E417" s="69"/>
      <c r="F417" s="85"/>
      <c r="G417" s="60"/>
      <c r="H417" s="31"/>
      <c r="I417" s="42"/>
      <c r="J417" s="42"/>
      <c r="K417" s="42"/>
      <c r="L417" s="36"/>
      <c r="M417" s="41"/>
      <c r="N417" s="31"/>
      <c r="O417" s="31"/>
      <c r="P417" s="33"/>
      <c r="Q417" s="31" t="e">
        <f>LEFT(RIGHT(A417,LEN(A417)-FIND("-",A417)),MIN(SEARCH({"a","b","c","d","e","f","g","h","i","j","k","l","m","n","o","p","q","r","s","t","u","v","w","x","y","z"},RIGHT(A417,LEN(A417)-FIND("-",A417))&amp;"abcdefghijklmnopqrstuvwxyz"))-1)+1-1</f>
        <v>#VALUE!</v>
      </c>
      <c r="R417" s="32" t="e">
        <f t="shared" si="96"/>
        <v>#VALUE!</v>
      </c>
      <c r="S417" s="32" t="s">
        <v>1393</v>
      </c>
      <c r="T417" s="32"/>
      <c r="U417" s="17">
        <f t="shared" si="97"/>
        <v>0</v>
      </c>
      <c r="V417" s="17">
        <f t="shared" si="98"/>
        <v>0</v>
      </c>
      <c r="W417" s="56"/>
      <c r="X417" s="31"/>
      <c r="Y417" s="42"/>
      <c r="Z417" s="31"/>
      <c r="AA417" s="31"/>
      <c r="AB417" s="31"/>
      <c r="AC417" s="31"/>
      <c r="AD417" s="31"/>
      <c r="AE417" s="31"/>
      <c r="AF417" s="31"/>
      <c r="AG417" s="31"/>
      <c r="AH417" s="31"/>
      <c r="AI417" s="31"/>
      <c r="AJ417" s="31"/>
      <c r="AK417" s="31"/>
      <c r="AL417" s="31"/>
      <c r="AM417" s="31"/>
      <c r="AN417" s="32"/>
      <c r="AO417" s="32"/>
      <c r="AP417" s="30"/>
      <c r="AQ417" s="30"/>
      <c r="AR417" s="30"/>
      <c r="AS417" s="92"/>
      <c r="AT417" s="155"/>
      <c r="AU417" s="155"/>
      <c r="AV417" s="106"/>
      <c r="AW417" s="106"/>
      <c r="AX417" s="30"/>
      <c r="AY417" s="107"/>
      <c r="AZ417" s="107"/>
      <c r="BA417" s="32"/>
    </row>
    <row r="418" spans="1:53">
      <c r="A418" s="7"/>
      <c r="B418" s="26" t="str">
        <f t="shared" si="95"/>
        <v/>
      </c>
      <c r="C418" s="42"/>
      <c r="D418" s="64"/>
      <c r="E418" s="69"/>
      <c r="F418" s="85"/>
      <c r="G418" s="60"/>
      <c r="H418" s="31"/>
      <c r="I418" s="42"/>
      <c r="J418" s="42"/>
      <c r="K418" s="42"/>
      <c r="L418" s="36"/>
      <c r="M418" s="41"/>
      <c r="N418" s="31"/>
      <c r="O418" s="31"/>
      <c r="P418" s="33"/>
      <c r="Q418" s="31" t="e">
        <f>LEFT(RIGHT(A418,LEN(A418)-FIND("-",A418)),MIN(SEARCH({"a","b","c","d","e","f","g","h","i","j","k","l","m","n","o","p","q","r","s","t","u","v","w","x","y","z"},RIGHT(A418,LEN(A418)-FIND("-",A418))&amp;"abcdefghijklmnopqrstuvwxyz"))-1)+1-1</f>
        <v>#VALUE!</v>
      </c>
      <c r="R418" s="32" t="e">
        <f t="shared" si="96"/>
        <v>#VALUE!</v>
      </c>
      <c r="S418" s="32" t="s">
        <v>1393</v>
      </c>
      <c r="T418" s="32"/>
      <c r="U418" s="17">
        <f t="shared" si="97"/>
        <v>0</v>
      </c>
      <c r="V418" s="17">
        <f t="shared" si="98"/>
        <v>0</v>
      </c>
      <c r="W418" s="56"/>
      <c r="X418" s="31"/>
      <c r="Y418" s="42"/>
      <c r="Z418" s="31"/>
      <c r="AA418" s="31"/>
      <c r="AB418" s="31"/>
      <c r="AC418" s="31"/>
      <c r="AD418" s="31"/>
      <c r="AE418" s="31"/>
      <c r="AF418" s="31"/>
      <c r="AG418" s="31"/>
      <c r="AH418" s="31"/>
      <c r="AI418" s="31"/>
      <c r="AJ418" s="31"/>
      <c r="AK418" s="31"/>
      <c r="AL418" s="31"/>
      <c r="AM418" s="31"/>
      <c r="AN418" s="32"/>
      <c r="AO418" s="32"/>
      <c r="AP418" s="30"/>
      <c r="AQ418" s="30"/>
      <c r="AR418" s="30"/>
      <c r="AS418" s="92"/>
      <c r="AT418" s="155"/>
      <c r="AU418" s="155"/>
      <c r="AV418" s="106"/>
      <c r="AW418" s="106"/>
      <c r="AX418" s="30"/>
      <c r="AY418" s="107"/>
      <c r="AZ418" s="107"/>
      <c r="BA418" s="32"/>
    </row>
    <row r="419" spans="1:53">
      <c r="A419" s="7"/>
      <c r="B419" s="26" t="str">
        <f t="shared" ref="B419:B450" si="99">LEFT(A419,2)</f>
        <v/>
      </c>
      <c r="C419" s="42"/>
      <c r="D419" s="64"/>
      <c r="E419" s="69"/>
      <c r="F419" s="85"/>
      <c r="G419" s="60"/>
      <c r="H419" s="31"/>
      <c r="I419" s="42"/>
      <c r="J419" s="42"/>
      <c r="K419" s="42"/>
      <c r="L419" s="36"/>
      <c r="M419" s="41"/>
      <c r="N419" s="31"/>
      <c r="O419" s="31"/>
      <c r="P419" s="33"/>
      <c r="Q419" s="31" t="e">
        <f>LEFT(RIGHT(A419,LEN(A419)-FIND("-",A419)),MIN(SEARCH({"a","b","c","d","e","f","g","h","i","j","k","l","m","n","o","p","q","r","s","t","u","v","w","x","y","z"},RIGHT(A419,LEN(A419)-FIND("-",A419))&amp;"abcdefghijklmnopqrstuvwxyz"))-1)+1-1</f>
        <v>#VALUE!</v>
      </c>
      <c r="R419" s="32" t="e">
        <f t="shared" ref="R419:R450" si="100">IF(OR(AND(Q419+1&gt;40,Q419+1&lt;=50),Q419&gt;51),"Wireless","")</f>
        <v>#VALUE!</v>
      </c>
      <c r="S419" s="32" t="s">
        <v>1393</v>
      </c>
      <c r="T419" s="32"/>
      <c r="U419" s="17">
        <f t="shared" si="97"/>
        <v>0</v>
      </c>
      <c r="V419" s="17">
        <f t="shared" si="98"/>
        <v>0</v>
      </c>
      <c r="W419" s="56"/>
      <c r="X419" s="31"/>
      <c r="Y419" s="42"/>
      <c r="Z419" s="31"/>
      <c r="AA419" s="31"/>
      <c r="AB419" s="31"/>
      <c r="AC419" s="31"/>
      <c r="AD419" s="31"/>
      <c r="AE419" s="31"/>
      <c r="AF419" s="31"/>
      <c r="AG419" s="31"/>
      <c r="AH419" s="31"/>
      <c r="AI419" s="31"/>
      <c r="AJ419" s="31"/>
      <c r="AK419" s="31"/>
      <c r="AL419" s="31"/>
      <c r="AM419" s="31"/>
      <c r="AN419" s="32"/>
      <c r="AO419" s="32"/>
      <c r="AP419" s="30"/>
      <c r="AQ419" s="30"/>
      <c r="AR419" s="30"/>
      <c r="AS419" s="92"/>
      <c r="AT419" s="155"/>
      <c r="AU419" s="155"/>
      <c r="AV419" s="106"/>
      <c r="AW419" s="106"/>
      <c r="AX419" s="30"/>
      <c r="AY419" s="107"/>
      <c r="AZ419" s="107"/>
      <c r="BA419" s="32"/>
    </row>
    <row r="420" spans="1:53">
      <c r="A420" s="7"/>
      <c r="B420" s="26" t="str">
        <f t="shared" si="99"/>
        <v/>
      </c>
      <c r="C420" s="42"/>
      <c r="D420" s="64"/>
      <c r="E420" s="69"/>
      <c r="F420" s="85"/>
      <c r="G420" s="60"/>
      <c r="H420" s="31"/>
      <c r="I420" s="42"/>
      <c r="J420" s="42"/>
      <c r="K420" s="42"/>
      <c r="L420" s="36"/>
      <c r="M420" s="41"/>
      <c r="N420" s="31"/>
      <c r="O420" s="31"/>
      <c r="P420" s="33"/>
      <c r="Q420" s="31" t="e">
        <f>LEFT(RIGHT(A420,LEN(A420)-FIND("-",A420)),MIN(SEARCH({"a","b","c","d","e","f","g","h","i","j","k","l","m","n","o","p","q","r","s","t","u","v","w","x","y","z"},RIGHT(A420,LEN(A420)-FIND("-",A420))&amp;"abcdefghijklmnopqrstuvwxyz"))-1)+1-1</f>
        <v>#VALUE!</v>
      </c>
      <c r="R420" s="32" t="e">
        <f t="shared" si="100"/>
        <v>#VALUE!</v>
      </c>
      <c r="S420" s="32" t="s">
        <v>1393</v>
      </c>
      <c r="T420" s="32"/>
      <c r="U420" s="17">
        <f t="shared" si="97"/>
        <v>0</v>
      </c>
      <c r="V420" s="17">
        <f t="shared" si="98"/>
        <v>0</v>
      </c>
      <c r="W420" s="56"/>
      <c r="X420" s="31"/>
      <c r="Y420" s="42"/>
      <c r="Z420" s="31"/>
      <c r="AA420" s="31"/>
      <c r="AB420" s="31"/>
      <c r="AC420" s="31"/>
      <c r="AD420" s="31"/>
      <c r="AE420" s="31"/>
      <c r="AF420" s="31"/>
      <c r="AG420" s="31"/>
      <c r="AH420" s="31"/>
      <c r="AI420" s="31"/>
      <c r="AJ420" s="31"/>
      <c r="AK420" s="31"/>
      <c r="AL420" s="31"/>
      <c r="AM420" s="31"/>
      <c r="AN420" s="32"/>
      <c r="AO420" s="32"/>
      <c r="AP420" s="30"/>
      <c r="AQ420" s="30"/>
      <c r="AR420" s="30"/>
      <c r="AS420" s="92"/>
      <c r="AT420" s="155"/>
      <c r="AU420" s="155"/>
      <c r="AV420" s="106"/>
      <c r="AW420" s="106"/>
      <c r="AX420" s="30"/>
      <c r="AY420" s="107"/>
      <c r="AZ420" s="107"/>
      <c r="BA420" s="32"/>
    </row>
    <row r="421" spans="1:53">
      <c r="A421" s="7"/>
      <c r="B421" s="26" t="str">
        <f t="shared" si="99"/>
        <v/>
      </c>
      <c r="C421" s="42"/>
      <c r="D421" s="64"/>
      <c r="E421" s="69"/>
      <c r="F421" s="85"/>
      <c r="G421" s="60"/>
      <c r="H421" s="31"/>
      <c r="I421" s="42"/>
      <c r="J421" s="42"/>
      <c r="K421" s="42"/>
      <c r="L421" s="36"/>
      <c r="M421" s="41"/>
      <c r="N421" s="31"/>
      <c r="O421" s="31"/>
      <c r="P421" s="33"/>
      <c r="Q421" s="31" t="e">
        <f>LEFT(RIGHT(A421,LEN(A421)-FIND("-",A421)),MIN(SEARCH({"a","b","c","d","e","f","g","h","i","j","k","l","m","n","o","p","q","r","s","t","u","v","w","x","y","z"},RIGHT(A421,LEN(A421)-FIND("-",A421))&amp;"abcdefghijklmnopqrstuvwxyz"))-1)+1-1</f>
        <v>#VALUE!</v>
      </c>
      <c r="R421" s="32" t="e">
        <f t="shared" si="100"/>
        <v>#VALUE!</v>
      </c>
      <c r="S421" s="32" t="s">
        <v>1393</v>
      </c>
      <c r="T421" s="32"/>
      <c r="U421" s="17">
        <f t="shared" si="97"/>
        <v>0</v>
      </c>
      <c r="V421" s="17">
        <f t="shared" si="98"/>
        <v>0</v>
      </c>
      <c r="W421" s="56"/>
      <c r="X421" s="31"/>
      <c r="Y421" s="42"/>
      <c r="Z421" s="31"/>
      <c r="AA421" s="31"/>
      <c r="AB421" s="31"/>
      <c r="AC421" s="31"/>
      <c r="AD421" s="31"/>
      <c r="AE421" s="31"/>
      <c r="AF421" s="31"/>
      <c r="AG421" s="31"/>
      <c r="AH421" s="31"/>
      <c r="AI421" s="31"/>
      <c r="AJ421" s="31"/>
      <c r="AK421" s="31"/>
      <c r="AL421" s="31"/>
      <c r="AM421" s="31"/>
      <c r="AN421" s="32"/>
      <c r="AO421" s="32"/>
      <c r="AP421" s="30"/>
      <c r="AQ421" s="30"/>
      <c r="AR421" s="30"/>
      <c r="AS421" s="92"/>
      <c r="AT421" s="155"/>
      <c r="AU421" s="155"/>
      <c r="AV421" s="106"/>
      <c r="AW421" s="106"/>
      <c r="AX421" s="30"/>
      <c r="AY421" s="107"/>
      <c r="AZ421" s="107"/>
      <c r="BA421" s="32"/>
    </row>
    <row r="422" spans="1:53">
      <c r="A422" s="7"/>
      <c r="B422" s="26" t="str">
        <f t="shared" si="99"/>
        <v/>
      </c>
      <c r="C422" s="42"/>
      <c r="D422" s="64"/>
      <c r="E422" s="69"/>
      <c r="F422" s="85"/>
      <c r="G422" s="60"/>
      <c r="H422" s="31"/>
      <c r="I422" s="42"/>
      <c r="J422" s="42"/>
      <c r="K422" s="42"/>
      <c r="L422" s="36"/>
      <c r="M422" s="41"/>
      <c r="N422" s="31"/>
      <c r="O422" s="31"/>
      <c r="P422" s="33"/>
      <c r="Q422" s="31" t="e">
        <f>LEFT(RIGHT(A422,LEN(A422)-FIND("-",A422)),MIN(SEARCH({"a","b","c","d","e","f","g","h","i","j","k","l","m","n","o","p","q","r","s","t","u","v","w","x","y","z"},RIGHT(A422,LEN(A422)-FIND("-",A422))&amp;"abcdefghijklmnopqrstuvwxyz"))-1)+1-1</f>
        <v>#VALUE!</v>
      </c>
      <c r="R422" s="32" t="e">
        <f t="shared" si="100"/>
        <v>#VALUE!</v>
      </c>
      <c r="S422" s="32" t="s">
        <v>1393</v>
      </c>
      <c r="T422" s="32"/>
      <c r="U422" s="17">
        <f t="shared" si="97"/>
        <v>0</v>
      </c>
      <c r="V422" s="17">
        <f t="shared" si="98"/>
        <v>0</v>
      </c>
      <c r="W422" s="56"/>
      <c r="X422" s="31"/>
      <c r="Y422" s="42"/>
      <c r="Z422" s="31"/>
      <c r="AA422" s="31"/>
      <c r="AB422" s="31"/>
      <c r="AC422" s="31"/>
      <c r="AD422" s="31"/>
      <c r="AE422" s="31"/>
      <c r="AF422" s="31"/>
      <c r="AG422" s="31"/>
      <c r="AH422" s="31"/>
      <c r="AI422" s="31"/>
      <c r="AJ422" s="31"/>
      <c r="AK422" s="31"/>
      <c r="AL422" s="31"/>
      <c r="AM422" s="31"/>
      <c r="AN422" s="32"/>
      <c r="AO422" s="32"/>
      <c r="AP422" s="30"/>
      <c r="AQ422" s="30"/>
      <c r="AR422" s="30"/>
      <c r="AS422" s="92"/>
      <c r="AT422" s="155"/>
      <c r="AU422" s="155"/>
      <c r="AV422" s="106"/>
      <c r="AW422" s="106"/>
      <c r="AX422" s="30"/>
      <c r="AY422" s="107"/>
      <c r="AZ422" s="107"/>
      <c r="BA422" s="32"/>
    </row>
    <row r="423" spans="1:53">
      <c r="A423" s="7"/>
      <c r="B423" s="26" t="str">
        <f t="shared" si="99"/>
        <v/>
      </c>
      <c r="C423" s="42"/>
      <c r="D423" s="64"/>
      <c r="E423" s="69"/>
      <c r="F423" s="85"/>
      <c r="G423" s="60"/>
      <c r="H423" s="31"/>
      <c r="I423" s="42"/>
      <c r="J423" s="42"/>
      <c r="K423" s="42"/>
      <c r="L423" s="36"/>
      <c r="M423" s="41"/>
      <c r="N423" s="31"/>
      <c r="O423" s="31"/>
      <c r="P423" s="33"/>
      <c r="Q423" s="31" t="e">
        <f>LEFT(RIGHT(A423,LEN(A423)-FIND("-",A423)),MIN(SEARCH({"a","b","c","d","e","f","g","h","i","j","k","l","m","n","o","p","q","r","s","t","u","v","w","x","y","z"},RIGHT(A423,LEN(A423)-FIND("-",A423))&amp;"abcdefghijklmnopqrstuvwxyz"))-1)+1-1</f>
        <v>#VALUE!</v>
      </c>
      <c r="R423" s="32" t="e">
        <f t="shared" si="100"/>
        <v>#VALUE!</v>
      </c>
      <c r="S423" s="32" t="s">
        <v>1393</v>
      </c>
      <c r="T423" s="32"/>
      <c r="U423" s="17">
        <f t="shared" si="97"/>
        <v>0</v>
      </c>
      <c r="V423" s="17">
        <f t="shared" si="98"/>
        <v>0</v>
      </c>
      <c r="W423" s="56"/>
      <c r="X423" s="31"/>
      <c r="Y423" s="42"/>
      <c r="Z423" s="31"/>
      <c r="AA423" s="31"/>
      <c r="AB423" s="31"/>
      <c r="AC423" s="31"/>
      <c r="AD423" s="31"/>
      <c r="AE423" s="31"/>
      <c r="AF423" s="31"/>
      <c r="AG423" s="31"/>
      <c r="AH423" s="31"/>
      <c r="AI423" s="31"/>
      <c r="AJ423" s="31"/>
      <c r="AK423" s="31"/>
      <c r="AL423" s="31"/>
      <c r="AM423" s="31"/>
      <c r="AN423" s="32"/>
      <c r="AO423" s="32"/>
      <c r="AP423" s="30"/>
      <c r="AQ423" s="30"/>
      <c r="AR423" s="30"/>
      <c r="AS423" s="92"/>
      <c r="AT423" s="155"/>
      <c r="AU423" s="155"/>
      <c r="AV423" s="106"/>
      <c r="AW423" s="106"/>
      <c r="AX423" s="30"/>
      <c r="AY423" s="107"/>
      <c r="AZ423" s="107"/>
      <c r="BA423" s="32"/>
    </row>
    <row r="424" spans="1:53">
      <c r="A424" s="7"/>
      <c r="B424" s="26" t="str">
        <f t="shared" si="99"/>
        <v/>
      </c>
      <c r="C424" s="42"/>
      <c r="D424" s="64"/>
      <c r="E424" s="69"/>
      <c r="F424" s="85"/>
      <c r="G424" s="60"/>
      <c r="H424" s="31"/>
      <c r="I424" s="42"/>
      <c r="J424" s="42"/>
      <c r="K424" s="42"/>
      <c r="L424" s="36"/>
      <c r="M424" s="41"/>
      <c r="N424" s="31"/>
      <c r="O424" s="31"/>
      <c r="P424" s="33"/>
      <c r="Q424" s="31" t="e">
        <f>LEFT(RIGHT(A424,LEN(A424)-FIND("-",A424)),MIN(SEARCH({"a","b","c","d","e","f","g","h","i","j","k","l","m","n","o","p","q","r","s","t","u","v","w","x","y","z"},RIGHT(A424,LEN(A424)-FIND("-",A424))&amp;"abcdefghijklmnopqrstuvwxyz"))-1)+1-1</f>
        <v>#VALUE!</v>
      </c>
      <c r="R424" s="32" t="e">
        <f t="shared" si="100"/>
        <v>#VALUE!</v>
      </c>
      <c r="S424" s="32" t="s">
        <v>1393</v>
      </c>
      <c r="T424" s="32"/>
      <c r="U424" s="17">
        <f t="shared" si="97"/>
        <v>0</v>
      </c>
      <c r="V424" s="17">
        <f t="shared" si="98"/>
        <v>0</v>
      </c>
      <c r="W424" s="56"/>
      <c r="X424" s="31"/>
      <c r="Y424" s="42"/>
      <c r="Z424" s="31"/>
      <c r="AA424" s="31"/>
      <c r="AB424" s="31"/>
      <c r="AC424" s="31"/>
      <c r="AD424" s="31"/>
      <c r="AE424" s="31"/>
      <c r="AF424" s="31"/>
      <c r="AG424" s="31"/>
      <c r="AH424" s="31"/>
      <c r="AI424" s="31"/>
      <c r="AJ424" s="31"/>
      <c r="AK424" s="31"/>
      <c r="AL424" s="31"/>
      <c r="AM424" s="31"/>
      <c r="AN424" s="32"/>
      <c r="AO424" s="32"/>
      <c r="AP424" s="30"/>
      <c r="AQ424" s="30"/>
      <c r="AR424" s="30"/>
      <c r="AS424" s="92"/>
      <c r="AT424" s="155"/>
      <c r="AU424" s="155"/>
      <c r="AV424" s="106"/>
      <c r="AW424" s="106"/>
      <c r="AX424" s="30"/>
      <c r="AY424" s="107"/>
      <c r="AZ424" s="107"/>
      <c r="BA424" s="32"/>
    </row>
    <row r="425" spans="1:53">
      <c r="A425" s="7"/>
      <c r="B425" s="26" t="str">
        <f t="shared" si="99"/>
        <v/>
      </c>
      <c r="C425" s="42"/>
      <c r="D425" s="64"/>
      <c r="E425" s="69"/>
      <c r="F425" s="85"/>
      <c r="G425" s="60"/>
      <c r="H425" s="31"/>
      <c r="I425" s="42"/>
      <c r="J425" s="42"/>
      <c r="K425" s="42"/>
      <c r="L425" s="36"/>
      <c r="M425" s="41"/>
      <c r="N425" s="31"/>
      <c r="O425" s="31"/>
      <c r="P425" s="33"/>
      <c r="Q425" s="31" t="e">
        <f>LEFT(RIGHT(A425,LEN(A425)-FIND("-",A425)),MIN(SEARCH({"a","b","c","d","e","f","g","h","i","j","k","l","m","n","o","p","q","r","s","t","u","v","w","x","y","z"},RIGHT(A425,LEN(A425)-FIND("-",A425))&amp;"abcdefghijklmnopqrstuvwxyz"))-1)+1-1</f>
        <v>#VALUE!</v>
      </c>
      <c r="R425" s="32" t="e">
        <f t="shared" si="100"/>
        <v>#VALUE!</v>
      </c>
      <c r="S425" s="32" t="s">
        <v>1393</v>
      </c>
      <c r="T425" s="32"/>
      <c r="U425" s="17">
        <f t="shared" si="97"/>
        <v>0</v>
      </c>
      <c r="V425" s="17">
        <f t="shared" si="98"/>
        <v>0</v>
      </c>
      <c r="W425" s="56"/>
      <c r="X425" s="31"/>
      <c r="Y425" s="42"/>
      <c r="Z425" s="31"/>
      <c r="AA425" s="31"/>
      <c r="AB425" s="31"/>
      <c r="AC425" s="31"/>
      <c r="AD425" s="31"/>
      <c r="AE425" s="31"/>
      <c r="AF425" s="31"/>
      <c r="AG425" s="31"/>
      <c r="AH425" s="31"/>
      <c r="AI425" s="31"/>
      <c r="AJ425" s="31"/>
      <c r="AK425" s="31"/>
      <c r="AL425" s="31"/>
      <c r="AM425" s="31"/>
      <c r="AN425" s="32"/>
      <c r="AO425" s="32"/>
      <c r="AP425" s="30"/>
      <c r="AQ425" s="30"/>
      <c r="AR425" s="30"/>
      <c r="AS425" s="92"/>
      <c r="AT425" s="155"/>
      <c r="AU425" s="155"/>
      <c r="AV425" s="106"/>
      <c r="AW425" s="106"/>
      <c r="AX425" s="30"/>
      <c r="AY425" s="107"/>
      <c r="AZ425" s="107"/>
      <c r="BA425" s="32"/>
    </row>
    <row r="426" spans="1:53">
      <c r="A426" s="7"/>
      <c r="B426" s="26" t="str">
        <f t="shared" si="99"/>
        <v/>
      </c>
      <c r="C426" s="42"/>
      <c r="D426" s="64"/>
      <c r="E426" s="69"/>
      <c r="F426" s="85"/>
      <c r="G426" s="60"/>
      <c r="H426" s="31"/>
      <c r="I426" s="42"/>
      <c r="J426" s="42"/>
      <c r="K426" s="42"/>
      <c r="L426" s="36"/>
      <c r="M426" s="41"/>
      <c r="N426" s="31"/>
      <c r="O426" s="31"/>
      <c r="P426" s="33"/>
      <c r="Q426" s="31" t="e">
        <f>LEFT(RIGHT(A426,LEN(A426)-FIND("-",A426)),MIN(SEARCH({"a","b","c","d","e","f","g","h","i","j","k","l","m","n","o","p","q","r","s","t","u","v","w","x","y","z"},RIGHT(A426,LEN(A426)-FIND("-",A426))&amp;"abcdefghijklmnopqrstuvwxyz"))-1)+1-1</f>
        <v>#VALUE!</v>
      </c>
      <c r="R426" s="32" t="e">
        <f t="shared" si="100"/>
        <v>#VALUE!</v>
      </c>
      <c r="S426" s="32" t="s">
        <v>1393</v>
      </c>
      <c r="T426" s="32"/>
      <c r="U426" s="17">
        <f t="shared" si="97"/>
        <v>0</v>
      </c>
      <c r="V426" s="17">
        <f t="shared" si="98"/>
        <v>0</v>
      </c>
      <c r="W426" s="56"/>
      <c r="X426" s="31"/>
      <c r="Y426" s="42"/>
      <c r="Z426" s="31"/>
      <c r="AA426" s="31"/>
      <c r="AB426" s="31"/>
      <c r="AC426" s="31"/>
      <c r="AD426" s="31"/>
      <c r="AE426" s="31"/>
      <c r="AF426" s="31"/>
      <c r="AG426" s="31"/>
      <c r="AH426" s="31"/>
      <c r="AI426" s="31"/>
      <c r="AJ426" s="31"/>
      <c r="AK426" s="31"/>
      <c r="AL426" s="31"/>
      <c r="AM426" s="31"/>
      <c r="AN426" s="32"/>
      <c r="AO426" s="32"/>
      <c r="AP426" s="30"/>
      <c r="AQ426" s="30"/>
      <c r="AR426" s="30"/>
      <c r="AS426" s="92"/>
      <c r="AT426" s="155"/>
      <c r="AU426" s="155"/>
      <c r="AV426" s="106"/>
      <c r="AW426" s="106"/>
      <c r="AX426" s="30"/>
      <c r="AY426" s="107"/>
      <c r="AZ426" s="107"/>
      <c r="BA426" s="32"/>
    </row>
    <row r="427" spans="1:53">
      <c r="A427" s="7"/>
      <c r="B427" s="26" t="str">
        <f t="shared" si="99"/>
        <v/>
      </c>
      <c r="C427" s="42"/>
      <c r="D427" s="64"/>
      <c r="E427" s="69"/>
      <c r="F427" s="85"/>
      <c r="G427" s="60"/>
      <c r="H427" s="31"/>
      <c r="I427" s="42"/>
      <c r="J427" s="42"/>
      <c r="K427" s="42"/>
      <c r="L427" s="36"/>
      <c r="M427" s="41"/>
      <c r="N427" s="31"/>
      <c r="O427" s="31"/>
      <c r="P427" s="33"/>
      <c r="Q427" s="31" t="e">
        <f>LEFT(RIGHT(A427,LEN(A427)-FIND("-",A427)),MIN(SEARCH({"a","b","c","d","e","f","g","h","i","j","k","l","m","n","o","p","q","r","s","t","u","v","w","x","y","z"},RIGHT(A427,LEN(A427)-FIND("-",A427))&amp;"abcdefghijklmnopqrstuvwxyz"))-1)+1-1</f>
        <v>#VALUE!</v>
      </c>
      <c r="R427" s="32" t="e">
        <f t="shared" si="100"/>
        <v>#VALUE!</v>
      </c>
      <c r="S427" s="32" t="s">
        <v>1393</v>
      </c>
      <c r="T427" s="32"/>
      <c r="U427" s="17">
        <f t="shared" si="97"/>
        <v>0</v>
      </c>
      <c r="V427" s="17">
        <f t="shared" si="98"/>
        <v>0</v>
      </c>
      <c r="W427" s="56"/>
      <c r="X427" s="31"/>
      <c r="Y427" s="42"/>
      <c r="Z427" s="31"/>
      <c r="AA427" s="31"/>
      <c r="AB427" s="31"/>
      <c r="AC427" s="31"/>
      <c r="AD427" s="31"/>
      <c r="AE427" s="31"/>
      <c r="AF427" s="31"/>
      <c r="AG427" s="31"/>
      <c r="AH427" s="31"/>
      <c r="AI427" s="31"/>
      <c r="AJ427" s="31"/>
      <c r="AK427" s="31"/>
      <c r="AL427" s="31"/>
      <c r="AM427" s="31"/>
      <c r="AN427" s="32"/>
      <c r="AO427" s="32"/>
      <c r="AP427" s="30"/>
      <c r="AQ427" s="30"/>
      <c r="AR427" s="30"/>
      <c r="AS427" s="92"/>
      <c r="AT427" s="155"/>
      <c r="AU427" s="155"/>
      <c r="AV427" s="106"/>
      <c r="AW427" s="106"/>
      <c r="AX427" s="30"/>
      <c r="AY427" s="107"/>
      <c r="AZ427" s="107"/>
      <c r="BA427" s="32"/>
    </row>
    <row r="428" spans="1:53">
      <c r="A428" s="7"/>
      <c r="B428" s="26" t="str">
        <f t="shared" si="99"/>
        <v/>
      </c>
      <c r="C428" s="42"/>
      <c r="D428" s="64"/>
      <c r="E428" s="69"/>
      <c r="F428" s="85"/>
      <c r="G428" s="60"/>
      <c r="H428" s="31"/>
      <c r="I428" s="42"/>
      <c r="J428" s="42"/>
      <c r="K428" s="42"/>
      <c r="L428" s="36"/>
      <c r="M428" s="41"/>
      <c r="N428" s="31"/>
      <c r="O428" s="31"/>
      <c r="P428" s="33"/>
      <c r="Q428" s="31" t="e">
        <f>LEFT(RIGHT(A428,LEN(A428)-FIND("-",A428)),MIN(SEARCH({"a","b","c","d","e","f","g","h","i","j","k","l","m","n","o","p","q","r","s","t","u","v","w","x","y","z"},RIGHT(A428,LEN(A428)-FIND("-",A428))&amp;"abcdefghijklmnopqrstuvwxyz"))-1)+1-1</f>
        <v>#VALUE!</v>
      </c>
      <c r="R428" s="32" t="e">
        <f t="shared" si="100"/>
        <v>#VALUE!</v>
      </c>
      <c r="S428" s="32" t="s">
        <v>1393</v>
      </c>
      <c r="T428" s="32"/>
      <c r="U428" s="17">
        <f t="shared" si="97"/>
        <v>0</v>
      </c>
      <c r="V428" s="17">
        <f t="shared" si="98"/>
        <v>0</v>
      </c>
      <c r="W428" s="56"/>
      <c r="X428" s="31"/>
      <c r="Y428" s="42"/>
      <c r="Z428" s="31"/>
      <c r="AA428" s="31"/>
      <c r="AB428" s="31"/>
      <c r="AC428" s="31"/>
      <c r="AD428" s="31"/>
      <c r="AE428" s="31"/>
      <c r="AF428" s="31"/>
      <c r="AG428" s="31"/>
      <c r="AH428" s="31"/>
      <c r="AI428" s="31"/>
      <c r="AJ428" s="31"/>
      <c r="AK428" s="31"/>
      <c r="AL428" s="31"/>
      <c r="AM428" s="31"/>
      <c r="AN428" s="32"/>
      <c r="AO428" s="32"/>
      <c r="AP428" s="30"/>
      <c r="AQ428" s="30"/>
      <c r="AR428" s="30"/>
      <c r="AS428" s="92"/>
      <c r="AT428" s="155"/>
      <c r="AU428" s="155"/>
      <c r="AV428" s="106"/>
      <c r="AW428" s="106"/>
      <c r="AX428" s="30"/>
      <c r="AY428" s="107"/>
      <c r="AZ428" s="107"/>
      <c r="BA428" s="32"/>
    </row>
    <row r="429" spans="1:53">
      <c r="A429" s="7"/>
      <c r="B429" s="26" t="str">
        <f t="shared" si="99"/>
        <v/>
      </c>
      <c r="C429" s="42"/>
      <c r="D429" s="64"/>
      <c r="E429" s="69"/>
      <c r="F429" s="85"/>
      <c r="G429" s="60"/>
      <c r="H429" s="31"/>
      <c r="I429" s="42"/>
      <c r="J429" s="42"/>
      <c r="K429" s="42"/>
      <c r="L429" s="36"/>
      <c r="M429" s="41"/>
      <c r="N429" s="31"/>
      <c r="O429" s="31"/>
      <c r="P429" s="33"/>
      <c r="Q429" s="31" t="e">
        <f>LEFT(RIGHT(A429,LEN(A429)-FIND("-",A429)),MIN(SEARCH({"a","b","c","d","e","f","g","h","i","j","k","l","m","n","o","p","q","r","s","t","u","v","w","x","y","z"},RIGHT(A429,LEN(A429)-FIND("-",A429))&amp;"abcdefghijklmnopqrstuvwxyz"))-1)+1-1</f>
        <v>#VALUE!</v>
      </c>
      <c r="R429" s="32" t="e">
        <f t="shared" si="100"/>
        <v>#VALUE!</v>
      </c>
      <c r="S429" s="32" t="s">
        <v>1393</v>
      </c>
      <c r="T429" s="32"/>
      <c r="U429" s="17">
        <f t="shared" si="97"/>
        <v>0</v>
      </c>
      <c r="V429" s="17">
        <f t="shared" si="98"/>
        <v>0</v>
      </c>
      <c r="W429" s="56"/>
      <c r="X429" s="31"/>
      <c r="Y429" s="42"/>
      <c r="Z429" s="31"/>
      <c r="AA429" s="31"/>
      <c r="AB429" s="31"/>
      <c r="AC429" s="31"/>
      <c r="AD429" s="31"/>
      <c r="AE429" s="31"/>
      <c r="AF429" s="31"/>
      <c r="AG429" s="31"/>
      <c r="AH429" s="31"/>
      <c r="AI429" s="31"/>
      <c r="AJ429" s="31"/>
      <c r="AK429" s="31"/>
      <c r="AL429" s="31"/>
      <c r="AM429" s="31"/>
      <c r="AN429" s="32"/>
      <c r="AO429" s="32"/>
      <c r="AP429" s="30"/>
      <c r="AQ429" s="30"/>
      <c r="AR429" s="30"/>
      <c r="AS429" s="92"/>
      <c r="AT429" s="155"/>
      <c r="AU429" s="155"/>
      <c r="AV429" s="106"/>
      <c r="AW429" s="106"/>
      <c r="AX429" s="30"/>
      <c r="AY429" s="107"/>
      <c r="AZ429" s="107"/>
      <c r="BA429" s="32"/>
    </row>
    <row r="430" spans="1:53">
      <c r="A430" s="7"/>
      <c r="B430" s="26" t="str">
        <f t="shared" si="99"/>
        <v/>
      </c>
      <c r="C430" s="42"/>
      <c r="D430" s="64"/>
      <c r="E430" s="69"/>
      <c r="F430" s="85"/>
      <c r="G430" s="60"/>
      <c r="H430" s="31"/>
      <c r="I430" s="42"/>
      <c r="J430" s="42"/>
      <c r="K430" s="42"/>
      <c r="L430" s="36"/>
      <c r="M430" s="41"/>
      <c r="N430" s="31"/>
      <c r="O430" s="31"/>
      <c r="P430" s="33"/>
      <c r="Q430" s="31" t="e">
        <f>LEFT(RIGHT(A430,LEN(A430)-FIND("-",A430)),MIN(SEARCH({"a","b","c","d","e","f","g","h","i","j","k","l","m","n","o","p","q","r","s","t","u","v","w","x","y","z"},RIGHT(A430,LEN(A430)-FIND("-",A430))&amp;"abcdefghijklmnopqrstuvwxyz"))-1)+1-1</f>
        <v>#VALUE!</v>
      </c>
      <c r="R430" s="32" t="e">
        <f t="shared" si="100"/>
        <v>#VALUE!</v>
      </c>
      <c r="S430" s="32" t="s">
        <v>1393</v>
      </c>
      <c r="T430" s="32"/>
      <c r="U430" s="17">
        <f t="shared" si="97"/>
        <v>0</v>
      </c>
      <c r="V430" s="17">
        <f t="shared" si="98"/>
        <v>0</v>
      </c>
      <c r="W430" s="56"/>
      <c r="X430" s="31"/>
      <c r="Y430" s="42"/>
      <c r="Z430" s="31"/>
      <c r="AA430" s="31"/>
      <c r="AB430" s="31"/>
      <c r="AC430" s="31"/>
      <c r="AD430" s="31"/>
      <c r="AE430" s="31"/>
      <c r="AF430" s="31"/>
      <c r="AG430" s="31"/>
      <c r="AH430" s="31"/>
      <c r="AI430" s="31"/>
      <c r="AJ430" s="31"/>
      <c r="AK430" s="31"/>
      <c r="AL430" s="31"/>
      <c r="AM430" s="31"/>
      <c r="AN430" s="32"/>
      <c r="AO430" s="32"/>
      <c r="AP430" s="30"/>
      <c r="AQ430" s="30"/>
      <c r="AR430" s="30"/>
      <c r="AS430" s="92"/>
      <c r="AT430" s="155"/>
      <c r="AU430" s="155"/>
      <c r="AV430" s="106"/>
      <c r="AW430" s="106"/>
      <c r="AX430" s="30"/>
      <c r="AY430" s="107"/>
      <c r="AZ430" s="107"/>
      <c r="BA430" s="32"/>
    </row>
    <row r="431" spans="1:53">
      <c r="A431" s="7"/>
      <c r="B431" s="26" t="str">
        <f t="shared" si="99"/>
        <v/>
      </c>
      <c r="C431" s="42"/>
      <c r="D431" s="64"/>
      <c r="E431" s="69"/>
      <c r="F431" s="85"/>
      <c r="G431" s="60"/>
      <c r="H431" s="31"/>
      <c r="I431" s="42"/>
      <c r="J431" s="42"/>
      <c r="K431" s="42"/>
      <c r="L431" s="36"/>
      <c r="M431" s="41"/>
      <c r="N431" s="31"/>
      <c r="O431" s="31"/>
      <c r="P431" s="33"/>
      <c r="Q431" s="31" t="e">
        <f>LEFT(RIGHT(A431,LEN(A431)-FIND("-",A431)),MIN(SEARCH({"a","b","c","d","e","f","g","h","i","j","k","l","m","n","o","p","q","r","s","t","u","v","w","x","y","z"},RIGHT(A431,LEN(A431)-FIND("-",A431))&amp;"abcdefghijklmnopqrstuvwxyz"))-1)+1-1</f>
        <v>#VALUE!</v>
      </c>
      <c r="R431" s="32" t="e">
        <f t="shared" si="100"/>
        <v>#VALUE!</v>
      </c>
      <c r="S431" s="32" t="s">
        <v>1393</v>
      </c>
      <c r="T431" s="32"/>
      <c r="U431" s="17">
        <f t="shared" si="97"/>
        <v>0</v>
      </c>
      <c r="V431" s="17">
        <f t="shared" si="98"/>
        <v>0</v>
      </c>
      <c r="W431" s="56"/>
      <c r="X431" s="31"/>
      <c r="Y431" s="42"/>
      <c r="Z431" s="31"/>
      <c r="AA431" s="31"/>
      <c r="AB431" s="31"/>
      <c r="AC431" s="31"/>
      <c r="AD431" s="31"/>
      <c r="AE431" s="31"/>
      <c r="AF431" s="31"/>
      <c r="AG431" s="31"/>
      <c r="AH431" s="31"/>
      <c r="AI431" s="31"/>
      <c r="AJ431" s="31"/>
      <c r="AK431" s="31"/>
      <c r="AL431" s="31"/>
      <c r="AM431" s="31"/>
      <c r="AN431" s="32"/>
      <c r="AO431" s="32"/>
      <c r="AP431" s="30"/>
      <c r="AQ431" s="30"/>
      <c r="AR431" s="30"/>
      <c r="AS431" s="92"/>
      <c r="AT431" s="155"/>
      <c r="AU431" s="155"/>
      <c r="AV431" s="106"/>
      <c r="AW431" s="106"/>
      <c r="AX431" s="30"/>
      <c r="AY431" s="107"/>
      <c r="AZ431" s="107"/>
      <c r="BA431" s="32"/>
    </row>
    <row r="432" spans="1:53">
      <c r="A432" s="7"/>
      <c r="B432" s="26" t="str">
        <f t="shared" si="99"/>
        <v/>
      </c>
      <c r="C432" s="42"/>
      <c r="D432" s="64"/>
      <c r="E432" s="69"/>
      <c r="F432" s="85"/>
      <c r="G432" s="60"/>
      <c r="H432" s="31"/>
      <c r="I432" s="42"/>
      <c r="J432" s="42"/>
      <c r="K432" s="42"/>
      <c r="L432" s="36"/>
      <c r="M432" s="41"/>
      <c r="N432" s="31"/>
      <c r="O432" s="31"/>
      <c r="P432" s="33"/>
      <c r="Q432" s="31" t="e">
        <f>LEFT(RIGHT(A432,LEN(A432)-FIND("-",A432)),MIN(SEARCH({"a","b","c","d","e","f","g","h","i","j","k","l","m","n","o","p","q","r","s","t","u","v","w","x","y","z"},RIGHT(A432,LEN(A432)-FIND("-",A432))&amp;"abcdefghijklmnopqrstuvwxyz"))-1)+1-1</f>
        <v>#VALUE!</v>
      </c>
      <c r="R432" s="32" t="e">
        <f t="shared" si="100"/>
        <v>#VALUE!</v>
      </c>
      <c r="S432" s="32" t="s">
        <v>1393</v>
      </c>
      <c r="T432" s="32"/>
      <c r="U432" s="17">
        <f t="shared" si="97"/>
        <v>0</v>
      </c>
      <c r="V432" s="17">
        <f t="shared" si="98"/>
        <v>0</v>
      </c>
      <c r="W432" s="56"/>
      <c r="X432" s="31"/>
      <c r="Y432" s="42"/>
      <c r="Z432" s="31"/>
      <c r="AA432" s="31"/>
      <c r="AB432" s="31"/>
      <c r="AC432" s="31"/>
      <c r="AD432" s="31"/>
      <c r="AE432" s="31"/>
      <c r="AF432" s="31"/>
      <c r="AG432" s="31"/>
      <c r="AH432" s="31"/>
      <c r="AI432" s="31"/>
      <c r="AJ432" s="31"/>
      <c r="AK432" s="31"/>
      <c r="AL432" s="31"/>
      <c r="AM432" s="31"/>
      <c r="AN432" s="32"/>
      <c r="AO432" s="32"/>
      <c r="AP432" s="30"/>
      <c r="AQ432" s="30"/>
      <c r="AR432" s="30"/>
      <c r="AS432" s="92"/>
      <c r="AT432" s="155"/>
      <c r="AU432" s="155"/>
      <c r="AV432" s="106"/>
      <c r="AW432" s="106"/>
      <c r="AX432" s="30"/>
      <c r="AY432" s="107"/>
      <c r="AZ432" s="107"/>
      <c r="BA432" s="32"/>
    </row>
    <row r="433" spans="1:53">
      <c r="A433" s="7"/>
      <c r="B433" s="26" t="str">
        <f t="shared" si="99"/>
        <v/>
      </c>
      <c r="C433" s="42"/>
      <c r="D433" s="64"/>
      <c r="E433" s="69"/>
      <c r="F433" s="85"/>
      <c r="G433" s="60"/>
      <c r="H433" s="31"/>
      <c r="I433" s="42"/>
      <c r="J433" s="42"/>
      <c r="K433" s="42"/>
      <c r="L433" s="36"/>
      <c r="M433" s="41"/>
      <c r="N433" s="31"/>
      <c r="O433" s="31"/>
      <c r="P433" s="33"/>
      <c r="Q433" s="31" t="e">
        <f>LEFT(RIGHT(A433,LEN(A433)-FIND("-",A433)),MIN(SEARCH({"a","b","c","d","e","f","g","h","i","j","k","l","m","n","o","p","q","r","s","t","u","v","w","x","y","z"},RIGHT(A433,LEN(A433)-FIND("-",A433))&amp;"abcdefghijklmnopqrstuvwxyz"))-1)+1-1</f>
        <v>#VALUE!</v>
      </c>
      <c r="R433" s="32" t="e">
        <f t="shared" si="100"/>
        <v>#VALUE!</v>
      </c>
      <c r="S433" s="32" t="s">
        <v>1393</v>
      </c>
      <c r="T433" s="32"/>
      <c r="U433" s="17">
        <f t="shared" si="97"/>
        <v>0</v>
      </c>
      <c r="V433" s="17">
        <f t="shared" si="98"/>
        <v>0</v>
      </c>
      <c r="W433" s="56"/>
      <c r="X433" s="31"/>
      <c r="Y433" s="42"/>
      <c r="Z433" s="31"/>
      <c r="AA433" s="31"/>
      <c r="AB433" s="31"/>
      <c r="AC433" s="31"/>
      <c r="AD433" s="31"/>
      <c r="AE433" s="31"/>
      <c r="AF433" s="31"/>
      <c r="AG433" s="31"/>
      <c r="AH433" s="31"/>
      <c r="AI433" s="31"/>
      <c r="AJ433" s="31"/>
      <c r="AK433" s="31"/>
      <c r="AL433" s="31"/>
      <c r="AM433" s="31"/>
      <c r="AN433" s="32"/>
      <c r="AO433" s="32"/>
      <c r="AP433" s="30"/>
      <c r="AQ433" s="30"/>
      <c r="AR433" s="30"/>
      <c r="AS433" s="92"/>
      <c r="AT433" s="155"/>
      <c r="AU433" s="155"/>
      <c r="AV433" s="106"/>
      <c r="AW433" s="106"/>
      <c r="AX433" s="30"/>
      <c r="AY433" s="107"/>
      <c r="AZ433" s="107"/>
      <c r="BA433" s="32"/>
    </row>
    <row r="434" spans="1:53">
      <c r="A434" s="7"/>
      <c r="B434" s="26" t="str">
        <f t="shared" si="99"/>
        <v/>
      </c>
      <c r="C434" s="42"/>
      <c r="D434" s="64"/>
      <c r="E434" s="69"/>
      <c r="F434" s="85"/>
      <c r="G434" s="60"/>
      <c r="H434" s="31"/>
      <c r="I434" s="42"/>
      <c r="J434" s="42"/>
      <c r="K434" s="42"/>
      <c r="L434" s="36"/>
      <c r="M434" s="41"/>
      <c r="N434" s="31"/>
      <c r="O434" s="31"/>
      <c r="P434" s="33"/>
      <c r="Q434" s="31" t="e">
        <f>LEFT(RIGHT(A434,LEN(A434)-FIND("-",A434)),MIN(SEARCH({"a","b","c","d","e","f","g","h","i","j","k","l","m","n","o","p","q","r","s","t","u","v","w","x","y","z"},RIGHT(A434,LEN(A434)-FIND("-",A434))&amp;"abcdefghijklmnopqrstuvwxyz"))-1)+1-1</f>
        <v>#VALUE!</v>
      </c>
      <c r="R434" s="32" t="e">
        <f t="shared" si="100"/>
        <v>#VALUE!</v>
      </c>
      <c r="S434" s="32" t="s">
        <v>1393</v>
      </c>
      <c r="T434" s="32"/>
      <c r="U434" s="17">
        <f t="shared" si="97"/>
        <v>0</v>
      </c>
      <c r="V434" s="17">
        <f t="shared" si="98"/>
        <v>0</v>
      </c>
      <c r="W434" s="56"/>
      <c r="X434" s="31"/>
      <c r="Y434" s="42"/>
      <c r="Z434" s="31"/>
      <c r="AA434" s="31"/>
      <c r="AB434" s="31"/>
      <c r="AC434" s="31"/>
      <c r="AD434" s="31"/>
      <c r="AE434" s="31"/>
      <c r="AF434" s="31"/>
      <c r="AG434" s="31"/>
      <c r="AH434" s="31"/>
      <c r="AI434" s="31"/>
      <c r="AJ434" s="31"/>
      <c r="AK434" s="31"/>
      <c r="AL434" s="31"/>
      <c r="AM434" s="31"/>
      <c r="AN434" s="32"/>
      <c r="AO434" s="32"/>
      <c r="AP434" s="30"/>
      <c r="AQ434" s="30"/>
      <c r="AR434" s="30"/>
      <c r="AS434" s="92"/>
      <c r="AT434" s="155"/>
      <c r="AU434" s="155"/>
      <c r="AV434" s="106"/>
      <c r="AW434" s="106"/>
      <c r="AX434" s="30"/>
      <c r="AY434" s="107"/>
      <c r="AZ434" s="107"/>
      <c r="BA434" s="32"/>
    </row>
    <row r="435" spans="1:53">
      <c r="A435" s="7"/>
      <c r="B435" s="26" t="str">
        <f t="shared" si="99"/>
        <v/>
      </c>
      <c r="C435" s="42"/>
      <c r="D435" s="64"/>
      <c r="E435" s="69"/>
      <c r="F435" s="85"/>
      <c r="G435" s="60"/>
      <c r="H435" s="31"/>
      <c r="I435" s="42"/>
      <c r="J435" s="42"/>
      <c r="K435" s="42"/>
      <c r="L435" s="36"/>
      <c r="M435" s="41"/>
      <c r="N435" s="31"/>
      <c r="O435" s="31"/>
      <c r="P435" s="33"/>
      <c r="Q435" s="31" t="e">
        <f>LEFT(RIGHT(A435,LEN(A435)-FIND("-",A435)),MIN(SEARCH({"a","b","c","d","e","f","g","h","i","j","k","l","m","n","o","p","q","r","s","t","u","v","w","x","y","z"},RIGHT(A435,LEN(A435)-FIND("-",A435))&amp;"abcdefghijklmnopqrstuvwxyz"))-1)+1-1</f>
        <v>#VALUE!</v>
      </c>
      <c r="R435" s="32" t="e">
        <f t="shared" si="100"/>
        <v>#VALUE!</v>
      </c>
      <c r="S435" s="32" t="s">
        <v>1393</v>
      </c>
      <c r="T435" s="32"/>
      <c r="U435" s="17">
        <f t="shared" si="97"/>
        <v>0</v>
      </c>
      <c r="V435" s="17">
        <f t="shared" si="98"/>
        <v>0</v>
      </c>
      <c r="W435" s="56"/>
      <c r="X435" s="31"/>
      <c r="Y435" s="42"/>
      <c r="Z435" s="31"/>
      <c r="AA435" s="31"/>
      <c r="AB435" s="31"/>
      <c r="AC435" s="31"/>
      <c r="AD435" s="31"/>
      <c r="AE435" s="31"/>
      <c r="AF435" s="31"/>
      <c r="AG435" s="31"/>
      <c r="AH435" s="31"/>
      <c r="AI435" s="31"/>
      <c r="AJ435" s="31"/>
      <c r="AK435" s="31"/>
      <c r="AL435" s="31"/>
      <c r="AM435" s="31"/>
      <c r="AN435" s="32"/>
      <c r="AO435" s="32"/>
      <c r="AP435" s="30"/>
      <c r="AQ435" s="30"/>
      <c r="AR435" s="30"/>
      <c r="AS435" s="92"/>
      <c r="AT435" s="155"/>
      <c r="AU435" s="155"/>
      <c r="AV435" s="106"/>
      <c r="AW435" s="106"/>
      <c r="AX435" s="30"/>
      <c r="AY435" s="107"/>
      <c r="AZ435" s="107"/>
      <c r="BA435" s="32"/>
    </row>
    <row r="436" spans="1:53">
      <c r="A436" s="7"/>
      <c r="B436" s="26" t="str">
        <f t="shared" si="99"/>
        <v/>
      </c>
      <c r="C436" s="42"/>
      <c r="D436" s="64"/>
      <c r="E436" s="69"/>
      <c r="F436" s="85"/>
      <c r="G436" s="60"/>
      <c r="H436" s="31"/>
      <c r="I436" s="42"/>
      <c r="J436" s="42"/>
      <c r="K436" s="42"/>
      <c r="L436" s="36"/>
      <c r="M436" s="41"/>
      <c r="N436" s="31"/>
      <c r="O436" s="31"/>
      <c r="P436" s="33"/>
      <c r="Q436" s="31" t="e">
        <f>LEFT(RIGHT(A436,LEN(A436)-FIND("-",A436)),MIN(SEARCH({"a","b","c","d","e","f","g","h","i","j","k","l","m","n","o","p","q","r","s","t","u","v","w","x","y","z"},RIGHT(A436,LEN(A436)-FIND("-",A436))&amp;"abcdefghijklmnopqrstuvwxyz"))-1)+1-1</f>
        <v>#VALUE!</v>
      </c>
      <c r="R436" s="32" t="e">
        <f t="shared" si="100"/>
        <v>#VALUE!</v>
      </c>
      <c r="S436" s="32" t="s">
        <v>1393</v>
      </c>
      <c r="T436" s="32"/>
      <c r="U436" s="17">
        <f t="shared" si="97"/>
        <v>0</v>
      </c>
      <c r="V436" s="17">
        <f t="shared" si="98"/>
        <v>0</v>
      </c>
      <c r="W436" s="56"/>
      <c r="X436" s="31"/>
      <c r="Y436" s="42"/>
      <c r="Z436" s="31"/>
      <c r="AA436" s="31"/>
      <c r="AB436" s="31"/>
      <c r="AC436" s="31"/>
      <c r="AD436" s="31"/>
      <c r="AE436" s="31"/>
      <c r="AF436" s="31"/>
      <c r="AG436" s="31"/>
      <c r="AH436" s="31"/>
      <c r="AI436" s="31"/>
      <c r="AJ436" s="31"/>
      <c r="AK436" s="31"/>
      <c r="AL436" s="31"/>
      <c r="AM436" s="31"/>
      <c r="AN436" s="32"/>
      <c r="AO436" s="32"/>
      <c r="AP436" s="30"/>
      <c r="AQ436" s="30"/>
      <c r="AR436" s="30"/>
      <c r="AS436" s="92"/>
      <c r="AT436" s="155"/>
      <c r="AU436" s="155"/>
      <c r="AV436" s="106"/>
      <c r="AW436" s="106"/>
      <c r="AX436" s="30"/>
      <c r="AY436" s="107"/>
      <c r="AZ436" s="107"/>
      <c r="BA436" s="32"/>
    </row>
    <row r="437" spans="1:53">
      <c r="A437" s="7"/>
      <c r="B437" s="26" t="str">
        <f t="shared" si="99"/>
        <v/>
      </c>
      <c r="C437" s="42"/>
      <c r="D437" s="64"/>
      <c r="E437" s="69"/>
      <c r="F437" s="85"/>
      <c r="G437" s="60"/>
      <c r="H437" s="31"/>
      <c r="I437" s="42"/>
      <c r="J437" s="42"/>
      <c r="K437" s="42"/>
      <c r="L437" s="36"/>
      <c r="M437" s="41"/>
      <c r="N437" s="31"/>
      <c r="O437" s="31"/>
      <c r="P437" s="33"/>
      <c r="Q437" s="31" t="e">
        <f>LEFT(RIGHT(A437,LEN(A437)-FIND("-",A437)),MIN(SEARCH({"a","b","c","d","e","f","g","h","i","j","k","l","m","n","o","p","q","r","s","t","u","v","w","x","y","z"},RIGHT(A437,LEN(A437)-FIND("-",A437))&amp;"abcdefghijklmnopqrstuvwxyz"))-1)+1-1</f>
        <v>#VALUE!</v>
      </c>
      <c r="R437" s="32" t="e">
        <f t="shared" si="100"/>
        <v>#VALUE!</v>
      </c>
      <c r="S437" s="32" t="s">
        <v>1393</v>
      </c>
      <c r="T437" s="32"/>
      <c r="U437" s="17">
        <f t="shared" si="97"/>
        <v>0</v>
      </c>
      <c r="V437" s="17">
        <f t="shared" si="98"/>
        <v>0</v>
      </c>
      <c r="W437" s="56"/>
      <c r="X437" s="31"/>
      <c r="Y437" s="42"/>
      <c r="Z437" s="31"/>
      <c r="AA437" s="31"/>
      <c r="AB437" s="31"/>
      <c r="AC437" s="31"/>
      <c r="AD437" s="31"/>
      <c r="AE437" s="31"/>
      <c r="AF437" s="31"/>
      <c r="AG437" s="31"/>
      <c r="AH437" s="31"/>
      <c r="AI437" s="31"/>
      <c r="AJ437" s="31"/>
      <c r="AK437" s="31"/>
      <c r="AL437" s="31"/>
      <c r="AM437" s="31"/>
      <c r="AN437" s="32"/>
      <c r="AO437" s="32"/>
      <c r="AP437" s="30"/>
      <c r="AQ437" s="30"/>
      <c r="AR437" s="30"/>
      <c r="AS437" s="92"/>
      <c r="AT437" s="155"/>
      <c r="AU437" s="155"/>
      <c r="AV437" s="106"/>
      <c r="AW437" s="106"/>
      <c r="AX437" s="30"/>
      <c r="AY437" s="107"/>
      <c r="AZ437" s="107"/>
      <c r="BA437" s="32"/>
    </row>
    <row r="438" spans="1:53">
      <c r="A438" s="7"/>
      <c r="B438" s="26" t="str">
        <f t="shared" si="99"/>
        <v/>
      </c>
      <c r="C438" s="42"/>
      <c r="D438" s="64"/>
      <c r="E438" s="69"/>
      <c r="F438" s="85"/>
      <c r="G438" s="60"/>
      <c r="H438" s="31"/>
      <c r="I438" s="42"/>
      <c r="J438" s="42"/>
      <c r="K438" s="42"/>
      <c r="L438" s="36"/>
      <c r="M438" s="41"/>
      <c r="N438" s="31"/>
      <c r="O438" s="31"/>
      <c r="P438" s="33"/>
      <c r="Q438" s="31" t="e">
        <f>LEFT(RIGHT(A438,LEN(A438)-FIND("-",A438)),MIN(SEARCH({"a","b","c","d","e","f","g","h","i","j","k","l","m","n","o","p","q","r","s","t","u","v","w","x","y","z"},RIGHT(A438,LEN(A438)-FIND("-",A438))&amp;"abcdefghijklmnopqrstuvwxyz"))-1)+1-1</f>
        <v>#VALUE!</v>
      </c>
      <c r="R438" s="32" t="e">
        <f t="shared" si="100"/>
        <v>#VALUE!</v>
      </c>
      <c r="S438" s="32" t="s">
        <v>1393</v>
      </c>
      <c r="T438" s="32"/>
      <c r="U438" s="17">
        <f t="shared" si="97"/>
        <v>0</v>
      </c>
      <c r="V438" s="17">
        <f t="shared" si="98"/>
        <v>0</v>
      </c>
      <c r="W438" s="56"/>
      <c r="X438" s="31"/>
      <c r="Y438" s="42"/>
      <c r="Z438" s="31"/>
      <c r="AA438" s="31"/>
      <c r="AB438" s="31"/>
      <c r="AC438" s="31"/>
      <c r="AD438" s="31"/>
      <c r="AE438" s="31"/>
      <c r="AF438" s="31"/>
      <c r="AG438" s="31"/>
      <c r="AH438" s="31"/>
      <c r="AI438" s="31"/>
      <c r="AJ438" s="31"/>
      <c r="AK438" s="31"/>
      <c r="AL438" s="31"/>
      <c r="AM438" s="31"/>
      <c r="AN438" s="32"/>
      <c r="AO438" s="32"/>
      <c r="AP438" s="30"/>
      <c r="AQ438" s="30"/>
      <c r="AR438" s="30"/>
      <c r="AS438" s="92"/>
      <c r="AT438" s="155"/>
      <c r="AU438" s="155"/>
      <c r="AV438" s="106"/>
      <c r="AW438" s="106"/>
      <c r="AX438" s="30"/>
      <c r="AY438" s="107"/>
      <c r="AZ438" s="107"/>
      <c r="BA438" s="32"/>
    </row>
    <row r="439" spans="1:53">
      <c r="A439" s="7"/>
      <c r="B439" s="26" t="str">
        <f t="shared" si="99"/>
        <v/>
      </c>
      <c r="C439" s="42"/>
      <c r="D439" s="64"/>
      <c r="E439" s="69"/>
      <c r="F439" s="85"/>
      <c r="G439" s="60"/>
      <c r="H439" s="31"/>
      <c r="I439" s="42"/>
      <c r="J439" s="42"/>
      <c r="K439" s="42"/>
      <c r="L439" s="36"/>
      <c r="M439" s="41"/>
      <c r="N439" s="31"/>
      <c r="O439" s="31"/>
      <c r="P439" s="33"/>
      <c r="Q439" s="31" t="e">
        <f>LEFT(RIGHT(A439,LEN(A439)-FIND("-",A439)),MIN(SEARCH({"a","b","c","d","e","f","g","h","i","j","k","l","m","n","o","p","q","r","s","t","u","v","w","x","y","z"},RIGHT(A439,LEN(A439)-FIND("-",A439))&amp;"abcdefghijklmnopqrstuvwxyz"))-1)+1-1</f>
        <v>#VALUE!</v>
      </c>
      <c r="R439" s="32" t="e">
        <f t="shared" si="100"/>
        <v>#VALUE!</v>
      </c>
      <c r="S439" s="32" t="s">
        <v>1393</v>
      </c>
      <c r="T439" s="32"/>
      <c r="U439" s="17">
        <f t="shared" si="97"/>
        <v>0</v>
      </c>
      <c r="V439" s="17">
        <f t="shared" si="98"/>
        <v>0</v>
      </c>
      <c r="W439" s="56"/>
      <c r="X439" s="31"/>
      <c r="Y439" s="42"/>
      <c r="Z439" s="31"/>
      <c r="AA439" s="31"/>
      <c r="AB439" s="31"/>
      <c r="AC439" s="31"/>
      <c r="AD439" s="31"/>
      <c r="AE439" s="31"/>
      <c r="AF439" s="31"/>
      <c r="AG439" s="31"/>
      <c r="AH439" s="31"/>
      <c r="AI439" s="31"/>
      <c r="AJ439" s="31"/>
      <c r="AK439" s="31"/>
      <c r="AL439" s="31"/>
      <c r="AM439" s="31"/>
      <c r="AN439" s="32"/>
      <c r="AO439" s="32"/>
      <c r="AP439" s="30"/>
      <c r="AQ439" s="30"/>
      <c r="AR439" s="30"/>
      <c r="AS439" s="92"/>
      <c r="AT439" s="155"/>
      <c r="AU439" s="155"/>
      <c r="AV439" s="106"/>
      <c r="AW439" s="106"/>
      <c r="AX439" s="30"/>
      <c r="AY439" s="107"/>
      <c r="AZ439" s="107"/>
      <c r="BA439" s="32"/>
    </row>
    <row r="440" spans="1:53">
      <c r="A440" s="7"/>
      <c r="B440" s="26" t="str">
        <f t="shared" si="99"/>
        <v/>
      </c>
      <c r="C440" s="42"/>
      <c r="D440" s="64"/>
      <c r="E440" s="69"/>
      <c r="F440" s="85"/>
      <c r="G440" s="60"/>
      <c r="H440" s="31"/>
      <c r="I440" s="42"/>
      <c r="J440" s="42"/>
      <c r="K440" s="42"/>
      <c r="L440" s="36"/>
      <c r="M440" s="41"/>
      <c r="N440" s="31"/>
      <c r="O440" s="31"/>
      <c r="P440" s="33"/>
      <c r="Q440" s="31" t="e">
        <f>LEFT(RIGHT(A440,LEN(A440)-FIND("-",A440)),MIN(SEARCH({"a","b","c","d","e","f","g","h","i","j","k","l","m","n","o","p","q","r","s","t","u","v","w","x","y","z"},RIGHT(A440,LEN(A440)-FIND("-",A440))&amp;"abcdefghijklmnopqrstuvwxyz"))-1)+1-1</f>
        <v>#VALUE!</v>
      </c>
      <c r="R440" s="32" t="e">
        <f t="shared" si="100"/>
        <v>#VALUE!</v>
      </c>
      <c r="S440" s="32" t="s">
        <v>1393</v>
      </c>
      <c r="T440" s="32"/>
      <c r="U440" s="17">
        <f t="shared" si="97"/>
        <v>0</v>
      </c>
      <c r="V440" s="17">
        <f t="shared" si="98"/>
        <v>0</v>
      </c>
      <c r="W440" s="56"/>
      <c r="X440" s="31"/>
      <c r="Y440" s="42"/>
      <c r="Z440" s="31"/>
      <c r="AA440" s="31"/>
      <c r="AB440" s="31"/>
      <c r="AC440" s="31"/>
      <c r="AD440" s="31"/>
      <c r="AE440" s="31"/>
      <c r="AF440" s="31"/>
      <c r="AG440" s="31"/>
      <c r="AH440" s="31"/>
      <c r="AI440" s="31"/>
      <c r="AJ440" s="31"/>
      <c r="AK440" s="31"/>
      <c r="AL440" s="31"/>
      <c r="AM440" s="31"/>
      <c r="AN440" s="32"/>
      <c r="AO440" s="32"/>
      <c r="AP440" s="30"/>
      <c r="AQ440" s="30"/>
      <c r="AR440" s="30"/>
      <c r="AS440" s="92"/>
      <c r="AT440" s="155"/>
      <c r="AU440" s="155"/>
      <c r="AV440" s="106"/>
      <c r="AW440" s="106"/>
      <c r="AX440" s="30"/>
      <c r="AY440" s="107"/>
      <c r="AZ440" s="107"/>
      <c r="BA440" s="32"/>
    </row>
    <row r="441" spans="1:53">
      <c r="A441" s="7"/>
      <c r="B441" s="26" t="str">
        <f t="shared" si="99"/>
        <v/>
      </c>
      <c r="C441" s="42"/>
      <c r="D441" s="64"/>
      <c r="E441" s="69"/>
      <c r="F441" s="85"/>
      <c r="G441" s="60"/>
      <c r="H441" s="31"/>
      <c r="I441" s="42"/>
      <c r="J441" s="42"/>
      <c r="K441" s="42"/>
      <c r="L441" s="36"/>
      <c r="M441" s="41"/>
      <c r="N441" s="31"/>
      <c r="O441" s="31"/>
      <c r="P441" s="33"/>
      <c r="Q441" s="31" t="e">
        <f>LEFT(RIGHT(A441,LEN(A441)-FIND("-",A441)),MIN(SEARCH({"a","b","c","d","e","f","g","h","i","j","k","l","m","n","o","p","q","r","s","t","u","v","w","x","y","z"},RIGHT(A441,LEN(A441)-FIND("-",A441))&amp;"abcdefghijklmnopqrstuvwxyz"))-1)+1-1</f>
        <v>#VALUE!</v>
      </c>
      <c r="R441" s="32" t="e">
        <f t="shared" si="100"/>
        <v>#VALUE!</v>
      </c>
      <c r="S441" s="32" t="s">
        <v>1393</v>
      </c>
      <c r="T441" s="32"/>
      <c r="U441" s="17">
        <f t="shared" si="97"/>
        <v>0</v>
      </c>
      <c r="V441" s="17">
        <f t="shared" si="98"/>
        <v>0</v>
      </c>
      <c r="W441" s="56"/>
      <c r="X441" s="31"/>
      <c r="Y441" s="42"/>
      <c r="Z441" s="31"/>
      <c r="AA441" s="31"/>
      <c r="AB441" s="31"/>
      <c r="AC441" s="31"/>
      <c r="AD441" s="31"/>
      <c r="AE441" s="31"/>
      <c r="AF441" s="31"/>
      <c r="AG441" s="31"/>
      <c r="AH441" s="31"/>
      <c r="AI441" s="31"/>
      <c r="AJ441" s="31"/>
      <c r="AK441" s="31"/>
      <c r="AL441" s="31"/>
      <c r="AM441" s="31"/>
      <c r="AN441" s="32"/>
      <c r="AO441" s="32"/>
      <c r="AP441" s="30"/>
      <c r="AQ441" s="30"/>
      <c r="AR441" s="30"/>
      <c r="AS441" s="92"/>
      <c r="AT441" s="155"/>
      <c r="AU441" s="155"/>
      <c r="AV441" s="106"/>
      <c r="AW441" s="106"/>
      <c r="AX441" s="30"/>
      <c r="AY441" s="107"/>
      <c r="AZ441" s="107"/>
      <c r="BA441" s="32"/>
    </row>
    <row r="442" spans="1:53">
      <c r="A442" s="7"/>
      <c r="B442" s="26" t="str">
        <f t="shared" si="99"/>
        <v/>
      </c>
      <c r="C442" s="42"/>
      <c r="D442" s="64"/>
      <c r="E442" s="69"/>
      <c r="F442" s="85"/>
      <c r="G442" s="60"/>
      <c r="H442" s="31"/>
      <c r="I442" s="42"/>
      <c r="J442" s="42"/>
      <c r="K442" s="42"/>
      <c r="L442" s="36"/>
      <c r="M442" s="41"/>
      <c r="N442" s="31"/>
      <c r="O442" s="31"/>
      <c r="P442" s="33"/>
      <c r="Q442" s="31" t="e">
        <f>LEFT(RIGHT(A442,LEN(A442)-FIND("-",A442)),MIN(SEARCH({"a","b","c","d","e","f","g","h","i","j","k","l","m","n","o","p","q","r","s","t","u","v","w","x","y","z"},RIGHT(A442,LEN(A442)-FIND("-",A442))&amp;"abcdefghijklmnopqrstuvwxyz"))-1)+1-1</f>
        <v>#VALUE!</v>
      </c>
      <c r="R442" s="32" t="e">
        <f t="shared" si="100"/>
        <v>#VALUE!</v>
      </c>
      <c r="S442" s="32" t="s">
        <v>1393</v>
      </c>
      <c r="T442" s="32"/>
      <c r="U442" s="17">
        <f t="shared" si="97"/>
        <v>0</v>
      </c>
      <c r="V442" s="17">
        <f t="shared" si="98"/>
        <v>0</v>
      </c>
      <c r="W442" s="56"/>
      <c r="X442" s="31"/>
      <c r="Y442" s="42"/>
      <c r="Z442" s="31"/>
      <c r="AA442" s="31"/>
      <c r="AB442" s="31"/>
      <c r="AC442" s="31"/>
      <c r="AD442" s="31"/>
      <c r="AE442" s="31"/>
      <c r="AF442" s="31"/>
      <c r="AG442" s="31"/>
      <c r="AH442" s="31"/>
      <c r="AI442" s="31"/>
      <c r="AJ442" s="31"/>
      <c r="AK442" s="31"/>
      <c r="AL442" s="31"/>
      <c r="AM442" s="31"/>
      <c r="AN442" s="32"/>
      <c r="AO442" s="32"/>
      <c r="AP442" s="30"/>
      <c r="AQ442" s="30"/>
      <c r="AR442" s="30"/>
      <c r="AS442" s="92"/>
      <c r="AT442" s="155"/>
      <c r="AU442" s="155"/>
      <c r="AV442" s="106"/>
      <c r="AW442" s="106"/>
      <c r="AX442" s="30"/>
      <c r="AY442" s="107"/>
      <c r="AZ442" s="107"/>
      <c r="BA442" s="32"/>
    </row>
    <row r="443" spans="1:53">
      <c r="A443" s="7"/>
      <c r="B443" s="26" t="str">
        <f t="shared" si="99"/>
        <v/>
      </c>
      <c r="C443" s="42"/>
      <c r="D443" s="64"/>
      <c r="E443" s="69"/>
      <c r="F443" s="85"/>
      <c r="G443" s="60"/>
      <c r="H443" s="31"/>
      <c r="I443" s="42"/>
      <c r="J443" s="42"/>
      <c r="K443" s="42"/>
      <c r="L443" s="36"/>
      <c r="M443" s="41"/>
      <c r="N443" s="31"/>
      <c r="O443" s="31"/>
      <c r="P443" s="33"/>
      <c r="Q443" s="31" t="e">
        <f>LEFT(RIGHT(A443,LEN(A443)-FIND("-",A443)),MIN(SEARCH({"a","b","c","d","e","f","g","h","i","j","k","l","m","n","o","p","q","r","s","t","u","v","w","x","y","z"},RIGHT(A443,LEN(A443)-FIND("-",A443))&amp;"abcdefghijklmnopqrstuvwxyz"))-1)+1-1</f>
        <v>#VALUE!</v>
      </c>
      <c r="R443" s="32" t="e">
        <f t="shared" si="100"/>
        <v>#VALUE!</v>
      </c>
      <c r="S443" s="32" t="s">
        <v>1393</v>
      </c>
      <c r="T443" s="32"/>
      <c r="U443" s="17">
        <f t="shared" si="97"/>
        <v>0</v>
      </c>
      <c r="V443" s="17">
        <f t="shared" si="98"/>
        <v>0</v>
      </c>
      <c r="W443" s="56"/>
      <c r="X443" s="31"/>
      <c r="Y443" s="42"/>
      <c r="Z443" s="31"/>
      <c r="AA443" s="31"/>
      <c r="AB443" s="31"/>
      <c r="AC443" s="31"/>
      <c r="AD443" s="31"/>
      <c r="AE443" s="31"/>
      <c r="AF443" s="31"/>
      <c r="AG443" s="31"/>
      <c r="AH443" s="31"/>
      <c r="AI443" s="31"/>
      <c r="AJ443" s="31"/>
      <c r="AK443" s="31"/>
      <c r="AL443" s="31"/>
      <c r="AM443" s="31"/>
      <c r="AN443" s="32"/>
      <c r="AO443" s="32"/>
      <c r="AP443" s="30"/>
      <c r="AQ443" s="30"/>
      <c r="AR443" s="30"/>
      <c r="AS443" s="92"/>
      <c r="AT443" s="155"/>
      <c r="AU443" s="155"/>
      <c r="AV443" s="106"/>
      <c r="AW443" s="106"/>
      <c r="AX443" s="30"/>
      <c r="AY443" s="107"/>
      <c r="AZ443" s="107"/>
      <c r="BA443" s="32"/>
    </row>
    <row r="444" spans="1:53">
      <c r="A444" s="7"/>
      <c r="B444" s="26" t="str">
        <f t="shared" si="99"/>
        <v/>
      </c>
      <c r="C444" s="42"/>
      <c r="D444" s="64"/>
      <c r="E444" s="69"/>
      <c r="F444" s="85"/>
      <c r="G444" s="60"/>
      <c r="H444" s="31"/>
      <c r="I444" s="42"/>
      <c r="J444" s="42"/>
      <c r="K444" s="42"/>
      <c r="L444" s="36"/>
      <c r="M444" s="41"/>
      <c r="N444" s="31"/>
      <c r="O444" s="31"/>
      <c r="P444" s="33"/>
      <c r="Q444" s="31" t="e">
        <f>LEFT(RIGHT(A444,LEN(A444)-FIND("-",A444)),MIN(SEARCH({"a","b","c","d","e","f","g","h","i","j","k","l","m","n","o","p","q","r","s","t","u","v","w","x","y","z"},RIGHT(A444,LEN(A444)-FIND("-",A444))&amp;"abcdefghijklmnopqrstuvwxyz"))-1)+1-1</f>
        <v>#VALUE!</v>
      </c>
      <c r="R444" s="32" t="e">
        <f t="shared" si="100"/>
        <v>#VALUE!</v>
      </c>
      <c r="S444" s="32" t="s">
        <v>1393</v>
      </c>
      <c r="T444" s="32"/>
      <c r="U444" s="17">
        <f t="shared" si="97"/>
        <v>0</v>
      </c>
      <c r="V444" s="17">
        <f t="shared" si="98"/>
        <v>0</v>
      </c>
      <c r="W444" s="56"/>
      <c r="X444" s="31"/>
      <c r="Y444" s="42"/>
      <c r="Z444" s="31"/>
      <c r="AA444" s="31"/>
      <c r="AB444" s="31"/>
      <c r="AC444" s="31"/>
      <c r="AD444" s="31"/>
      <c r="AE444" s="31"/>
      <c r="AF444" s="31"/>
      <c r="AG444" s="31"/>
      <c r="AH444" s="31"/>
      <c r="AI444" s="31"/>
      <c r="AJ444" s="31"/>
      <c r="AK444" s="31"/>
      <c r="AL444" s="31"/>
      <c r="AM444" s="31"/>
      <c r="AN444" s="32"/>
      <c r="AO444" s="32"/>
      <c r="AP444" s="30"/>
      <c r="AQ444" s="30"/>
      <c r="AR444" s="30"/>
      <c r="AS444" s="92"/>
      <c r="AT444" s="155"/>
      <c r="AU444" s="155"/>
      <c r="AV444" s="106"/>
      <c r="AW444" s="106"/>
      <c r="AX444" s="30"/>
      <c r="AY444" s="107"/>
      <c r="AZ444" s="107"/>
      <c r="BA444" s="32"/>
    </row>
    <row r="445" spans="1:53">
      <c r="A445" s="7"/>
      <c r="B445" s="26" t="str">
        <f t="shared" si="99"/>
        <v/>
      </c>
      <c r="C445" s="42"/>
      <c r="D445" s="64"/>
      <c r="E445" s="69"/>
      <c r="F445" s="85"/>
      <c r="G445" s="60"/>
      <c r="H445" s="31"/>
      <c r="I445" s="42"/>
      <c r="J445" s="42"/>
      <c r="K445" s="42"/>
      <c r="L445" s="36"/>
      <c r="M445" s="41"/>
      <c r="N445" s="31"/>
      <c r="O445" s="31"/>
      <c r="P445" s="33"/>
      <c r="Q445" s="31" t="e">
        <f>LEFT(RIGHT(A445,LEN(A445)-FIND("-",A445)),MIN(SEARCH({"a","b","c","d","e","f","g","h","i","j","k","l","m","n","o","p","q","r","s","t","u","v","w","x","y","z"},RIGHT(A445,LEN(A445)-FIND("-",A445))&amp;"abcdefghijklmnopqrstuvwxyz"))-1)+1-1</f>
        <v>#VALUE!</v>
      </c>
      <c r="R445" s="32" t="e">
        <f t="shared" si="100"/>
        <v>#VALUE!</v>
      </c>
      <c r="S445" s="32" t="s">
        <v>1393</v>
      </c>
      <c r="T445" s="32"/>
      <c r="U445" s="17">
        <f t="shared" si="97"/>
        <v>0</v>
      </c>
      <c r="V445" s="17">
        <f t="shared" si="98"/>
        <v>0</v>
      </c>
      <c r="W445" s="56"/>
      <c r="X445" s="31"/>
      <c r="Y445" s="42"/>
      <c r="Z445" s="31"/>
      <c r="AA445" s="31"/>
      <c r="AB445" s="31"/>
      <c r="AC445" s="31"/>
      <c r="AD445" s="31"/>
      <c r="AE445" s="31"/>
      <c r="AF445" s="31"/>
      <c r="AG445" s="31"/>
      <c r="AH445" s="31"/>
      <c r="AI445" s="31"/>
      <c r="AJ445" s="31"/>
      <c r="AK445" s="31"/>
      <c r="AL445" s="31"/>
      <c r="AM445" s="31"/>
      <c r="AN445" s="32"/>
      <c r="AO445" s="32"/>
      <c r="AP445" s="30"/>
      <c r="AQ445" s="30"/>
      <c r="AR445" s="30"/>
      <c r="AS445" s="92"/>
      <c r="AT445" s="155"/>
      <c r="AU445" s="155"/>
      <c r="AV445" s="106"/>
      <c r="AW445" s="106"/>
      <c r="AX445" s="30"/>
      <c r="AY445" s="107"/>
      <c r="AZ445" s="107"/>
      <c r="BA445" s="32"/>
    </row>
    <row r="446" spans="1:53">
      <c r="A446" s="7"/>
      <c r="B446" s="26" t="str">
        <f t="shared" si="99"/>
        <v/>
      </c>
      <c r="C446" s="42"/>
      <c r="D446" s="64"/>
      <c r="E446" s="69"/>
      <c r="F446" s="85"/>
      <c r="G446" s="60"/>
      <c r="H446" s="31"/>
      <c r="I446" s="42"/>
      <c r="J446" s="42"/>
      <c r="K446" s="42"/>
      <c r="L446" s="36"/>
      <c r="M446" s="41"/>
      <c r="N446" s="31"/>
      <c r="O446" s="31"/>
      <c r="P446" s="33"/>
      <c r="Q446" s="31" t="e">
        <f>LEFT(RIGHT(A446,LEN(A446)-FIND("-",A446)),MIN(SEARCH({"a","b","c","d","e","f","g","h","i","j","k","l","m","n","o","p","q","r","s","t","u","v","w","x","y","z"},RIGHT(A446,LEN(A446)-FIND("-",A446))&amp;"abcdefghijklmnopqrstuvwxyz"))-1)+1-1</f>
        <v>#VALUE!</v>
      </c>
      <c r="R446" s="32" t="e">
        <f t="shared" si="100"/>
        <v>#VALUE!</v>
      </c>
      <c r="S446" s="32" t="s">
        <v>1393</v>
      </c>
      <c r="T446" s="32"/>
      <c r="U446" s="17">
        <f t="shared" si="97"/>
        <v>0</v>
      </c>
      <c r="V446" s="17">
        <f t="shared" si="98"/>
        <v>0</v>
      </c>
      <c r="W446" s="56"/>
      <c r="X446" s="31"/>
      <c r="Y446" s="42"/>
      <c r="Z446" s="31"/>
      <c r="AA446" s="31"/>
      <c r="AB446" s="31"/>
      <c r="AC446" s="31"/>
      <c r="AD446" s="31"/>
      <c r="AE446" s="31"/>
      <c r="AF446" s="31"/>
      <c r="AG446" s="31"/>
      <c r="AH446" s="31"/>
      <c r="AI446" s="31"/>
      <c r="AJ446" s="31"/>
      <c r="AK446" s="31"/>
      <c r="AL446" s="31"/>
      <c r="AM446" s="31"/>
      <c r="AN446" s="32"/>
      <c r="AO446" s="32"/>
      <c r="AP446" s="30"/>
      <c r="AQ446" s="30"/>
      <c r="AR446" s="30"/>
      <c r="AS446" s="92"/>
      <c r="AT446" s="155"/>
      <c r="AU446" s="155"/>
      <c r="AV446" s="106"/>
      <c r="AW446" s="106"/>
      <c r="AX446" s="30"/>
      <c r="AY446" s="107"/>
      <c r="AZ446" s="107"/>
      <c r="BA446" s="32"/>
    </row>
    <row r="447" spans="1:53">
      <c r="A447" s="7"/>
      <c r="B447" s="26" t="str">
        <f t="shared" si="99"/>
        <v/>
      </c>
      <c r="C447" s="42"/>
      <c r="D447" s="64"/>
      <c r="E447" s="69"/>
      <c r="F447" s="85"/>
      <c r="G447" s="60"/>
      <c r="H447" s="31"/>
      <c r="I447" s="42"/>
      <c r="J447" s="42"/>
      <c r="K447" s="42"/>
      <c r="L447" s="36"/>
      <c r="M447" s="41"/>
      <c r="N447" s="31"/>
      <c r="O447" s="31"/>
      <c r="P447" s="33"/>
      <c r="Q447" s="31" t="e">
        <f>LEFT(RIGHT(A447,LEN(A447)-FIND("-",A447)),MIN(SEARCH({"a","b","c","d","e","f","g","h","i","j","k","l","m","n","o","p","q","r","s","t","u","v","w","x","y","z"},RIGHT(A447,LEN(A447)-FIND("-",A447))&amp;"abcdefghijklmnopqrstuvwxyz"))-1)+1-1</f>
        <v>#VALUE!</v>
      </c>
      <c r="R447" s="32" t="e">
        <f t="shared" si="100"/>
        <v>#VALUE!</v>
      </c>
      <c r="S447" s="32" t="s">
        <v>1393</v>
      </c>
      <c r="T447" s="32"/>
      <c r="U447" s="17">
        <f t="shared" si="97"/>
        <v>0</v>
      </c>
      <c r="V447" s="17">
        <f t="shared" si="98"/>
        <v>0</v>
      </c>
      <c r="W447" s="56"/>
      <c r="X447" s="31"/>
      <c r="Y447" s="42"/>
      <c r="Z447" s="31"/>
      <c r="AA447" s="31"/>
      <c r="AB447" s="31"/>
      <c r="AC447" s="31"/>
      <c r="AD447" s="31"/>
      <c r="AE447" s="31"/>
      <c r="AF447" s="31"/>
      <c r="AG447" s="31"/>
      <c r="AH447" s="31"/>
      <c r="AI447" s="31"/>
      <c r="AJ447" s="31"/>
      <c r="AK447" s="31"/>
      <c r="AL447" s="31"/>
      <c r="AM447" s="31"/>
      <c r="AN447" s="32"/>
      <c r="AO447" s="32"/>
      <c r="AP447" s="30"/>
      <c r="AQ447" s="30"/>
      <c r="AR447" s="30"/>
      <c r="AS447" s="92"/>
      <c r="AT447" s="155"/>
      <c r="AU447" s="155"/>
      <c r="AV447" s="106"/>
      <c r="AW447" s="106"/>
      <c r="AX447" s="30"/>
      <c r="AY447" s="107"/>
      <c r="AZ447" s="107"/>
      <c r="BA447" s="32"/>
    </row>
    <row r="448" spans="1:53">
      <c r="A448" s="7"/>
      <c r="B448" s="26" t="str">
        <f t="shared" si="99"/>
        <v/>
      </c>
      <c r="C448" s="42"/>
      <c r="D448" s="64"/>
      <c r="E448" s="69"/>
      <c r="F448" s="85"/>
      <c r="G448" s="60"/>
      <c r="H448" s="31"/>
      <c r="I448" s="42"/>
      <c r="J448" s="42"/>
      <c r="K448" s="42"/>
      <c r="L448" s="36"/>
      <c r="M448" s="41"/>
      <c r="N448" s="31"/>
      <c r="O448" s="31"/>
      <c r="P448" s="33"/>
      <c r="Q448" s="31" t="e">
        <f>LEFT(RIGHT(A448,LEN(A448)-FIND("-",A448)),MIN(SEARCH({"a","b","c","d","e","f","g","h","i","j","k","l","m","n","o","p","q","r","s","t","u","v","w","x","y","z"},RIGHT(A448,LEN(A448)-FIND("-",A448))&amp;"abcdefghijklmnopqrstuvwxyz"))-1)+1-1</f>
        <v>#VALUE!</v>
      </c>
      <c r="R448" s="32" t="e">
        <f t="shared" si="100"/>
        <v>#VALUE!</v>
      </c>
      <c r="S448" s="32" t="s">
        <v>1393</v>
      </c>
      <c r="T448" s="32"/>
      <c r="U448" s="17">
        <f t="shared" si="97"/>
        <v>0</v>
      </c>
      <c r="V448" s="17">
        <f t="shared" si="98"/>
        <v>0</v>
      </c>
      <c r="W448" s="56"/>
      <c r="X448" s="31"/>
      <c r="Y448" s="42"/>
      <c r="Z448" s="31"/>
      <c r="AA448" s="31"/>
      <c r="AB448" s="31"/>
      <c r="AC448" s="31"/>
      <c r="AD448" s="31"/>
      <c r="AE448" s="31"/>
      <c r="AF448" s="31"/>
      <c r="AG448" s="31"/>
      <c r="AH448" s="31"/>
      <c r="AI448" s="31"/>
      <c r="AJ448" s="31"/>
      <c r="AK448" s="31"/>
      <c r="AL448" s="31"/>
      <c r="AM448" s="31"/>
      <c r="AN448" s="32"/>
      <c r="AO448" s="32"/>
      <c r="AP448" s="30"/>
      <c r="AQ448" s="30"/>
      <c r="AR448" s="30"/>
      <c r="AS448" s="92"/>
      <c r="AT448" s="155"/>
      <c r="AU448" s="155"/>
      <c r="AV448" s="106"/>
      <c r="AW448" s="106"/>
      <c r="AX448" s="30"/>
      <c r="AY448" s="107"/>
      <c r="AZ448" s="107"/>
      <c r="BA448" s="32"/>
    </row>
    <row r="449" spans="1:53">
      <c r="A449" s="7"/>
      <c r="B449" s="26" t="str">
        <f t="shared" si="99"/>
        <v/>
      </c>
      <c r="C449" s="42"/>
      <c r="D449" s="64"/>
      <c r="E449" s="69"/>
      <c r="F449" s="85"/>
      <c r="G449" s="60"/>
      <c r="H449" s="31"/>
      <c r="I449" s="42"/>
      <c r="J449" s="42"/>
      <c r="K449" s="42"/>
      <c r="L449" s="36"/>
      <c r="M449" s="41"/>
      <c r="N449" s="31"/>
      <c r="O449" s="31"/>
      <c r="P449" s="33"/>
      <c r="Q449" s="31" t="e">
        <f>LEFT(RIGHT(A449,LEN(A449)-FIND("-",A449)),MIN(SEARCH({"a","b","c","d","e","f","g","h","i","j","k","l","m","n","o","p","q","r","s","t","u","v","w","x","y","z"},RIGHT(A449,LEN(A449)-FIND("-",A449))&amp;"abcdefghijklmnopqrstuvwxyz"))-1)+1-1</f>
        <v>#VALUE!</v>
      </c>
      <c r="R449" s="32" t="e">
        <f t="shared" si="100"/>
        <v>#VALUE!</v>
      </c>
      <c r="S449" s="32" t="s">
        <v>1393</v>
      </c>
      <c r="T449" s="32"/>
      <c r="U449" s="17">
        <f t="shared" si="97"/>
        <v>0</v>
      </c>
      <c r="V449" s="17">
        <f t="shared" si="98"/>
        <v>0</v>
      </c>
      <c r="W449" s="56"/>
      <c r="X449" s="31"/>
      <c r="Y449" s="42"/>
      <c r="Z449" s="31"/>
      <c r="AA449" s="31"/>
      <c r="AB449" s="31"/>
      <c r="AC449" s="31"/>
      <c r="AD449" s="31"/>
      <c r="AE449" s="31"/>
      <c r="AF449" s="31"/>
      <c r="AG449" s="31"/>
      <c r="AH449" s="31"/>
      <c r="AI449" s="31"/>
      <c r="AJ449" s="31"/>
      <c r="AK449" s="31"/>
      <c r="AL449" s="31"/>
      <c r="AM449" s="31"/>
      <c r="AN449" s="32"/>
      <c r="AO449" s="32"/>
      <c r="AP449" s="30"/>
      <c r="AQ449" s="30"/>
      <c r="AR449" s="30"/>
      <c r="AS449" s="92"/>
      <c r="AT449" s="155"/>
      <c r="AU449" s="155"/>
      <c r="AV449" s="106"/>
      <c r="AW449" s="106"/>
      <c r="AX449" s="30"/>
      <c r="AY449" s="107"/>
      <c r="AZ449" s="107"/>
      <c r="BA449" s="32"/>
    </row>
    <row r="450" spans="1:53">
      <c r="A450" s="7"/>
      <c r="B450" s="26" t="str">
        <f t="shared" si="99"/>
        <v/>
      </c>
      <c r="C450" s="42"/>
      <c r="D450" s="64"/>
      <c r="E450" s="69"/>
      <c r="F450" s="85"/>
      <c r="G450" s="60"/>
      <c r="H450" s="31"/>
      <c r="I450" s="42"/>
      <c r="J450" s="42"/>
      <c r="K450" s="42"/>
      <c r="L450" s="36"/>
      <c r="M450" s="41"/>
      <c r="N450" s="31"/>
      <c r="O450" s="31"/>
      <c r="P450" s="33"/>
      <c r="Q450" s="31" t="e">
        <f>LEFT(RIGHT(A450,LEN(A450)-FIND("-",A450)),MIN(SEARCH({"a","b","c","d","e","f","g","h","i","j","k","l","m","n","o","p","q","r","s","t","u","v","w","x","y","z"},RIGHT(A450,LEN(A450)-FIND("-",A450))&amp;"abcdefghijklmnopqrstuvwxyz"))-1)+1-1</f>
        <v>#VALUE!</v>
      </c>
      <c r="R450" s="32" t="e">
        <f t="shared" si="100"/>
        <v>#VALUE!</v>
      </c>
      <c r="S450" s="32" t="s">
        <v>1393</v>
      </c>
      <c r="T450" s="32"/>
      <c r="U450" s="17">
        <f t="shared" si="97"/>
        <v>0</v>
      </c>
      <c r="V450" s="17">
        <f t="shared" si="98"/>
        <v>0</v>
      </c>
      <c r="W450" s="56"/>
      <c r="X450" s="31"/>
      <c r="Y450" s="42"/>
      <c r="Z450" s="31"/>
      <c r="AA450" s="31"/>
      <c r="AB450" s="31"/>
      <c r="AC450" s="31"/>
      <c r="AD450" s="31"/>
      <c r="AE450" s="31"/>
      <c r="AF450" s="31"/>
      <c r="AG450" s="31"/>
      <c r="AH450" s="31"/>
      <c r="AI450" s="31"/>
      <c r="AJ450" s="31"/>
      <c r="AK450" s="31"/>
      <c r="AL450" s="31"/>
      <c r="AM450" s="31"/>
      <c r="AN450" s="32"/>
      <c r="AO450" s="32"/>
      <c r="AP450" s="30"/>
      <c r="AQ450" s="30"/>
      <c r="AR450" s="30"/>
      <c r="AS450" s="92"/>
      <c r="AT450" s="155"/>
      <c r="AU450" s="155"/>
      <c r="AV450" s="106"/>
      <c r="AW450" s="106"/>
      <c r="AX450" s="30"/>
      <c r="AY450" s="107"/>
      <c r="AZ450" s="107"/>
      <c r="BA450" s="32"/>
    </row>
    <row r="451" spans="1:53">
      <c r="A451" s="7"/>
      <c r="B451" s="26" t="str">
        <f t="shared" ref="B451:B482" si="101">LEFT(A451,2)</f>
        <v/>
      </c>
      <c r="C451" s="42"/>
      <c r="D451" s="64"/>
      <c r="E451" s="69"/>
      <c r="F451" s="85"/>
      <c r="G451" s="60"/>
      <c r="H451" s="31"/>
      <c r="I451" s="42"/>
      <c r="J451" s="42"/>
      <c r="K451" s="42"/>
      <c r="L451" s="36"/>
      <c r="M451" s="41"/>
      <c r="N451" s="31"/>
      <c r="O451" s="31"/>
      <c r="P451" s="33"/>
      <c r="Q451" s="31" t="e">
        <f>LEFT(RIGHT(A451,LEN(A451)-FIND("-",A451)),MIN(SEARCH({"a","b","c","d","e","f","g","h","i","j","k","l","m","n","o","p","q","r","s","t","u","v","w","x","y","z"},RIGHT(A451,LEN(A451)-FIND("-",A451))&amp;"abcdefghijklmnopqrstuvwxyz"))-1)+1-1</f>
        <v>#VALUE!</v>
      </c>
      <c r="R451" s="32" t="e">
        <f t="shared" ref="R451:R482" si="102">IF(OR(AND(Q451+1&gt;40,Q451+1&lt;=50),Q451&gt;51),"Wireless","")</f>
        <v>#VALUE!</v>
      </c>
      <c r="S451" s="32" t="s">
        <v>1393</v>
      </c>
      <c r="T451" s="32"/>
      <c r="U451" s="17">
        <f t="shared" si="97"/>
        <v>0</v>
      </c>
      <c r="V451" s="17">
        <f t="shared" si="98"/>
        <v>0</v>
      </c>
      <c r="W451" s="56"/>
      <c r="X451" s="31"/>
      <c r="Y451" s="42"/>
      <c r="Z451" s="31"/>
      <c r="AA451" s="31"/>
      <c r="AB451" s="31"/>
      <c r="AC451" s="31"/>
      <c r="AD451" s="31"/>
      <c r="AE451" s="31"/>
      <c r="AF451" s="31"/>
      <c r="AG451" s="31"/>
      <c r="AH451" s="31"/>
      <c r="AI451" s="31"/>
      <c r="AJ451" s="31"/>
      <c r="AK451" s="31"/>
      <c r="AL451" s="31"/>
      <c r="AM451" s="31"/>
      <c r="AN451" s="32"/>
      <c r="AO451" s="32"/>
      <c r="AP451" s="30"/>
      <c r="AQ451" s="30"/>
      <c r="AR451" s="30"/>
      <c r="AS451" s="92"/>
      <c r="AT451" s="155"/>
      <c r="AU451" s="155"/>
      <c r="AV451" s="106"/>
      <c r="AW451" s="106"/>
      <c r="AX451" s="30"/>
      <c r="AY451" s="107"/>
      <c r="AZ451" s="107"/>
      <c r="BA451" s="32"/>
    </row>
    <row r="452" spans="1:53">
      <c r="A452" s="7"/>
      <c r="B452" s="26" t="str">
        <f t="shared" si="101"/>
        <v/>
      </c>
      <c r="C452" s="42"/>
      <c r="D452" s="64"/>
      <c r="E452" s="69"/>
      <c r="F452" s="85"/>
      <c r="G452" s="60"/>
      <c r="H452" s="31"/>
      <c r="I452" s="42"/>
      <c r="J452" s="42"/>
      <c r="K452" s="42"/>
      <c r="L452" s="36"/>
      <c r="M452" s="41"/>
      <c r="N452" s="31"/>
      <c r="O452" s="31"/>
      <c r="P452" s="33"/>
      <c r="Q452" s="31" t="e">
        <f>LEFT(RIGHT(A452,LEN(A452)-FIND("-",A452)),MIN(SEARCH({"a","b","c","d","e","f","g","h","i","j","k","l","m","n","o","p","q","r","s","t","u","v","w","x","y","z"},RIGHT(A452,LEN(A452)-FIND("-",A452))&amp;"abcdefghijklmnopqrstuvwxyz"))-1)+1-1</f>
        <v>#VALUE!</v>
      </c>
      <c r="R452" s="32" t="e">
        <f t="shared" si="102"/>
        <v>#VALUE!</v>
      </c>
      <c r="S452" s="32" t="s">
        <v>1393</v>
      </c>
      <c r="T452" s="32"/>
      <c r="U452" s="17">
        <f t="shared" si="97"/>
        <v>0</v>
      </c>
      <c r="V452" s="17">
        <f t="shared" si="98"/>
        <v>0</v>
      </c>
      <c r="W452" s="56"/>
      <c r="X452" s="31"/>
      <c r="Y452" s="42"/>
      <c r="Z452" s="31"/>
      <c r="AA452" s="31"/>
      <c r="AB452" s="31"/>
      <c r="AC452" s="31"/>
      <c r="AD452" s="31"/>
      <c r="AE452" s="31"/>
      <c r="AF452" s="31"/>
      <c r="AG452" s="31"/>
      <c r="AH452" s="31"/>
      <c r="AI452" s="31"/>
      <c r="AJ452" s="31"/>
      <c r="AK452" s="31"/>
      <c r="AL452" s="31"/>
      <c r="AM452" s="31"/>
      <c r="AN452" s="32"/>
      <c r="AO452" s="32"/>
      <c r="AP452" s="30"/>
      <c r="AQ452" s="30"/>
      <c r="AR452" s="30"/>
      <c r="AS452" s="92"/>
      <c r="AT452" s="155"/>
      <c r="AU452" s="155"/>
      <c r="AV452" s="106"/>
      <c r="AW452" s="106"/>
      <c r="AX452" s="30"/>
      <c r="AY452" s="107"/>
      <c r="AZ452" s="107"/>
      <c r="BA452" s="32"/>
    </row>
    <row r="453" spans="1:53">
      <c r="A453" s="7"/>
      <c r="B453" s="26" t="str">
        <f t="shared" si="101"/>
        <v/>
      </c>
      <c r="C453" s="42"/>
      <c r="D453" s="64"/>
      <c r="E453" s="69"/>
      <c r="F453" s="85"/>
      <c r="G453" s="60"/>
      <c r="H453" s="31"/>
      <c r="I453" s="42"/>
      <c r="J453" s="42"/>
      <c r="K453" s="42"/>
      <c r="L453" s="36"/>
      <c r="M453" s="41"/>
      <c r="N453" s="31"/>
      <c r="O453" s="31"/>
      <c r="P453" s="33"/>
      <c r="Q453" s="31" t="e">
        <f>LEFT(RIGHT(A453,LEN(A453)-FIND("-",A453)),MIN(SEARCH({"a","b","c","d","e","f","g","h","i","j","k","l","m","n","o","p","q","r","s","t","u","v","w","x","y","z"},RIGHT(A453,LEN(A453)-FIND("-",A453))&amp;"abcdefghijklmnopqrstuvwxyz"))-1)+1-1</f>
        <v>#VALUE!</v>
      </c>
      <c r="R453" s="32" t="e">
        <f t="shared" si="102"/>
        <v>#VALUE!</v>
      </c>
      <c r="S453" s="32" t="s">
        <v>1393</v>
      </c>
      <c r="T453" s="32"/>
      <c r="U453" s="17">
        <f t="shared" si="97"/>
        <v>0</v>
      </c>
      <c r="V453" s="17">
        <f t="shared" si="98"/>
        <v>0</v>
      </c>
      <c r="W453" s="56"/>
      <c r="X453" s="31"/>
      <c r="Y453" s="42"/>
      <c r="Z453" s="31"/>
      <c r="AA453" s="31"/>
      <c r="AB453" s="31"/>
      <c r="AC453" s="31"/>
      <c r="AD453" s="31"/>
      <c r="AE453" s="31"/>
      <c r="AF453" s="31"/>
      <c r="AG453" s="31"/>
      <c r="AH453" s="31"/>
      <c r="AI453" s="31"/>
      <c r="AJ453" s="31"/>
      <c r="AK453" s="31"/>
      <c r="AL453" s="31"/>
      <c r="AM453" s="31"/>
      <c r="AN453" s="32"/>
      <c r="AO453" s="32"/>
      <c r="AP453" s="30"/>
      <c r="AQ453" s="30"/>
      <c r="AR453" s="30"/>
      <c r="AS453" s="92"/>
      <c r="AT453" s="155"/>
      <c r="AU453" s="155"/>
      <c r="AV453" s="106"/>
      <c r="AW453" s="106"/>
      <c r="AX453" s="30"/>
      <c r="AY453" s="107"/>
      <c r="AZ453" s="107"/>
      <c r="BA453" s="32"/>
    </row>
    <row r="454" spans="1:53">
      <c r="A454" s="7"/>
      <c r="B454" s="26" t="str">
        <f t="shared" si="101"/>
        <v/>
      </c>
      <c r="C454" s="42"/>
      <c r="D454" s="64"/>
      <c r="E454" s="69"/>
      <c r="F454" s="85"/>
      <c r="G454" s="60"/>
      <c r="H454" s="31"/>
      <c r="I454" s="42"/>
      <c r="J454" s="42"/>
      <c r="K454" s="42"/>
      <c r="L454" s="36"/>
      <c r="M454" s="41"/>
      <c r="N454" s="31"/>
      <c r="O454" s="31"/>
      <c r="P454" s="33"/>
      <c r="Q454" s="31" t="e">
        <f>LEFT(RIGHT(A454,LEN(A454)-FIND("-",A454)),MIN(SEARCH({"a","b","c","d","e","f","g","h","i","j","k","l","m","n","o","p","q","r","s","t","u","v","w","x","y","z"},RIGHT(A454,LEN(A454)-FIND("-",A454))&amp;"abcdefghijklmnopqrstuvwxyz"))-1)+1-1</f>
        <v>#VALUE!</v>
      </c>
      <c r="R454" s="32" t="e">
        <f t="shared" si="102"/>
        <v>#VALUE!</v>
      </c>
      <c r="S454" s="32" t="s">
        <v>1393</v>
      </c>
      <c r="T454" s="32"/>
      <c r="U454" s="17">
        <f t="shared" si="97"/>
        <v>0</v>
      </c>
      <c r="V454" s="17">
        <f t="shared" si="98"/>
        <v>0</v>
      </c>
      <c r="W454" s="56"/>
      <c r="X454" s="31"/>
      <c r="Y454" s="42"/>
      <c r="Z454" s="31"/>
      <c r="AA454" s="31"/>
      <c r="AB454" s="31"/>
      <c r="AC454" s="31"/>
      <c r="AD454" s="31"/>
      <c r="AE454" s="31"/>
      <c r="AF454" s="31"/>
      <c r="AG454" s="31"/>
      <c r="AH454" s="31"/>
      <c r="AI454" s="31"/>
      <c r="AJ454" s="31"/>
      <c r="AK454" s="31"/>
      <c r="AL454" s="31"/>
      <c r="AM454" s="31"/>
      <c r="AN454" s="32"/>
      <c r="AO454" s="32"/>
      <c r="AP454" s="30"/>
      <c r="AQ454" s="30"/>
      <c r="AR454" s="30"/>
      <c r="AS454" s="92"/>
      <c r="AT454" s="155"/>
      <c r="AU454" s="155"/>
      <c r="AV454" s="106"/>
      <c r="AW454" s="106"/>
      <c r="AX454" s="30"/>
      <c r="AY454" s="107"/>
      <c r="AZ454" s="107"/>
      <c r="BA454" s="32"/>
    </row>
    <row r="455" spans="1:53">
      <c r="A455" s="7"/>
      <c r="B455" s="26" t="str">
        <f t="shared" si="101"/>
        <v/>
      </c>
      <c r="C455" s="42"/>
      <c r="D455" s="64"/>
      <c r="E455" s="69"/>
      <c r="F455" s="85"/>
      <c r="G455" s="60"/>
      <c r="H455" s="31"/>
      <c r="I455" s="42"/>
      <c r="J455" s="42"/>
      <c r="K455" s="42"/>
      <c r="L455" s="36"/>
      <c r="M455" s="41"/>
      <c r="N455" s="31"/>
      <c r="O455" s="31"/>
      <c r="P455" s="33"/>
      <c r="Q455" s="31" t="e">
        <f>LEFT(RIGHT(A455,LEN(A455)-FIND("-",A455)),MIN(SEARCH({"a","b","c","d","e","f","g","h","i","j","k","l","m","n","o","p","q","r","s","t","u","v","w","x","y","z"},RIGHT(A455,LEN(A455)-FIND("-",A455))&amp;"abcdefghijklmnopqrstuvwxyz"))-1)+1-1</f>
        <v>#VALUE!</v>
      </c>
      <c r="R455" s="32" t="e">
        <f t="shared" si="102"/>
        <v>#VALUE!</v>
      </c>
      <c r="S455" s="32" t="s">
        <v>1393</v>
      </c>
      <c r="T455" s="32"/>
      <c r="U455" s="17">
        <f t="shared" si="97"/>
        <v>0</v>
      </c>
      <c r="V455" s="17">
        <f t="shared" si="98"/>
        <v>0</v>
      </c>
      <c r="W455" s="56"/>
      <c r="X455" s="31"/>
      <c r="Y455" s="42"/>
      <c r="Z455" s="31"/>
      <c r="AA455" s="31"/>
      <c r="AB455" s="31"/>
      <c r="AC455" s="31"/>
      <c r="AD455" s="31"/>
      <c r="AE455" s="31"/>
      <c r="AF455" s="31"/>
      <c r="AG455" s="31"/>
      <c r="AH455" s="31"/>
      <c r="AI455" s="31"/>
      <c r="AJ455" s="31"/>
      <c r="AK455" s="31"/>
      <c r="AL455" s="31"/>
      <c r="AM455" s="31"/>
      <c r="AN455" s="32"/>
      <c r="AO455" s="32"/>
      <c r="AP455" s="30"/>
      <c r="AQ455" s="30"/>
      <c r="AR455" s="30"/>
      <c r="AS455" s="92"/>
      <c r="AT455" s="155"/>
      <c r="AU455" s="155"/>
      <c r="AV455" s="106"/>
      <c r="AW455" s="106"/>
      <c r="AX455" s="30"/>
      <c r="AY455" s="107"/>
      <c r="AZ455" s="107"/>
      <c r="BA455" s="32"/>
    </row>
    <row r="456" spans="1:53">
      <c r="A456" s="7"/>
      <c r="B456" s="26" t="str">
        <f t="shared" si="101"/>
        <v/>
      </c>
      <c r="C456" s="42"/>
      <c r="D456" s="64"/>
      <c r="E456" s="69"/>
      <c r="F456" s="85"/>
      <c r="G456" s="60"/>
      <c r="H456" s="31"/>
      <c r="I456" s="42"/>
      <c r="J456" s="42"/>
      <c r="K456" s="42"/>
      <c r="L456" s="36"/>
      <c r="M456" s="41"/>
      <c r="N456" s="31"/>
      <c r="O456" s="31"/>
      <c r="P456" s="33"/>
      <c r="Q456" s="31" t="e">
        <f>LEFT(RIGHT(A456,LEN(A456)-FIND("-",A456)),MIN(SEARCH({"a","b","c","d","e","f","g","h","i","j","k","l","m","n","o","p","q","r","s","t","u","v","w","x","y","z"},RIGHT(A456,LEN(A456)-FIND("-",A456))&amp;"abcdefghijklmnopqrstuvwxyz"))-1)+1-1</f>
        <v>#VALUE!</v>
      </c>
      <c r="R456" s="32" t="e">
        <f t="shared" si="102"/>
        <v>#VALUE!</v>
      </c>
      <c r="S456" s="32" t="s">
        <v>1393</v>
      </c>
      <c r="T456" s="32"/>
      <c r="U456" s="17">
        <f t="shared" si="97"/>
        <v>0</v>
      </c>
      <c r="V456" s="17">
        <f t="shared" si="98"/>
        <v>0</v>
      </c>
      <c r="W456" s="56"/>
      <c r="X456" s="31"/>
      <c r="Y456" s="42"/>
      <c r="Z456" s="31"/>
      <c r="AA456" s="31"/>
      <c r="AB456" s="31"/>
      <c r="AC456" s="31"/>
      <c r="AD456" s="31"/>
      <c r="AE456" s="31"/>
      <c r="AF456" s="31"/>
      <c r="AG456" s="31"/>
      <c r="AH456" s="31"/>
      <c r="AI456" s="31"/>
      <c r="AJ456" s="31"/>
      <c r="AK456" s="31"/>
      <c r="AL456" s="31"/>
      <c r="AM456" s="31"/>
      <c r="AN456" s="32"/>
      <c r="AO456" s="32"/>
      <c r="AP456" s="30"/>
      <c r="AQ456" s="30"/>
      <c r="AR456" s="30"/>
      <c r="AS456" s="92"/>
      <c r="AT456" s="155"/>
      <c r="AU456" s="155"/>
      <c r="AV456" s="106"/>
      <c r="AW456" s="106"/>
      <c r="AX456" s="30"/>
      <c r="AY456" s="107"/>
      <c r="AZ456" s="107"/>
      <c r="BA456" s="32"/>
    </row>
    <row r="457" spans="1:53">
      <c r="A457" s="7"/>
      <c r="B457" s="26" t="str">
        <f t="shared" si="101"/>
        <v/>
      </c>
      <c r="C457" s="42"/>
      <c r="D457" s="64"/>
      <c r="E457" s="69"/>
      <c r="F457" s="85"/>
      <c r="G457" s="60"/>
      <c r="H457" s="31"/>
      <c r="I457" s="42"/>
      <c r="J457" s="42"/>
      <c r="K457" s="42"/>
      <c r="L457" s="36"/>
      <c r="M457" s="41"/>
      <c r="N457" s="31"/>
      <c r="O457" s="31"/>
      <c r="P457" s="33"/>
      <c r="Q457" s="31" t="e">
        <f>LEFT(RIGHT(A457,LEN(A457)-FIND("-",A457)),MIN(SEARCH({"a","b","c","d","e","f","g","h","i","j","k","l","m","n","o","p","q","r","s","t","u","v","w","x","y","z"},RIGHT(A457,LEN(A457)-FIND("-",A457))&amp;"abcdefghijklmnopqrstuvwxyz"))-1)+1-1</f>
        <v>#VALUE!</v>
      </c>
      <c r="R457" s="32" t="e">
        <f t="shared" si="102"/>
        <v>#VALUE!</v>
      </c>
      <c r="S457" s="32" t="s">
        <v>1393</v>
      </c>
      <c r="T457" s="32"/>
      <c r="U457" s="17">
        <f t="shared" si="97"/>
        <v>0</v>
      </c>
      <c r="V457" s="17">
        <f t="shared" si="98"/>
        <v>0</v>
      </c>
      <c r="W457" s="56"/>
      <c r="X457" s="31"/>
      <c r="Y457" s="42"/>
      <c r="Z457" s="31"/>
      <c r="AA457" s="31"/>
      <c r="AB457" s="31"/>
      <c r="AC457" s="31"/>
      <c r="AD457" s="31"/>
      <c r="AE457" s="31"/>
      <c r="AF457" s="31"/>
      <c r="AG457" s="31"/>
      <c r="AH457" s="31"/>
      <c r="AI457" s="31"/>
      <c r="AJ457" s="31"/>
      <c r="AK457" s="31"/>
      <c r="AL457" s="31"/>
      <c r="AM457" s="31"/>
      <c r="AN457" s="32"/>
      <c r="AO457" s="32"/>
      <c r="AP457" s="30"/>
      <c r="AQ457" s="30"/>
      <c r="AR457" s="30"/>
      <c r="AS457" s="92"/>
      <c r="AT457" s="155"/>
      <c r="AU457" s="155"/>
      <c r="AV457" s="106"/>
      <c r="AW457" s="106"/>
      <c r="AX457" s="30"/>
      <c r="AY457" s="107"/>
      <c r="AZ457" s="107"/>
      <c r="BA457" s="32"/>
    </row>
    <row r="458" spans="1:53">
      <c r="A458" s="7"/>
      <c r="B458" s="26" t="str">
        <f t="shared" si="101"/>
        <v/>
      </c>
      <c r="C458" s="42"/>
      <c r="D458" s="64"/>
      <c r="E458" s="69"/>
      <c r="F458" s="85"/>
      <c r="G458" s="60"/>
      <c r="H458" s="31"/>
      <c r="I458" s="42"/>
      <c r="J458" s="42"/>
      <c r="K458" s="42"/>
      <c r="L458" s="36"/>
      <c r="M458" s="41"/>
      <c r="N458" s="31"/>
      <c r="O458" s="31"/>
      <c r="P458" s="33"/>
      <c r="Q458" s="31" t="e">
        <f>LEFT(RIGHT(A458,LEN(A458)-FIND("-",A458)),MIN(SEARCH({"a","b","c","d","e","f","g","h","i","j","k","l","m","n","o","p","q","r","s","t","u","v","w","x","y","z"},RIGHT(A458,LEN(A458)-FIND("-",A458))&amp;"abcdefghijklmnopqrstuvwxyz"))-1)+1-1</f>
        <v>#VALUE!</v>
      </c>
      <c r="R458" s="32" t="e">
        <f t="shared" si="102"/>
        <v>#VALUE!</v>
      </c>
      <c r="S458" s="32" t="s">
        <v>1393</v>
      </c>
      <c r="T458" s="32"/>
      <c r="U458" s="17">
        <f t="shared" si="97"/>
        <v>0</v>
      </c>
      <c r="V458" s="17">
        <f t="shared" si="98"/>
        <v>0</v>
      </c>
      <c r="W458" s="56"/>
      <c r="X458" s="31"/>
      <c r="Y458" s="42"/>
      <c r="Z458" s="31"/>
      <c r="AA458" s="31"/>
      <c r="AB458" s="31"/>
      <c r="AC458" s="31"/>
      <c r="AD458" s="31"/>
      <c r="AE458" s="31"/>
      <c r="AF458" s="31"/>
      <c r="AG458" s="31"/>
      <c r="AH458" s="31"/>
      <c r="AI458" s="31"/>
      <c r="AJ458" s="31"/>
      <c r="AK458" s="31"/>
      <c r="AL458" s="31"/>
      <c r="AM458" s="31"/>
      <c r="AN458" s="32"/>
      <c r="AO458" s="32"/>
      <c r="AP458" s="30"/>
      <c r="AQ458" s="30"/>
      <c r="AR458" s="30"/>
      <c r="AS458" s="92"/>
      <c r="AT458" s="155"/>
      <c r="AU458" s="155"/>
      <c r="AV458" s="106"/>
      <c r="AW458" s="106"/>
      <c r="AX458" s="30"/>
      <c r="AY458" s="107"/>
      <c r="AZ458" s="107"/>
      <c r="BA458" s="32"/>
    </row>
    <row r="459" spans="1:53">
      <c r="A459" s="7"/>
      <c r="B459" s="26" t="str">
        <f t="shared" si="101"/>
        <v/>
      </c>
      <c r="C459" s="42"/>
      <c r="D459" s="64"/>
      <c r="E459" s="69"/>
      <c r="F459" s="85"/>
      <c r="G459" s="60"/>
      <c r="H459" s="31"/>
      <c r="I459" s="42"/>
      <c r="J459" s="42"/>
      <c r="K459" s="42"/>
      <c r="L459" s="36"/>
      <c r="M459" s="41"/>
      <c r="N459" s="31"/>
      <c r="O459" s="31"/>
      <c r="P459" s="33"/>
      <c r="Q459" s="31" t="e">
        <f>LEFT(RIGHT(A459,LEN(A459)-FIND("-",A459)),MIN(SEARCH({"a","b","c","d","e","f","g","h","i","j","k","l","m","n","o","p","q","r","s","t","u","v","w","x","y","z"},RIGHT(A459,LEN(A459)-FIND("-",A459))&amp;"abcdefghijklmnopqrstuvwxyz"))-1)+1-1</f>
        <v>#VALUE!</v>
      </c>
      <c r="R459" s="32" t="e">
        <f t="shared" si="102"/>
        <v>#VALUE!</v>
      </c>
      <c r="S459" s="32" t="s">
        <v>1393</v>
      </c>
      <c r="T459" s="32"/>
      <c r="U459" s="17">
        <f t="shared" si="97"/>
        <v>0</v>
      </c>
      <c r="V459" s="17">
        <f t="shared" si="98"/>
        <v>0</v>
      </c>
      <c r="W459" s="56"/>
      <c r="X459" s="31"/>
      <c r="Y459" s="42"/>
      <c r="Z459" s="31"/>
      <c r="AA459" s="31"/>
      <c r="AB459" s="31"/>
      <c r="AC459" s="31"/>
      <c r="AD459" s="31"/>
      <c r="AE459" s="31"/>
      <c r="AF459" s="31"/>
      <c r="AG459" s="31"/>
      <c r="AH459" s="31"/>
      <c r="AI459" s="31"/>
      <c r="AJ459" s="31"/>
      <c r="AK459" s="31"/>
      <c r="AL459" s="31"/>
      <c r="AM459" s="31"/>
      <c r="AN459" s="32"/>
      <c r="AO459" s="32"/>
      <c r="AP459" s="30"/>
      <c r="AQ459" s="30"/>
      <c r="AR459" s="30"/>
      <c r="AS459" s="92"/>
      <c r="AT459" s="155"/>
      <c r="AU459" s="155"/>
      <c r="AV459" s="106"/>
      <c r="AW459" s="106"/>
      <c r="AX459" s="30"/>
      <c r="AY459" s="107"/>
      <c r="AZ459" s="107"/>
      <c r="BA459" s="32"/>
    </row>
    <row r="460" spans="1:53">
      <c r="A460" s="7"/>
      <c r="B460" s="26" t="str">
        <f t="shared" si="101"/>
        <v/>
      </c>
      <c r="C460" s="42"/>
      <c r="D460" s="64"/>
      <c r="E460" s="69"/>
      <c r="F460" s="85"/>
      <c r="G460" s="60"/>
      <c r="H460" s="31"/>
      <c r="I460" s="42"/>
      <c r="J460" s="42"/>
      <c r="K460" s="42"/>
      <c r="L460" s="36"/>
      <c r="M460" s="41"/>
      <c r="N460" s="31"/>
      <c r="O460" s="31"/>
      <c r="P460" s="33"/>
      <c r="Q460" s="31" t="e">
        <f>LEFT(RIGHT(A460,LEN(A460)-FIND("-",A460)),MIN(SEARCH({"a","b","c","d","e","f","g","h","i","j","k","l","m","n","o","p","q","r","s","t","u","v","w","x","y","z"},RIGHT(A460,LEN(A460)-FIND("-",A460))&amp;"abcdefghijklmnopqrstuvwxyz"))-1)+1-1</f>
        <v>#VALUE!</v>
      </c>
      <c r="R460" s="32" t="e">
        <f t="shared" si="102"/>
        <v>#VALUE!</v>
      </c>
      <c r="S460" s="32" t="s">
        <v>1393</v>
      </c>
      <c r="T460" s="32"/>
      <c r="U460" s="17">
        <f t="shared" si="97"/>
        <v>0</v>
      </c>
      <c r="V460" s="17">
        <f t="shared" si="98"/>
        <v>0</v>
      </c>
      <c r="W460" s="56"/>
      <c r="X460" s="31"/>
      <c r="Y460" s="42"/>
      <c r="Z460" s="31"/>
      <c r="AA460" s="31"/>
      <c r="AB460" s="31"/>
      <c r="AC460" s="31"/>
      <c r="AD460" s="31"/>
      <c r="AE460" s="31"/>
      <c r="AF460" s="31"/>
      <c r="AG460" s="31"/>
      <c r="AH460" s="31"/>
      <c r="AI460" s="31"/>
      <c r="AJ460" s="31"/>
      <c r="AK460" s="31"/>
      <c r="AL460" s="31"/>
      <c r="AM460" s="31"/>
      <c r="AN460" s="32"/>
      <c r="AO460" s="32"/>
      <c r="AP460" s="30"/>
      <c r="AQ460" s="30"/>
      <c r="AR460" s="30"/>
      <c r="AS460" s="92"/>
      <c r="AT460" s="155"/>
      <c r="AU460" s="155"/>
      <c r="AV460" s="106"/>
      <c r="AW460" s="106"/>
      <c r="AX460" s="30"/>
      <c r="AY460" s="107"/>
      <c r="AZ460" s="107"/>
      <c r="BA460" s="32"/>
    </row>
    <row r="461" spans="1:53">
      <c r="A461" s="7"/>
      <c r="B461" s="26" t="str">
        <f t="shared" si="101"/>
        <v/>
      </c>
      <c r="C461" s="42"/>
      <c r="D461" s="64"/>
      <c r="E461" s="69"/>
      <c r="F461" s="85"/>
      <c r="G461" s="60"/>
      <c r="H461" s="31"/>
      <c r="I461" s="42"/>
      <c r="J461" s="42"/>
      <c r="K461" s="42"/>
      <c r="L461" s="36"/>
      <c r="M461" s="41"/>
      <c r="N461" s="31"/>
      <c r="O461" s="31"/>
      <c r="P461" s="33"/>
      <c r="Q461" s="31" t="e">
        <f>LEFT(RIGHT(A461,LEN(A461)-FIND("-",A461)),MIN(SEARCH({"a","b","c","d","e","f","g","h","i","j","k","l","m","n","o","p","q","r","s","t","u","v","w","x","y","z"},RIGHT(A461,LEN(A461)-FIND("-",A461))&amp;"abcdefghijklmnopqrstuvwxyz"))-1)+1-1</f>
        <v>#VALUE!</v>
      </c>
      <c r="R461" s="32" t="e">
        <f t="shared" si="102"/>
        <v>#VALUE!</v>
      </c>
      <c r="S461" s="32" t="s">
        <v>1393</v>
      </c>
      <c r="T461" s="32"/>
      <c r="U461" s="17">
        <f t="shared" si="97"/>
        <v>0</v>
      </c>
      <c r="V461" s="17">
        <f t="shared" si="98"/>
        <v>0</v>
      </c>
      <c r="W461" s="56"/>
      <c r="X461" s="31"/>
      <c r="Y461" s="42"/>
      <c r="Z461" s="31"/>
      <c r="AA461" s="31"/>
      <c r="AB461" s="31"/>
      <c r="AC461" s="31"/>
      <c r="AD461" s="31"/>
      <c r="AE461" s="31"/>
      <c r="AF461" s="31"/>
      <c r="AG461" s="31"/>
      <c r="AH461" s="31"/>
      <c r="AI461" s="31"/>
      <c r="AJ461" s="31"/>
      <c r="AK461" s="31"/>
      <c r="AL461" s="31"/>
      <c r="AM461" s="31"/>
      <c r="AN461" s="32"/>
      <c r="AO461" s="32"/>
      <c r="AP461" s="30"/>
      <c r="AQ461" s="30"/>
      <c r="AR461" s="30"/>
      <c r="AS461" s="92"/>
      <c r="AT461" s="155"/>
      <c r="AU461" s="155"/>
      <c r="AV461" s="106"/>
      <c r="AW461" s="106"/>
      <c r="AX461" s="30"/>
      <c r="AY461" s="107"/>
      <c r="AZ461" s="107"/>
      <c r="BA461" s="32"/>
    </row>
    <row r="462" spans="1:53">
      <c r="A462" s="7"/>
      <c r="B462" s="26" t="str">
        <f t="shared" si="101"/>
        <v/>
      </c>
      <c r="C462" s="42"/>
      <c r="D462" s="64"/>
      <c r="E462" s="69"/>
      <c r="F462" s="85"/>
      <c r="G462" s="60"/>
      <c r="H462" s="31"/>
      <c r="I462" s="42"/>
      <c r="J462" s="42"/>
      <c r="K462" s="42"/>
      <c r="L462" s="36"/>
      <c r="M462" s="41"/>
      <c r="N462" s="31"/>
      <c r="O462" s="31"/>
      <c r="P462" s="33"/>
      <c r="Q462" s="31" t="e">
        <f>LEFT(RIGHT(A462,LEN(A462)-FIND("-",A462)),MIN(SEARCH({"a","b","c","d","e","f","g","h","i","j","k","l","m","n","o","p","q","r","s","t","u","v","w","x","y","z"},RIGHT(A462,LEN(A462)-FIND("-",A462))&amp;"abcdefghijklmnopqrstuvwxyz"))-1)+1-1</f>
        <v>#VALUE!</v>
      </c>
      <c r="R462" s="32" t="e">
        <f t="shared" si="102"/>
        <v>#VALUE!</v>
      </c>
      <c r="S462" s="32" t="s">
        <v>1393</v>
      </c>
      <c r="T462" s="32"/>
      <c r="U462" s="17">
        <f t="shared" si="97"/>
        <v>0</v>
      </c>
      <c r="V462" s="17">
        <f t="shared" si="98"/>
        <v>0</v>
      </c>
      <c r="W462" s="56"/>
      <c r="X462" s="31"/>
      <c r="Y462" s="42"/>
      <c r="Z462" s="31"/>
      <c r="AA462" s="31"/>
      <c r="AB462" s="31"/>
      <c r="AC462" s="31"/>
      <c r="AD462" s="31"/>
      <c r="AE462" s="31"/>
      <c r="AF462" s="31"/>
      <c r="AG462" s="31"/>
      <c r="AH462" s="31"/>
      <c r="AI462" s="31"/>
      <c r="AJ462" s="31"/>
      <c r="AK462" s="31"/>
      <c r="AL462" s="31"/>
      <c r="AM462" s="31"/>
      <c r="AN462" s="32"/>
      <c r="AO462" s="32"/>
      <c r="AP462" s="30"/>
      <c r="AQ462" s="30"/>
      <c r="AR462" s="30"/>
      <c r="AS462" s="92"/>
      <c r="AT462" s="155"/>
      <c r="AU462" s="155"/>
      <c r="AV462" s="106"/>
      <c r="AW462" s="106"/>
      <c r="AX462" s="30"/>
      <c r="AY462" s="107"/>
      <c r="AZ462" s="107"/>
      <c r="BA462" s="32"/>
    </row>
    <row r="463" spans="1:53">
      <c r="A463" s="7"/>
      <c r="B463" s="26" t="str">
        <f t="shared" si="101"/>
        <v/>
      </c>
      <c r="C463" s="42"/>
      <c r="D463" s="64"/>
      <c r="E463" s="69"/>
      <c r="F463" s="85"/>
      <c r="G463" s="60"/>
      <c r="H463" s="31"/>
      <c r="I463" s="42"/>
      <c r="J463" s="42"/>
      <c r="K463" s="42"/>
      <c r="L463" s="36"/>
      <c r="M463" s="41"/>
      <c r="N463" s="31"/>
      <c r="O463" s="31"/>
      <c r="P463" s="33"/>
      <c r="Q463" s="31" t="e">
        <f>LEFT(RIGHT(A463,LEN(A463)-FIND("-",A463)),MIN(SEARCH({"a","b","c","d","e","f","g","h","i","j","k","l","m","n","o","p","q","r","s","t","u","v","w","x","y","z"},RIGHT(A463,LEN(A463)-FIND("-",A463))&amp;"abcdefghijklmnopqrstuvwxyz"))-1)+1-1</f>
        <v>#VALUE!</v>
      </c>
      <c r="R463" s="32" t="e">
        <f t="shared" si="102"/>
        <v>#VALUE!</v>
      </c>
      <c r="S463" s="32" t="s">
        <v>1393</v>
      </c>
      <c r="T463" s="32"/>
      <c r="U463" s="17">
        <f t="shared" si="97"/>
        <v>0</v>
      </c>
      <c r="V463" s="17">
        <f t="shared" si="98"/>
        <v>0</v>
      </c>
      <c r="W463" s="56"/>
      <c r="X463" s="31"/>
      <c r="Y463" s="42"/>
      <c r="Z463" s="31"/>
      <c r="AA463" s="31"/>
      <c r="AB463" s="31"/>
      <c r="AC463" s="31"/>
      <c r="AD463" s="31"/>
      <c r="AE463" s="31"/>
      <c r="AF463" s="31"/>
      <c r="AG463" s="31"/>
      <c r="AH463" s="31"/>
      <c r="AI463" s="31"/>
      <c r="AJ463" s="31"/>
      <c r="AK463" s="31"/>
      <c r="AL463" s="31"/>
      <c r="AM463" s="31"/>
      <c r="AN463" s="32"/>
      <c r="AO463" s="32"/>
      <c r="AP463" s="30"/>
      <c r="AQ463" s="30"/>
      <c r="AR463" s="30"/>
      <c r="AS463" s="92"/>
      <c r="AT463" s="155"/>
      <c r="AU463" s="155"/>
      <c r="AV463" s="106"/>
      <c r="AW463" s="106"/>
      <c r="AX463" s="30"/>
      <c r="AY463" s="107"/>
      <c r="AZ463" s="107"/>
      <c r="BA463" s="32"/>
    </row>
    <row r="464" spans="1:53">
      <c r="A464" s="7"/>
      <c r="B464" s="26" t="str">
        <f t="shared" si="101"/>
        <v/>
      </c>
      <c r="C464" s="42"/>
      <c r="D464" s="64"/>
      <c r="E464" s="69"/>
      <c r="F464" s="85"/>
      <c r="G464" s="60"/>
      <c r="H464" s="31"/>
      <c r="I464" s="42"/>
      <c r="J464" s="42"/>
      <c r="K464" s="42"/>
      <c r="L464" s="36"/>
      <c r="M464" s="41"/>
      <c r="N464" s="31"/>
      <c r="O464" s="31"/>
      <c r="P464" s="33"/>
      <c r="Q464" s="31" t="e">
        <f>LEFT(RIGHT(A464,LEN(A464)-FIND("-",A464)),MIN(SEARCH({"a","b","c","d","e","f","g","h","i","j","k","l","m","n","o","p","q","r","s","t","u","v","w","x","y","z"},RIGHT(A464,LEN(A464)-FIND("-",A464))&amp;"abcdefghijklmnopqrstuvwxyz"))-1)+1-1</f>
        <v>#VALUE!</v>
      </c>
      <c r="R464" s="32" t="e">
        <f t="shared" si="102"/>
        <v>#VALUE!</v>
      </c>
      <c r="S464" s="32" t="s">
        <v>1393</v>
      </c>
      <c r="T464" s="32"/>
      <c r="U464" s="17">
        <f t="shared" si="97"/>
        <v>0</v>
      </c>
      <c r="V464" s="17">
        <f t="shared" si="98"/>
        <v>0</v>
      </c>
      <c r="W464" s="56"/>
      <c r="X464" s="31"/>
      <c r="Y464" s="42"/>
      <c r="Z464" s="31"/>
      <c r="AA464" s="31"/>
      <c r="AB464" s="31"/>
      <c r="AC464" s="31"/>
      <c r="AD464" s="31"/>
      <c r="AE464" s="31"/>
      <c r="AF464" s="31"/>
      <c r="AG464" s="31"/>
      <c r="AH464" s="31"/>
      <c r="AI464" s="31"/>
      <c r="AJ464" s="31"/>
      <c r="AK464" s="31"/>
      <c r="AL464" s="31"/>
      <c r="AM464" s="31"/>
      <c r="AN464" s="32"/>
      <c r="AO464" s="32"/>
      <c r="AP464" s="30"/>
      <c r="AQ464" s="30"/>
      <c r="AR464" s="30"/>
      <c r="AS464" s="92"/>
      <c r="AT464" s="155"/>
      <c r="AU464" s="155"/>
      <c r="AV464" s="106"/>
      <c r="AW464" s="106"/>
      <c r="AX464" s="30"/>
      <c r="AY464" s="107"/>
      <c r="AZ464" s="107"/>
      <c r="BA464" s="32"/>
    </row>
    <row r="465" spans="1:53">
      <c r="A465" s="7"/>
      <c r="B465" s="26" t="str">
        <f t="shared" si="101"/>
        <v/>
      </c>
      <c r="C465" s="42"/>
      <c r="D465" s="64"/>
      <c r="E465" s="69"/>
      <c r="F465" s="85"/>
      <c r="G465" s="60"/>
      <c r="H465" s="31"/>
      <c r="I465" s="42"/>
      <c r="J465" s="42"/>
      <c r="K465" s="42"/>
      <c r="L465" s="36"/>
      <c r="M465" s="41"/>
      <c r="N465" s="31"/>
      <c r="O465" s="31"/>
      <c r="P465" s="33"/>
      <c r="Q465" s="31" t="e">
        <f>LEFT(RIGHT(A465,LEN(A465)-FIND("-",A465)),MIN(SEARCH({"a","b","c","d","e","f","g","h","i","j","k","l","m","n","o","p","q","r","s","t","u","v","w","x","y","z"},RIGHT(A465,LEN(A465)-FIND("-",A465))&amp;"abcdefghijklmnopqrstuvwxyz"))-1)+1-1</f>
        <v>#VALUE!</v>
      </c>
      <c r="R465" s="32" t="e">
        <f t="shared" si="102"/>
        <v>#VALUE!</v>
      </c>
      <c r="S465" s="32" t="s">
        <v>1393</v>
      </c>
      <c r="T465" s="32"/>
      <c r="U465" s="17">
        <f t="shared" si="97"/>
        <v>0</v>
      </c>
      <c r="V465" s="17">
        <f t="shared" si="98"/>
        <v>0</v>
      </c>
      <c r="W465" s="56"/>
      <c r="X465" s="31"/>
      <c r="Y465" s="42"/>
      <c r="Z465" s="31"/>
      <c r="AA465" s="31"/>
      <c r="AB465" s="31"/>
      <c r="AC465" s="31"/>
      <c r="AD465" s="31"/>
      <c r="AE465" s="31"/>
      <c r="AF465" s="31"/>
      <c r="AG465" s="31"/>
      <c r="AH465" s="31"/>
      <c r="AI465" s="31"/>
      <c r="AJ465" s="31"/>
      <c r="AK465" s="31"/>
      <c r="AL465" s="31"/>
      <c r="AM465" s="31"/>
      <c r="AN465" s="32"/>
      <c r="AO465" s="32"/>
      <c r="AP465" s="30"/>
      <c r="AQ465" s="30"/>
      <c r="AR465" s="30"/>
      <c r="AS465" s="92"/>
      <c r="AT465" s="155"/>
      <c r="AU465" s="155"/>
      <c r="AV465" s="106"/>
      <c r="AW465" s="106"/>
      <c r="AX465" s="30"/>
      <c r="AY465" s="107"/>
      <c r="AZ465" s="107"/>
      <c r="BA465" s="32"/>
    </row>
    <row r="466" spans="1:53">
      <c r="A466" s="7"/>
      <c r="B466" s="26" t="str">
        <f t="shared" si="101"/>
        <v/>
      </c>
      <c r="C466" s="42"/>
      <c r="D466" s="64"/>
      <c r="E466" s="69"/>
      <c r="F466" s="85"/>
      <c r="G466" s="60"/>
      <c r="H466" s="31"/>
      <c r="I466" s="42"/>
      <c r="J466" s="42"/>
      <c r="K466" s="42"/>
      <c r="L466" s="36"/>
      <c r="M466" s="41"/>
      <c r="N466" s="31"/>
      <c r="O466" s="31"/>
      <c r="P466" s="33"/>
      <c r="Q466" s="31" t="e">
        <f>LEFT(RIGHT(A466,LEN(A466)-FIND("-",A466)),MIN(SEARCH({"a","b","c","d","e","f","g","h","i","j","k","l","m","n","o","p","q","r","s","t","u","v","w","x","y","z"},RIGHT(A466,LEN(A466)-FIND("-",A466))&amp;"abcdefghijklmnopqrstuvwxyz"))-1)+1-1</f>
        <v>#VALUE!</v>
      </c>
      <c r="R466" s="32" t="e">
        <f t="shared" si="102"/>
        <v>#VALUE!</v>
      </c>
      <c r="S466" s="32" t="s">
        <v>1393</v>
      </c>
      <c r="T466" s="32"/>
      <c r="U466" s="17">
        <f t="shared" si="97"/>
        <v>0</v>
      </c>
      <c r="V466" s="17">
        <f t="shared" si="98"/>
        <v>0</v>
      </c>
      <c r="W466" s="56"/>
      <c r="X466" s="31"/>
      <c r="Y466" s="42"/>
      <c r="Z466" s="31"/>
      <c r="AA466" s="31"/>
      <c r="AB466" s="31"/>
      <c r="AC466" s="31"/>
      <c r="AD466" s="31"/>
      <c r="AE466" s="31"/>
      <c r="AF466" s="31"/>
      <c r="AG466" s="31"/>
      <c r="AH466" s="31"/>
      <c r="AI466" s="31"/>
      <c r="AJ466" s="31"/>
      <c r="AK466" s="31"/>
      <c r="AL466" s="31"/>
      <c r="AM466" s="31"/>
      <c r="AN466" s="32"/>
      <c r="AO466" s="32"/>
      <c r="AP466" s="30"/>
      <c r="AQ466" s="30"/>
      <c r="AR466" s="30"/>
      <c r="AS466" s="92"/>
      <c r="AT466" s="155"/>
      <c r="AU466" s="155"/>
      <c r="AV466" s="106"/>
      <c r="AW466" s="106"/>
      <c r="AX466" s="30"/>
      <c r="AY466" s="107"/>
      <c r="AZ466" s="107"/>
      <c r="BA466" s="32"/>
    </row>
    <row r="467" spans="1:53">
      <c r="A467" s="7"/>
      <c r="B467" s="26" t="str">
        <f t="shared" si="101"/>
        <v/>
      </c>
      <c r="C467" s="42"/>
      <c r="D467" s="64"/>
      <c r="E467" s="69"/>
      <c r="F467" s="85"/>
      <c r="G467" s="60"/>
      <c r="H467" s="31"/>
      <c r="I467" s="42"/>
      <c r="J467" s="42"/>
      <c r="K467" s="42"/>
      <c r="L467" s="36"/>
      <c r="M467" s="41"/>
      <c r="N467" s="31"/>
      <c r="O467" s="31"/>
      <c r="P467" s="33"/>
      <c r="Q467" s="31" t="e">
        <f>LEFT(RIGHT(A467,LEN(A467)-FIND("-",A467)),MIN(SEARCH({"a","b","c","d","e","f","g","h","i","j","k","l","m","n","o","p","q","r","s","t","u","v","w","x","y","z"},RIGHT(A467,LEN(A467)-FIND("-",A467))&amp;"abcdefghijklmnopqrstuvwxyz"))-1)+1-1</f>
        <v>#VALUE!</v>
      </c>
      <c r="R467" s="32" t="e">
        <f t="shared" si="102"/>
        <v>#VALUE!</v>
      </c>
      <c r="S467" s="32" t="s">
        <v>1393</v>
      </c>
      <c r="T467" s="32"/>
      <c r="U467" s="17">
        <f t="shared" si="97"/>
        <v>0</v>
      </c>
      <c r="V467" s="17">
        <f t="shared" si="98"/>
        <v>0</v>
      </c>
      <c r="W467" s="56"/>
      <c r="X467" s="31"/>
      <c r="Y467" s="42"/>
      <c r="Z467" s="31"/>
      <c r="AA467" s="31"/>
      <c r="AB467" s="31"/>
      <c r="AC467" s="31"/>
      <c r="AD467" s="31"/>
      <c r="AE467" s="31"/>
      <c r="AF467" s="31"/>
      <c r="AG467" s="31"/>
      <c r="AH467" s="31"/>
      <c r="AI467" s="31"/>
      <c r="AJ467" s="31"/>
      <c r="AK467" s="31"/>
      <c r="AL467" s="31"/>
      <c r="AM467" s="31"/>
      <c r="AN467" s="32"/>
      <c r="AO467" s="32"/>
      <c r="AP467" s="30"/>
      <c r="AQ467" s="30"/>
      <c r="AR467" s="30"/>
      <c r="AS467" s="92"/>
      <c r="AT467" s="155"/>
      <c r="AU467" s="155"/>
      <c r="AV467" s="106"/>
      <c r="AW467" s="106"/>
      <c r="AX467" s="30"/>
      <c r="AY467" s="107"/>
      <c r="AZ467" s="107"/>
      <c r="BA467" s="32"/>
    </row>
    <row r="468" spans="1:53">
      <c r="A468" s="7"/>
      <c r="B468" s="26" t="str">
        <f t="shared" si="101"/>
        <v/>
      </c>
      <c r="C468" s="42"/>
      <c r="D468" s="64"/>
      <c r="E468" s="69"/>
      <c r="F468" s="85"/>
      <c r="G468" s="60"/>
      <c r="H468" s="31"/>
      <c r="I468" s="42"/>
      <c r="J468" s="42"/>
      <c r="K468" s="42"/>
      <c r="L468" s="36"/>
      <c r="M468" s="41"/>
      <c r="N468" s="31"/>
      <c r="O468" s="31"/>
      <c r="P468" s="33"/>
      <c r="Q468" s="31" t="e">
        <f>LEFT(RIGHT(A468,LEN(A468)-FIND("-",A468)),MIN(SEARCH({"a","b","c","d","e","f","g","h","i","j","k","l","m","n","o","p","q","r","s","t","u","v","w","x","y","z"},RIGHT(A468,LEN(A468)-FIND("-",A468))&amp;"abcdefghijklmnopqrstuvwxyz"))-1)+1-1</f>
        <v>#VALUE!</v>
      </c>
      <c r="R468" s="32" t="e">
        <f t="shared" si="102"/>
        <v>#VALUE!</v>
      </c>
      <c r="S468" s="32" t="s">
        <v>1393</v>
      </c>
      <c r="T468" s="32"/>
      <c r="U468" s="17">
        <f t="shared" si="97"/>
        <v>0</v>
      </c>
      <c r="V468" s="17">
        <f t="shared" si="98"/>
        <v>0</v>
      </c>
      <c r="W468" s="56"/>
      <c r="X468" s="31"/>
      <c r="Y468" s="42"/>
      <c r="Z468" s="31"/>
      <c r="AA468" s="31"/>
      <c r="AB468" s="31"/>
      <c r="AC468" s="31"/>
      <c r="AD468" s="31"/>
      <c r="AE468" s="31"/>
      <c r="AF468" s="31"/>
      <c r="AG468" s="31"/>
      <c r="AH468" s="31"/>
      <c r="AI468" s="31"/>
      <c r="AJ468" s="31"/>
      <c r="AK468" s="31"/>
      <c r="AL468" s="31"/>
      <c r="AM468" s="31"/>
      <c r="AN468" s="32"/>
      <c r="AO468" s="32"/>
      <c r="AP468" s="30"/>
      <c r="AQ468" s="30"/>
      <c r="AR468" s="30"/>
      <c r="AS468" s="92"/>
      <c r="AT468" s="155"/>
      <c r="AU468" s="155"/>
      <c r="AV468" s="106"/>
      <c r="AW468" s="106"/>
      <c r="AX468" s="30"/>
      <c r="AY468" s="107"/>
      <c r="AZ468" s="107"/>
      <c r="BA468" s="32"/>
    </row>
    <row r="469" spans="1:53">
      <c r="A469" s="7"/>
      <c r="B469" s="26" t="str">
        <f t="shared" si="101"/>
        <v/>
      </c>
      <c r="C469" s="42"/>
      <c r="D469" s="64"/>
      <c r="E469" s="69"/>
      <c r="F469" s="85"/>
      <c r="G469" s="60"/>
      <c r="H469" s="31"/>
      <c r="I469" s="42"/>
      <c r="J469" s="42"/>
      <c r="K469" s="42"/>
      <c r="L469" s="36"/>
      <c r="M469" s="41"/>
      <c r="N469" s="31"/>
      <c r="O469" s="31"/>
      <c r="P469" s="33"/>
      <c r="Q469" s="31" t="e">
        <f>LEFT(RIGHT(A469,LEN(A469)-FIND("-",A469)),MIN(SEARCH({"a","b","c","d","e","f","g","h","i","j","k","l","m","n","o","p","q","r","s","t","u","v","w","x","y","z"},RIGHT(A469,LEN(A469)-FIND("-",A469))&amp;"abcdefghijklmnopqrstuvwxyz"))-1)+1-1</f>
        <v>#VALUE!</v>
      </c>
      <c r="R469" s="32" t="e">
        <f t="shared" si="102"/>
        <v>#VALUE!</v>
      </c>
      <c r="S469" s="32" t="s">
        <v>1393</v>
      </c>
      <c r="T469" s="32"/>
      <c r="U469" s="17">
        <f t="shared" si="97"/>
        <v>0</v>
      </c>
      <c r="V469" s="17">
        <f t="shared" si="98"/>
        <v>0</v>
      </c>
      <c r="W469" s="56"/>
      <c r="X469" s="31"/>
      <c r="Y469" s="42"/>
      <c r="Z469" s="31"/>
      <c r="AA469" s="31"/>
      <c r="AB469" s="31"/>
      <c r="AC469" s="31"/>
      <c r="AD469" s="31"/>
      <c r="AE469" s="31"/>
      <c r="AF469" s="31"/>
      <c r="AG469" s="31"/>
      <c r="AH469" s="31"/>
      <c r="AI469" s="31"/>
      <c r="AJ469" s="31"/>
      <c r="AK469" s="31"/>
      <c r="AL469" s="31"/>
      <c r="AM469" s="31"/>
      <c r="AN469" s="32"/>
      <c r="AO469" s="32"/>
      <c r="AP469" s="30"/>
      <c r="AQ469" s="30"/>
      <c r="AR469" s="30"/>
      <c r="AS469" s="92"/>
      <c r="AT469" s="155"/>
      <c r="AU469" s="155"/>
      <c r="AV469" s="106"/>
      <c r="AW469" s="106"/>
      <c r="AX469" s="30"/>
      <c r="AY469" s="107"/>
      <c r="AZ469" s="107"/>
      <c r="BA469" s="32"/>
    </row>
    <row r="470" spans="1:53">
      <c r="A470" s="7"/>
      <c r="B470" s="26" t="str">
        <f t="shared" si="101"/>
        <v/>
      </c>
      <c r="C470" s="42"/>
      <c r="D470" s="64"/>
      <c r="E470" s="69"/>
      <c r="F470" s="85"/>
      <c r="G470" s="60"/>
      <c r="H470" s="31"/>
      <c r="I470" s="42"/>
      <c r="J470" s="42"/>
      <c r="K470" s="42"/>
      <c r="L470" s="36"/>
      <c r="M470" s="41"/>
      <c r="N470" s="31"/>
      <c r="O470" s="31"/>
      <c r="P470" s="33"/>
      <c r="Q470" s="31" t="e">
        <f>LEFT(RIGHT(A470,LEN(A470)-FIND("-",A470)),MIN(SEARCH({"a","b","c","d","e","f","g","h","i","j","k","l","m","n","o","p","q","r","s","t","u","v","w","x","y","z"},RIGHT(A470,LEN(A470)-FIND("-",A470))&amp;"abcdefghijklmnopqrstuvwxyz"))-1)+1-1</f>
        <v>#VALUE!</v>
      </c>
      <c r="R470" s="32" t="e">
        <f t="shared" si="102"/>
        <v>#VALUE!</v>
      </c>
      <c r="S470" s="32" t="s">
        <v>1393</v>
      </c>
      <c r="T470" s="32"/>
      <c r="U470" s="17">
        <f t="shared" si="97"/>
        <v>0</v>
      </c>
      <c r="V470" s="17">
        <f t="shared" si="98"/>
        <v>0</v>
      </c>
      <c r="W470" s="56"/>
      <c r="X470" s="31"/>
      <c r="Y470" s="42"/>
      <c r="Z470" s="31"/>
      <c r="AA470" s="31"/>
      <c r="AB470" s="31"/>
      <c r="AC470" s="31"/>
      <c r="AD470" s="31"/>
      <c r="AE470" s="31"/>
      <c r="AF470" s="31"/>
      <c r="AG470" s="31"/>
      <c r="AH470" s="31"/>
      <c r="AI470" s="31"/>
      <c r="AJ470" s="31"/>
      <c r="AK470" s="31"/>
      <c r="AL470" s="31"/>
      <c r="AM470" s="31"/>
      <c r="AN470" s="32"/>
      <c r="AO470" s="32"/>
      <c r="AP470" s="30"/>
      <c r="AQ470" s="30"/>
      <c r="AR470" s="30"/>
      <c r="AS470" s="92"/>
      <c r="AT470" s="155"/>
      <c r="AU470" s="155"/>
      <c r="AV470" s="106"/>
      <c r="AW470" s="106"/>
      <c r="AX470" s="30"/>
      <c r="AY470" s="107"/>
      <c r="AZ470" s="107"/>
      <c r="BA470" s="32"/>
    </row>
    <row r="471" spans="1:53">
      <c r="A471" s="7"/>
      <c r="B471" s="26" t="str">
        <f t="shared" si="101"/>
        <v/>
      </c>
      <c r="C471" s="42"/>
      <c r="D471" s="64"/>
      <c r="E471" s="69"/>
      <c r="F471" s="85"/>
      <c r="G471" s="60"/>
      <c r="H471" s="31"/>
      <c r="I471" s="42"/>
      <c r="J471" s="42"/>
      <c r="K471" s="42"/>
      <c r="L471" s="36"/>
      <c r="M471" s="41"/>
      <c r="N471" s="31"/>
      <c r="O471" s="31"/>
      <c r="P471" s="33"/>
      <c r="Q471" s="31" t="e">
        <f>LEFT(RIGHT(A471,LEN(A471)-FIND("-",A471)),MIN(SEARCH({"a","b","c","d","e","f","g","h","i","j","k","l","m","n","o","p","q","r","s","t","u","v","w","x","y","z"},RIGHT(A471,LEN(A471)-FIND("-",A471))&amp;"abcdefghijklmnopqrstuvwxyz"))-1)+1-1</f>
        <v>#VALUE!</v>
      </c>
      <c r="R471" s="32" t="e">
        <f t="shared" si="102"/>
        <v>#VALUE!</v>
      </c>
      <c r="S471" s="32" t="s">
        <v>1393</v>
      </c>
      <c r="T471" s="32"/>
      <c r="U471" s="17">
        <f t="shared" si="97"/>
        <v>0</v>
      </c>
      <c r="V471" s="17">
        <f t="shared" si="98"/>
        <v>0</v>
      </c>
      <c r="W471" s="56"/>
      <c r="X471" s="31"/>
      <c r="Y471" s="42"/>
      <c r="Z471" s="31"/>
      <c r="AA471" s="31"/>
      <c r="AB471" s="31"/>
      <c r="AC471" s="31"/>
      <c r="AD471" s="31"/>
      <c r="AE471" s="31"/>
      <c r="AF471" s="31"/>
      <c r="AG471" s="31"/>
      <c r="AH471" s="31"/>
      <c r="AI471" s="31"/>
      <c r="AJ471" s="31"/>
      <c r="AK471" s="31"/>
      <c r="AL471" s="31"/>
      <c r="AM471" s="31"/>
      <c r="AN471" s="32"/>
      <c r="AO471" s="32"/>
      <c r="AP471" s="30"/>
      <c r="AQ471" s="30"/>
      <c r="AR471" s="30"/>
      <c r="AS471" s="92"/>
      <c r="AT471" s="155"/>
      <c r="AU471" s="155"/>
      <c r="AV471" s="106"/>
      <c r="AW471" s="106"/>
      <c r="AX471" s="30"/>
      <c r="AY471" s="107"/>
      <c r="AZ471" s="107"/>
      <c r="BA471" s="32"/>
    </row>
    <row r="472" spans="1:53">
      <c r="A472" s="7"/>
      <c r="B472" s="26" t="str">
        <f t="shared" si="101"/>
        <v/>
      </c>
      <c r="C472" s="42"/>
      <c r="D472" s="64"/>
      <c r="E472" s="69"/>
      <c r="F472" s="85"/>
      <c r="G472" s="60"/>
      <c r="H472" s="31"/>
      <c r="I472" s="42"/>
      <c r="J472" s="42"/>
      <c r="K472" s="42"/>
      <c r="L472" s="36"/>
      <c r="M472" s="41"/>
      <c r="N472" s="31"/>
      <c r="O472" s="31"/>
      <c r="P472" s="33"/>
      <c r="Q472" s="31" t="e">
        <f>LEFT(RIGHT(A472,LEN(A472)-FIND("-",A472)),MIN(SEARCH({"a","b","c","d","e","f","g","h","i","j","k","l","m","n","o","p","q","r","s","t","u","v","w","x","y","z"},RIGHT(A472,LEN(A472)-FIND("-",A472))&amp;"abcdefghijklmnopqrstuvwxyz"))-1)+1-1</f>
        <v>#VALUE!</v>
      </c>
      <c r="R472" s="32" t="e">
        <f t="shared" si="102"/>
        <v>#VALUE!</v>
      </c>
      <c r="S472" s="32" t="s">
        <v>1393</v>
      </c>
      <c r="T472" s="32"/>
      <c r="U472" s="17">
        <f t="shared" si="97"/>
        <v>0</v>
      </c>
      <c r="V472" s="17">
        <f t="shared" si="98"/>
        <v>0</v>
      </c>
      <c r="W472" s="56"/>
      <c r="X472" s="31"/>
      <c r="Y472" s="42"/>
      <c r="Z472" s="31"/>
      <c r="AA472" s="31"/>
      <c r="AB472" s="31"/>
      <c r="AC472" s="31"/>
      <c r="AD472" s="31"/>
      <c r="AE472" s="31"/>
      <c r="AF472" s="31"/>
      <c r="AG472" s="31"/>
      <c r="AH472" s="31"/>
      <c r="AI472" s="31"/>
      <c r="AJ472" s="31"/>
      <c r="AK472" s="31"/>
      <c r="AL472" s="31"/>
      <c r="AM472" s="31"/>
      <c r="AN472" s="32"/>
      <c r="AO472" s="32"/>
      <c r="AP472" s="30"/>
      <c r="AQ472" s="30"/>
      <c r="AR472" s="30"/>
      <c r="AS472" s="92"/>
      <c r="AT472" s="155"/>
      <c r="AU472" s="155"/>
      <c r="AV472" s="106"/>
      <c r="AW472" s="106"/>
      <c r="AX472" s="30"/>
      <c r="AY472" s="107"/>
      <c r="AZ472" s="107"/>
      <c r="BA472" s="32"/>
    </row>
    <row r="473" spans="1:53">
      <c r="A473" s="7"/>
      <c r="B473" s="26" t="str">
        <f t="shared" si="101"/>
        <v/>
      </c>
      <c r="C473" s="42"/>
      <c r="D473" s="64"/>
      <c r="E473" s="69"/>
      <c r="F473" s="85"/>
      <c r="G473" s="60"/>
      <c r="H473" s="31"/>
      <c r="I473" s="42"/>
      <c r="J473" s="42"/>
      <c r="K473" s="42"/>
      <c r="L473" s="36"/>
      <c r="M473" s="41"/>
      <c r="N473" s="31"/>
      <c r="O473" s="31"/>
      <c r="P473" s="33"/>
      <c r="Q473" s="31" t="e">
        <f>LEFT(RIGHT(A473,LEN(A473)-FIND("-",A473)),MIN(SEARCH({"a","b","c","d","e","f","g","h","i","j","k","l","m","n","o","p","q","r","s","t","u","v","w","x","y","z"},RIGHT(A473,LEN(A473)-FIND("-",A473))&amp;"abcdefghijklmnopqrstuvwxyz"))-1)+1-1</f>
        <v>#VALUE!</v>
      </c>
      <c r="R473" s="32" t="e">
        <f t="shared" si="102"/>
        <v>#VALUE!</v>
      </c>
      <c r="S473" s="32" t="s">
        <v>1393</v>
      </c>
      <c r="T473" s="32"/>
      <c r="U473" s="17">
        <f t="shared" si="97"/>
        <v>0</v>
      </c>
      <c r="V473" s="17">
        <f t="shared" si="98"/>
        <v>0</v>
      </c>
      <c r="W473" s="56"/>
      <c r="X473" s="31"/>
      <c r="Y473" s="42"/>
      <c r="Z473" s="31"/>
      <c r="AA473" s="31"/>
      <c r="AB473" s="31"/>
      <c r="AC473" s="31"/>
      <c r="AD473" s="31"/>
      <c r="AE473" s="31"/>
      <c r="AF473" s="31"/>
      <c r="AG473" s="31"/>
      <c r="AH473" s="31"/>
      <c r="AI473" s="31"/>
      <c r="AJ473" s="31"/>
      <c r="AK473" s="31"/>
      <c r="AL473" s="31"/>
      <c r="AM473" s="31"/>
      <c r="AN473" s="32"/>
      <c r="AO473" s="32"/>
      <c r="AP473" s="30"/>
      <c r="AQ473" s="30"/>
      <c r="AR473" s="30"/>
      <c r="AS473" s="92"/>
      <c r="AT473" s="155"/>
      <c r="AU473" s="155"/>
      <c r="AV473" s="106"/>
      <c r="AW473" s="106"/>
      <c r="AX473" s="30"/>
      <c r="AY473" s="107"/>
      <c r="AZ473" s="107"/>
      <c r="BA473" s="32"/>
    </row>
    <row r="474" spans="1:53">
      <c r="A474" s="7"/>
      <c r="B474" s="26" t="str">
        <f t="shared" si="101"/>
        <v/>
      </c>
      <c r="C474" s="42"/>
      <c r="D474" s="64"/>
      <c r="E474" s="69"/>
      <c r="F474" s="85"/>
      <c r="G474" s="60"/>
      <c r="H474" s="31"/>
      <c r="I474" s="42"/>
      <c r="J474" s="42"/>
      <c r="K474" s="42"/>
      <c r="L474" s="36"/>
      <c r="M474" s="41"/>
      <c r="N474" s="31"/>
      <c r="O474" s="31"/>
      <c r="P474" s="33"/>
      <c r="Q474" s="31" t="e">
        <f>LEFT(RIGHT(A474,LEN(A474)-FIND("-",A474)),MIN(SEARCH({"a","b","c","d","e","f","g","h","i","j","k","l","m","n","o","p","q","r","s","t","u","v","w","x","y","z"},RIGHT(A474,LEN(A474)-FIND("-",A474))&amp;"abcdefghijklmnopqrstuvwxyz"))-1)+1-1</f>
        <v>#VALUE!</v>
      </c>
      <c r="R474" s="32" t="e">
        <f t="shared" si="102"/>
        <v>#VALUE!</v>
      </c>
      <c r="S474" s="32" t="s">
        <v>1393</v>
      </c>
      <c r="T474" s="32"/>
      <c r="U474" s="17">
        <f t="shared" si="97"/>
        <v>0</v>
      </c>
      <c r="V474" s="17">
        <f t="shared" si="98"/>
        <v>0</v>
      </c>
      <c r="W474" s="56"/>
      <c r="X474" s="31"/>
      <c r="Y474" s="42"/>
      <c r="Z474" s="31"/>
      <c r="AA474" s="31"/>
      <c r="AB474" s="31"/>
      <c r="AC474" s="31"/>
      <c r="AD474" s="31"/>
      <c r="AE474" s="31"/>
      <c r="AF474" s="31"/>
      <c r="AG474" s="31"/>
      <c r="AH474" s="31"/>
      <c r="AI474" s="31"/>
      <c r="AJ474" s="31"/>
      <c r="AK474" s="31"/>
      <c r="AL474" s="31"/>
      <c r="AM474" s="31"/>
      <c r="AN474" s="32"/>
      <c r="AO474" s="32"/>
      <c r="AP474" s="30"/>
      <c r="AQ474" s="30"/>
      <c r="AR474" s="30"/>
      <c r="AS474" s="92"/>
      <c r="AT474" s="155"/>
      <c r="AU474" s="155"/>
      <c r="AV474" s="106"/>
      <c r="AW474" s="106"/>
      <c r="AX474" s="30"/>
      <c r="AY474" s="107"/>
      <c r="AZ474" s="107"/>
      <c r="BA474" s="32"/>
    </row>
    <row r="475" spans="1:53">
      <c r="A475" s="7"/>
      <c r="B475" s="26" t="str">
        <f t="shared" si="101"/>
        <v/>
      </c>
      <c r="C475" s="42"/>
      <c r="D475" s="64"/>
      <c r="E475" s="69"/>
      <c r="F475" s="85"/>
      <c r="G475" s="60"/>
      <c r="H475" s="31"/>
      <c r="I475" s="42"/>
      <c r="J475" s="42"/>
      <c r="K475" s="42"/>
      <c r="L475" s="36"/>
      <c r="M475" s="41"/>
      <c r="N475" s="31"/>
      <c r="O475" s="31"/>
      <c r="P475" s="33"/>
      <c r="Q475" s="31" t="e">
        <f>LEFT(RIGHT(A475,LEN(A475)-FIND("-",A475)),MIN(SEARCH({"a","b","c","d","e","f","g","h","i","j","k","l","m","n","o","p","q","r","s","t","u","v","w","x","y","z"},RIGHT(A475,LEN(A475)-FIND("-",A475))&amp;"abcdefghijklmnopqrstuvwxyz"))-1)+1-1</f>
        <v>#VALUE!</v>
      </c>
      <c r="R475" s="32" t="e">
        <f t="shared" si="102"/>
        <v>#VALUE!</v>
      </c>
      <c r="S475" s="32" t="s">
        <v>1393</v>
      </c>
      <c r="T475" s="32"/>
      <c r="U475" s="17">
        <f t="shared" si="97"/>
        <v>0</v>
      </c>
      <c r="V475" s="17">
        <f t="shared" si="98"/>
        <v>0</v>
      </c>
      <c r="W475" s="56"/>
      <c r="X475" s="31"/>
      <c r="Y475" s="42"/>
      <c r="Z475" s="31"/>
      <c r="AA475" s="31"/>
      <c r="AB475" s="31"/>
      <c r="AC475" s="31"/>
      <c r="AD475" s="31"/>
      <c r="AE475" s="31"/>
      <c r="AF475" s="31"/>
      <c r="AG475" s="31"/>
      <c r="AH475" s="31"/>
      <c r="AI475" s="31"/>
      <c r="AJ475" s="31"/>
      <c r="AK475" s="31"/>
      <c r="AL475" s="31"/>
      <c r="AM475" s="31"/>
      <c r="AN475" s="32"/>
      <c r="AO475" s="32"/>
      <c r="AP475" s="30"/>
      <c r="AQ475" s="30"/>
      <c r="AR475" s="30"/>
      <c r="AS475" s="92"/>
      <c r="AT475" s="155"/>
      <c r="AU475" s="155"/>
      <c r="AV475" s="106"/>
      <c r="AW475" s="106"/>
      <c r="AX475" s="30"/>
      <c r="AY475" s="107"/>
      <c r="AZ475" s="107"/>
      <c r="BA475" s="32"/>
    </row>
    <row r="476" spans="1:53">
      <c r="A476" s="7"/>
      <c r="B476" s="26" t="str">
        <f t="shared" si="101"/>
        <v/>
      </c>
      <c r="C476" s="42"/>
      <c r="D476" s="64"/>
      <c r="E476" s="69"/>
      <c r="F476" s="85"/>
      <c r="G476" s="60"/>
      <c r="H476" s="31"/>
      <c r="I476" s="42"/>
      <c r="J476" s="42"/>
      <c r="K476" s="42"/>
      <c r="L476" s="36"/>
      <c r="M476" s="41"/>
      <c r="N476" s="31"/>
      <c r="O476" s="31"/>
      <c r="P476" s="33"/>
      <c r="Q476" s="31" t="e">
        <f>LEFT(RIGHT(A476,LEN(A476)-FIND("-",A476)),MIN(SEARCH({"a","b","c","d","e","f","g","h","i","j","k","l","m","n","o","p","q","r","s","t","u","v","w","x","y","z"},RIGHT(A476,LEN(A476)-FIND("-",A476))&amp;"abcdefghijklmnopqrstuvwxyz"))-1)+1-1</f>
        <v>#VALUE!</v>
      </c>
      <c r="R476" s="32" t="e">
        <f t="shared" si="102"/>
        <v>#VALUE!</v>
      </c>
      <c r="S476" s="32" t="s">
        <v>1393</v>
      </c>
      <c r="T476" s="32"/>
      <c r="U476" s="17">
        <f t="shared" ref="U476:U508" si="103">AR476-AQ476</f>
        <v>0</v>
      </c>
      <c r="V476" s="17">
        <f t="shared" ref="V476:V508" si="104">MIN(AR476,AS476)-MAX(AP476,AQ476)</f>
        <v>0</v>
      </c>
      <c r="W476" s="56"/>
      <c r="X476" s="31"/>
      <c r="Y476" s="42"/>
      <c r="Z476" s="31"/>
      <c r="AA476" s="31"/>
      <c r="AB476" s="31"/>
      <c r="AC476" s="31"/>
      <c r="AD476" s="31"/>
      <c r="AE476" s="31"/>
      <c r="AF476" s="31"/>
      <c r="AG476" s="31"/>
      <c r="AH476" s="31"/>
      <c r="AI476" s="31"/>
      <c r="AJ476" s="31"/>
      <c r="AK476" s="31"/>
      <c r="AL476" s="31"/>
      <c r="AM476" s="31"/>
      <c r="AN476" s="32"/>
      <c r="AO476" s="32"/>
      <c r="AP476" s="30"/>
      <c r="AQ476" s="30"/>
      <c r="AR476" s="30"/>
      <c r="AS476" s="92"/>
      <c r="AT476" s="155"/>
      <c r="AU476" s="155"/>
      <c r="AV476" s="106"/>
      <c r="AW476" s="106"/>
      <c r="AX476" s="30"/>
      <c r="AY476" s="107"/>
      <c r="AZ476" s="107"/>
      <c r="BA476" s="32"/>
    </row>
    <row r="477" spans="1:53">
      <c r="A477" s="7"/>
      <c r="B477" s="26" t="str">
        <f t="shared" si="101"/>
        <v/>
      </c>
      <c r="C477" s="42"/>
      <c r="D477" s="64"/>
      <c r="E477" s="69"/>
      <c r="F477" s="85"/>
      <c r="G477" s="60"/>
      <c r="H477" s="31"/>
      <c r="I477" s="42"/>
      <c r="J477" s="42"/>
      <c r="K477" s="42"/>
      <c r="L477" s="36"/>
      <c r="M477" s="41"/>
      <c r="N477" s="31"/>
      <c r="O477" s="31"/>
      <c r="P477" s="33"/>
      <c r="Q477" s="31" t="e">
        <f>LEFT(RIGHT(A477,LEN(A477)-FIND("-",A477)),MIN(SEARCH({"a","b","c","d","e","f","g","h","i","j","k","l","m","n","o","p","q","r","s","t","u","v","w","x","y","z"},RIGHT(A477,LEN(A477)-FIND("-",A477))&amp;"abcdefghijklmnopqrstuvwxyz"))-1)+1-1</f>
        <v>#VALUE!</v>
      </c>
      <c r="R477" s="32" t="e">
        <f t="shared" si="102"/>
        <v>#VALUE!</v>
      </c>
      <c r="S477" s="32" t="s">
        <v>1393</v>
      </c>
      <c r="T477" s="32"/>
      <c r="U477" s="17">
        <f t="shared" si="103"/>
        <v>0</v>
      </c>
      <c r="V477" s="17">
        <f t="shared" si="104"/>
        <v>0</v>
      </c>
      <c r="W477" s="56"/>
      <c r="X477" s="31"/>
      <c r="Y477" s="42"/>
      <c r="Z477" s="31"/>
      <c r="AA477" s="31"/>
      <c r="AB477" s="31"/>
      <c r="AC477" s="31"/>
      <c r="AD477" s="31"/>
      <c r="AE477" s="31"/>
      <c r="AF477" s="31"/>
      <c r="AG477" s="31"/>
      <c r="AH477" s="31"/>
      <c r="AI477" s="31"/>
      <c r="AJ477" s="31"/>
      <c r="AK477" s="31"/>
      <c r="AL477" s="31"/>
      <c r="AM477" s="31"/>
      <c r="AN477" s="32"/>
      <c r="AO477" s="32"/>
      <c r="AP477" s="30"/>
      <c r="AQ477" s="30"/>
      <c r="AR477" s="30"/>
      <c r="AS477" s="92"/>
      <c r="AT477" s="155"/>
      <c r="AU477" s="155"/>
      <c r="AV477" s="106"/>
      <c r="AW477" s="106"/>
      <c r="AX477" s="30"/>
      <c r="AY477" s="107"/>
      <c r="AZ477" s="107"/>
      <c r="BA477" s="32"/>
    </row>
    <row r="478" spans="1:53">
      <c r="A478" s="7"/>
      <c r="B478" s="26" t="str">
        <f t="shared" si="101"/>
        <v/>
      </c>
      <c r="C478" s="42"/>
      <c r="D478" s="64"/>
      <c r="E478" s="69"/>
      <c r="F478" s="85"/>
      <c r="G478" s="60"/>
      <c r="H478" s="31"/>
      <c r="I478" s="42"/>
      <c r="J478" s="42"/>
      <c r="K478" s="42"/>
      <c r="L478" s="36"/>
      <c r="M478" s="41"/>
      <c r="N478" s="31"/>
      <c r="O478" s="31"/>
      <c r="P478" s="33"/>
      <c r="Q478" s="31" t="e">
        <f>LEFT(RIGHT(A478,LEN(A478)-FIND("-",A478)),MIN(SEARCH({"a","b","c","d","e","f","g","h","i","j","k","l","m","n","o","p","q","r","s","t","u","v","w","x","y","z"},RIGHT(A478,LEN(A478)-FIND("-",A478))&amp;"abcdefghijklmnopqrstuvwxyz"))-1)+1-1</f>
        <v>#VALUE!</v>
      </c>
      <c r="R478" s="32" t="e">
        <f t="shared" si="102"/>
        <v>#VALUE!</v>
      </c>
      <c r="S478" s="32" t="s">
        <v>1393</v>
      </c>
      <c r="T478" s="32"/>
      <c r="U478" s="17">
        <f t="shared" si="103"/>
        <v>0</v>
      </c>
      <c r="V478" s="17">
        <f t="shared" si="104"/>
        <v>0</v>
      </c>
      <c r="W478" s="56"/>
      <c r="X478" s="31"/>
      <c r="Y478" s="42"/>
      <c r="Z478" s="31"/>
      <c r="AA478" s="31"/>
      <c r="AB478" s="31"/>
      <c r="AC478" s="31"/>
      <c r="AD478" s="31"/>
      <c r="AE478" s="31"/>
      <c r="AF478" s="31"/>
      <c r="AG478" s="31"/>
      <c r="AH478" s="31"/>
      <c r="AI478" s="31"/>
      <c r="AJ478" s="31"/>
      <c r="AK478" s="31"/>
      <c r="AL478" s="31"/>
      <c r="AM478" s="31"/>
      <c r="AN478" s="32"/>
      <c r="AO478" s="32"/>
      <c r="AP478" s="30"/>
      <c r="AQ478" s="30"/>
      <c r="AR478" s="30"/>
      <c r="AS478" s="92"/>
      <c r="AT478" s="155"/>
      <c r="AU478" s="155"/>
      <c r="AV478" s="106"/>
      <c r="AW478" s="106"/>
      <c r="AX478" s="30"/>
      <c r="AY478" s="107"/>
      <c r="AZ478" s="107"/>
      <c r="BA478" s="32"/>
    </row>
    <row r="479" spans="1:53">
      <c r="A479" s="7"/>
      <c r="B479" s="26" t="str">
        <f t="shared" si="101"/>
        <v/>
      </c>
      <c r="C479" s="42"/>
      <c r="D479" s="64"/>
      <c r="E479" s="69"/>
      <c r="F479" s="85"/>
      <c r="G479" s="60"/>
      <c r="H479" s="31"/>
      <c r="I479" s="42"/>
      <c r="J479" s="42"/>
      <c r="K479" s="42"/>
      <c r="L479" s="36"/>
      <c r="M479" s="41"/>
      <c r="N479" s="31"/>
      <c r="O479" s="31"/>
      <c r="P479" s="33"/>
      <c r="Q479" s="31" t="e">
        <f>LEFT(RIGHT(A479,LEN(A479)-FIND("-",A479)),MIN(SEARCH({"a","b","c","d","e","f","g","h","i","j","k","l","m","n","o","p","q","r","s","t","u","v","w","x","y","z"},RIGHT(A479,LEN(A479)-FIND("-",A479))&amp;"abcdefghijklmnopqrstuvwxyz"))-1)+1-1</f>
        <v>#VALUE!</v>
      </c>
      <c r="R479" s="32" t="e">
        <f t="shared" si="102"/>
        <v>#VALUE!</v>
      </c>
      <c r="S479" s="32" t="s">
        <v>1393</v>
      </c>
      <c r="T479" s="32"/>
      <c r="U479" s="17">
        <f t="shared" si="103"/>
        <v>0</v>
      </c>
      <c r="V479" s="17">
        <f t="shared" si="104"/>
        <v>0</v>
      </c>
      <c r="W479" s="56"/>
      <c r="X479" s="31"/>
      <c r="Y479" s="42"/>
      <c r="Z479" s="31"/>
      <c r="AA479" s="31"/>
      <c r="AB479" s="31"/>
      <c r="AC479" s="31"/>
      <c r="AD479" s="31"/>
      <c r="AE479" s="31"/>
      <c r="AF479" s="31"/>
      <c r="AG479" s="31"/>
      <c r="AH479" s="31"/>
      <c r="AI479" s="31"/>
      <c r="AJ479" s="31"/>
      <c r="AK479" s="31"/>
      <c r="AL479" s="31"/>
      <c r="AM479" s="31"/>
      <c r="AN479" s="32"/>
      <c r="AO479" s="32"/>
      <c r="AP479" s="30"/>
      <c r="AQ479" s="30"/>
      <c r="AR479" s="30"/>
      <c r="AS479" s="92"/>
      <c r="AT479" s="155"/>
      <c r="AU479" s="155"/>
      <c r="AV479" s="106"/>
      <c r="AW479" s="106"/>
      <c r="AX479" s="30"/>
      <c r="AY479" s="107"/>
      <c r="AZ479" s="107"/>
      <c r="BA479" s="32"/>
    </row>
    <row r="480" spans="1:53">
      <c r="A480" s="7"/>
      <c r="B480" s="26" t="str">
        <f t="shared" si="101"/>
        <v/>
      </c>
      <c r="C480" s="42"/>
      <c r="D480" s="64"/>
      <c r="E480" s="69"/>
      <c r="F480" s="85"/>
      <c r="G480" s="60"/>
      <c r="H480" s="31"/>
      <c r="I480" s="42"/>
      <c r="J480" s="42"/>
      <c r="K480" s="42"/>
      <c r="L480" s="36"/>
      <c r="M480" s="41"/>
      <c r="N480" s="31"/>
      <c r="O480" s="31"/>
      <c r="P480" s="33"/>
      <c r="Q480" s="31" t="e">
        <f>LEFT(RIGHT(A480,LEN(A480)-FIND("-",A480)),MIN(SEARCH({"a","b","c","d","e","f","g","h","i","j","k","l","m","n","o","p","q","r","s","t","u","v","w","x","y","z"},RIGHT(A480,LEN(A480)-FIND("-",A480))&amp;"abcdefghijklmnopqrstuvwxyz"))-1)+1-1</f>
        <v>#VALUE!</v>
      </c>
      <c r="R480" s="32" t="e">
        <f t="shared" si="102"/>
        <v>#VALUE!</v>
      </c>
      <c r="S480" s="32" t="s">
        <v>1393</v>
      </c>
      <c r="T480" s="32"/>
      <c r="U480" s="17">
        <f t="shared" si="103"/>
        <v>0</v>
      </c>
      <c r="V480" s="17">
        <f t="shared" si="104"/>
        <v>0</v>
      </c>
      <c r="W480" s="56"/>
      <c r="X480" s="31"/>
      <c r="Y480" s="42"/>
      <c r="Z480" s="31"/>
      <c r="AA480" s="31"/>
      <c r="AB480" s="31"/>
      <c r="AC480" s="31"/>
      <c r="AD480" s="31"/>
      <c r="AE480" s="31"/>
      <c r="AF480" s="31"/>
      <c r="AG480" s="31"/>
      <c r="AH480" s="31"/>
      <c r="AI480" s="31"/>
      <c r="AJ480" s="31"/>
      <c r="AK480" s="31"/>
      <c r="AL480" s="31"/>
      <c r="AM480" s="31"/>
      <c r="AN480" s="32"/>
      <c r="AO480" s="32"/>
      <c r="AP480" s="30"/>
      <c r="AQ480" s="30"/>
      <c r="AR480" s="30"/>
      <c r="AS480" s="92"/>
      <c r="AT480" s="155"/>
      <c r="AU480" s="155"/>
      <c r="AV480" s="106"/>
      <c r="AW480" s="106"/>
      <c r="AX480" s="30"/>
      <c r="AY480" s="107"/>
      <c r="AZ480" s="107"/>
      <c r="BA480" s="32"/>
    </row>
    <row r="481" spans="1:53">
      <c r="A481" s="7"/>
      <c r="B481" s="26" t="str">
        <f t="shared" si="101"/>
        <v/>
      </c>
      <c r="C481" s="42"/>
      <c r="D481" s="64"/>
      <c r="E481" s="69"/>
      <c r="F481" s="85"/>
      <c r="G481" s="60"/>
      <c r="H481" s="31"/>
      <c r="I481" s="42"/>
      <c r="J481" s="42"/>
      <c r="K481" s="42"/>
      <c r="L481" s="36"/>
      <c r="M481" s="41"/>
      <c r="N481" s="31"/>
      <c r="O481" s="31"/>
      <c r="P481" s="33"/>
      <c r="Q481" s="31" t="e">
        <f>LEFT(RIGHT(A481,LEN(A481)-FIND("-",A481)),MIN(SEARCH({"a","b","c","d","e","f","g","h","i","j","k","l","m","n","o","p","q","r","s","t","u","v","w","x","y","z"},RIGHT(A481,LEN(A481)-FIND("-",A481))&amp;"abcdefghijklmnopqrstuvwxyz"))-1)+1-1</f>
        <v>#VALUE!</v>
      </c>
      <c r="R481" s="32" t="e">
        <f t="shared" si="102"/>
        <v>#VALUE!</v>
      </c>
      <c r="S481" s="32" t="s">
        <v>1393</v>
      </c>
      <c r="T481" s="32"/>
      <c r="U481" s="17">
        <f t="shared" si="103"/>
        <v>0</v>
      </c>
      <c r="V481" s="17">
        <f t="shared" si="104"/>
        <v>0</v>
      </c>
      <c r="W481" s="56"/>
      <c r="X481" s="31"/>
      <c r="Y481" s="42"/>
      <c r="Z481" s="31"/>
      <c r="AA481" s="31"/>
      <c r="AB481" s="31"/>
      <c r="AC481" s="31"/>
      <c r="AD481" s="31"/>
      <c r="AE481" s="31"/>
      <c r="AF481" s="31"/>
      <c r="AG481" s="31"/>
      <c r="AH481" s="31"/>
      <c r="AI481" s="31"/>
      <c r="AJ481" s="31"/>
      <c r="AK481" s="31"/>
      <c r="AL481" s="31"/>
      <c r="AM481" s="31"/>
      <c r="AN481" s="32"/>
      <c r="AO481" s="32"/>
      <c r="AP481" s="30"/>
      <c r="AQ481" s="30"/>
      <c r="AR481" s="30"/>
      <c r="AS481" s="92"/>
      <c r="AT481" s="155"/>
      <c r="AU481" s="155"/>
      <c r="AV481" s="106"/>
      <c r="AW481" s="106"/>
      <c r="AX481" s="30"/>
      <c r="AY481" s="107"/>
      <c r="AZ481" s="107"/>
      <c r="BA481" s="32"/>
    </row>
    <row r="482" spans="1:53">
      <c r="A482" s="7"/>
      <c r="B482" s="26" t="str">
        <f t="shared" si="101"/>
        <v/>
      </c>
      <c r="C482" s="42"/>
      <c r="D482" s="64"/>
      <c r="E482" s="69"/>
      <c r="F482" s="85"/>
      <c r="G482" s="60"/>
      <c r="H482" s="31"/>
      <c r="I482" s="42"/>
      <c r="J482" s="42"/>
      <c r="K482" s="42"/>
      <c r="L482" s="36"/>
      <c r="M482" s="41"/>
      <c r="N482" s="31"/>
      <c r="O482" s="31"/>
      <c r="P482" s="33"/>
      <c r="Q482" s="31" t="e">
        <f>LEFT(RIGHT(A482,LEN(A482)-FIND("-",A482)),MIN(SEARCH({"a","b","c","d","e","f","g","h","i","j","k","l","m","n","o","p","q","r","s","t","u","v","w","x","y","z"},RIGHT(A482,LEN(A482)-FIND("-",A482))&amp;"abcdefghijklmnopqrstuvwxyz"))-1)+1-1</f>
        <v>#VALUE!</v>
      </c>
      <c r="R482" s="32" t="e">
        <f t="shared" si="102"/>
        <v>#VALUE!</v>
      </c>
      <c r="S482" s="32" t="s">
        <v>1393</v>
      </c>
      <c r="T482" s="32"/>
      <c r="U482" s="17">
        <f t="shared" si="103"/>
        <v>0</v>
      </c>
      <c r="V482" s="17">
        <f t="shared" si="104"/>
        <v>0</v>
      </c>
      <c r="W482" s="56"/>
      <c r="X482" s="31"/>
      <c r="Y482" s="42"/>
      <c r="Z482" s="31"/>
      <c r="AA482" s="31"/>
      <c r="AB482" s="31"/>
      <c r="AC482" s="31"/>
      <c r="AD482" s="31"/>
      <c r="AE482" s="31"/>
      <c r="AF482" s="31"/>
      <c r="AG482" s="31"/>
      <c r="AH482" s="31"/>
      <c r="AI482" s="31"/>
      <c r="AJ482" s="31"/>
      <c r="AK482" s="31"/>
      <c r="AL482" s="31"/>
      <c r="AM482" s="31"/>
      <c r="AN482" s="32"/>
      <c r="AO482" s="32"/>
      <c r="AP482" s="30"/>
      <c r="AQ482" s="30"/>
      <c r="AR482" s="30"/>
      <c r="AS482" s="92"/>
      <c r="AT482" s="155"/>
      <c r="AU482" s="155"/>
      <c r="AV482" s="106"/>
      <c r="AW482" s="106"/>
      <c r="AX482" s="30"/>
      <c r="AY482" s="107"/>
      <c r="AZ482" s="107"/>
      <c r="BA482" s="32"/>
    </row>
    <row r="483" spans="1:53">
      <c r="A483" s="7"/>
      <c r="B483" s="26" t="str">
        <f t="shared" ref="B483:B508" si="105">LEFT(A483,2)</f>
        <v/>
      </c>
      <c r="C483" s="42"/>
      <c r="D483" s="64"/>
      <c r="E483" s="69"/>
      <c r="F483" s="85"/>
      <c r="G483" s="60"/>
      <c r="H483" s="31"/>
      <c r="I483" s="42"/>
      <c r="J483" s="42"/>
      <c r="K483" s="42"/>
      <c r="L483" s="36"/>
      <c r="M483" s="41"/>
      <c r="N483" s="31"/>
      <c r="O483" s="31"/>
      <c r="P483" s="33"/>
      <c r="Q483" s="31" t="e">
        <f>LEFT(RIGHT(A483,LEN(A483)-FIND("-",A483)),MIN(SEARCH({"a","b","c","d","e","f","g","h","i","j","k","l","m","n","o","p","q","r","s","t","u","v","w","x","y","z"},RIGHT(A483,LEN(A483)-FIND("-",A483))&amp;"abcdefghijklmnopqrstuvwxyz"))-1)+1-1</f>
        <v>#VALUE!</v>
      </c>
      <c r="R483" s="32" t="e">
        <f t="shared" ref="R483:R508" si="106">IF(OR(AND(Q483+1&gt;40,Q483+1&lt;=50),Q483&gt;51),"Wireless","")</f>
        <v>#VALUE!</v>
      </c>
      <c r="S483" s="32" t="s">
        <v>1393</v>
      </c>
      <c r="T483" s="32"/>
      <c r="U483" s="17">
        <f t="shared" si="103"/>
        <v>0</v>
      </c>
      <c r="V483" s="17">
        <f t="shared" si="104"/>
        <v>0</v>
      </c>
      <c r="W483" s="56"/>
      <c r="X483" s="31"/>
      <c r="Y483" s="42"/>
      <c r="Z483" s="31"/>
      <c r="AA483" s="31"/>
      <c r="AB483" s="31"/>
      <c r="AC483" s="31"/>
      <c r="AD483" s="31"/>
      <c r="AE483" s="31"/>
      <c r="AF483" s="31"/>
      <c r="AG483" s="31"/>
      <c r="AH483" s="31"/>
      <c r="AI483" s="31"/>
      <c r="AJ483" s="31"/>
      <c r="AK483" s="31"/>
      <c r="AL483" s="31"/>
      <c r="AM483" s="31"/>
      <c r="AN483" s="32"/>
      <c r="AO483" s="32"/>
      <c r="AP483" s="30"/>
      <c r="AQ483" s="30"/>
      <c r="AR483" s="30"/>
      <c r="AS483" s="92"/>
      <c r="AT483" s="155"/>
      <c r="AU483" s="155"/>
      <c r="AV483" s="106"/>
      <c r="AW483" s="106"/>
      <c r="AX483" s="30"/>
      <c r="AY483" s="107"/>
      <c r="AZ483" s="107"/>
      <c r="BA483" s="32"/>
    </row>
    <row r="484" spans="1:53">
      <c r="A484" s="7"/>
      <c r="B484" s="26" t="str">
        <f t="shared" si="105"/>
        <v/>
      </c>
      <c r="C484" s="42"/>
      <c r="D484" s="64"/>
      <c r="E484" s="69"/>
      <c r="F484" s="85"/>
      <c r="G484" s="60"/>
      <c r="H484" s="31"/>
      <c r="I484" s="42"/>
      <c r="J484" s="42"/>
      <c r="K484" s="42"/>
      <c r="L484" s="36"/>
      <c r="M484" s="41"/>
      <c r="N484" s="31"/>
      <c r="O484" s="31"/>
      <c r="P484" s="33"/>
      <c r="Q484" s="31" t="e">
        <f>LEFT(RIGHT(A484,LEN(A484)-FIND("-",A484)),MIN(SEARCH({"a","b","c","d","e","f","g","h","i","j","k","l","m","n","o","p","q","r","s","t","u","v","w","x","y","z"},RIGHT(A484,LEN(A484)-FIND("-",A484))&amp;"abcdefghijklmnopqrstuvwxyz"))-1)+1-1</f>
        <v>#VALUE!</v>
      </c>
      <c r="R484" s="32" t="e">
        <f t="shared" si="106"/>
        <v>#VALUE!</v>
      </c>
      <c r="S484" s="32" t="s">
        <v>1393</v>
      </c>
      <c r="T484" s="32"/>
      <c r="U484" s="17">
        <f t="shared" si="103"/>
        <v>0</v>
      </c>
      <c r="V484" s="17">
        <f t="shared" si="104"/>
        <v>0</v>
      </c>
      <c r="W484" s="56"/>
      <c r="X484" s="31"/>
      <c r="Y484" s="42"/>
      <c r="Z484" s="31"/>
      <c r="AA484" s="31"/>
      <c r="AB484" s="31"/>
      <c r="AC484" s="31"/>
      <c r="AD484" s="31"/>
      <c r="AE484" s="31"/>
      <c r="AF484" s="31"/>
      <c r="AG484" s="31"/>
      <c r="AH484" s="31"/>
      <c r="AI484" s="31"/>
      <c r="AJ484" s="31"/>
      <c r="AK484" s="31"/>
      <c r="AL484" s="31"/>
      <c r="AM484" s="31"/>
      <c r="AN484" s="32"/>
      <c r="AO484" s="32"/>
      <c r="AP484" s="30"/>
      <c r="AQ484" s="30"/>
      <c r="AR484" s="30"/>
      <c r="AS484" s="92"/>
      <c r="AT484" s="155"/>
      <c r="AU484" s="155"/>
      <c r="AV484" s="106"/>
      <c r="AW484" s="106"/>
      <c r="AX484" s="30"/>
      <c r="AY484" s="107"/>
      <c r="AZ484" s="107"/>
      <c r="BA484" s="32"/>
    </row>
    <row r="485" spans="1:53">
      <c r="A485" s="7"/>
      <c r="B485" s="26" t="str">
        <f t="shared" si="105"/>
        <v/>
      </c>
      <c r="C485" s="42"/>
      <c r="D485" s="64"/>
      <c r="E485" s="69"/>
      <c r="F485" s="85"/>
      <c r="G485" s="60"/>
      <c r="H485" s="31"/>
      <c r="I485" s="42"/>
      <c r="J485" s="42"/>
      <c r="K485" s="42"/>
      <c r="L485" s="36"/>
      <c r="M485" s="41"/>
      <c r="N485" s="31"/>
      <c r="O485" s="31"/>
      <c r="P485" s="33"/>
      <c r="Q485" s="31" t="e">
        <f>LEFT(RIGHT(A485,LEN(A485)-FIND("-",A485)),MIN(SEARCH({"a","b","c","d","e","f","g","h","i","j","k","l","m","n","o","p","q","r","s","t","u","v","w","x","y","z"},RIGHT(A485,LEN(A485)-FIND("-",A485))&amp;"abcdefghijklmnopqrstuvwxyz"))-1)+1-1</f>
        <v>#VALUE!</v>
      </c>
      <c r="R485" s="32" t="e">
        <f t="shared" si="106"/>
        <v>#VALUE!</v>
      </c>
      <c r="S485" s="32" t="s">
        <v>1393</v>
      </c>
      <c r="T485" s="32"/>
      <c r="U485" s="17">
        <f t="shared" si="103"/>
        <v>0</v>
      </c>
      <c r="V485" s="17">
        <f t="shared" si="104"/>
        <v>0</v>
      </c>
      <c r="W485" s="56"/>
      <c r="X485" s="31"/>
      <c r="Y485" s="42"/>
      <c r="Z485" s="31"/>
      <c r="AA485" s="31"/>
      <c r="AB485" s="31"/>
      <c r="AC485" s="31"/>
      <c r="AD485" s="31"/>
      <c r="AE485" s="31"/>
      <c r="AF485" s="31"/>
      <c r="AG485" s="31"/>
      <c r="AH485" s="31"/>
      <c r="AI485" s="31"/>
      <c r="AJ485" s="31"/>
      <c r="AK485" s="31"/>
      <c r="AL485" s="31"/>
      <c r="AM485" s="31"/>
      <c r="AN485" s="32"/>
      <c r="AO485" s="32"/>
      <c r="AP485" s="30"/>
      <c r="AQ485" s="30"/>
      <c r="AR485" s="30"/>
      <c r="AS485" s="92"/>
      <c r="AT485" s="155"/>
      <c r="AU485" s="155"/>
      <c r="AV485" s="106"/>
      <c r="AW485" s="106"/>
      <c r="AX485" s="30"/>
      <c r="AY485" s="107"/>
      <c r="AZ485" s="107"/>
      <c r="BA485" s="32"/>
    </row>
    <row r="486" spans="1:53">
      <c r="A486" s="7"/>
      <c r="B486" s="26" t="str">
        <f t="shared" si="105"/>
        <v/>
      </c>
      <c r="C486" s="42"/>
      <c r="D486" s="64"/>
      <c r="E486" s="69"/>
      <c r="F486" s="85"/>
      <c r="G486" s="60"/>
      <c r="H486" s="31"/>
      <c r="I486" s="42"/>
      <c r="J486" s="42"/>
      <c r="K486" s="42"/>
      <c r="L486" s="36"/>
      <c r="M486" s="41"/>
      <c r="N486" s="31"/>
      <c r="O486" s="31"/>
      <c r="P486" s="33"/>
      <c r="Q486" s="31" t="e">
        <f>LEFT(RIGHT(A486,LEN(A486)-FIND("-",A486)),MIN(SEARCH({"a","b","c","d","e","f","g","h","i","j","k","l","m","n","o","p","q","r","s","t","u","v","w","x","y","z"},RIGHT(A486,LEN(A486)-FIND("-",A486))&amp;"abcdefghijklmnopqrstuvwxyz"))-1)+1-1</f>
        <v>#VALUE!</v>
      </c>
      <c r="R486" s="32" t="e">
        <f t="shared" si="106"/>
        <v>#VALUE!</v>
      </c>
      <c r="S486" s="32" t="s">
        <v>1393</v>
      </c>
      <c r="T486" s="32"/>
      <c r="U486" s="17">
        <f t="shared" si="103"/>
        <v>0</v>
      </c>
      <c r="V486" s="17">
        <f t="shared" si="104"/>
        <v>0</v>
      </c>
      <c r="W486" s="56"/>
      <c r="X486" s="31"/>
      <c r="Y486" s="42"/>
      <c r="Z486" s="31"/>
      <c r="AA486" s="31"/>
      <c r="AB486" s="31"/>
      <c r="AC486" s="31"/>
      <c r="AD486" s="31"/>
      <c r="AE486" s="31"/>
      <c r="AF486" s="31"/>
      <c r="AG486" s="31"/>
      <c r="AH486" s="31"/>
      <c r="AI486" s="31"/>
      <c r="AJ486" s="31"/>
      <c r="AK486" s="31"/>
      <c r="AL486" s="31"/>
      <c r="AM486" s="31"/>
      <c r="AN486" s="32"/>
      <c r="AO486" s="32"/>
      <c r="AP486" s="30"/>
      <c r="AQ486" s="30"/>
      <c r="AR486" s="30"/>
      <c r="AS486" s="92"/>
      <c r="AT486" s="155"/>
      <c r="AU486" s="155"/>
      <c r="AV486" s="106"/>
      <c r="AW486" s="106"/>
      <c r="AX486" s="30"/>
      <c r="AY486" s="107"/>
      <c r="AZ486" s="107"/>
      <c r="BA486" s="32"/>
    </row>
    <row r="487" spans="1:53">
      <c r="A487" s="7"/>
      <c r="B487" s="26" t="str">
        <f t="shared" si="105"/>
        <v/>
      </c>
      <c r="C487" s="42"/>
      <c r="D487" s="64"/>
      <c r="E487" s="69"/>
      <c r="F487" s="85"/>
      <c r="G487" s="60"/>
      <c r="H487" s="31"/>
      <c r="I487" s="42"/>
      <c r="J487" s="42"/>
      <c r="K487" s="42"/>
      <c r="L487" s="36"/>
      <c r="M487" s="41"/>
      <c r="N487" s="31"/>
      <c r="O487" s="31"/>
      <c r="P487" s="33"/>
      <c r="Q487" s="31" t="e">
        <f>LEFT(RIGHT(A487,LEN(A487)-FIND("-",A487)),MIN(SEARCH({"a","b","c","d","e","f","g","h","i","j","k","l","m","n","o","p","q","r","s","t","u","v","w","x","y","z"},RIGHT(A487,LEN(A487)-FIND("-",A487))&amp;"abcdefghijklmnopqrstuvwxyz"))-1)+1-1</f>
        <v>#VALUE!</v>
      </c>
      <c r="R487" s="32" t="e">
        <f t="shared" si="106"/>
        <v>#VALUE!</v>
      </c>
      <c r="S487" s="32" t="s">
        <v>1393</v>
      </c>
      <c r="T487" s="32"/>
      <c r="U487" s="17">
        <f t="shared" si="103"/>
        <v>0</v>
      </c>
      <c r="V487" s="17">
        <f t="shared" si="104"/>
        <v>0</v>
      </c>
      <c r="W487" s="56"/>
      <c r="X487" s="31"/>
      <c r="Y487" s="42"/>
      <c r="Z487" s="31"/>
      <c r="AA487" s="31"/>
      <c r="AB487" s="31"/>
      <c r="AC487" s="31"/>
      <c r="AD487" s="31"/>
      <c r="AE487" s="31"/>
      <c r="AF487" s="31"/>
      <c r="AG487" s="31"/>
      <c r="AH487" s="31"/>
      <c r="AI487" s="31"/>
      <c r="AJ487" s="31"/>
      <c r="AK487" s="31"/>
      <c r="AL487" s="31"/>
      <c r="AM487" s="31"/>
      <c r="AN487" s="32"/>
      <c r="AO487" s="32"/>
      <c r="AP487" s="30"/>
      <c r="AQ487" s="30"/>
      <c r="AR487" s="30"/>
      <c r="AS487" s="92"/>
      <c r="AT487" s="155"/>
      <c r="AU487" s="155"/>
      <c r="AV487" s="106"/>
      <c r="AW487" s="106"/>
      <c r="AX487" s="30"/>
      <c r="AY487" s="107"/>
      <c r="AZ487" s="107"/>
      <c r="BA487" s="32"/>
    </row>
    <row r="488" spans="1:53">
      <c r="A488" s="7"/>
      <c r="B488" s="26" t="str">
        <f t="shared" si="105"/>
        <v/>
      </c>
      <c r="C488" s="42"/>
      <c r="D488" s="64"/>
      <c r="E488" s="69"/>
      <c r="F488" s="85"/>
      <c r="G488" s="60"/>
      <c r="H488" s="31"/>
      <c r="I488" s="42"/>
      <c r="J488" s="42"/>
      <c r="K488" s="42"/>
      <c r="L488" s="36"/>
      <c r="M488" s="41"/>
      <c r="N488" s="31"/>
      <c r="O488" s="31"/>
      <c r="P488" s="33"/>
      <c r="Q488" s="31" t="e">
        <f>LEFT(RIGHT(A488,LEN(A488)-FIND("-",A488)),MIN(SEARCH({"a","b","c","d","e","f","g","h","i","j","k","l","m","n","o","p","q","r","s","t","u","v","w","x","y","z"},RIGHT(A488,LEN(A488)-FIND("-",A488))&amp;"abcdefghijklmnopqrstuvwxyz"))-1)+1-1</f>
        <v>#VALUE!</v>
      </c>
      <c r="R488" s="32" t="e">
        <f t="shared" si="106"/>
        <v>#VALUE!</v>
      </c>
      <c r="S488" s="32" t="s">
        <v>1393</v>
      </c>
      <c r="T488" s="32"/>
      <c r="U488" s="17">
        <f t="shared" si="103"/>
        <v>0</v>
      </c>
      <c r="V488" s="17">
        <f t="shared" si="104"/>
        <v>0</v>
      </c>
      <c r="W488" s="56"/>
      <c r="X488" s="31"/>
      <c r="Y488" s="42"/>
      <c r="Z488" s="31"/>
      <c r="AA488" s="31"/>
      <c r="AB488" s="31"/>
      <c r="AC488" s="31"/>
      <c r="AD488" s="31"/>
      <c r="AE488" s="31"/>
      <c r="AF488" s="31"/>
      <c r="AG488" s="31"/>
      <c r="AH488" s="31"/>
      <c r="AI488" s="31"/>
      <c r="AJ488" s="31"/>
      <c r="AK488" s="31"/>
      <c r="AL488" s="31"/>
      <c r="AM488" s="31"/>
      <c r="AN488" s="32"/>
      <c r="AO488" s="32"/>
      <c r="AP488" s="30"/>
      <c r="AQ488" s="30"/>
      <c r="AR488" s="30"/>
      <c r="AS488" s="92"/>
      <c r="AT488" s="155"/>
      <c r="AU488" s="155"/>
      <c r="AV488" s="106"/>
      <c r="AW488" s="106"/>
      <c r="AX488" s="30"/>
      <c r="AY488" s="107"/>
      <c r="AZ488" s="107"/>
      <c r="BA488" s="32"/>
    </row>
    <row r="489" spans="1:53">
      <c r="A489" s="7"/>
      <c r="B489" s="26" t="str">
        <f t="shared" si="105"/>
        <v/>
      </c>
      <c r="C489" s="42"/>
      <c r="D489" s="64"/>
      <c r="E489" s="69"/>
      <c r="F489" s="85"/>
      <c r="G489" s="60"/>
      <c r="H489" s="31"/>
      <c r="I489" s="42"/>
      <c r="J489" s="42"/>
      <c r="K489" s="42"/>
      <c r="L489" s="36"/>
      <c r="M489" s="41"/>
      <c r="N489" s="31"/>
      <c r="O489" s="31"/>
      <c r="P489" s="33"/>
      <c r="Q489" s="31" t="e">
        <f>LEFT(RIGHT(A489,LEN(A489)-FIND("-",A489)),MIN(SEARCH({"a","b","c","d","e","f","g","h","i","j","k","l","m","n","o","p","q","r","s","t","u","v","w","x","y","z"},RIGHT(A489,LEN(A489)-FIND("-",A489))&amp;"abcdefghijklmnopqrstuvwxyz"))-1)+1-1</f>
        <v>#VALUE!</v>
      </c>
      <c r="R489" s="32" t="e">
        <f t="shared" si="106"/>
        <v>#VALUE!</v>
      </c>
      <c r="S489" s="32" t="s">
        <v>1393</v>
      </c>
      <c r="T489" s="32"/>
      <c r="U489" s="17">
        <f t="shared" si="103"/>
        <v>0</v>
      </c>
      <c r="V489" s="17">
        <f t="shared" si="104"/>
        <v>0</v>
      </c>
      <c r="W489" s="56"/>
      <c r="X489" s="31"/>
      <c r="Y489" s="42"/>
      <c r="Z489" s="31"/>
      <c r="AA489" s="31"/>
      <c r="AB489" s="31"/>
      <c r="AC489" s="31"/>
      <c r="AD489" s="31"/>
      <c r="AE489" s="31"/>
      <c r="AF489" s="31"/>
      <c r="AG489" s="31"/>
      <c r="AH489" s="31"/>
      <c r="AI489" s="31"/>
      <c r="AJ489" s="31"/>
      <c r="AK489" s="31"/>
      <c r="AL489" s="31"/>
      <c r="AM489" s="31"/>
      <c r="AN489" s="32"/>
      <c r="AO489" s="32"/>
      <c r="AP489" s="30"/>
      <c r="AQ489" s="30"/>
      <c r="AR489" s="30"/>
      <c r="AS489" s="92"/>
      <c r="AT489" s="155"/>
      <c r="AU489" s="155"/>
      <c r="AV489" s="106"/>
      <c r="AW489" s="106"/>
      <c r="AX489" s="30"/>
      <c r="AY489" s="107"/>
      <c r="AZ489" s="107"/>
      <c r="BA489" s="32"/>
    </row>
    <row r="490" spans="1:53">
      <c r="A490" s="7"/>
      <c r="B490" s="26" t="str">
        <f t="shared" si="105"/>
        <v/>
      </c>
      <c r="C490" s="42"/>
      <c r="D490" s="64"/>
      <c r="E490" s="69"/>
      <c r="F490" s="85"/>
      <c r="G490" s="60"/>
      <c r="H490" s="31"/>
      <c r="I490" s="42"/>
      <c r="J490" s="42"/>
      <c r="K490" s="42"/>
      <c r="L490" s="36"/>
      <c r="M490" s="41"/>
      <c r="N490" s="31"/>
      <c r="O490" s="31"/>
      <c r="P490" s="33"/>
      <c r="Q490" s="31" t="e">
        <f>LEFT(RIGHT(A490,LEN(A490)-FIND("-",A490)),MIN(SEARCH({"a","b","c","d","e","f","g","h","i","j","k","l","m","n","o","p","q","r","s","t","u","v","w","x","y","z"},RIGHT(A490,LEN(A490)-FIND("-",A490))&amp;"abcdefghijklmnopqrstuvwxyz"))-1)+1-1</f>
        <v>#VALUE!</v>
      </c>
      <c r="R490" s="32" t="e">
        <f t="shared" si="106"/>
        <v>#VALUE!</v>
      </c>
      <c r="S490" s="32" t="s">
        <v>1393</v>
      </c>
      <c r="T490" s="32"/>
      <c r="U490" s="17">
        <f t="shared" si="103"/>
        <v>0</v>
      </c>
      <c r="V490" s="17">
        <f t="shared" si="104"/>
        <v>0</v>
      </c>
      <c r="W490" s="56"/>
      <c r="X490" s="31"/>
      <c r="Y490" s="42"/>
      <c r="Z490" s="31"/>
      <c r="AA490" s="31"/>
      <c r="AB490" s="31"/>
      <c r="AC490" s="31"/>
      <c r="AD490" s="31"/>
      <c r="AE490" s="31"/>
      <c r="AF490" s="31"/>
      <c r="AG490" s="31"/>
      <c r="AH490" s="31"/>
      <c r="AI490" s="31"/>
      <c r="AJ490" s="31"/>
      <c r="AK490" s="31"/>
      <c r="AL490" s="31"/>
      <c r="AM490" s="31"/>
      <c r="AN490" s="32"/>
      <c r="AO490" s="32"/>
      <c r="AP490" s="30"/>
      <c r="AQ490" s="30"/>
      <c r="AR490" s="30"/>
      <c r="AS490" s="92"/>
      <c r="AT490" s="155"/>
      <c r="AU490" s="155"/>
      <c r="AV490" s="106"/>
      <c r="AW490" s="106"/>
      <c r="AX490" s="30"/>
      <c r="AY490" s="107"/>
      <c r="AZ490" s="107"/>
      <c r="BA490" s="32"/>
    </row>
    <row r="491" spans="1:53">
      <c r="A491" s="7"/>
      <c r="B491" s="26" t="str">
        <f t="shared" si="105"/>
        <v/>
      </c>
      <c r="C491" s="42"/>
      <c r="D491" s="64"/>
      <c r="E491" s="69"/>
      <c r="F491" s="85"/>
      <c r="G491" s="60"/>
      <c r="H491" s="31"/>
      <c r="I491" s="42"/>
      <c r="J491" s="42"/>
      <c r="K491" s="42"/>
      <c r="L491" s="36"/>
      <c r="M491" s="41"/>
      <c r="N491" s="31"/>
      <c r="O491" s="31"/>
      <c r="P491" s="33"/>
      <c r="Q491" s="31" t="e">
        <f>LEFT(RIGHT(A491,LEN(A491)-FIND("-",A491)),MIN(SEARCH({"a","b","c","d","e","f","g","h","i","j","k","l","m","n","o","p","q","r","s","t","u","v","w","x","y","z"},RIGHT(A491,LEN(A491)-FIND("-",A491))&amp;"abcdefghijklmnopqrstuvwxyz"))-1)+1-1</f>
        <v>#VALUE!</v>
      </c>
      <c r="R491" s="32" t="e">
        <f t="shared" si="106"/>
        <v>#VALUE!</v>
      </c>
      <c r="S491" s="32" t="s">
        <v>1393</v>
      </c>
      <c r="T491" s="32"/>
      <c r="U491" s="17">
        <f t="shared" si="103"/>
        <v>0</v>
      </c>
      <c r="V491" s="17">
        <f t="shared" si="104"/>
        <v>0</v>
      </c>
      <c r="W491" s="56"/>
      <c r="X491" s="31"/>
      <c r="Y491" s="42"/>
      <c r="Z491" s="31"/>
      <c r="AA491" s="31"/>
      <c r="AB491" s="31"/>
      <c r="AC491" s="31"/>
      <c r="AD491" s="31"/>
      <c r="AE491" s="31"/>
      <c r="AF491" s="31"/>
      <c r="AG491" s="31"/>
      <c r="AH491" s="31"/>
      <c r="AI491" s="31"/>
      <c r="AJ491" s="31"/>
      <c r="AK491" s="31"/>
      <c r="AL491" s="31"/>
      <c r="AM491" s="31"/>
      <c r="AN491" s="32"/>
      <c r="AO491" s="32"/>
      <c r="AP491" s="30"/>
      <c r="AQ491" s="30"/>
      <c r="AR491" s="30"/>
      <c r="AS491" s="92"/>
      <c r="AT491" s="155"/>
      <c r="AU491" s="155"/>
      <c r="AV491" s="106"/>
      <c r="AW491" s="106"/>
      <c r="AX491" s="30"/>
      <c r="AY491" s="107"/>
      <c r="AZ491" s="107"/>
      <c r="BA491" s="32"/>
    </row>
    <row r="492" spans="1:53">
      <c r="A492" s="7"/>
      <c r="B492" s="26" t="str">
        <f t="shared" si="105"/>
        <v/>
      </c>
      <c r="C492" s="42"/>
      <c r="D492" s="64"/>
      <c r="E492" s="69"/>
      <c r="F492" s="85"/>
      <c r="G492" s="60"/>
      <c r="H492" s="31"/>
      <c r="I492" s="42"/>
      <c r="J492" s="42"/>
      <c r="K492" s="42"/>
      <c r="L492" s="36"/>
      <c r="M492" s="41"/>
      <c r="N492" s="31"/>
      <c r="O492" s="31"/>
      <c r="P492" s="33"/>
      <c r="Q492" s="31" t="e">
        <f>LEFT(RIGHT(A492,LEN(A492)-FIND("-",A492)),MIN(SEARCH({"a","b","c","d","e","f","g","h","i","j","k","l","m","n","o","p","q","r","s","t","u","v","w","x","y","z"},RIGHT(A492,LEN(A492)-FIND("-",A492))&amp;"abcdefghijklmnopqrstuvwxyz"))-1)+1-1</f>
        <v>#VALUE!</v>
      </c>
      <c r="R492" s="32" t="e">
        <f t="shared" si="106"/>
        <v>#VALUE!</v>
      </c>
      <c r="S492" s="32" t="s">
        <v>1393</v>
      </c>
      <c r="T492" s="32"/>
      <c r="U492" s="17">
        <f t="shared" si="103"/>
        <v>0</v>
      </c>
      <c r="V492" s="17">
        <f t="shared" si="104"/>
        <v>0</v>
      </c>
      <c r="W492" s="56"/>
      <c r="X492" s="31"/>
      <c r="Y492" s="42"/>
      <c r="Z492" s="31"/>
      <c r="AA492" s="31"/>
      <c r="AB492" s="31"/>
      <c r="AC492" s="31"/>
      <c r="AD492" s="31"/>
      <c r="AE492" s="31"/>
      <c r="AF492" s="31"/>
      <c r="AG492" s="31"/>
      <c r="AH492" s="31"/>
      <c r="AI492" s="31"/>
      <c r="AJ492" s="31"/>
      <c r="AK492" s="31"/>
      <c r="AL492" s="31"/>
      <c r="AM492" s="31"/>
      <c r="AN492" s="32"/>
      <c r="AO492" s="32"/>
      <c r="AP492" s="30"/>
      <c r="AQ492" s="30"/>
      <c r="AR492" s="30"/>
      <c r="AS492" s="92"/>
      <c r="AT492" s="155"/>
      <c r="AU492" s="155"/>
      <c r="AV492" s="106"/>
      <c r="AW492" s="106"/>
      <c r="AX492" s="30"/>
      <c r="AY492" s="107"/>
      <c r="AZ492" s="107"/>
      <c r="BA492" s="32"/>
    </row>
    <row r="493" spans="1:53">
      <c r="A493" s="7"/>
      <c r="B493" s="26" t="str">
        <f t="shared" si="105"/>
        <v/>
      </c>
      <c r="C493" s="42"/>
      <c r="D493" s="64"/>
      <c r="E493" s="69"/>
      <c r="F493" s="85"/>
      <c r="G493" s="60"/>
      <c r="H493" s="31"/>
      <c r="I493" s="42"/>
      <c r="J493" s="42"/>
      <c r="K493" s="42"/>
      <c r="L493" s="36"/>
      <c r="M493" s="41"/>
      <c r="N493" s="31"/>
      <c r="O493" s="31"/>
      <c r="P493" s="33"/>
      <c r="Q493" s="31" t="e">
        <f>LEFT(RIGHT(A493,LEN(A493)-FIND("-",A493)),MIN(SEARCH({"a","b","c","d","e","f","g","h","i","j","k","l","m","n","o","p","q","r","s","t","u","v","w","x","y","z"},RIGHT(A493,LEN(A493)-FIND("-",A493))&amp;"abcdefghijklmnopqrstuvwxyz"))-1)+1-1</f>
        <v>#VALUE!</v>
      </c>
      <c r="R493" s="32" t="e">
        <f t="shared" si="106"/>
        <v>#VALUE!</v>
      </c>
      <c r="S493" s="32" t="s">
        <v>1393</v>
      </c>
      <c r="T493" s="32"/>
      <c r="U493" s="17">
        <f t="shared" si="103"/>
        <v>0</v>
      </c>
      <c r="V493" s="17">
        <f t="shared" si="104"/>
        <v>0</v>
      </c>
      <c r="W493" s="56"/>
      <c r="X493" s="31"/>
      <c r="Y493" s="42"/>
      <c r="Z493" s="31"/>
      <c r="AA493" s="31"/>
      <c r="AB493" s="31"/>
      <c r="AC493" s="31"/>
      <c r="AD493" s="31"/>
      <c r="AE493" s="31"/>
      <c r="AF493" s="31"/>
      <c r="AG493" s="31"/>
      <c r="AH493" s="31"/>
      <c r="AI493" s="31"/>
      <c r="AJ493" s="31"/>
      <c r="AK493" s="31"/>
      <c r="AL493" s="31"/>
      <c r="AM493" s="31"/>
      <c r="AN493" s="32"/>
      <c r="AO493" s="32"/>
      <c r="AP493" s="30"/>
      <c r="AQ493" s="30"/>
      <c r="AR493" s="30"/>
      <c r="AS493" s="92"/>
      <c r="AT493" s="155"/>
      <c r="AU493" s="155"/>
      <c r="AV493" s="106"/>
      <c r="AW493" s="106"/>
      <c r="AX493" s="30"/>
      <c r="AY493" s="107"/>
      <c r="AZ493" s="107"/>
      <c r="BA493" s="32"/>
    </row>
    <row r="494" spans="1:53">
      <c r="A494" s="7"/>
      <c r="B494" s="26" t="str">
        <f t="shared" si="105"/>
        <v/>
      </c>
      <c r="C494" s="42"/>
      <c r="D494" s="64"/>
      <c r="E494" s="69"/>
      <c r="F494" s="85"/>
      <c r="G494" s="60"/>
      <c r="H494" s="31"/>
      <c r="I494" s="42"/>
      <c r="J494" s="42"/>
      <c r="K494" s="42"/>
      <c r="L494" s="36"/>
      <c r="M494" s="41"/>
      <c r="N494" s="31"/>
      <c r="O494" s="31"/>
      <c r="P494" s="33"/>
      <c r="Q494" s="31" t="e">
        <f>LEFT(RIGHT(A494,LEN(A494)-FIND("-",A494)),MIN(SEARCH({"a","b","c","d","e","f","g","h","i","j","k","l","m","n","o","p","q","r","s","t","u","v","w","x","y","z"},RIGHT(A494,LEN(A494)-FIND("-",A494))&amp;"abcdefghijklmnopqrstuvwxyz"))-1)+1-1</f>
        <v>#VALUE!</v>
      </c>
      <c r="R494" s="32" t="e">
        <f t="shared" si="106"/>
        <v>#VALUE!</v>
      </c>
      <c r="S494" s="32" t="s">
        <v>1393</v>
      </c>
      <c r="T494" s="32"/>
      <c r="U494" s="17">
        <f t="shared" si="103"/>
        <v>0</v>
      </c>
      <c r="V494" s="17">
        <f t="shared" si="104"/>
        <v>0</v>
      </c>
      <c r="W494" s="56"/>
      <c r="X494" s="31"/>
      <c r="Y494" s="42"/>
      <c r="Z494" s="31"/>
      <c r="AA494" s="31"/>
      <c r="AB494" s="31"/>
      <c r="AC494" s="31"/>
      <c r="AD494" s="31"/>
      <c r="AE494" s="31"/>
      <c r="AF494" s="31"/>
      <c r="AG494" s="31"/>
      <c r="AH494" s="31"/>
      <c r="AI494" s="31"/>
      <c r="AJ494" s="31"/>
      <c r="AK494" s="31"/>
      <c r="AL494" s="31"/>
      <c r="AM494" s="31"/>
      <c r="AN494" s="32"/>
      <c r="AO494" s="32"/>
      <c r="AP494" s="30"/>
      <c r="AQ494" s="30"/>
      <c r="AR494" s="30"/>
      <c r="AS494" s="92"/>
      <c r="AT494" s="155"/>
      <c r="AU494" s="155"/>
      <c r="AV494" s="106"/>
      <c r="AW494" s="106"/>
      <c r="AX494" s="30"/>
      <c r="AY494" s="107"/>
      <c r="AZ494" s="107"/>
      <c r="BA494" s="32"/>
    </row>
    <row r="495" spans="1:53">
      <c r="A495" s="7"/>
      <c r="B495" s="26" t="str">
        <f t="shared" si="105"/>
        <v/>
      </c>
      <c r="C495" s="42"/>
      <c r="D495" s="64"/>
      <c r="E495" s="69"/>
      <c r="F495" s="85"/>
      <c r="G495" s="60"/>
      <c r="H495" s="31"/>
      <c r="I495" s="42"/>
      <c r="J495" s="42"/>
      <c r="K495" s="42"/>
      <c r="L495" s="36"/>
      <c r="M495" s="41"/>
      <c r="N495" s="31"/>
      <c r="O495" s="31"/>
      <c r="P495" s="33"/>
      <c r="Q495" s="31" t="e">
        <f>LEFT(RIGHT(A495,LEN(A495)-FIND("-",A495)),MIN(SEARCH({"a","b","c","d","e","f","g","h","i","j","k","l","m","n","o","p","q","r","s","t","u","v","w","x","y","z"},RIGHT(A495,LEN(A495)-FIND("-",A495))&amp;"abcdefghijklmnopqrstuvwxyz"))-1)+1-1</f>
        <v>#VALUE!</v>
      </c>
      <c r="R495" s="32" t="e">
        <f t="shared" si="106"/>
        <v>#VALUE!</v>
      </c>
      <c r="S495" s="32" t="s">
        <v>1393</v>
      </c>
      <c r="T495" s="32"/>
      <c r="U495" s="17">
        <f t="shared" si="103"/>
        <v>0</v>
      </c>
      <c r="V495" s="17">
        <f t="shared" si="104"/>
        <v>0</v>
      </c>
      <c r="W495" s="56"/>
      <c r="X495" s="31"/>
      <c r="Y495" s="42"/>
      <c r="Z495" s="31"/>
      <c r="AA495" s="31"/>
      <c r="AB495" s="31"/>
      <c r="AC495" s="31"/>
      <c r="AD495" s="31"/>
      <c r="AE495" s="31"/>
      <c r="AF495" s="31"/>
      <c r="AG495" s="31"/>
      <c r="AH495" s="31"/>
      <c r="AI495" s="31"/>
      <c r="AJ495" s="31"/>
      <c r="AK495" s="31"/>
      <c r="AL495" s="31"/>
      <c r="AM495" s="31"/>
      <c r="AN495" s="32"/>
      <c r="AO495" s="32"/>
      <c r="AP495" s="30"/>
      <c r="AQ495" s="30"/>
      <c r="AR495" s="30"/>
      <c r="AS495" s="92"/>
      <c r="AT495" s="155"/>
      <c r="AU495" s="155"/>
      <c r="AV495" s="106"/>
      <c r="AW495" s="106"/>
      <c r="AX495" s="30"/>
      <c r="AY495" s="107"/>
      <c r="AZ495" s="107"/>
      <c r="BA495" s="32"/>
    </row>
    <row r="496" spans="1:53">
      <c r="A496" s="7"/>
      <c r="B496" s="26" t="str">
        <f t="shared" si="105"/>
        <v/>
      </c>
      <c r="C496" s="42"/>
      <c r="D496" s="64"/>
      <c r="E496" s="69"/>
      <c r="F496" s="85"/>
      <c r="G496" s="60"/>
      <c r="H496" s="31"/>
      <c r="I496" s="42"/>
      <c r="J496" s="42"/>
      <c r="K496" s="42"/>
      <c r="L496" s="36"/>
      <c r="M496" s="41"/>
      <c r="N496" s="31"/>
      <c r="O496" s="31"/>
      <c r="P496" s="33"/>
      <c r="Q496" s="31" t="e">
        <f>LEFT(RIGHT(A496,LEN(A496)-FIND("-",A496)),MIN(SEARCH({"a","b","c","d","e","f","g","h","i","j","k","l","m","n","o","p","q","r","s","t","u","v","w","x","y","z"},RIGHT(A496,LEN(A496)-FIND("-",A496))&amp;"abcdefghijklmnopqrstuvwxyz"))-1)+1-1</f>
        <v>#VALUE!</v>
      </c>
      <c r="R496" s="32" t="e">
        <f t="shared" si="106"/>
        <v>#VALUE!</v>
      </c>
      <c r="S496" s="32" t="s">
        <v>1393</v>
      </c>
      <c r="T496" s="32"/>
      <c r="U496" s="17">
        <f t="shared" si="103"/>
        <v>0</v>
      </c>
      <c r="V496" s="17">
        <f t="shared" si="104"/>
        <v>0</v>
      </c>
      <c r="W496" s="56"/>
      <c r="X496" s="31"/>
      <c r="Y496" s="42"/>
      <c r="Z496" s="31"/>
      <c r="AA496" s="31"/>
      <c r="AB496" s="31"/>
      <c r="AC496" s="31"/>
      <c r="AD496" s="31"/>
      <c r="AE496" s="31"/>
      <c r="AF496" s="31"/>
      <c r="AG496" s="31"/>
      <c r="AH496" s="31"/>
      <c r="AI496" s="31"/>
      <c r="AJ496" s="31"/>
      <c r="AK496" s="31"/>
      <c r="AL496" s="31"/>
      <c r="AM496" s="31"/>
      <c r="AN496" s="32"/>
      <c r="AO496" s="32"/>
      <c r="AP496" s="30"/>
      <c r="AQ496" s="30"/>
      <c r="AR496" s="30"/>
      <c r="AS496" s="92"/>
      <c r="AT496" s="155"/>
      <c r="AU496" s="155"/>
      <c r="AV496" s="106"/>
      <c r="AW496" s="106"/>
      <c r="AX496" s="30"/>
      <c r="AY496" s="107"/>
      <c r="AZ496" s="107"/>
      <c r="BA496" s="32"/>
    </row>
    <row r="497" spans="1:53">
      <c r="A497" s="7"/>
      <c r="B497" s="26" t="str">
        <f t="shared" si="105"/>
        <v/>
      </c>
      <c r="C497" s="42"/>
      <c r="D497" s="64"/>
      <c r="E497" s="69"/>
      <c r="F497" s="85"/>
      <c r="G497" s="60"/>
      <c r="H497" s="31"/>
      <c r="I497" s="42"/>
      <c r="J497" s="42"/>
      <c r="K497" s="42"/>
      <c r="L497" s="36"/>
      <c r="M497" s="41"/>
      <c r="N497" s="31"/>
      <c r="O497" s="31"/>
      <c r="P497" s="33"/>
      <c r="Q497" s="31" t="e">
        <f>LEFT(RIGHT(A497,LEN(A497)-FIND("-",A497)),MIN(SEARCH({"a","b","c","d","e","f","g","h","i","j","k","l","m","n","o","p","q","r","s","t","u","v","w","x","y","z"},RIGHT(A497,LEN(A497)-FIND("-",A497))&amp;"abcdefghijklmnopqrstuvwxyz"))-1)+1-1</f>
        <v>#VALUE!</v>
      </c>
      <c r="R497" s="32" t="e">
        <f t="shared" si="106"/>
        <v>#VALUE!</v>
      </c>
      <c r="S497" s="32" t="s">
        <v>1393</v>
      </c>
      <c r="T497" s="32"/>
      <c r="U497" s="17">
        <f t="shared" si="103"/>
        <v>0</v>
      </c>
      <c r="V497" s="17">
        <f t="shared" si="104"/>
        <v>0</v>
      </c>
      <c r="W497" s="56"/>
      <c r="X497" s="31"/>
      <c r="Y497" s="42"/>
      <c r="Z497" s="31"/>
      <c r="AA497" s="31"/>
      <c r="AB497" s="31"/>
      <c r="AC497" s="31"/>
      <c r="AD497" s="31"/>
      <c r="AE497" s="31"/>
      <c r="AF497" s="31"/>
      <c r="AG497" s="31"/>
      <c r="AH497" s="31"/>
      <c r="AI497" s="31"/>
      <c r="AJ497" s="31"/>
      <c r="AK497" s="31"/>
      <c r="AL497" s="31"/>
      <c r="AM497" s="31"/>
      <c r="AN497" s="32"/>
      <c r="AO497" s="32"/>
      <c r="AP497" s="30"/>
      <c r="AQ497" s="30"/>
      <c r="AR497" s="30"/>
      <c r="AS497" s="92"/>
      <c r="AT497" s="155"/>
      <c r="AU497" s="155"/>
      <c r="AV497" s="106"/>
      <c r="AW497" s="106"/>
      <c r="AX497" s="30"/>
      <c r="AY497" s="107"/>
      <c r="AZ497" s="107"/>
      <c r="BA497" s="32"/>
    </row>
    <row r="498" spans="1:53">
      <c r="A498" s="7"/>
      <c r="B498" s="26" t="str">
        <f t="shared" si="105"/>
        <v/>
      </c>
      <c r="C498" s="42"/>
      <c r="D498" s="64"/>
      <c r="E498" s="69"/>
      <c r="F498" s="85"/>
      <c r="G498" s="60"/>
      <c r="H498" s="31"/>
      <c r="I498" s="42"/>
      <c r="J498" s="42"/>
      <c r="K498" s="42"/>
      <c r="L498" s="36"/>
      <c r="M498" s="41"/>
      <c r="N498" s="31"/>
      <c r="O498" s="31"/>
      <c r="P498" s="33"/>
      <c r="Q498" s="31" t="e">
        <f>LEFT(RIGHT(A498,LEN(A498)-FIND("-",A498)),MIN(SEARCH({"a","b","c","d","e","f","g","h","i","j","k","l","m","n","o","p","q","r","s","t","u","v","w","x","y","z"},RIGHT(A498,LEN(A498)-FIND("-",A498))&amp;"abcdefghijklmnopqrstuvwxyz"))-1)+1-1</f>
        <v>#VALUE!</v>
      </c>
      <c r="R498" s="32" t="e">
        <f t="shared" si="106"/>
        <v>#VALUE!</v>
      </c>
      <c r="S498" s="32" t="s">
        <v>1393</v>
      </c>
      <c r="T498" s="32"/>
      <c r="U498" s="17">
        <f t="shared" si="103"/>
        <v>0</v>
      </c>
      <c r="V498" s="17">
        <f t="shared" si="104"/>
        <v>0</v>
      </c>
      <c r="W498" s="56"/>
      <c r="X498" s="31"/>
      <c r="Y498" s="42"/>
      <c r="Z498" s="31"/>
      <c r="AA498" s="31"/>
      <c r="AB498" s="31"/>
      <c r="AC498" s="31"/>
      <c r="AD498" s="31"/>
      <c r="AE498" s="31"/>
      <c r="AF498" s="31"/>
      <c r="AG498" s="31"/>
      <c r="AH498" s="31"/>
      <c r="AI498" s="31"/>
      <c r="AJ498" s="31"/>
      <c r="AK498" s="31"/>
      <c r="AL498" s="31"/>
      <c r="AM498" s="31"/>
      <c r="AN498" s="32"/>
      <c r="AO498" s="32"/>
      <c r="AP498" s="30"/>
      <c r="AQ498" s="30"/>
      <c r="AR498" s="30"/>
      <c r="AS498" s="92"/>
      <c r="AT498" s="155"/>
      <c r="AU498" s="155"/>
      <c r="AV498" s="106"/>
      <c r="AW498" s="106"/>
      <c r="AX498" s="30"/>
      <c r="AY498" s="107"/>
      <c r="AZ498" s="107"/>
      <c r="BA498" s="32"/>
    </row>
    <row r="499" spans="1:53">
      <c r="A499" s="7"/>
      <c r="B499" s="26" t="str">
        <f t="shared" si="105"/>
        <v/>
      </c>
      <c r="C499" s="42"/>
      <c r="D499" s="64"/>
      <c r="E499" s="69"/>
      <c r="F499" s="85"/>
      <c r="G499" s="60"/>
      <c r="H499" s="31"/>
      <c r="I499" s="42"/>
      <c r="J499" s="42"/>
      <c r="K499" s="42"/>
      <c r="L499" s="36"/>
      <c r="M499" s="41"/>
      <c r="N499" s="31"/>
      <c r="O499" s="31"/>
      <c r="P499" s="33"/>
      <c r="Q499" s="31" t="e">
        <f>LEFT(RIGHT(A499,LEN(A499)-FIND("-",A499)),MIN(SEARCH({"a","b","c","d","e","f","g","h","i","j","k","l","m","n","o","p","q","r","s","t","u","v","w","x","y","z"},RIGHT(A499,LEN(A499)-FIND("-",A499))&amp;"abcdefghijklmnopqrstuvwxyz"))-1)+1-1</f>
        <v>#VALUE!</v>
      </c>
      <c r="R499" s="32" t="e">
        <f t="shared" si="106"/>
        <v>#VALUE!</v>
      </c>
      <c r="S499" s="32" t="s">
        <v>1393</v>
      </c>
      <c r="T499" s="32"/>
      <c r="U499" s="17">
        <f t="shared" si="103"/>
        <v>0</v>
      </c>
      <c r="V499" s="17">
        <f t="shared" si="104"/>
        <v>0</v>
      </c>
      <c r="W499" s="56"/>
      <c r="X499" s="31"/>
      <c r="Y499" s="42"/>
      <c r="Z499" s="31"/>
      <c r="AA499" s="31"/>
      <c r="AB499" s="31"/>
      <c r="AC499" s="31"/>
      <c r="AD499" s="31"/>
      <c r="AE499" s="31"/>
      <c r="AF499" s="31"/>
      <c r="AG499" s="31"/>
      <c r="AH499" s="31"/>
      <c r="AI499" s="31"/>
      <c r="AJ499" s="31"/>
      <c r="AK499" s="31"/>
      <c r="AL499" s="31"/>
      <c r="AM499" s="31"/>
      <c r="AN499" s="32"/>
      <c r="AO499" s="32"/>
      <c r="AP499" s="30"/>
      <c r="AQ499" s="30"/>
      <c r="AR499" s="30"/>
      <c r="AS499" s="92"/>
      <c r="AT499" s="155"/>
      <c r="AU499" s="155"/>
      <c r="AV499" s="106"/>
      <c r="AW499" s="106"/>
      <c r="AX499" s="30"/>
      <c r="AY499" s="107"/>
      <c r="AZ499" s="107"/>
      <c r="BA499" s="32"/>
    </row>
    <row r="500" spans="1:53">
      <c r="A500" s="7"/>
      <c r="B500" s="26" t="str">
        <f t="shared" si="105"/>
        <v/>
      </c>
      <c r="C500" s="42"/>
      <c r="D500" s="64"/>
      <c r="E500" s="69"/>
      <c r="F500" s="85"/>
      <c r="G500" s="60"/>
      <c r="H500" s="31"/>
      <c r="I500" s="42"/>
      <c r="J500" s="42"/>
      <c r="K500" s="42"/>
      <c r="L500" s="36"/>
      <c r="M500" s="41"/>
      <c r="N500" s="31"/>
      <c r="O500" s="31"/>
      <c r="P500" s="33"/>
      <c r="Q500" s="31" t="e">
        <f>LEFT(RIGHT(A500,LEN(A500)-FIND("-",A500)),MIN(SEARCH({"a","b","c","d","e","f","g","h","i","j","k","l","m","n","o","p","q","r","s","t","u","v","w","x","y","z"},RIGHT(A500,LEN(A500)-FIND("-",A500))&amp;"abcdefghijklmnopqrstuvwxyz"))-1)+1-1</f>
        <v>#VALUE!</v>
      </c>
      <c r="R500" s="32" t="e">
        <f t="shared" si="106"/>
        <v>#VALUE!</v>
      </c>
      <c r="S500" s="32" t="s">
        <v>1393</v>
      </c>
      <c r="T500" s="32"/>
      <c r="U500" s="17">
        <f t="shared" si="103"/>
        <v>0</v>
      </c>
      <c r="V500" s="17">
        <f t="shared" si="104"/>
        <v>0</v>
      </c>
      <c r="W500" s="56"/>
      <c r="X500" s="31"/>
      <c r="Y500" s="42"/>
      <c r="Z500" s="31"/>
      <c r="AA500" s="31"/>
      <c r="AB500" s="31"/>
      <c r="AC500" s="31"/>
      <c r="AD500" s="31"/>
      <c r="AE500" s="31"/>
      <c r="AF500" s="31"/>
      <c r="AG500" s="31"/>
      <c r="AH500" s="31"/>
      <c r="AI500" s="31"/>
      <c r="AJ500" s="31"/>
      <c r="AK500" s="31"/>
      <c r="AL500" s="31"/>
      <c r="AM500" s="31"/>
      <c r="AN500" s="32"/>
      <c r="AO500" s="32"/>
      <c r="AP500" s="30"/>
      <c r="AQ500" s="30"/>
      <c r="AR500" s="30"/>
      <c r="AS500" s="92"/>
      <c r="AT500" s="155"/>
      <c r="AU500" s="155"/>
      <c r="AV500" s="106"/>
      <c r="AW500" s="106"/>
      <c r="AX500" s="30"/>
      <c r="AY500" s="107"/>
      <c r="AZ500" s="107"/>
      <c r="BA500" s="32"/>
    </row>
    <row r="501" spans="1:53">
      <c r="A501" s="7"/>
      <c r="B501" s="26" t="str">
        <f t="shared" si="105"/>
        <v/>
      </c>
      <c r="C501" s="42"/>
      <c r="D501" s="64"/>
      <c r="E501" s="69"/>
      <c r="F501" s="85"/>
      <c r="G501" s="60"/>
      <c r="H501" s="31"/>
      <c r="I501" s="42"/>
      <c r="J501" s="42"/>
      <c r="K501" s="42"/>
      <c r="L501" s="36"/>
      <c r="M501" s="41"/>
      <c r="N501" s="31"/>
      <c r="O501" s="31"/>
      <c r="P501" s="33"/>
      <c r="Q501" s="31" t="e">
        <f>LEFT(RIGHT(A501,LEN(A501)-FIND("-",A501)),MIN(SEARCH({"a","b","c","d","e","f","g","h","i","j","k","l","m","n","o","p","q","r","s","t","u","v","w","x","y","z"},RIGHT(A501,LEN(A501)-FIND("-",A501))&amp;"abcdefghijklmnopqrstuvwxyz"))-1)+1-1</f>
        <v>#VALUE!</v>
      </c>
      <c r="R501" s="32" t="e">
        <f t="shared" si="106"/>
        <v>#VALUE!</v>
      </c>
      <c r="S501" s="32" t="s">
        <v>1393</v>
      </c>
      <c r="T501" s="32"/>
      <c r="U501" s="17">
        <f t="shared" si="103"/>
        <v>0</v>
      </c>
      <c r="V501" s="17">
        <f t="shared" si="104"/>
        <v>0</v>
      </c>
      <c r="W501" s="56"/>
      <c r="X501" s="31"/>
      <c r="Y501" s="42"/>
      <c r="Z501" s="31"/>
      <c r="AA501" s="31"/>
      <c r="AB501" s="31"/>
      <c r="AC501" s="31"/>
      <c r="AD501" s="31"/>
      <c r="AE501" s="31"/>
      <c r="AF501" s="31"/>
      <c r="AG501" s="31"/>
      <c r="AH501" s="31"/>
      <c r="AI501" s="31"/>
      <c r="AJ501" s="31"/>
      <c r="AK501" s="31"/>
      <c r="AL501" s="31"/>
      <c r="AM501" s="31"/>
      <c r="AN501" s="32"/>
      <c r="AO501" s="32"/>
      <c r="AP501" s="30"/>
      <c r="AQ501" s="30"/>
      <c r="AR501" s="30"/>
      <c r="AS501" s="92"/>
      <c r="AT501" s="155"/>
      <c r="AU501" s="155"/>
      <c r="AV501" s="106"/>
      <c r="AW501" s="106"/>
      <c r="AX501" s="30"/>
      <c r="AY501" s="107"/>
      <c r="AZ501" s="107"/>
      <c r="BA501" s="32"/>
    </row>
    <row r="502" spans="1:53">
      <c r="A502" s="7"/>
      <c r="B502" s="26" t="str">
        <f t="shared" si="105"/>
        <v/>
      </c>
      <c r="C502" s="42"/>
      <c r="D502" s="64"/>
      <c r="E502" s="69"/>
      <c r="F502" s="85"/>
      <c r="G502" s="60"/>
      <c r="H502" s="31"/>
      <c r="I502" s="42"/>
      <c r="J502" s="42"/>
      <c r="K502" s="42"/>
      <c r="L502" s="36"/>
      <c r="M502" s="41"/>
      <c r="N502" s="31"/>
      <c r="O502" s="31"/>
      <c r="P502" s="33"/>
      <c r="Q502" s="31" t="e">
        <f>LEFT(RIGHT(A502,LEN(A502)-FIND("-",A502)),MIN(SEARCH({"a","b","c","d","e","f","g","h","i","j","k","l","m","n","o","p","q","r","s","t","u","v","w","x","y","z"},RIGHT(A502,LEN(A502)-FIND("-",A502))&amp;"abcdefghijklmnopqrstuvwxyz"))-1)+1-1</f>
        <v>#VALUE!</v>
      </c>
      <c r="R502" s="32" t="e">
        <f t="shared" si="106"/>
        <v>#VALUE!</v>
      </c>
      <c r="S502" s="32" t="s">
        <v>1393</v>
      </c>
      <c r="T502" s="32"/>
      <c r="U502" s="17">
        <f t="shared" si="103"/>
        <v>0</v>
      </c>
      <c r="V502" s="17">
        <f t="shared" si="104"/>
        <v>0</v>
      </c>
      <c r="W502" s="56"/>
      <c r="X502" s="31"/>
      <c r="Y502" s="42"/>
      <c r="Z502" s="31"/>
      <c r="AA502" s="31"/>
      <c r="AB502" s="31"/>
      <c r="AC502" s="31"/>
      <c r="AD502" s="31"/>
      <c r="AE502" s="31"/>
      <c r="AF502" s="31"/>
      <c r="AG502" s="31"/>
      <c r="AH502" s="31"/>
      <c r="AI502" s="31"/>
      <c r="AJ502" s="31"/>
      <c r="AK502" s="31"/>
      <c r="AL502" s="31"/>
      <c r="AM502" s="31"/>
      <c r="AN502" s="32"/>
      <c r="AO502" s="32"/>
      <c r="AP502" s="30"/>
      <c r="AQ502" s="30"/>
      <c r="AR502" s="30"/>
      <c r="AS502" s="92"/>
      <c r="AT502" s="155"/>
      <c r="AU502" s="155"/>
      <c r="AV502" s="106"/>
      <c r="AW502" s="106"/>
      <c r="AX502" s="30"/>
      <c r="AY502" s="107"/>
      <c r="AZ502" s="107"/>
      <c r="BA502" s="32"/>
    </row>
    <row r="503" spans="1:53">
      <c r="A503" s="7"/>
      <c r="B503" s="26" t="str">
        <f t="shared" si="105"/>
        <v/>
      </c>
      <c r="C503" s="42"/>
      <c r="D503" s="64"/>
      <c r="E503" s="69"/>
      <c r="F503" s="85"/>
      <c r="G503" s="60"/>
      <c r="H503" s="31"/>
      <c r="I503" s="42"/>
      <c r="J503" s="42"/>
      <c r="K503" s="42"/>
      <c r="L503" s="36"/>
      <c r="M503" s="41"/>
      <c r="N503" s="31"/>
      <c r="O503" s="31"/>
      <c r="P503" s="33"/>
      <c r="Q503" s="31" t="e">
        <f>LEFT(RIGHT(A503,LEN(A503)-FIND("-",A503)),MIN(SEARCH({"a","b","c","d","e","f","g","h","i","j","k","l","m","n","o","p","q","r","s","t","u","v","w","x","y","z"},RIGHT(A503,LEN(A503)-FIND("-",A503))&amp;"abcdefghijklmnopqrstuvwxyz"))-1)+1-1</f>
        <v>#VALUE!</v>
      </c>
      <c r="R503" s="32" t="e">
        <f t="shared" si="106"/>
        <v>#VALUE!</v>
      </c>
      <c r="S503" s="32" t="s">
        <v>1393</v>
      </c>
      <c r="T503" s="32"/>
      <c r="U503" s="17">
        <f t="shared" si="103"/>
        <v>0</v>
      </c>
      <c r="V503" s="17">
        <f t="shared" si="104"/>
        <v>0</v>
      </c>
      <c r="W503" s="56"/>
      <c r="X503" s="31"/>
      <c r="Y503" s="42"/>
      <c r="Z503" s="31"/>
      <c r="AA503" s="31"/>
      <c r="AB503" s="31"/>
      <c r="AC503" s="31"/>
      <c r="AD503" s="31"/>
      <c r="AE503" s="31"/>
      <c r="AF503" s="31"/>
      <c r="AG503" s="31"/>
      <c r="AH503" s="31"/>
      <c r="AI503" s="31"/>
      <c r="AJ503" s="31"/>
      <c r="AK503" s="31"/>
      <c r="AL503" s="31"/>
      <c r="AM503" s="31"/>
      <c r="AN503" s="32"/>
      <c r="AO503" s="32"/>
      <c r="AP503" s="30"/>
      <c r="AQ503" s="30"/>
      <c r="AR503" s="30"/>
      <c r="AS503" s="92"/>
      <c r="AT503" s="155"/>
      <c r="AU503" s="155"/>
      <c r="AV503" s="106"/>
      <c r="AW503" s="106"/>
      <c r="AX503" s="30"/>
      <c r="AY503" s="107"/>
      <c r="AZ503" s="107"/>
      <c r="BA503" s="32"/>
    </row>
    <row r="504" spans="1:53">
      <c r="A504" s="7"/>
      <c r="B504" s="26" t="str">
        <f t="shared" si="105"/>
        <v/>
      </c>
      <c r="C504" s="42"/>
      <c r="D504" s="64"/>
      <c r="E504" s="69"/>
      <c r="F504" s="85"/>
      <c r="G504" s="60"/>
      <c r="H504" s="31"/>
      <c r="I504" s="42"/>
      <c r="J504" s="42"/>
      <c r="K504" s="42"/>
      <c r="L504" s="36"/>
      <c r="M504" s="41"/>
      <c r="N504" s="31"/>
      <c r="O504" s="31"/>
      <c r="P504" s="33"/>
      <c r="Q504" s="31" t="e">
        <f>LEFT(RIGHT(A504,LEN(A504)-FIND("-",A504)),MIN(SEARCH({"a","b","c","d","e","f","g","h","i","j","k","l","m","n","o","p","q","r","s","t","u","v","w","x","y","z"},RIGHT(A504,LEN(A504)-FIND("-",A504))&amp;"abcdefghijklmnopqrstuvwxyz"))-1)+1-1</f>
        <v>#VALUE!</v>
      </c>
      <c r="R504" s="32" t="e">
        <f t="shared" si="106"/>
        <v>#VALUE!</v>
      </c>
      <c r="S504" s="32" t="s">
        <v>1393</v>
      </c>
      <c r="T504" s="32"/>
      <c r="U504" s="17">
        <f t="shared" si="103"/>
        <v>0</v>
      </c>
      <c r="V504" s="17">
        <f t="shared" si="104"/>
        <v>0</v>
      </c>
      <c r="W504" s="56"/>
      <c r="X504" s="31"/>
      <c r="Y504" s="42"/>
      <c r="Z504" s="31"/>
      <c r="AA504" s="31"/>
      <c r="AB504" s="31"/>
      <c r="AC504" s="31"/>
      <c r="AD504" s="31"/>
      <c r="AE504" s="31"/>
      <c r="AF504" s="31"/>
      <c r="AG504" s="31"/>
      <c r="AH504" s="31"/>
      <c r="AI504" s="31"/>
      <c r="AJ504" s="31"/>
      <c r="AK504" s="31"/>
      <c r="AL504" s="31"/>
      <c r="AM504" s="31"/>
      <c r="AN504" s="32"/>
      <c r="AO504" s="32"/>
      <c r="AP504" s="30"/>
      <c r="AQ504" s="30"/>
      <c r="AR504" s="30"/>
      <c r="AS504" s="92"/>
      <c r="AT504" s="155"/>
      <c r="AU504" s="155"/>
      <c r="AV504" s="106"/>
      <c r="AW504" s="106"/>
      <c r="AX504" s="30"/>
      <c r="AY504" s="107"/>
      <c r="AZ504" s="107"/>
      <c r="BA504" s="32"/>
    </row>
    <row r="505" spans="1:53">
      <c r="A505" s="7"/>
      <c r="B505" s="26" t="str">
        <f t="shared" si="105"/>
        <v/>
      </c>
      <c r="C505" s="42"/>
      <c r="D505" s="64"/>
      <c r="E505" s="69"/>
      <c r="F505" s="85"/>
      <c r="G505" s="60"/>
      <c r="H505" s="31"/>
      <c r="I505" s="42"/>
      <c r="J505" s="42"/>
      <c r="K505" s="42"/>
      <c r="L505" s="36"/>
      <c r="M505" s="41"/>
      <c r="N505" s="31"/>
      <c r="O505" s="31"/>
      <c r="P505" s="33"/>
      <c r="Q505" s="31" t="e">
        <f>LEFT(RIGHT(A505,LEN(A505)-FIND("-",A505)),MIN(SEARCH({"a","b","c","d","e","f","g","h","i","j","k","l","m","n","o","p","q","r","s","t","u","v","w","x","y","z"},RIGHT(A505,LEN(A505)-FIND("-",A505))&amp;"abcdefghijklmnopqrstuvwxyz"))-1)+1-1</f>
        <v>#VALUE!</v>
      </c>
      <c r="R505" s="32" t="e">
        <f t="shared" si="106"/>
        <v>#VALUE!</v>
      </c>
      <c r="S505" s="32" t="s">
        <v>1393</v>
      </c>
      <c r="T505" s="32"/>
      <c r="U505" s="17">
        <f t="shared" si="103"/>
        <v>0</v>
      </c>
      <c r="V505" s="17">
        <f t="shared" si="104"/>
        <v>0</v>
      </c>
      <c r="W505" s="56"/>
      <c r="X505" s="31"/>
      <c r="Y505" s="42"/>
      <c r="Z505" s="31"/>
      <c r="AA505" s="31"/>
      <c r="AB505" s="31"/>
      <c r="AC505" s="31"/>
      <c r="AD505" s="31"/>
      <c r="AE505" s="31"/>
      <c r="AF505" s="31"/>
      <c r="AG505" s="31"/>
      <c r="AH505" s="31"/>
      <c r="AI505" s="31"/>
      <c r="AJ505" s="31"/>
      <c r="AK505" s="31"/>
      <c r="AL505" s="31"/>
      <c r="AM505" s="31"/>
      <c r="AN505" s="32"/>
      <c r="AO505" s="32"/>
      <c r="AP505" s="30"/>
      <c r="AQ505" s="30"/>
      <c r="AR505" s="30"/>
      <c r="AS505" s="92"/>
      <c r="AT505" s="155"/>
      <c r="AU505" s="155"/>
      <c r="AV505" s="106"/>
      <c r="AW505" s="106"/>
      <c r="AX505" s="30"/>
      <c r="AY505" s="107"/>
      <c r="AZ505" s="107"/>
      <c r="BA505" s="32"/>
    </row>
    <row r="506" spans="1:53">
      <c r="A506" s="7"/>
      <c r="B506" s="26" t="str">
        <f t="shared" si="105"/>
        <v/>
      </c>
      <c r="C506" s="42"/>
      <c r="D506" s="64"/>
      <c r="E506" s="69"/>
      <c r="F506" s="85"/>
      <c r="G506" s="60"/>
      <c r="H506" s="31"/>
      <c r="I506" s="42"/>
      <c r="J506" s="42"/>
      <c r="K506" s="42"/>
      <c r="L506" s="36"/>
      <c r="M506" s="41"/>
      <c r="N506" s="31"/>
      <c r="O506" s="31"/>
      <c r="P506" s="33"/>
      <c r="Q506" s="31" t="e">
        <f>LEFT(RIGHT(A506,LEN(A506)-FIND("-",A506)),MIN(SEARCH({"a","b","c","d","e","f","g","h","i","j","k","l","m","n","o","p","q","r","s","t","u","v","w","x","y","z"},RIGHT(A506,LEN(A506)-FIND("-",A506))&amp;"abcdefghijklmnopqrstuvwxyz"))-1)+1-1</f>
        <v>#VALUE!</v>
      </c>
      <c r="R506" s="32" t="e">
        <f t="shared" si="106"/>
        <v>#VALUE!</v>
      </c>
      <c r="S506" s="32" t="s">
        <v>1393</v>
      </c>
      <c r="T506" s="32"/>
      <c r="U506" s="17">
        <f t="shared" si="103"/>
        <v>0</v>
      </c>
      <c r="V506" s="17">
        <f t="shared" si="104"/>
        <v>0</v>
      </c>
      <c r="W506" s="56"/>
      <c r="X506" s="31"/>
      <c r="Y506" s="42"/>
      <c r="Z506" s="31"/>
      <c r="AA506" s="31"/>
      <c r="AB506" s="31"/>
      <c r="AC506" s="31"/>
      <c r="AD506" s="31"/>
      <c r="AE506" s="31"/>
      <c r="AF506" s="31"/>
      <c r="AG506" s="31"/>
      <c r="AH506" s="31"/>
      <c r="AI506" s="31"/>
      <c r="AJ506" s="31"/>
      <c r="AK506" s="31"/>
      <c r="AL506" s="31"/>
      <c r="AM506" s="31"/>
      <c r="AN506" s="32"/>
      <c r="AO506" s="32"/>
      <c r="AP506" s="30"/>
      <c r="AQ506" s="30"/>
      <c r="AR506" s="30"/>
      <c r="AS506" s="92"/>
      <c r="AT506" s="155"/>
      <c r="AU506" s="155"/>
      <c r="AV506" s="106"/>
      <c r="AW506" s="106"/>
      <c r="AX506" s="30"/>
      <c r="AY506" s="107"/>
      <c r="AZ506" s="107"/>
      <c r="BA506" s="32"/>
    </row>
    <row r="507" spans="1:53">
      <c r="A507" s="7"/>
      <c r="B507" s="26" t="str">
        <f t="shared" si="105"/>
        <v/>
      </c>
      <c r="C507" s="42"/>
      <c r="D507" s="64"/>
      <c r="E507" s="69"/>
      <c r="F507" s="85"/>
      <c r="G507" s="60"/>
      <c r="H507" s="31"/>
      <c r="I507" s="42"/>
      <c r="J507" s="42"/>
      <c r="K507" s="42"/>
      <c r="L507" s="36"/>
      <c r="M507" s="41"/>
      <c r="N507" s="31"/>
      <c r="O507" s="31"/>
      <c r="P507" s="33"/>
      <c r="Q507" s="31" t="e">
        <f>LEFT(RIGHT(A507,LEN(A507)-FIND("-",A507)),MIN(SEARCH({"a","b","c","d","e","f","g","h","i","j","k","l","m","n","o","p","q","r","s","t","u","v","w","x","y","z"},RIGHT(A507,LEN(A507)-FIND("-",A507))&amp;"abcdefghijklmnopqrstuvwxyz"))-1)+1-1</f>
        <v>#VALUE!</v>
      </c>
      <c r="R507" s="32" t="e">
        <f t="shared" si="106"/>
        <v>#VALUE!</v>
      </c>
      <c r="S507" s="32" t="s">
        <v>1393</v>
      </c>
      <c r="T507" s="32"/>
      <c r="U507" s="17">
        <f t="shared" si="103"/>
        <v>0</v>
      </c>
      <c r="V507" s="17">
        <f t="shared" si="104"/>
        <v>0</v>
      </c>
      <c r="W507" s="56"/>
      <c r="X507" s="31"/>
      <c r="Y507" s="42"/>
      <c r="Z507" s="31"/>
      <c r="AA507" s="31"/>
      <c r="AB507" s="31"/>
      <c r="AC507" s="31"/>
      <c r="AD507" s="31"/>
      <c r="AE507" s="31"/>
      <c r="AF507" s="31"/>
      <c r="AG507" s="31"/>
      <c r="AH507" s="31"/>
      <c r="AI507" s="31"/>
      <c r="AJ507" s="31"/>
      <c r="AK507" s="31"/>
      <c r="AL507" s="31"/>
      <c r="AM507" s="31"/>
      <c r="AN507" s="32"/>
      <c r="AO507" s="32"/>
      <c r="AP507" s="30"/>
      <c r="AQ507" s="30"/>
      <c r="AR507" s="30"/>
      <c r="AS507" s="92"/>
      <c r="AT507" s="155"/>
      <c r="AU507" s="155"/>
      <c r="AV507" s="106"/>
      <c r="AW507" s="106"/>
      <c r="AX507" s="30"/>
      <c r="AY507" s="107"/>
      <c r="AZ507" s="107"/>
      <c r="BA507" s="32"/>
    </row>
    <row r="508" spans="1:53">
      <c r="A508" s="7"/>
      <c r="B508" s="26" t="str">
        <f t="shared" si="105"/>
        <v/>
      </c>
      <c r="C508" s="42"/>
      <c r="D508" s="64"/>
      <c r="E508" s="69"/>
      <c r="F508" s="85"/>
      <c r="G508" s="60"/>
      <c r="H508" s="31"/>
      <c r="I508" s="42"/>
      <c r="J508" s="42"/>
      <c r="K508" s="42"/>
      <c r="L508" s="36"/>
      <c r="M508" s="41"/>
      <c r="N508" s="31"/>
      <c r="O508" s="31"/>
      <c r="P508" s="33"/>
      <c r="Q508" s="31" t="e">
        <f>LEFT(RIGHT(A508,LEN(A508)-FIND("-",A508)),MIN(SEARCH({"a","b","c","d","e","f","g","h","i","j","k","l","m","n","o","p","q","r","s","t","u","v","w","x","y","z"},RIGHT(A508,LEN(A508)-FIND("-",A508))&amp;"abcdefghijklmnopqrstuvwxyz"))-1)+1-1</f>
        <v>#VALUE!</v>
      </c>
      <c r="R508" s="32" t="e">
        <f t="shared" si="106"/>
        <v>#VALUE!</v>
      </c>
      <c r="S508" s="32" t="s">
        <v>1393</v>
      </c>
      <c r="T508" s="32"/>
      <c r="U508" s="17">
        <f t="shared" si="103"/>
        <v>0</v>
      </c>
      <c r="V508" s="17">
        <f t="shared" si="104"/>
        <v>0</v>
      </c>
      <c r="W508" s="56"/>
      <c r="X508" s="31"/>
      <c r="Y508" s="42"/>
      <c r="Z508" s="31"/>
      <c r="AA508" s="31"/>
      <c r="AB508" s="31"/>
      <c r="AC508" s="31"/>
      <c r="AD508" s="31"/>
      <c r="AE508" s="31"/>
      <c r="AF508" s="31"/>
      <c r="AG508" s="31"/>
      <c r="AH508" s="31"/>
      <c r="AI508" s="31"/>
      <c r="AJ508" s="31"/>
      <c r="AK508" s="31"/>
      <c r="AL508" s="31"/>
      <c r="AM508" s="31"/>
      <c r="AN508" s="32"/>
      <c r="AO508" s="32"/>
      <c r="AP508" s="30"/>
      <c r="AQ508" s="30"/>
      <c r="AR508" s="30"/>
      <c r="AS508" s="92"/>
      <c r="AT508" s="155"/>
      <c r="AU508" s="155"/>
      <c r="AV508" s="106"/>
      <c r="AW508" s="106"/>
      <c r="AX508" s="30"/>
      <c r="AY508" s="107"/>
      <c r="AZ508" s="107"/>
      <c r="BA508" s="32"/>
    </row>
  </sheetData>
  <autoFilter ref="A3:BD508" xr:uid="{00000000-0009-0000-0000-000000000000}">
    <sortState ref="A5:BD319">
      <sortCondition ref="A3:A508"/>
    </sortState>
  </autoFilter>
  <sortState ref="A228:BF239">
    <sortCondition ref="A228"/>
  </sortState>
  <customSheetViews>
    <customSheetView guid="{51C2572D-CBA9-42BB-AFB3-00687F2DE6AB}" showAutoFilter="1">
      <pane xSplit="1" ySplit="3" topLeftCell="B4" activePane="bottomRight" state="frozen"/>
      <selection pane="bottomRight" activeCell="D10" sqref="D10"/>
      <pageMargins left="0.7" right="0.7" top="0.75" bottom="0.75" header="0.3" footer="0.3"/>
      <pageSetup orientation="portrait" r:id="rId1"/>
      <autoFilter ref="A3:AV3" xr:uid="{00000000-0000-0000-0000-000000000000}">
        <sortState ref="A4:AU117">
          <sortCondition ref="A3"/>
        </sortState>
      </autoFilter>
    </customSheetView>
  </customSheetViews>
  <conditionalFormatting sqref="O170 W170:AA170 AD170:AN170 AW170 R55 Q156 AY42:BA42 L42:P42 C42:E42 U42:V51 B42:B55 AX42:AX55 B154:B156 I160:J160 T159:T160 BA171:BA176 AN174:AN176 O139 H139 B170:B176 AO139:AO141 AO172:AO176 AV172:AV176 AV159:AX162 V17:W19 Z17:AB19 V28:W28 Z28:AB28 AZ58:AZ63 AM10:AO10 A4:A5 A7:A11 AT14:BA14 AM12:AN12 AF10:AL12 T10:X10 AB10:AC11 AY10:BA13 U11:X13 Q10:R14 M98:N98 Z45:AB45 A26:C26 L26:O26 AP26 AT26:BA26 B10:C14 H26:J26 M159:M160 H159:H160 Q159:R163 O174 O176 O155:O156 Q176 Q174 Q139 Q170:R170 BA153:BA156 W153:AK153 W155:X155 Z155:AB155 U159:AB163 H176 U175:W176 W156:AB156 O159:O161 AR161:AS161 AM163:AO163 BA165:BA166 W165:W176 B159:B163 B131:H131 P131:R131 B151:B152 U153:W156 AX152:AX154 B143:B149 AO143:AO146 B139:B141 B132:G132 K132:R132 AR120:AR121 A133:G133 W26:W28 AR122:AS122 Y175:AB176 BA159:BA163 Z46:AM46 B134:G134 B135:C135 O135:R135 B138:H138 T137:AB137 Q136:R136 BA118:BA126 AM138:AO138 W132:W138 BA128:BA138 O138:R138 AW136:AW138 AR162 AR159:AR160 AT139:BA139 AT10:AU13 E135:H136 G10:O14 B122:L126 AX122:AZ138 AR119:AU119 U70:W73 AZ71:AZ73 A79:A81 W32:W42 A34:A35 G42:G45 A74:E74 G71:L71 G75:K75 G74:I74 A53 A13:A25 A27:A28 W48:X48 AY110:AZ115 A113:C113 B136 AV213:BA213 AV212:AW213 N213:Q213 AT212:BA212 AT214:BA215 P214:R214 P212:Q212 AT217:BA218 H212 J212 U75:W75 Z75:AM75 L212:L213 J214:J215 A216 N212:N218 X215:AB215 Y217:AB217 B95:F96 I42:J42 AO42:AO43 W46:W51 Z42:AB43 A42:A46 B56:I56 K56 W54:W63 Z54:AM54 AY89:AY91 M90:S90 Q86:R86 BA89:BA91 BA86 AR90:AX91 AZ78:AZ91 W78:W97 W99:W103 P117:R117 W116:W117 AY116:BA117 U89:AA89 AD89:AO89 H96:K96 N217:P218 R217 A83:A84 A240 AO125:AO134 AQ159:AQ162 AR170 AP170:AQ183 AP190:AQ218 AR216:AW216 AR86:AY86 AR241:AR243 AR217:AR218 AR133:AS134 AP4:AQ10 AP168:AR168 AP16:AQ25 AR55 AR151 AR10:AR14 AP12:AQ14 AR173:AR178 AR179:AS181 AR123:AR132 AP187:AQ188 AR67:BA67 AR64:AR66 AR68:AR69 AR76 AR77:BA77 AR30:BA31 AR29 AR197:AV198 AR195 AR199 AR202 AR203:AW203 AR204:AR215 AR239 AT241:BA243 H240:L240 AR240:BA240 AV244:AW244 AN240:AO240 N240:P240 AY59:AY63 B60:L63 N241:N243 P241:P245 U90:AO96 H87:L95 B97:J97 T240:AC240 AP228:AQ228 L242:L243 H241 T241:W243 Z51:AB51 X214 Z212:AB214 AY216:BA216 AY56:AZ56 U54:V55 Q58:R59 AR58:BA58 AP27:AQ58 AP59 AS59:BA59 G70:K70 G73:L73 G72:K72 B70:E73 AZ75 B75:E75 Z97:AA97 B98:K99 M99:R99 A100:R102 AM103:AO103 AR92:BA109 Z50:AA50 Q118:R118 N124:R124 AD123:AO123 X218:AB218 A103:C109 AM116:AO117 A117:N117 AR110:AX118 AW119:AX119 AX121 AT120:AU138 B118:D121 AD42:AN42 AD43:AM43 AD26:AN26 AD45 AD14:AO14 AB12 AD28:AM28 AD17:AM19 Z47:AB48 AD47:AM51 AD58:AO59 Z70:AM73 AD97:AO102 AD104:AO104 AD113:AO115 AD117:AL117 Q119:AB119 AD118:AO121 M125:R126 AD125:AO126 L133:R134 AD128:AO133 AD137:AO137 AD175:AM176 AD156:AL156 AD159:AO162 W154:AB154 AD154:AK155 AD212:AN215 AD217:AO218 Y241:AO243 M118:P123 N215:R216 A58:J58 L58:N58 A59:N59 AP60:AQ156 AR135:AR140 T266:AR266 AT265:BA266 D266:H266 F86:O86 F78:L86 B78:D94 F87:F94 F118:L121 W311:AA311 AX318:AZ318 AY319:AZ319 AX315:BA315 BA316:BA317 AX313 BA313:BA314 Y315:AL315 AX311:BA312 AN315:AU315 AC316:AZ316 Y316:AA317 W314:W317 W313:AA314 W312 Y312:AA312 AC317:AU317 AQ240:AQ243 Q259:R259 B240:B263 Q262:R262 AP239:AP243 T258:AO263 Q26:R26 AT245:AW246 AV247:AW247 T255:V255 C246:G257 N246:P257 U256:AO257 A246:A250 A252:A263 L248:L257 U244:V255 AR255 AP255:AQ263 AT248:AW254 AR256:AS256 AU255:AW256 AN244:AO255 AX244:AZ256 P277 D265:G265 L265:L266 N265:P266 T265:W265 Y265:AR265 A265:A266 T14:AB14 T26:AB26 T58:AB59 T55 T86:AN86 M89:R89 T91:T96 M91:R97 T99:AA99 T97:W97 T104:AB104 T100:AB102 T105:AO109 T116 T113:AB115 T118:AA118 T117:AB117 Q120:R123 T120:AB121 T122:AO122 T125:AB126 T123:AA123 T124:AO124 B128:R130 T128:AB133 T138 T134:AO136 T216 T217:V218 T212:V215 R240:R258 R277 T277:U277 D258:P258 AR257:BA263 R260:R263 C259:P263 AC311:AU314 U112:V112 Y112 T111:Y111 U110:V110 Y110 AC111:AO111 AC110 AO110 AO112 BA111 BA113:BA115 H103:R113 B110:C112 A114:R116">
    <cfRule type="expression" dxfId="2538" priority="3838">
      <formula>MOD(ROW(), 2)=1</formula>
    </cfRule>
  </conditionalFormatting>
  <conditionalFormatting sqref="W170 T55 U42:U51 T159:U160 T10:U10 T14 U12:U14 T26:U26 U175:U176 U153:U156 T128:U137 U103 U137:U138 T138 T212:U215 T91:U97 T86:U86 T99:U102 T104:U109 U54:U55 T58:U59 T217:U218 T216 T265:U266 T240:U243 T255:U255 T258:U263 U244:U257 T111:U111 U110 T113:U126 U112">
    <cfRule type="expression" dxfId="2537" priority="3799">
      <formula>"$J5!=$K5"</formula>
    </cfRule>
  </conditionalFormatting>
  <conditionalFormatting sqref="A12">
    <cfRule type="expression" dxfId="2536" priority="3726">
      <formula>MOD(ROW(), 2)=1</formula>
    </cfRule>
  </conditionalFormatting>
  <conditionalFormatting sqref="U170">
    <cfRule type="expression" dxfId="2535" priority="3686">
      <formula>MOD(ROW(), 2)=1</formula>
    </cfRule>
  </conditionalFormatting>
  <conditionalFormatting sqref="V170">
    <cfRule type="expression" dxfId="2534" priority="3685">
      <formula>"$J5!=$K5"</formula>
    </cfRule>
  </conditionalFormatting>
  <conditionalFormatting sqref="V170">
    <cfRule type="expression" dxfId="2533" priority="3684">
      <formula>MOD(ROW(), 2)=1</formula>
    </cfRule>
  </conditionalFormatting>
  <conditionalFormatting sqref="B169">
    <cfRule type="expression" dxfId="2532" priority="3587">
      <formula>MOD(ROW(), 2)=1</formula>
    </cfRule>
  </conditionalFormatting>
  <conditionalFormatting sqref="AB170">
    <cfRule type="expression" dxfId="2531" priority="3460">
      <formula>MOD(ROW(), 2)=1</formula>
    </cfRule>
  </conditionalFormatting>
  <conditionalFormatting sqref="AO170">
    <cfRule type="expression" dxfId="2530" priority="3458">
      <formula>MOD(ROW(), 2)=1</formula>
    </cfRule>
  </conditionalFormatting>
  <conditionalFormatting sqref="AW169">
    <cfRule type="expression" dxfId="2529" priority="3452">
      <formula>MOD(ROW(), 2)=1</formula>
    </cfRule>
  </conditionalFormatting>
  <conditionalFormatting sqref="U169">
    <cfRule type="expression" dxfId="2528" priority="3450">
      <formula>MOD(ROW(), 2)=1</formula>
    </cfRule>
  </conditionalFormatting>
  <conditionalFormatting sqref="V169">
    <cfRule type="expression" dxfId="2527" priority="3449">
      <formula>"$J5!=$K5"</formula>
    </cfRule>
  </conditionalFormatting>
  <conditionalFormatting sqref="V169">
    <cfRule type="expression" dxfId="2526" priority="3448">
      <formula>MOD(ROW(), 2)=1</formula>
    </cfRule>
  </conditionalFormatting>
  <conditionalFormatting sqref="AO169">
    <cfRule type="expression" dxfId="2525" priority="3442">
      <formula>MOD(ROW(), 2)=1</formula>
    </cfRule>
  </conditionalFormatting>
  <conditionalFormatting sqref="BA4:BA5 BA56 BA7:BA9 BA15:BA25 BA27:BA28 BA70:BA75 BA78:BA87 BA32:BA41 BA58:BA63">
    <cfRule type="expression" dxfId="2524" priority="3430">
      <formula>MOD(ROW(), 2)=1</formula>
    </cfRule>
  </conditionalFormatting>
  <conditionalFormatting sqref="BA88">
    <cfRule type="expression" dxfId="2523" priority="3396">
      <formula>MOD(ROW(), 2)=1</formula>
    </cfRule>
  </conditionalFormatting>
  <conditionalFormatting sqref="I27:J27">
    <cfRule type="expression" dxfId="2522" priority="3391">
      <formula>MOD(ROW(), 2)=1</formula>
    </cfRule>
  </conditionalFormatting>
  <conditionalFormatting sqref="B168 AW168 Q168 U168:W168 Z168:AA168 AD168:AO168">
    <cfRule type="expression" dxfId="2521" priority="3353">
      <formula>MOD(ROW(), 2)=1</formula>
    </cfRule>
  </conditionalFormatting>
  <conditionalFormatting sqref="U168">
    <cfRule type="expression" dxfId="2520" priority="3352">
      <formula>"$J5!=$K5"</formula>
    </cfRule>
  </conditionalFormatting>
  <conditionalFormatting sqref="R169:S169 R168">
    <cfRule type="expression" dxfId="2519" priority="3351">
      <formula>MOD(ROW(), 2)=1</formula>
    </cfRule>
  </conditionalFormatting>
  <conditionalFormatting sqref="T168:T169">
    <cfRule type="expression" dxfId="2518" priority="3350">
      <formula>"$J5!=$K5"</formula>
    </cfRule>
  </conditionalFormatting>
  <conditionalFormatting sqref="T168:T169">
    <cfRule type="expression" dxfId="2517" priority="3349">
      <formula>MOD(ROW(), 2)=1</formula>
    </cfRule>
  </conditionalFormatting>
  <conditionalFormatting sqref="AZ4:AZ5 AZ15:AZ25 AZ7:AZ9 AZ32:AZ41">
    <cfRule type="expression" dxfId="2516" priority="3344">
      <formula>MOD(ROW(), 2)=1</formula>
    </cfRule>
  </conditionalFormatting>
  <conditionalFormatting sqref="Q169">
    <cfRule type="expression" dxfId="2515" priority="3341">
      <formula>MOD(ROW(), 2)=1</formula>
    </cfRule>
  </conditionalFormatting>
  <conditionalFormatting sqref="O169">
    <cfRule type="expression" dxfId="2514" priority="3340">
      <formula>MOD(ROW(), 2)=1</formula>
    </cfRule>
  </conditionalFormatting>
  <conditionalFormatting sqref="AM11">
    <cfRule type="expression" dxfId="2513" priority="3326">
      <formula>MOD(ROW(), 2)=1</formula>
    </cfRule>
  </conditionalFormatting>
  <conditionalFormatting sqref="T4:T5 T70:U73 U89:U90 U85:U87 T15:T25 T7:T9 T27:T28 T32:U41 T75:U75 T78:U84 T58:U63 T56:T57">
    <cfRule type="expression" dxfId="2512" priority="3333">
      <formula>"$J5!=$K5"</formula>
    </cfRule>
  </conditionalFormatting>
  <conditionalFormatting sqref="O136:P136 M70:P70 V4:AM5 U116:AB116 U103:Z103 AL103 AW163:AX163 AT32:AW39 AW63:AX63 AT87:AU87 AR89 AX89 AT85:AV86 AW56 AR163 AY15:AY25 AR4:AR5 V7:AM7 AR7:AR9 AR15:AR25 V15:X16 M15:O15 M71:N71 P71 M87:P87 W4:W25 U79:AM87 M27:O28 V27:AB27 AR27:AR28 M23:R23 V21:AB25 O165 O167 V165:AB165 O162:O163 Q167 Q165 AR166:AS166 M75:N75 AW165:AX166 U167:AB167 V166:W166 AW167 AI165:AM165 AI40:AM40 AI32:AM33 U138:W138 Y138:AB138 AR167 AR165 AT15:AW15 AT16:AX25 AT7:AY9 AT4:AY5 N9:N13 AY78:AY87 AT78:AX84 P78 AY32:AY41 Q70:T71 AT75:AY75 AT74:AU74 V20:X20 Z20:AB20 Z15:AB16 AT27:AX28 N73 M83:O86 AW40:AW41 M56:N56 Q58:R59 AT89:AU89 Y166:AB166 AX85:AX87 M60:R63 Q56:R56 M58:N59 AW58:AW62 W56:AB57 AR56:AR58 AR60:AR63 AT70:AX70 AT71:AY73 AD34:AM39 AD15:AM16 AD32:AG33 AD40:AG40 AD41:AM41 AD20:AM25 AD27:AM27 AD56:AM59 AC78:AC96 AD116:AL116 AD138:AL138 AD166:AM167 AD165:AG165 U78:X78 Z78:AM78 M78:N82 M24:O25 Q24:R25 Q27:R28 M4:R5 T4:T5 M7:R9 T7:T9 M16:P22 R15:R22 T27:T28 T15:T25 M32:R38 T32:AB41 M39:P41 R39:R41 T56:T57 T60:AM63 T58:AB59 P73:R74 M72:R72 T72:T73 T75 P75 R75 Q78:R87 T78:T84 V8:X9 Z8:AM9">
    <cfRule type="expression" dxfId="2511" priority="3331">
      <formula>MOD(ROW(), 2)=1</formula>
    </cfRule>
  </conditionalFormatting>
  <conditionalFormatting sqref="U11">
    <cfRule type="expression" dxfId="2510" priority="3327">
      <formula>"$J5!=$K5"</formula>
    </cfRule>
  </conditionalFormatting>
  <conditionalFormatting sqref="AV163">
    <cfRule type="expression" dxfId="2509" priority="3303">
      <formula>MOD(ROW(), 2)=1</formula>
    </cfRule>
  </conditionalFormatting>
  <conditionalFormatting sqref="U167">
    <cfRule type="expression" dxfId="2508" priority="3320">
      <formula>"$J5!=$K5"</formula>
    </cfRule>
  </conditionalFormatting>
  <conditionalFormatting sqref="M162">
    <cfRule type="expression" dxfId="2507" priority="3317">
      <formula>MOD(ROW(), 2)=1</formula>
    </cfRule>
  </conditionalFormatting>
  <conditionalFormatting sqref="T103">
    <cfRule type="expression" dxfId="2506" priority="3314">
      <formula>"$J5!=$K5"</formula>
    </cfRule>
  </conditionalFormatting>
  <conditionalFormatting sqref="T103">
    <cfRule type="expression" dxfId="2505" priority="3313">
      <formula>MOD(ROW(), 2)=1</formula>
    </cfRule>
  </conditionalFormatting>
  <conditionalFormatting sqref="U165:U166 R165">
    <cfRule type="expression" dxfId="2504" priority="3310">
      <formula>MOD(ROW(), 2)=1</formula>
    </cfRule>
  </conditionalFormatting>
  <conditionalFormatting sqref="U165:U166">
    <cfRule type="expression" dxfId="2503" priority="3309">
      <formula>"$J5!=$K5"</formula>
    </cfRule>
  </conditionalFormatting>
  <conditionalFormatting sqref="T165">
    <cfRule type="expression" dxfId="2502" priority="3308">
      <formula>"$J5!=$K5"</formula>
    </cfRule>
  </conditionalFormatting>
  <conditionalFormatting sqref="T165">
    <cfRule type="expression" dxfId="2501" priority="3307">
      <formula>MOD(ROW(), 2)=1</formula>
    </cfRule>
  </conditionalFormatting>
  <conditionalFormatting sqref="R167">
    <cfRule type="expression" dxfId="2500" priority="3306">
      <formula>MOD(ROW(), 2)=1</formula>
    </cfRule>
  </conditionalFormatting>
  <conditionalFormatting sqref="T167">
    <cfRule type="expression" dxfId="2499" priority="3305">
      <formula>"$J5!=$K5"</formula>
    </cfRule>
  </conditionalFormatting>
  <conditionalFormatting sqref="T167">
    <cfRule type="expression" dxfId="2498" priority="3304">
      <formula>MOD(ROW(), 2)=1</formula>
    </cfRule>
  </conditionalFormatting>
  <conditionalFormatting sqref="AN165:AO167 AN4:AO5 AN7:AO9 AN15 AQ15 AN16:AO25 AN27:AO28 AN75:AO75 AN32:AO41 AN78:AO87 AQ165:AQ167 AN56:AO63 AN70:AO73">
    <cfRule type="expression" dxfId="2497" priority="3302">
      <formula>MOD(ROW(), 2)=1</formula>
    </cfRule>
  </conditionalFormatting>
  <conditionalFormatting sqref="AN11 AQ11">
    <cfRule type="expression" dxfId="2496" priority="3301">
      <formula>MOD(ROW(), 2)=1</formula>
    </cfRule>
  </conditionalFormatting>
  <conditionalFormatting sqref="U88">
    <cfRule type="expression" dxfId="2495" priority="3298">
      <formula>"$J5!=$K5"</formula>
    </cfRule>
  </conditionalFormatting>
  <conditionalFormatting sqref="M88:R88 AT88:AU88 U88:W88 AX88:AY88 Y88:AA88 AD88:AM88">
    <cfRule type="expression" dxfId="2494" priority="3297">
      <formula>MOD(ROW(), 2)=1</formula>
    </cfRule>
  </conditionalFormatting>
  <conditionalFormatting sqref="AN88:AO88">
    <cfRule type="expression" dxfId="2493" priority="3296">
      <formula>MOD(ROW(), 2)=1</formula>
    </cfRule>
  </conditionalFormatting>
  <conditionalFormatting sqref="U5 U15:U25 U7:U9 U27:U28">
    <cfRule type="expression" dxfId="2492" priority="3295">
      <formula>"$J5!=$K5"</formula>
    </cfRule>
  </conditionalFormatting>
  <conditionalFormatting sqref="U4">
    <cfRule type="expression" dxfId="2491" priority="3294">
      <formula>"$J5!=$K5"</formula>
    </cfRule>
  </conditionalFormatting>
  <conditionalFormatting sqref="U4:U5 U15:U25 U7:U9 U27:U28">
    <cfRule type="expression" dxfId="2490" priority="3293">
      <formula>MOD(ROW(), 2)=1</formula>
    </cfRule>
  </conditionalFormatting>
  <conditionalFormatting sqref="I18:I25 I28:J28 B4:J4 B165:B167 L4:L5 L15:L25 J15:J25 I15:I16 L7:L9 B7:C9 H7:J9 B5:C5 H5:J5 B15:E15 H21:H25 G15:H20 B20:E20 B16:C19 B21:C25 B27:E28 G27:G28 L32:L41 B32:C40 F32:J40 L27:L28 B41:J41">
    <cfRule type="expression" dxfId="2489" priority="3292">
      <formula>MOD(ROW(), 2)=1</formula>
    </cfRule>
  </conditionalFormatting>
  <conditionalFormatting sqref="K5 K16:K21 K27:K28 K32:K41">
    <cfRule type="expression" dxfId="2488" priority="3289">
      <formula>MOD(ROW(), 2)=1</formula>
    </cfRule>
  </conditionalFormatting>
  <conditionalFormatting sqref="K4">
    <cfRule type="expression" dxfId="2487" priority="3288">
      <formula>MOD(ROW(), 2)=1</formula>
    </cfRule>
  </conditionalFormatting>
  <conditionalFormatting sqref="I17">
    <cfRule type="expression" dxfId="2486" priority="3286">
      <formula>MOD(ROW(), 2)=1</formula>
    </cfRule>
  </conditionalFormatting>
  <conditionalFormatting sqref="T161:U162 U163">
    <cfRule type="expression" dxfId="2485" priority="3283">
      <formula>"$J5!=$K5"</formula>
    </cfRule>
  </conditionalFormatting>
  <conditionalFormatting sqref="T161:T162">
    <cfRule type="expression" dxfId="2484" priority="3282">
      <formula>MOD(ROW(), 2)=1</formula>
    </cfRule>
  </conditionalFormatting>
  <conditionalFormatting sqref="T163">
    <cfRule type="expression" dxfId="2483" priority="3279">
      <formula>"$J5!=$K5"</formula>
    </cfRule>
  </conditionalFormatting>
  <conditionalFormatting sqref="T163">
    <cfRule type="expression" dxfId="2482" priority="3278">
      <formula>MOD(ROW(), 2)=1</formula>
    </cfRule>
  </conditionalFormatting>
  <conditionalFormatting sqref="AA103:AK103">
    <cfRule type="expression" dxfId="2481" priority="3277">
      <formula>MOD(ROW(), 2)=1</formula>
    </cfRule>
  </conditionalFormatting>
  <conditionalFormatting sqref="O45:P45 BA152 BA45 AF45:AG45 Q152:T152 AI45:AN45 AT45:AU45 T45 R45">
    <cfRule type="expression" dxfId="2480" priority="3276">
      <formula>MOD(ROW(), 2)=1</formula>
    </cfRule>
  </conditionalFormatting>
  <conditionalFormatting sqref="A154">
    <cfRule type="expression" dxfId="2479" priority="3274">
      <formula>MOD(ROW(), 2)=1</formula>
    </cfRule>
  </conditionalFormatting>
  <conditionalFormatting sqref="C45:D45 G45">
    <cfRule type="expression" dxfId="2478" priority="3266">
      <formula>MOD(ROW(), 2)=1</formula>
    </cfRule>
  </conditionalFormatting>
  <conditionalFormatting sqref="I45">
    <cfRule type="expression" dxfId="2477" priority="3265">
      <formula>MOD(ROW(), 2)=1</formula>
    </cfRule>
  </conditionalFormatting>
  <conditionalFormatting sqref="J45">
    <cfRule type="expression" dxfId="2476" priority="3264">
      <formula>MOD(ROW(), 2)=1</formula>
    </cfRule>
  </conditionalFormatting>
  <conditionalFormatting sqref="K45">
    <cfRule type="expression" dxfId="2475" priority="3263">
      <formula>MOD(ROW(), 2)=1</formula>
    </cfRule>
  </conditionalFormatting>
  <conditionalFormatting sqref="L45">
    <cfRule type="expression" dxfId="2474" priority="3262">
      <formula>MOD(ROW(), 2)=1</formula>
    </cfRule>
  </conditionalFormatting>
  <conditionalFormatting sqref="M45">
    <cfRule type="expression" dxfId="2473" priority="3261">
      <formula>MOD(ROW(), 2)=1</formula>
    </cfRule>
  </conditionalFormatting>
  <conditionalFormatting sqref="N45">
    <cfRule type="expression" dxfId="2472" priority="3260">
      <formula>MOD(ROW(), 2)=1</formula>
    </cfRule>
  </conditionalFormatting>
  <conditionalFormatting sqref="AE45">
    <cfRule type="expression" dxfId="2471" priority="3259">
      <formula>MOD(ROW(), 2)=1</formula>
    </cfRule>
  </conditionalFormatting>
  <conditionalFormatting sqref="BA55">
    <cfRule type="expression" dxfId="2470" priority="3257">
      <formula>MOD(ROW(), 2)=1</formula>
    </cfRule>
  </conditionalFormatting>
  <conditionalFormatting sqref="AD44:AH44">
    <cfRule type="expression" dxfId="2469" priority="3251">
      <formula>MOD(ROW(), 2)=1</formula>
    </cfRule>
  </conditionalFormatting>
  <conditionalFormatting sqref="M44">
    <cfRule type="expression" dxfId="2468" priority="3250">
      <formula>MOD(ROW(), 2)=1</formula>
    </cfRule>
  </conditionalFormatting>
  <conditionalFormatting sqref="I44">
    <cfRule type="expression" dxfId="2467" priority="3249">
      <formula>MOD(ROW(), 2)=1</formula>
    </cfRule>
  </conditionalFormatting>
  <conditionalFormatting sqref="BA46:BA49 BA182 BA185 BA51 BA53">
    <cfRule type="expression" dxfId="2466" priority="3248">
      <formula>MOD(ROW(), 2)=1</formula>
    </cfRule>
  </conditionalFormatting>
  <conditionalFormatting sqref="J43 J55 AY55 L43:P43 L55:N55 W55:AB55 AN43 Q140 AT55 AT43:AT44 Q55 AD55:AN55">
    <cfRule type="expression" dxfId="2465" priority="3247">
      <formula>MOD(ROW(), 2)=1</formula>
    </cfRule>
  </conditionalFormatting>
  <conditionalFormatting sqref="R140:R141 R151:S151 R43:R44">
    <cfRule type="expression" dxfId="2464" priority="3245">
      <formula>MOD(ROW(), 2)=1</formula>
    </cfRule>
  </conditionalFormatting>
  <conditionalFormatting sqref="T140:T141 T151 T43:T44">
    <cfRule type="expression" dxfId="2463" priority="3244">
      <formula>"$J5!=$K5"</formula>
    </cfRule>
  </conditionalFormatting>
  <conditionalFormatting sqref="T140:T141 T151 T43:T44">
    <cfRule type="expression" dxfId="2462" priority="3243">
      <formula>MOD(ROW(), 2)=1</formula>
    </cfRule>
  </conditionalFormatting>
  <conditionalFormatting sqref="H140 I43 H55:I55">
    <cfRule type="expression" dxfId="2461" priority="3242">
      <formula>MOD(ROW(), 2)=1</formula>
    </cfRule>
  </conditionalFormatting>
  <conditionalFormatting sqref="C43 C55:D55 F55:G55 G43">
    <cfRule type="expression" dxfId="2460" priority="3241">
      <formula>MOD(ROW(), 2)=1</formula>
    </cfRule>
  </conditionalFormatting>
  <conditionalFormatting sqref="K43 K55">
    <cfRule type="expression" dxfId="2459" priority="3240">
      <formula>MOD(ROW(), 2)=1</formula>
    </cfRule>
  </conditionalFormatting>
  <conditionalFormatting sqref="AU43 AU55">
    <cfRule type="expression" dxfId="2458" priority="3239">
      <formula>MOD(ROW(), 2)=1</formula>
    </cfRule>
  </conditionalFormatting>
  <conditionalFormatting sqref="AZ46:AZ47 AZ182 AZ185 AZ50:AZ55">
    <cfRule type="expression" dxfId="2457" priority="3238">
      <formula>MOD(ROW(), 2)=1</formula>
    </cfRule>
  </conditionalFormatting>
  <conditionalFormatting sqref="AB44">
    <cfRule type="expression" dxfId="2456" priority="3236">
      <formula>MOD(ROW(), 2)=1</formula>
    </cfRule>
  </conditionalFormatting>
  <conditionalFormatting sqref="Q141 Q151">
    <cfRule type="expression" dxfId="2455" priority="3235">
      <formula>MOD(ROW(), 2)=1</formula>
    </cfRule>
  </conditionalFormatting>
  <conditionalFormatting sqref="O44:P44">
    <cfRule type="expression" dxfId="2454" priority="3234">
      <formula>MOD(ROW(), 2)=1</formula>
    </cfRule>
  </conditionalFormatting>
  <conditionalFormatting sqref="N44">
    <cfRule type="expression" dxfId="2453" priority="3233">
      <formula>MOD(ROW(), 2)=1</formula>
    </cfRule>
  </conditionalFormatting>
  <conditionalFormatting sqref="L44">
    <cfRule type="expression" dxfId="2452" priority="3232">
      <formula>MOD(ROW(), 2)=1</formula>
    </cfRule>
  </conditionalFormatting>
  <conditionalFormatting sqref="K44">
    <cfRule type="expression" dxfId="2451" priority="3231">
      <formula>MOD(ROW(), 2)=1</formula>
    </cfRule>
  </conditionalFormatting>
  <conditionalFormatting sqref="J44">
    <cfRule type="expression" dxfId="2450" priority="3230">
      <formula>MOD(ROW(), 2)=1</formula>
    </cfRule>
  </conditionalFormatting>
  <conditionalFormatting sqref="C44 G44">
    <cfRule type="expression" dxfId="2449" priority="3228">
      <formula>MOD(ROW(), 2)=1</formula>
    </cfRule>
  </conditionalFormatting>
  <conditionalFormatting sqref="O47:P47 O171:O172 O154 M46:P46 O182:P182 O146 M48:P51 P185 AR143:AR149 Q146:Q149 Q51:Q54 V174:W174 W49:X49 AL173 AL153:AL155 AL48 AL182 AT42 AR153:AR156 AT47:AV47 AR49:AT49 AR54:AT54 AR171:AR172 AT46:AU46 AV153:AV154 AR185 AY185 Y174:AB174 AW185 AR182:AU182 AR50 AT50:AT53 AT48 AL185 AX182:AY182 AY46:AY47 M54:P54 AY50:AY54 AD49:AM49 Z49:AA49 AD174">
    <cfRule type="expression" dxfId="2448" priority="3227">
      <formula>MOD(ROW(), 2)=1</formula>
    </cfRule>
  </conditionalFormatting>
  <conditionalFormatting sqref="AM173 AM153:AM155 AM48 AM182 AM185">
    <cfRule type="expression" dxfId="2447" priority="3225">
      <formula>MOD(ROW(), 2)=1</formula>
    </cfRule>
  </conditionalFormatting>
  <conditionalFormatting sqref="N47">
    <cfRule type="expression" dxfId="2446" priority="3224">
      <formula>MOD(ROW(), 2)=1</formula>
    </cfRule>
  </conditionalFormatting>
  <conditionalFormatting sqref="M154 M47">
    <cfRule type="expression" dxfId="2445" priority="3223">
      <formula>MOD(ROW(), 2)=1</formula>
    </cfRule>
  </conditionalFormatting>
  <conditionalFormatting sqref="U174 R174:R176 R156 R49:R53 R146:R148">
    <cfRule type="expression" dxfId="2444" priority="3222">
      <formula>MOD(ROW(), 2)=1</formula>
    </cfRule>
  </conditionalFormatting>
  <conditionalFormatting sqref="U174">
    <cfRule type="expression" dxfId="2443" priority="3221">
      <formula>"$J5!=$K5"</formula>
    </cfRule>
  </conditionalFormatting>
  <conditionalFormatting sqref="T174:T176 T156 T49:T51 T146:T148 T53">
    <cfRule type="expression" dxfId="2442" priority="3220">
      <formula>"$J5!=$K5"</formula>
    </cfRule>
  </conditionalFormatting>
  <conditionalFormatting sqref="T174:T176 T156 T49:T51 T146:T148 T53">
    <cfRule type="expression" dxfId="2441" priority="3219">
      <formula>MOD(ROW(), 2)=1</formula>
    </cfRule>
  </conditionalFormatting>
  <conditionalFormatting sqref="R139 R149:S149 R42 R54">
    <cfRule type="expression" dxfId="2440" priority="3218">
      <formula>MOD(ROW(), 2)=1</formula>
    </cfRule>
  </conditionalFormatting>
  <conditionalFormatting sqref="T139 T149 T42 T54">
    <cfRule type="expression" dxfId="2439" priority="3217">
      <formula>"$J5!=$K5"</formula>
    </cfRule>
  </conditionalFormatting>
  <conditionalFormatting sqref="T139 T149 T42 T54">
    <cfRule type="expression" dxfId="2438" priority="3216">
      <formula>MOD(ROW(), 2)=1</formula>
    </cfRule>
  </conditionalFormatting>
  <conditionalFormatting sqref="AV155 AU42 AU48:AU54 AV185">
    <cfRule type="expression" dxfId="2437" priority="3215">
      <formula>MOD(ROW(), 2)=1</formula>
    </cfRule>
  </conditionalFormatting>
  <conditionalFormatting sqref="AN51 AO147:AO149 AO156 AN54">
    <cfRule type="expression" dxfId="2436" priority="3214">
      <formula>MOD(ROW(), 2)=1</formula>
    </cfRule>
  </conditionalFormatting>
  <conditionalFormatting sqref="AN171:AO171 AN182 AN173 AN153:AO155 AN185 AQ185 AN46:AN48">
    <cfRule type="expression" dxfId="2435" priority="3213">
      <formula>MOD(ROW(), 2)=1</formula>
    </cfRule>
  </conditionalFormatting>
  <conditionalFormatting sqref="I46:I47 J46:J48 C46:H46 B185 B153:C153 H154:J154 B182 D182 F182:H182 H49:J51 H54:J54 H53:I53 C47:C48 H47:H48 L46:L51 C153:C176">
    <cfRule type="expression" dxfId="2434" priority="3212">
      <formula>MOD(ROW(), 2)=1</formula>
    </cfRule>
  </conditionalFormatting>
  <conditionalFormatting sqref="C52:E54 C50:C53">
    <cfRule type="expression" dxfId="2433" priority="3211">
      <formula>MOD(ROW(), 2)=1</formula>
    </cfRule>
  </conditionalFormatting>
  <conditionalFormatting sqref="C49">
    <cfRule type="expression" dxfId="2432" priority="3210">
      <formula>MOD(ROW(), 2)=1</formula>
    </cfRule>
  </conditionalFormatting>
  <conditionalFormatting sqref="K46:K47">
    <cfRule type="expression" dxfId="2431" priority="3209">
      <formula>MOD(ROW(), 2)=1</formula>
    </cfRule>
  </conditionalFormatting>
  <conditionalFormatting sqref="K42">
    <cfRule type="expression" dxfId="2430" priority="3208">
      <formula>MOD(ROW(), 2)=1</formula>
    </cfRule>
  </conditionalFormatting>
  <conditionalFormatting sqref="I48">
    <cfRule type="expression" dxfId="2429" priority="3207">
      <formula>MOD(ROW(), 2)=1</formula>
    </cfRule>
  </conditionalFormatting>
  <conditionalFormatting sqref="Q171:R173 Q154:S154 R46:R48 Q182:R182 AG171 Z171:AA171 U171:W173 AD173:AK173 Y173:AA173 Y182:AB182 Q185 AD185:AK185 Z185 AD182:AK182 Q143:R145 Q153:R153 Q155:R155">
    <cfRule type="expression" dxfId="2428" priority="3206">
      <formula>MOD(ROW(), 2)=1</formula>
    </cfRule>
  </conditionalFormatting>
  <conditionalFormatting sqref="T171:U172 T143:T144 T153:T154 T46:T47 T182 U173">
    <cfRule type="expression" dxfId="2427" priority="3205">
      <formula>"$J5!=$K5"</formula>
    </cfRule>
  </conditionalFormatting>
  <conditionalFormatting sqref="T171:T172 T143:T144 T153:T154 T46:T47 T182">
    <cfRule type="expression" dxfId="2426" priority="3204">
      <formula>MOD(ROW(), 2)=1</formula>
    </cfRule>
  </conditionalFormatting>
  <conditionalFormatting sqref="T173 T145 T48">
    <cfRule type="expression" dxfId="2425" priority="3203">
      <formula>"$J5!=$K5"</formula>
    </cfRule>
  </conditionalFormatting>
  <conditionalFormatting sqref="T173 T145 T48">
    <cfRule type="expression" dxfId="2424" priority="3202">
      <formula>MOD(ROW(), 2)=1</formula>
    </cfRule>
  </conditionalFormatting>
  <conditionalFormatting sqref="BA43">
    <cfRule type="expression" dxfId="2423" priority="3195">
      <formula>MOD(ROW(), 2)=1</formula>
    </cfRule>
  </conditionalFormatting>
  <conditionalFormatting sqref="BA54">
    <cfRule type="expression" dxfId="2422" priority="3189">
      <formula>MOD(ROW(), 2)=1</formula>
    </cfRule>
  </conditionalFormatting>
  <conditionalFormatting sqref="AR51:AR53">
    <cfRule type="expression" dxfId="2421" priority="3188">
      <formula>MOD(ROW(), 2)=1</formula>
    </cfRule>
  </conditionalFormatting>
  <conditionalFormatting sqref="AR152">
    <cfRule type="expression" dxfId="2420" priority="3183">
      <formula>MOD(ROW(), 2)=1</formula>
    </cfRule>
  </conditionalFormatting>
  <conditionalFormatting sqref="AW172:AW175">
    <cfRule type="expression" dxfId="2419" priority="3177">
      <formula>MOD(ROW(), 2)=1</formula>
    </cfRule>
  </conditionalFormatting>
  <conditionalFormatting sqref="AW176">
    <cfRule type="expression" dxfId="2418" priority="3173">
      <formula>MOD(ROW(), 2)=1</formula>
    </cfRule>
  </conditionalFormatting>
  <conditionalFormatting sqref="AW152">
    <cfRule type="expression" dxfId="2417" priority="3164">
      <formula>MOD(ROW(), 2)=1</formula>
    </cfRule>
  </conditionalFormatting>
  <conditionalFormatting sqref="AW153">
    <cfRule type="expression" dxfId="2416" priority="3163">
      <formula>MOD(ROW(), 2)=1</formula>
    </cfRule>
  </conditionalFormatting>
  <conditionalFormatting sqref="AW154">
    <cfRule type="expression" dxfId="2415" priority="3162">
      <formula>MOD(ROW(), 2)=1</formula>
    </cfRule>
  </conditionalFormatting>
  <conditionalFormatting sqref="AW155">
    <cfRule type="expression" dxfId="2414" priority="3161">
      <formula>MOD(ROW(), 2)=1</formula>
    </cfRule>
  </conditionalFormatting>
  <conditionalFormatting sqref="AW156">
    <cfRule type="expression" dxfId="2413" priority="3160">
      <formula>MOD(ROW(), 2)=1</formula>
    </cfRule>
  </conditionalFormatting>
  <conditionalFormatting sqref="AW42">
    <cfRule type="expression" dxfId="2412" priority="3158">
      <formula>MOD(ROW(), 2)=1</formula>
    </cfRule>
  </conditionalFormatting>
  <conditionalFormatting sqref="AW45">
    <cfRule type="expression" dxfId="2411" priority="3155">
      <formula>MOD(ROW(), 2)=1</formula>
    </cfRule>
  </conditionalFormatting>
  <conditionalFormatting sqref="AW46">
    <cfRule type="expression" dxfId="2410" priority="3154">
      <formula>MOD(ROW(), 2)=1</formula>
    </cfRule>
  </conditionalFormatting>
  <conditionalFormatting sqref="AW48">
    <cfRule type="expression" dxfId="2409" priority="3153">
      <formula>MOD(ROW(), 2)=1</formula>
    </cfRule>
  </conditionalFormatting>
  <conditionalFormatting sqref="AW49">
    <cfRule type="expression" dxfId="2408" priority="3152">
      <formula>MOD(ROW(), 2)=1</formula>
    </cfRule>
  </conditionalFormatting>
  <conditionalFormatting sqref="AW50">
    <cfRule type="expression" dxfId="2407" priority="3151">
      <formula>MOD(ROW(), 2)=1</formula>
    </cfRule>
  </conditionalFormatting>
  <conditionalFormatting sqref="AW54">
    <cfRule type="expression" dxfId="2406" priority="3150">
      <formula>MOD(ROW(), 2)=1</formula>
    </cfRule>
  </conditionalFormatting>
  <conditionalFormatting sqref="AW55">
    <cfRule type="expression" dxfId="2405" priority="3149">
      <formula>MOD(ROW(), 2)=1</formula>
    </cfRule>
  </conditionalFormatting>
  <conditionalFormatting sqref="AX171">
    <cfRule type="expression" dxfId="2404" priority="3148">
      <formula>MOD(ROW(), 2)=1</formula>
    </cfRule>
  </conditionalFormatting>
  <conditionalFormatting sqref="AX172:AX173">
    <cfRule type="expression" dxfId="2403" priority="3147">
      <formula>MOD(ROW(), 2)=1</formula>
    </cfRule>
  </conditionalFormatting>
  <conditionalFormatting sqref="AX174">
    <cfRule type="expression" dxfId="2402" priority="3146">
      <formula>MOD(ROW(), 2)=1</formula>
    </cfRule>
  </conditionalFormatting>
  <conditionalFormatting sqref="AX175">
    <cfRule type="expression" dxfId="2401" priority="3145">
      <formula>MOD(ROW(), 2)=1</formula>
    </cfRule>
  </conditionalFormatting>
  <conditionalFormatting sqref="AX176">
    <cfRule type="expression" dxfId="2400" priority="3144">
      <formula>MOD(ROW(), 2)=1</formula>
    </cfRule>
  </conditionalFormatting>
  <conditionalFormatting sqref="AO151:AO152">
    <cfRule type="expression" dxfId="2399" priority="3116">
      <formula>MOD(ROW(), 2)=1</formula>
    </cfRule>
  </conditionalFormatting>
  <conditionalFormatting sqref="AO45:AO55">
    <cfRule type="expression" dxfId="2398" priority="3115">
      <formula>MOD(ROW(), 2)=1</formula>
    </cfRule>
  </conditionalFormatting>
  <conditionalFormatting sqref="AV44:AV46">
    <cfRule type="expression" dxfId="2397" priority="3091">
      <formula>MOD(ROW(), 2)=1</formula>
    </cfRule>
  </conditionalFormatting>
  <conditionalFormatting sqref="W169">
    <cfRule type="expression" dxfId="2396" priority="3113">
      <formula>MOD(ROW(), 2)=1</formula>
    </cfRule>
  </conditionalFormatting>
  <conditionalFormatting sqref="W169">
    <cfRule type="expression" dxfId="2395" priority="3112">
      <formula>"$J5!=$K5"</formula>
    </cfRule>
  </conditionalFormatting>
  <conditionalFormatting sqref="T85:T87 T89:T90">
    <cfRule type="expression" dxfId="2394" priority="3111">
      <formula>MOD(ROW(), 2)=1</formula>
    </cfRule>
  </conditionalFormatting>
  <conditionalFormatting sqref="T88">
    <cfRule type="expression" dxfId="2393" priority="3110">
      <formula>MOD(ROW(), 2)=1</formula>
    </cfRule>
  </conditionalFormatting>
  <conditionalFormatting sqref="AX32:AX41 AX56:AX62">
    <cfRule type="expression" dxfId="2392" priority="3106">
      <formula>MOD(ROW(), 2)=1</formula>
    </cfRule>
  </conditionalFormatting>
  <conditionalFormatting sqref="AT40:AV41 AT63:AU63 AT56:AV56 AV60:AW63 AT58:AV62">
    <cfRule type="expression" dxfId="2391" priority="3108">
      <formula>MOD(ROW(), 2)=1</formula>
    </cfRule>
  </conditionalFormatting>
  <conditionalFormatting sqref="AV63">
    <cfRule type="expression" dxfId="2390" priority="3105">
      <formula>MOD(ROW(), 2)=1</formula>
    </cfRule>
  </conditionalFormatting>
  <conditionalFormatting sqref="AV87:AV89">
    <cfRule type="expression" dxfId="2389" priority="3103">
      <formula>MOD(ROW(), 2)=1</formula>
    </cfRule>
  </conditionalFormatting>
  <conditionalFormatting sqref="AW85:AW89">
    <cfRule type="expression" dxfId="2388" priority="3102">
      <formula>MOD(ROW(), 2)=1</formula>
    </cfRule>
  </conditionalFormatting>
  <conditionalFormatting sqref="AV165:AV170">
    <cfRule type="expression" dxfId="2387" priority="3101">
      <formula>MOD(ROW(), 2)=1</formula>
    </cfRule>
  </conditionalFormatting>
  <conditionalFormatting sqref="AV171">
    <cfRule type="expression" dxfId="2386" priority="3100">
      <formula>MOD(ROW(), 2)=1</formula>
    </cfRule>
  </conditionalFormatting>
  <conditionalFormatting sqref="AV152">
    <cfRule type="expression" dxfId="2385" priority="3096">
      <formula>MOD(ROW(), 2)=1</formula>
    </cfRule>
  </conditionalFormatting>
  <conditionalFormatting sqref="AV156">
    <cfRule type="expression" dxfId="2384" priority="3095">
      <formula>MOD(ROW(), 2)=1</formula>
    </cfRule>
  </conditionalFormatting>
  <conditionalFormatting sqref="AA44">
    <cfRule type="expression" dxfId="2383" priority="3071">
      <formula>MOD(ROW(), 2)=1</formula>
    </cfRule>
  </conditionalFormatting>
  <conditionalFormatting sqref="AW47">
    <cfRule type="expression" dxfId="2382" priority="3090">
      <formula>MOD(ROW(), 2)=1</formula>
    </cfRule>
  </conditionalFormatting>
  <conditionalFormatting sqref="AV48">
    <cfRule type="expression" dxfId="2381" priority="3089">
      <formula>MOD(ROW(), 2)=1</formula>
    </cfRule>
  </conditionalFormatting>
  <conditionalFormatting sqref="AV42">
    <cfRule type="expression" dxfId="2380" priority="3088">
      <formula>MOD(ROW(), 2)=1</formula>
    </cfRule>
  </conditionalFormatting>
  <conditionalFormatting sqref="AV43">
    <cfRule type="expression" dxfId="2379" priority="3087">
      <formula>MOD(ROW(), 2)=1</formula>
    </cfRule>
  </conditionalFormatting>
  <conditionalFormatting sqref="AV49:AV55">
    <cfRule type="expression" dxfId="2378" priority="3086">
      <formula>MOD(ROW(), 2)=1</formula>
    </cfRule>
  </conditionalFormatting>
  <conditionalFormatting sqref="AW51:AW53">
    <cfRule type="expression" dxfId="2377" priority="3085">
      <formula>MOD(ROW(), 2)=1</formula>
    </cfRule>
  </conditionalFormatting>
  <conditionalFormatting sqref="AT152:AT154 AT161:AT163 AT159:AU160 AT171:AT175 AT169:AU169 AT165">
    <cfRule type="expression" dxfId="2376" priority="3061">
      <formula>MOD(ROW(), 2)=1</formula>
    </cfRule>
  </conditionalFormatting>
  <conditionalFormatting sqref="AW171">
    <cfRule type="expression" dxfId="2375" priority="3083">
      <formula>MOD(ROW(), 2)=1</formula>
    </cfRule>
  </conditionalFormatting>
  <conditionalFormatting sqref="T155">
    <cfRule type="expression" dxfId="2374" priority="3082">
      <formula>"$J5!=$K5"</formula>
    </cfRule>
  </conditionalFormatting>
  <conditionalFormatting sqref="T155">
    <cfRule type="expression" dxfId="2373" priority="3081">
      <formula>MOD(ROW(), 2)=1</formula>
    </cfRule>
  </conditionalFormatting>
  <conditionalFormatting sqref="AI44">
    <cfRule type="expression" dxfId="2372" priority="3080">
      <formula>MOD(ROW(), 2)=1</formula>
    </cfRule>
  </conditionalFormatting>
  <conditionalFormatting sqref="AJ44:AN44">
    <cfRule type="expression" dxfId="2371" priority="3079">
      <formula>MOD(ROW(), 2)=1</formula>
    </cfRule>
  </conditionalFormatting>
  <conditionalFormatting sqref="AU44">
    <cfRule type="expression" dxfId="2370" priority="3078">
      <formula>MOD(ROW(), 2)=1</formula>
    </cfRule>
  </conditionalFormatting>
  <conditionalFormatting sqref="BA44">
    <cfRule type="expression" dxfId="2369" priority="3074">
      <formula>MOD(ROW(), 2)=1</formula>
    </cfRule>
  </conditionalFormatting>
  <conditionalFormatting sqref="Z44">
    <cfRule type="expression" dxfId="2368" priority="3072">
      <formula>MOD(ROW(), 2)=1</formula>
    </cfRule>
  </conditionalFormatting>
  <conditionalFormatting sqref="AQ163">
    <cfRule type="expression" dxfId="2367" priority="3067">
      <formula>MOD(ROW(), 2)=1</formula>
    </cfRule>
  </conditionalFormatting>
  <conditionalFormatting sqref="AS163">
    <cfRule type="expression" dxfId="2366" priority="3066">
      <formula>MOD(ROW(), 2)=1</formula>
    </cfRule>
  </conditionalFormatting>
  <conditionalFormatting sqref="AT170:AU170">
    <cfRule type="expression" dxfId="2365" priority="3065">
      <formula>MOD(ROW(), 2)=1</formula>
    </cfRule>
  </conditionalFormatting>
  <conditionalFormatting sqref="AT168:AU168">
    <cfRule type="expression" dxfId="2364" priority="3064">
      <formula>MOD(ROW(), 2)=1</formula>
    </cfRule>
  </conditionalFormatting>
  <conditionalFormatting sqref="AT176 AT166">
    <cfRule type="expression" dxfId="2363" priority="3063">
      <formula>MOD(ROW(), 2)=1</formula>
    </cfRule>
  </conditionalFormatting>
  <conditionalFormatting sqref="AU166 AU176">
    <cfRule type="expression" dxfId="2362" priority="3062">
      <formula>MOD(ROW(), 2)=1</formula>
    </cfRule>
  </conditionalFormatting>
  <conditionalFormatting sqref="AU152:AU154 AU161:AU163 AU171:AU175 AU165">
    <cfRule type="expression" dxfId="2361" priority="3060">
      <formula>MOD(ROW(), 2)=1</formula>
    </cfRule>
  </conditionalFormatting>
  <conditionalFormatting sqref="AR141">
    <cfRule type="expression" dxfId="2360" priority="3059">
      <formula>MOD(ROW(), 2)=1</formula>
    </cfRule>
  </conditionalFormatting>
  <conditionalFormatting sqref="AT156:AU156">
    <cfRule type="expression" dxfId="2359" priority="3049">
      <formula>MOD(ROW(), 2)=1</formula>
    </cfRule>
  </conditionalFormatting>
  <conditionalFormatting sqref="L6 B6:C6 H6:J6">
    <cfRule type="expression" dxfId="2358" priority="3025">
      <formula>MOD(ROW(), 2)=1</formula>
    </cfRule>
  </conditionalFormatting>
  <conditionalFormatting sqref="K6">
    <cfRule type="expression" dxfId="2357" priority="3024">
      <formula>MOD(ROW(), 2)=1</formula>
    </cfRule>
  </conditionalFormatting>
  <conditionalFormatting sqref="AT155">
    <cfRule type="expression" dxfId="2356" priority="3046">
      <formula>MOD(ROW(), 2)=1</formula>
    </cfRule>
  </conditionalFormatting>
  <conditionalFormatting sqref="AU155">
    <cfRule type="expression" dxfId="2355" priority="3045">
      <formula>MOD(ROW(), 2)=1</formula>
    </cfRule>
  </conditionalFormatting>
  <conditionalFormatting sqref="AX155">
    <cfRule type="expression" dxfId="2354" priority="3044">
      <formula>MOD(ROW(), 2)=1</formula>
    </cfRule>
  </conditionalFormatting>
  <conditionalFormatting sqref="AX156">
    <cfRule type="expression" dxfId="2353" priority="3043">
      <formula>MOD(ROW(), 2)=1</formula>
    </cfRule>
  </conditionalFormatting>
  <conditionalFormatting sqref="AY166 AY176">
    <cfRule type="expression" dxfId="2352" priority="3040">
      <formula>MOD(ROW(), 2)=1</formula>
    </cfRule>
  </conditionalFormatting>
  <conditionalFormatting sqref="AZ159:AZ163 AZ171:AZ176 AZ165:AZ166 AZ152:AZ155">
    <cfRule type="expression" dxfId="2351" priority="3039">
      <formula>MOD(ROW(), 2)=1</formula>
    </cfRule>
  </conditionalFormatting>
  <conditionalFormatting sqref="AY159:AY163 AY171:AY175 AY165 AY152:AY155">
    <cfRule type="expression" dxfId="2350" priority="3038">
      <formula>MOD(ROW(), 2)=1</formula>
    </cfRule>
  </conditionalFormatting>
  <conditionalFormatting sqref="X17:X19">
    <cfRule type="expression" dxfId="2349" priority="3035">
      <formula>MOD(ROW(), 2)=1</formula>
    </cfRule>
  </conditionalFormatting>
  <conditionalFormatting sqref="A6">
    <cfRule type="expression" dxfId="2348" priority="3034">
      <formula>MOD(ROW(), 2)=1</formula>
    </cfRule>
  </conditionalFormatting>
  <conditionalFormatting sqref="BA6">
    <cfRule type="expression" dxfId="2347" priority="3032">
      <formula>MOD(ROW(), 2)=1</formula>
    </cfRule>
  </conditionalFormatting>
  <conditionalFormatting sqref="AZ6">
    <cfRule type="expression" dxfId="2346" priority="3031">
      <formula>MOD(ROW(), 2)=1</formula>
    </cfRule>
  </conditionalFormatting>
  <conditionalFormatting sqref="T6">
    <cfRule type="expression" dxfId="2345" priority="3030">
      <formula>"$J5!=$K5"</formula>
    </cfRule>
  </conditionalFormatting>
  <conditionalFormatting sqref="V6:AM6 M6 Q6:R6 AR6 AT6:AY6 T6">
    <cfRule type="expression" dxfId="2344" priority="3029">
      <formula>MOD(ROW(), 2)=1</formula>
    </cfRule>
  </conditionalFormatting>
  <conditionalFormatting sqref="AN6">
    <cfRule type="expression" dxfId="2343" priority="3028">
      <formula>MOD(ROW(), 2)=1</formula>
    </cfRule>
  </conditionalFormatting>
  <conditionalFormatting sqref="U6">
    <cfRule type="expression" dxfId="2342" priority="3027">
      <formula>"$J5!=$K5"</formula>
    </cfRule>
  </conditionalFormatting>
  <conditionalFormatting sqref="U6">
    <cfRule type="expression" dxfId="2341" priority="3026">
      <formula>MOD(ROW(), 2)=1</formula>
    </cfRule>
  </conditionalFormatting>
  <conditionalFormatting sqref="AO6">
    <cfRule type="expression" dxfId="2340" priority="3023">
      <formula>MOD(ROW(), 2)=1</formula>
    </cfRule>
  </conditionalFormatting>
  <conditionalFormatting sqref="O6:P6">
    <cfRule type="expression" dxfId="2339" priority="3022">
      <formula>MOD(ROW(), 2)=1</formula>
    </cfRule>
  </conditionalFormatting>
  <conditionalFormatting sqref="N6">
    <cfRule type="expression" dxfId="2338" priority="3021">
      <formula>MOD(ROW(), 2)=1</formula>
    </cfRule>
  </conditionalFormatting>
  <conditionalFormatting sqref="K7">
    <cfRule type="expression" dxfId="2337" priority="3020">
      <formula>MOD(ROW(), 2)=1</formula>
    </cfRule>
  </conditionalFormatting>
  <conditionalFormatting sqref="K8">
    <cfRule type="expression" dxfId="2336" priority="3019">
      <formula>MOD(ROW(), 2)=1</formula>
    </cfRule>
  </conditionalFormatting>
  <conditionalFormatting sqref="K9">
    <cfRule type="expression" dxfId="2335" priority="3018">
      <formula>MOD(ROW(), 2)=1</formula>
    </cfRule>
  </conditionalFormatting>
  <conditionalFormatting sqref="AP11">
    <cfRule type="expression" dxfId="2334" priority="3015">
      <formula>MOD(ROW(), 2)=1</formula>
    </cfRule>
  </conditionalFormatting>
  <conditionalFormatting sqref="AP15">
    <cfRule type="expression" dxfId="2333" priority="3014">
      <formula>MOD(ROW(), 2)=1</formula>
    </cfRule>
  </conditionalFormatting>
  <conditionalFormatting sqref="AV10:AW13">
    <cfRule type="expression" dxfId="2332" priority="3012">
      <formula>MOD(ROW(), 2)=1</formula>
    </cfRule>
  </conditionalFormatting>
  <conditionalFormatting sqref="AX10">
    <cfRule type="expression" dxfId="2331" priority="3011">
      <formula>MOD(ROW(), 2)=1</formula>
    </cfRule>
  </conditionalFormatting>
  <conditionalFormatting sqref="AX15 AX12:AX13">
    <cfRule type="expression" dxfId="2330" priority="3010">
      <formula>MOD(ROW(), 2)=1</formula>
    </cfRule>
  </conditionalFormatting>
  <conditionalFormatting sqref="AX11">
    <cfRule type="expression" dxfId="2329" priority="3009">
      <formula>MOD(ROW(), 2)=1</formula>
    </cfRule>
  </conditionalFormatting>
  <conditionalFormatting sqref="AO11:AO13">
    <cfRule type="expression" dxfId="2328" priority="3008">
      <formula>MOD(ROW(), 2)=1</formula>
    </cfRule>
  </conditionalFormatting>
  <conditionalFormatting sqref="AE10:AE12">
    <cfRule type="expression" dxfId="2327" priority="3007">
      <formula>MOD(ROW(), 2)=1</formula>
    </cfRule>
  </conditionalFormatting>
  <conditionalFormatting sqref="AD10:AD12">
    <cfRule type="expression" dxfId="2326" priority="3006">
      <formula>MOD(ROW(), 2)=1</formula>
    </cfRule>
  </conditionalFormatting>
  <conditionalFormatting sqref="AA10:AA12">
    <cfRule type="expression" dxfId="2325" priority="3005">
      <formula>MOD(ROW(), 2)=1</formula>
    </cfRule>
  </conditionalFormatting>
  <conditionalFormatting sqref="Z10:Z12">
    <cfRule type="expression" dxfId="2324" priority="3004">
      <formula>MOD(ROW(), 2)=1</formula>
    </cfRule>
  </conditionalFormatting>
  <conditionalFormatting sqref="AO15">
    <cfRule type="expression" dxfId="2323" priority="3003">
      <formula>MOD(ROW(), 2)=1</formula>
    </cfRule>
  </conditionalFormatting>
  <conditionalFormatting sqref="Y13">
    <cfRule type="expression" dxfId="2322" priority="3002">
      <formula>MOD(ROW(), 2)=1</formula>
    </cfRule>
  </conditionalFormatting>
  <conditionalFormatting sqref="Y15">
    <cfRule type="expression" dxfId="2321" priority="3001">
      <formula>MOD(ROW(), 2)=1</formula>
    </cfRule>
  </conditionalFormatting>
  <conditionalFormatting sqref="AF13:AL13 AB13">
    <cfRule type="expression" dxfId="2320" priority="3000">
      <formula>MOD(ROW(), 2)=1</formula>
    </cfRule>
  </conditionalFormatting>
  <conditionalFormatting sqref="AM13">
    <cfRule type="expression" dxfId="2319" priority="2999">
      <formula>MOD(ROW(), 2)=1</formula>
    </cfRule>
  </conditionalFormatting>
  <conditionalFormatting sqref="AN13">
    <cfRule type="expression" dxfId="2318" priority="2998">
      <formula>MOD(ROW(), 2)=1</formula>
    </cfRule>
  </conditionalFormatting>
  <conditionalFormatting sqref="AE13">
    <cfRule type="expression" dxfId="2317" priority="2997">
      <formula>MOD(ROW(), 2)=1</formula>
    </cfRule>
  </conditionalFormatting>
  <conditionalFormatting sqref="AD13">
    <cfRule type="expression" dxfId="2316" priority="2996">
      <formula>MOD(ROW(), 2)=1</formula>
    </cfRule>
  </conditionalFormatting>
  <conditionalFormatting sqref="AA13">
    <cfRule type="expression" dxfId="2315" priority="2995">
      <formula>MOD(ROW(), 2)=1</formula>
    </cfRule>
  </conditionalFormatting>
  <conditionalFormatting sqref="Z13">
    <cfRule type="expression" dxfId="2314" priority="2994">
      <formula>MOD(ROW(), 2)=1</formula>
    </cfRule>
  </conditionalFormatting>
  <conditionalFormatting sqref="T11:T13">
    <cfRule type="expression" dxfId="2313" priority="2993">
      <formula>MOD(ROW(), 2)=1</formula>
    </cfRule>
  </conditionalFormatting>
  <conditionalFormatting sqref="T11:T13">
    <cfRule type="expression" dxfId="2312" priority="2992">
      <formula>"$J5!=$K5"</formula>
    </cfRule>
  </conditionalFormatting>
  <conditionalFormatting sqref="P10:P13">
    <cfRule type="expression" dxfId="2311" priority="2991">
      <formula>MOD(ROW(), 2)=1</formula>
    </cfRule>
  </conditionalFormatting>
  <conditionalFormatting sqref="P14:P15">
    <cfRule type="expression" dxfId="2310" priority="2990">
      <formula>MOD(ROW(), 2)=1</formula>
    </cfRule>
  </conditionalFormatting>
  <conditionalFormatting sqref="K15">
    <cfRule type="expression" dxfId="2309" priority="2989">
      <formula>MOD(ROW(), 2)=1</formula>
    </cfRule>
  </conditionalFormatting>
  <conditionalFormatting sqref="N15">
    <cfRule type="expression" dxfId="2308" priority="2988">
      <formula>MOD(ROW(), 2)=1</formula>
    </cfRule>
  </conditionalFormatting>
  <conditionalFormatting sqref="C155:C156 C159:C163 F159:F163 F165:F176 C165:C176">
    <cfRule type="expression" dxfId="2307" priority="2985">
      <formula>MOD(ROW(), 2)=1</formula>
    </cfRule>
  </conditionalFormatting>
  <conditionalFormatting sqref="C139 G139">
    <cfRule type="expression" dxfId="2306" priority="2983">
      <formula>MOD(ROW(), 2)=1</formula>
    </cfRule>
  </conditionalFormatting>
  <conditionalFormatting sqref="M153">
    <cfRule type="expression" dxfId="2305" priority="2982">
      <formula>MOD(ROW(), 2)=1</formula>
    </cfRule>
  </conditionalFormatting>
  <conditionalFormatting sqref="H153:J153">
    <cfRule type="expression" dxfId="2304" priority="2981">
      <formula>MOD(ROW(), 2)=1</formula>
    </cfRule>
  </conditionalFormatting>
  <conditionalFormatting sqref="A153">
    <cfRule type="expression" dxfId="2303" priority="2979">
      <formula>MOD(ROW(), 2)=1</formula>
    </cfRule>
  </conditionalFormatting>
  <conditionalFormatting sqref="K22:K26">
    <cfRule type="expression" dxfId="2302" priority="2978">
      <formula>MOD(ROW(), 2)=1</formula>
    </cfRule>
  </conditionalFormatting>
  <conditionalFormatting sqref="AO26">
    <cfRule type="expression" dxfId="2301" priority="2977">
      <formula>MOD(ROW(), 2)=1</formula>
    </cfRule>
  </conditionalFormatting>
  <conditionalFormatting sqref="AQ26">
    <cfRule type="expression" dxfId="2300" priority="2976">
      <formula>MOD(ROW(), 2)=1</formula>
    </cfRule>
  </conditionalFormatting>
  <conditionalFormatting sqref="AR26">
    <cfRule type="expression" dxfId="2299" priority="2975">
      <formula>MOD(ROW(), 2)=1</formula>
    </cfRule>
  </conditionalFormatting>
  <conditionalFormatting sqref="G5:G9">
    <cfRule type="expression" dxfId="2298" priority="2896">
      <formula>MOD(ROW(), 2)=1</formula>
    </cfRule>
  </conditionalFormatting>
  <conditionalFormatting sqref="G21:G26">
    <cfRule type="expression" dxfId="2297" priority="2895">
      <formula>MOD(ROW(), 2)=1</formula>
    </cfRule>
  </conditionalFormatting>
  <conditionalFormatting sqref="G140:G141 G174:G176 G165:G172 G159:G163 G151:G156 G143:G149">
    <cfRule type="expression" dxfId="2296" priority="2894">
      <formula>MOD(ROW(), 2)=1</formula>
    </cfRule>
  </conditionalFormatting>
  <conditionalFormatting sqref="D5:E9">
    <cfRule type="expression" dxfId="2295" priority="2893">
      <formula>MOD(ROW(), 2)=1</formula>
    </cfRule>
  </conditionalFormatting>
  <conditionalFormatting sqref="D10:E14">
    <cfRule type="expression" dxfId="2294" priority="2892">
      <formula>MOD(ROW(), 2)=1</formula>
    </cfRule>
  </conditionalFormatting>
  <conditionalFormatting sqref="I159:J159">
    <cfRule type="expression" dxfId="2293" priority="2888">
      <formula>MOD(ROW(), 2)=1</formula>
    </cfRule>
  </conditionalFormatting>
  <conditionalFormatting sqref="D139:F139 F140:F141 F151:F156 F143:F149">
    <cfRule type="expression" dxfId="2292" priority="2887">
      <formula>MOD(ROW(), 2)=1</formula>
    </cfRule>
  </conditionalFormatting>
  <conditionalFormatting sqref="E140:E141 E165:E176 E159:E163 E151:E156 E143:E149">
    <cfRule type="expression" dxfId="2291" priority="2886">
      <formula>MOD(ROW(), 2)=1</formula>
    </cfRule>
  </conditionalFormatting>
  <conditionalFormatting sqref="A160">
    <cfRule type="expression" dxfId="2290" priority="2885">
      <formula>MOD(ROW(), 2)=1</formula>
    </cfRule>
  </conditionalFormatting>
  <conditionalFormatting sqref="A159">
    <cfRule type="expression" dxfId="2289" priority="2884">
      <formula>MOD(ROW(), 2)=1</formula>
    </cfRule>
  </conditionalFormatting>
  <conditionalFormatting sqref="H165:J165">
    <cfRule type="expression" dxfId="2288" priority="2882">
      <formula>MOD(ROW(), 2)=1</formula>
    </cfRule>
  </conditionalFormatting>
  <conditionalFormatting sqref="M165">
    <cfRule type="expression" dxfId="2287" priority="2881">
      <formula>MOD(ROW(), 2)=1</formula>
    </cfRule>
  </conditionalFormatting>
  <conditionalFormatting sqref="O166 Q166">
    <cfRule type="expression" dxfId="2286" priority="2879">
      <formula>MOD(ROW(), 2)=1</formula>
    </cfRule>
  </conditionalFormatting>
  <conditionalFormatting sqref="R166">
    <cfRule type="expression" dxfId="2285" priority="2878">
      <formula>MOD(ROW(), 2)=1</formula>
    </cfRule>
  </conditionalFormatting>
  <conditionalFormatting sqref="T166">
    <cfRule type="expression" dxfId="2284" priority="2877">
      <formula>"$J5!=$K5"</formula>
    </cfRule>
  </conditionalFormatting>
  <conditionalFormatting sqref="T166">
    <cfRule type="expression" dxfId="2283" priority="2876">
      <formula>MOD(ROW(), 2)=1</formula>
    </cfRule>
  </conditionalFormatting>
  <conditionalFormatting sqref="H166:J166">
    <cfRule type="expression" dxfId="2282" priority="2875">
      <formula>MOD(ROW(), 2)=1</formula>
    </cfRule>
  </conditionalFormatting>
  <conditionalFormatting sqref="H167:J167">
    <cfRule type="expression" dxfId="2281" priority="2871">
      <formula>MOD(ROW(), 2)=1</formula>
    </cfRule>
  </conditionalFormatting>
  <conditionalFormatting sqref="M167">
    <cfRule type="expression" dxfId="2280" priority="2870">
      <formula>MOD(ROW(), 2)=1</formula>
    </cfRule>
  </conditionalFormatting>
  <conditionalFormatting sqref="W168">
    <cfRule type="expression" dxfId="2279" priority="2858">
      <formula>MOD(ROW(), 2)=1</formula>
    </cfRule>
  </conditionalFormatting>
  <conditionalFormatting sqref="Y168">
    <cfRule type="expression" dxfId="2278" priority="2857">
      <formula>MOD(ROW(), 2)=1</formula>
    </cfRule>
  </conditionalFormatting>
  <conditionalFormatting sqref="O168">
    <cfRule type="expression" dxfId="2277" priority="2855">
      <formula>MOD(ROW(), 2)=1</formula>
    </cfRule>
  </conditionalFormatting>
  <conditionalFormatting sqref="H168:J168">
    <cfRule type="expression" dxfId="2276" priority="2854">
      <formula>MOD(ROW(), 2)=1</formula>
    </cfRule>
  </conditionalFormatting>
  <conditionalFormatting sqref="AB168">
    <cfRule type="expression" dxfId="2275" priority="2851">
      <formula>MOD(ROW(), 2)=1</formula>
    </cfRule>
  </conditionalFormatting>
  <conditionalFormatting sqref="F5:F26">
    <cfRule type="expression" dxfId="2274" priority="2891">
      <formula>MOD(ROW(), 2)=1</formula>
    </cfRule>
  </conditionalFormatting>
  <conditionalFormatting sqref="D16:E19">
    <cfRule type="expression" dxfId="2273" priority="2890">
      <formula>MOD(ROW(), 2)=1</formula>
    </cfRule>
  </conditionalFormatting>
  <conditionalFormatting sqref="D21:D26">
    <cfRule type="expression" dxfId="2272" priority="2889">
      <formula>MOD(ROW(), 2)=1</formula>
    </cfRule>
  </conditionalFormatting>
  <conditionalFormatting sqref="H161:J161">
    <cfRule type="expression" dxfId="2271" priority="2883">
      <formula>MOD(ROW(), 2)=1</formula>
    </cfRule>
  </conditionalFormatting>
  <conditionalFormatting sqref="H169:J169">
    <cfRule type="expression" dxfId="2270" priority="2868">
      <formula>MOD(ROW(), 2)=1</formula>
    </cfRule>
  </conditionalFormatting>
  <conditionalFormatting sqref="M169">
    <cfRule type="expression" dxfId="2269" priority="2867">
      <formula>MOD(ROW(), 2)=1</formula>
    </cfRule>
  </conditionalFormatting>
  <conditionalFormatting sqref="X168">
    <cfRule type="expression" dxfId="2268" priority="2859">
      <formula>MOD(ROW(), 2)=1</formula>
    </cfRule>
  </conditionalFormatting>
  <conditionalFormatting sqref="M168">
    <cfRule type="expression" dxfId="2267" priority="2853">
      <formula>MOD(ROW(), 2)=1</formula>
    </cfRule>
  </conditionalFormatting>
  <conditionalFormatting sqref="AH171:AM171">
    <cfRule type="expression" dxfId="2266" priority="2852">
      <formula>MOD(ROW(), 2)=1</formula>
    </cfRule>
  </conditionalFormatting>
  <conditionalFormatting sqref="AD171:AF171">
    <cfRule type="expression" dxfId="2265" priority="2850">
      <formula>MOD(ROW(), 2)=1</formula>
    </cfRule>
  </conditionalFormatting>
  <conditionalFormatting sqref="AB171">
    <cfRule type="expression" dxfId="2264" priority="2849">
      <formula>MOD(ROW(), 2)=1</formula>
    </cfRule>
  </conditionalFormatting>
  <conditionalFormatting sqref="Y171">
    <cfRule type="expression" dxfId="2263" priority="2848">
      <formula>MOD(ROW(), 2)=1</formula>
    </cfRule>
  </conditionalFormatting>
  <conditionalFormatting sqref="X171">
    <cfRule type="expression" dxfId="2262" priority="2847">
      <formula>MOD(ROW(), 2)=1</formula>
    </cfRule>
  </conditionalFormatting>
  <conditionalFormatting sqref="M171">
    <cfRule type="expression" dxfId="2261" priority="2846">
      <formula>MOD(ROW(), 2)=1</formula>
    </cfRule>
  </conditionalFormatting>
  <conditionalFormatting sqref="H171:J171">
    <cfRule type="expression" dxfId="2260" priority="2845">
      <formula>MOD(ROW(), 2)=1</formula>
    </cfRule>
  </conditionalFormatting>
  <conditionalFormatting sqref="H170:J170">
    <cfRule type="expression" dxfId="2259" priority="2843">
      <formula>MOD(ROW(), 2)=1</formula>
    </cfRule>
  </conditionalFormatting>
  <conditionalFormatting sqref="M170">
    <cfRule type="expression" dxfId="2258" priority="2842">
      <formula>MOD(ROW(), 2)=1</formula>
    </cfRule>
  </conditionalFormatting>
  <conditionalFormatting sqref="T170">
    <cfRule type="expression" dxfId="2257" priority="2841">
      <formula>"$J5!=$K5"</formula>
    </cfRule>
  </conditionalFormatting>
  <conditionalFormatting sqref="T170">
    <cfRule type="expression" dxfId="2256" priority="2840">
      <formula>MOD(ROW(), 2)=1</formula>
    </cfRule>
  </conditionalFormatting>
  <conditionalFormatting sqref="M172">
    <cfRule type="expression" dxfId="2255" priority="2838">
      <formula>MOD(ROW(), 2)=1</formula>
    </cfRule>
  </conditionalFormatting>
  <conditionalFormatting sqref="H172:J172">
    <cfRule type="expression" dxfId="2254" priority="2837">
      <formula>MOD(ROW(), 2)=1</formula>
    </cfRule>
  </conditionalFormatting>
  <conditionalFormatting sqref="X172">
    <cfRule type="expression" dxfId="2253" priority="2836">
      <formula>MOD(ROW(), 2)=1</formula>
    </cfRule>
  </conditionalFormatting>
  <conditionalFormatting sqref="AN172">
    <cfRule type="expression" dxfId="2252" priority="2835">
      <formula>MOD(ROW(), 2)=1</formula>
    </cfRule>
  </conditionalFormatting>
  <conditionalFormatting sqref="AG172 Z172:AA172">
    <cfRule type="expression" dxfId="2251" priority="2834">
      <formula>MOD(ROW(), 2)=1</formula>
    </cfRule>
  </conditionalFormatting>
  <conditionalFormatting sqref="AH172:AM172">
    <cfRule type="expression" dxfId="2250" priority="2833">
      <formula>MOD(ROW(), 2)=1</formula>
    </cfRule>
  </conditionalFormatting>
  <conditionalFormatting sqref="AD172:AF172">
    <cfRule type="expression" dxfId="2249" priority="2832">
      <formula>MOD(ROW(), 2)=1</formula>
    </cfRule>
  </conditionalFormatting>
  <conditionalFormatting sqref="AB172">
    <cfRule type="expression" dxfId="2248" priority="2831">
      <formula>MOD(ROW(), 2)=1</formula>
    </cfRule>
  </conditionalFormatting>
  <conditionalFormatting sqref="Y172">
    <cfRule type="expression" dxfId="2247" priority="2830">
      <formula>MOD(ROW(), 2)=1</formula>
    </cfRule>
  </conditionalFormatting>
  <conditionalFormatting sqref="O173">
    <cfRule type="expression" dxfId="2246" priority="2829">
      <formula>MOD(ROW(), 2)=1</formula>
    </cfRule>
  </conditionalFormatting>
  <conditionalFormatting sqref="G173">
    <cfRule type="expression" dxfId="2245" priority="2827">
      <formula>MOD(ROW(), 2)=1</formula>
    </cfRule>
  </conditionalFormatting>
  <conditionalFormatting sqref="M173">
    <cfRule type="expression" dxfId="2244" priority="2825">
      <formula>MOD(ROW(), 2)=1</formula>
    </cfRule>
  </conditionalFormatting>
  <conditionalFormatting sqref="H173:J173">
    <cfRule type="expression" dxfId="2243" priority="2824">
      <formula>MOD(ROW(), 2)=1</formula>
    </cfRule>
  </conditionalFormatting>
  <conditionalFormatting sqref="AB173">
    <cfRule type="expression" dxfId="2242" priority="2823">
      <formula>MOD(ROW(), 2)=1</formula>
    </cfRule>
  </conditionalFormatting>
  <conditionalFormatting sqref="X173">
    <cfRule type="expression" dxfId="2241" priority="2822">
      <formula>MOD(ROW(), 2)=1</formula>
    </cfRule>
  </conditionalFormatting>
  <conditionalFormatting sqref="W174">
    <cfRule type="expression" dxfId="2240" priority="2821">
      <formula>MOD(ROW(), 2)=1</formula>
    </cfRule>
  </conditionalFormatting>
  <conditionalFormatting sqref="H174:J174">
    <cfRule type="expression" dxfId="2239" priority="2820">
      <formula>MOD(ROW(), 2)=1</formula>
    </cfRule>
  </conditionalFormatting>
  <conditionalFormatting sqref="M174">
    <cfRule type="expression" dxfId="2238" priority="2819">
      <formula>MOD(ROW(), 2)=1</formula>
    </cfRule>
  </conditionalFormatting>
  <conditionalFormatting sqref="AG174">
    <cfRule type="expression" dxfId="2237" priority="2818">
      <formula>MOD(ROW(), 2)=1</formula>
    </cfRule>
  </conditionalFormatting>
  <conditionalFormatting sqref="AH174:AM174">
    <cfRule type="expression" dxfId="2236" priority="2817">
      <formula>MOD(ROW(), 2)=1</formula>
    </cfRule>
  </conditionalFormatting>
  <conditionalFormatting sqref="AE174:AF174">
    <cfRule type="expression" dxfId="2235" priority="2816">
      <formula>MOD(ROW(), 2)=1</formula>
    </cfRule>
  </conditionalFormatting>
  <conditionalFormatting sqref="O175 Q175">
    <cfRule type="expression" dxfId="2234" priority="2815">
      <formula>MOD(ROW(), 2)=1</formula>
    </cfRule>
  </conditionalFormatting>
  <conditionalFormatting sqref="H175:J175">
    <cfRule type="expression" dxfId="2233" priority="2814">
      <formula>MOD(ROW(), 2)=1</formula>
    </cfRule>
  </conditionalFormatting>
  <conditionalFormatting sqref="M175">
    <cfRule type="expression" dxfId="2232" priority="2813">
      <formula>MOD(ROW(), 2)=1</formula>
    </cfRule>
  </conditionalFormatting>
  <conditionalFormatting sqref="L152">
    <cfRule type="expression" dxfId="2231" priority="2812">
      <formula>MOD(ROW(), 2)=1</formula>
    </cfRule>
  </conditionalFormatting>
  <conditionalFormatting sqref="K139:K141 K151:K152 K143:K149">
    <cfRule type="expression" dxfId="2230" priority="2811">
      <formula>MOD(ROW(), 2)=1</formula>
    </cfRule>
  </conditionalFormatting>
  <conditionalFormatting sqref="N139:N141 N151:N152 N143:N149">
    <cfRule type="expression" dxfId="2229" priority="2810">
      <formula>MOD(ROW(), 2)=1</formula>
    </cfRule>
  </conditionalFormatting>
  <conditionalFormatting sqref="L151">
    <cfRule type="expression" dxfId="2228" priority="2803">
      <formula>MOD(ROW(), 2)=1</formula>
    </cfRule>
  </conditionalFormatting>
  <conditionalFormatting sqref="L149">
    <cfRule type="expression" dxfId="2227" priority="2802">
      <formula>MOD(ROW(), 2)=1</formula>
    </cfRule>
  </conditionalFormatting>
  <conditionalFormatting sqref="L140:L141 L143:L148">
    <cfRule type="expression" dxfId="2226" priority="2800">
      <formula>MOD(ROW(), 2)=1</formula>
    </cfRule>
  </conditionalFormatting>
  <conditionalFormatting sqref="L139">
    <cfRule type="expression" dxfId="2225" priority="2799">
      <formula>MOD(ROW(), 2)=1</formula>
    </cfRule>
  </conditionalFormatting>
  <conditionalFormatting sqref="K166">
    <cfRule type="expression" dxfId="2224" priority="2793">
      <formula>MOD(ROW(), 2)=1</formula>
    </cfRule>
  </conditionalFormatting>
  <conditionalFormatting sqref="L165">
    <cfRule type="expression" dxfId="2223" priority="2792">
      <formula>MOD(ROW(), 2)=1</formula>
    </cfRule>
  </conditionalFormatting>
  <conditionalFormatting sqref="K167">
    <cfRule type="expression" dxfId="2222" priority="2791">
      <formula>MOD(ROW(), 2)=1</formula>
    </cfRule>
  </conditionalFormatting>
  <conditionalFormatting sqref="K169">
    <cfRule type="expression" dxfId="2221" priority="2790">
      <formula>MOD(ROW(), 2)=1</formula>
    </cfRule>
  </conditionalFormatting>
  <conditionalFormatting sqref="K168">
    <cfRule type="expression" dxfId="2220" priority="2788">
      <formula>MOD(ROW(), 2)=1</formula>
    </cfRule>
  </conditionalFormatting>
  <conditionalFormatting sqref="K171">
    <cfRule type="expression" dxfId="2219" priority="2787">
      <formula>MOD(ROW(), 2)=1</formula>
    </cfRule>
  </conditionalFormatting>
  <conditionalFormatting sqref="K170">
    <cfRule type="expression" dxfId="2218" priority="2786">
      <formula>MOD(ROW(), 2)=1</formula>
    </cfRule>
  </conditionalFormatting>
  <conditionalFormatting sqref="K172">
    <cfRule type="expression" dxfId="2217" priority="2785">
      <formula>MOD(ROW(), 2)=1</formula>
    </cfRule>
  </conditionalFormatting>
  <conditionalFormatting sqref="K173:K176">
    <cfRule type="expression" dxfId="2216" priority="2784">
      <formula>MOD(ROW(), 2)=1</formula>
    </cfRule>
  </conditionalFormatting>
  <conditionalFormatting sqref="L161:L162">
    <cfRule type="expression" dxfId="2215" priority="2783">
      <formula>MOD(ROW(), 2)=1</formula>
    </cfRule>
  </conditionalFormatting>
  <conditionalFormatting sqref="L166">
    <cfRule type="expression" dxfId="2214" priority="2782">
      <formula>MOD(ROW(), 2)=1</formula>
    </cfRule>
  </conditionalFormatting>
  <conditionalFormatting sqref="L167">
    <cfRule type="expression" dxfId="2213" priority="2780">
      <formula>MOD(ROW(), 2)=1</formula>
    </cfRule>
  </conditionalFormatting>
  <conditionalFormatting sqref="L169">
    <cfRule type="expression" dxfId="2212" priority="2778">
      <formula>MOD(ROW(), 2)=1</formula>
    </cfRule>
  </conditionalFormatting>
  <conditionalFormatting sqref="L168">
    <cfRule type="expression" dxfId="2211" priority="2779">
      <formula>MOD(ROW(), 2)=1</formula>
    </cfRule>
  </conditionalFormatting>
  <conditionalFormatting sqref="L170">
    <cfRule type="expression" dxfId="2210" priority="2777">
      <formula>MOD(ROW(), 2)=1</formula>
    </cfRule>
  </conditionalFormatting>
  <conditionalFormatting sqref="L171">
    <cfRule type="expression" dxfId="2209" priority="2776">
      <formula>MOD(ROW(), 2)=1</formula>
    </cfRule>
  </conditionalFormatting>
  <conditionalFormatting sqref="L172">
    <cfRule type="expression" dxfId="2208" priority="2775">
      <formula>MOD(ROW(), 2)=1</formula>
    </cfRule>
  </conditionalFormatting>
  <conditionalFormatting sqref="L173">
    <cfRule type="expression" dxfId="2207" priority="2774">
      <formula>MOD(ROW(), 2)=1</formula>
    </cfRule>
  </conditionalFormatting>
  <conditionalFormatting sqref="L174">
    <cfRule type="expression" dxfId="2206" priority="2773">
      <formula>MOD(ROW(), 2)=1</formula>
    </cfRule>
  </conditionalFormatting>
  <conditionalFormatting sqref="L175">
    <cfRule type="expression" dxfId="2205" priority="2772">
      <formula>MOD(ROW(), 2)=1</formula>
    </cfRule>
  </conditionalFormatting>
  <conditionalFormatting sqref="L176">
    <cfRule type="expression" dxfId="2204" priority="2771">
      <formula>MOD(ROW(), 2)=1</formula>
    </cfRule>
  </conditionalFormatting>
  <conditionalFormatting sqref="K160 L163 L153:L156 L159:L160">
    <cfRule type="expression" dxfId="2203" priority="2798">
      <formula>MOD(ROW(), 2)=1</formula>
    </cfRule>
  </conditionalFormatting>
  <conditionalFormatting sqref="K153:K156">
    <cfRule type="expression" dxfId="2202" priority="2797">
      <formula>MOD(ROW(), 2)=1</formula>
    </cfRule>
  </conditionalFormatting>
  <conditionalFormatting sqref="K159">
    <cfRule type="expression" dxfId="2201" priority="2796">
      <formula>MOD(ROW(), 2)=1</formula>
    </cfRule>
  </conditionalFormatting>
  <conditionalFormatting sqref="K161 K163">
    <cfRule type="expression" dxfId="2200" priority="2795">
      <formula>MOD(ROW(), 2)=1</formula>
    </cfRule>
  </conditionalFormatting>
  <conditionalFormatting sqref="K165">
    <cfRule type="expression" dxfId="2199" priority="2794">
      <formula>MOD(ROW(), 2)=1</formula>
    </cfRule>
  </conditionalFormatting>
  <conditionalFormatting sqref="N154:N156 N165:N176 N159:N163">
    <cfRule type="expression" dxfId="2198" priority="2770">
      <formula>MOD(ROW(), 2)=1</formula>
    </cfRule>
  </conditionalFormatting>
  <conditionalFormatting sqref="N153">
    <cfRule type="expression" dxfId="2197" priority="2769">
      <formula>MOD(ROW(), 2)=1</formula>
    </cfRule>
  </conditionalFormatting>
  <conditionalFormatting sqref="P173">
    <cfRule type="expression" dxfId="2196" priority="2761">
      <formula>MOD(ROW(), 2)=1</formula>
    </cfRule>
  </conditionalFormatting>
  <conditionalFormatting sqref="P170 P174:P176 P155:P156 P159:P161">
    <cfRule type="expression" dxfId="2195" priority="2768">
      <formula>MOD(ROW(), 2)=1</formula>
    </cfRule>
  </conditionalFormatting>
  <conditionalFormatting sqref="P168">
    <cfRule type="expression" dxfId="2194" priority="2767">
      <formula>MOD(ROW(), 2)=1</formula>
    </cfRule>
  </conditionalFormatting>
  <conditionalFormatting sqref="P169">
    <cfRule type="expression" dxfId="2193" priority="2766">
      <formula>MOD(ROW(), 2)=1</formula>
    </cfRule>
  </conditionalFormatting>
  <conditionalFormatting sqref="P165 P167 P162:P163">
    <cfRule type="expression" dxfId="2192" priority="2765">
      <formula>MOD(ROW(), 2)=1</formula>
    </cfRule>
  </conditionalFormatting>
  <conditionalFormatting sqref="P171:P172 P154">
    <cfRule type="expression" dxfId="2191" priority="2764">
      <formula>MOD(ROW(), 2)=1</formula>
    </cfRule>
  </conditionalFormatting>
  <conditionalFormatting sqref="P166">
    <cfRule type="expression" dxfId="2190" priority="2763">
      <formula>MOD(ROW(), 2)=1</formula>
    </cfRule>
  </conditionalFormatting>
  <conditionalFormatting sqref="P139">
    <cfRule type="expression" dxfId="2189" priority="2760">
      <formula>MOD(ROW(), 2)=1</formula>
    </cfRule>
  </conditionalFormatting>
  <conditionalFormatting sqref="P152">
    <cfRule type="expression" dxfId="2188" priority="2759">
      <formula>MOD(ROW(), 2)=1</formula>
    </cfRule>
  </conditionalFormatting>
  <conditionalFormatting sqref="P140">
    <cfRule type="expression" dxfId="2187" priority="2758">
      <formula>MOD(ROW(), 2)=1</formula>
    </cfRule>
  </conditionalFormatting>
  <conditionalFormatting sqref="P141 P151">
    <cfRule type="expression" dxfId="2186" priority="2757">
      <formula>MOD(ROW(), 2)=1</formula>
    </cfRule>
  </conditionalFormatting>
  <conditionalFormatting sqref="P143:P149">
    <cfRule type="expression" dxfId="2185" priority="2756">
      <formula>MOD(ROW(), 2)=1</formula>
    </cfRule>
  </conditionalFormatting>
  <conditionalFormatting sqref="J139">
    <cfRule type="expression" dxfId="2184" priority="2707">
      <formula>MOD(ROW(), 2)=1</formula>
    </cfRule>
  </conditionalFormatting>
  <conditionalFormatting sqref="I139">
    <cfRule type="expression" dxfId="2183" priority="2706">
      <formula>MOD(ROW(), 2)=1</formula>
    </cfRule>
  </conditionalFormatting>
  <conditionalFormatting sqref="A140">
    <cfRule type="expression" dxfId="2182" priority="2705">
      <formula>MOD(ROW(), 2)=1</formula>
    </cfRule>
  </conditionalFormatting>
  <conditionalFormatting sqref="M166">
    <cfRule type="expression" dxfId="2181" priority="2750">
      <formula>MOD(ROW(), 2)=1</formula>
    </cfRule>
  </conditionalFormatting>
  <conditionalFormatting sqref="M176">
    <cfRule type="expression" dxfId="2180" priority="2748">
      <formula>MOD(ROW(), 2)=1</formula>
    </cfRule>
  </conditionalFormatting>
  <conditionalFormatting sqref="M155">
    <cfRule type="expression" dxfId="2179" priority="2747">
      <formula>MOD(ROW(), 2)=1</formula>
    </cfRule>
  </conditionalFormatting>
  <conditionalFormatting sqref="M152">
    <cfRule type="expression" dxfId="2178" priority="2742">
      <formula>MOD(ROW(), 2)=1</formula>
    </cfRule>
  </conditionalFormatting>
  <conditionalFormatting sqref="M139:M141 M151 M144:M149">
    <cfRule type="expression" dxfId="2177" priority="2741">
      <formula>MOD(ROW(), 2)=1</formula>
    </cfRule>
  </conditionalFormatting>
  <conditionalFormatting sqref="H162:J162">
    <cfRule type="expression" dxfId="2176" priority="2740">
      <formula>MOD(ROW(), 2)=1</formula>
    </cfRule>
  </conditionalFormatting>
  <conditionalFormatting sqref="K162">
    <cfRule type="expression" dxfId="2175" priority="2739">
      <formula>MOD(ROW(), 2)=1</formula>
    </cfRule>
  </conditionalFormatting>
  <conditionalFormatting sqref="A162">
    <cfRule type="expression" dxfId="2174" priority="2738">
      <formula>MOD(ROW(), 2)=1</formula>
    </cfRule>
  </conditionalFormatting>
  <conditionalFormatting sqref="A161">
    <cfRule type="expression" dxfId="2173" priority="2737">
      <formula>MOD(ROW(), 2)=1</formula>
    </cfRule>
  </conditionalFormatting>
  <conditionalFormatting sqref="X175">
    <cfRule type="expression" dxfId="2172" priority="2736">
      <formula>MOD(ROW(), 2)=1</formula>
    </cfRule>
  </conditionalFormatting>
  <conditionalFormatting sqref="A145">
    <cfRule type="expression" dxfId="2171" priority="2688">
      <formula>MOD(ROW(), 2)=1</formula>
    </cfRule>
  </conditionalFormatting>
  <conditionalFormatting sqref="H146">
    <cfRule type="expression" dxfId="2170" priority="2686">
      <formula>MOD(ROW(), 2)=1</formula>
    </cfRule>
  </conditionalFormatting>
  <conditionalFormatting sqref="J146">
    <cfRule type="expression" dxfId="2169" priority="2685">
      <formula>MOD(ROW(), 2)=1</formula>
    </cfRule>
  </conditionalFormatting>
  <conditionalFormatting sqref="I146">
    <cfRule type="expression" dxfId="2168" priority="2684">
      <formula>MOD(ROW(), 2)=1</formula>
    </cfRule>
  </conditionalFormatting>
  <conditionalFormatting sqref="I176">
    <cfRule type="expression" dxfId="2167" priority="2729">
      <formula>MOD(ROW(), 2)=1</formula>
    </cfRule>
  </conditionalFormatting>
  <conditionalFormatting sqref="J176">
    <cfRule type="expression" dxfId="2166" priority="2728">
      <formula>MOD(ROW(), 2)=1</formula>
    </cfRule>
  </conditionalFormatting>
  <conditionalFormatting sqref="E21:E26">
    <cfRule type="expression" dxfId="2165" priority="2727">
      <formula>MOD(ROW(), 2)=1</formula>
    </cfRule>
  </conditionalFormatting>
  <conditionalFormatting sqref="AT185:AU185">
    <cfRule type="expression" dxfId="2164" priority="2725">
      <formula>MOD(ROW(), 2)=1</formula>
    </cfRule>
  </conditionalFormatting>
  <conditionalFormatting sqref="AX185">
    <cfRule type="expression" dxfId="2163" priority="2721">
      <formula>MOD(ROW(), 2)=1</formula>
    </cfRule>
  </conditionalFormatting>
  <conditionalFormatting sqref="AX185">
    <cfRule type="expression" dxfId="2162" priority="2720">
      <formula>MOD(ROW(), 2)=1</formula>
    </cfRule>
  </conditionalFormatting>
  <conditionalFormatting sqref="X97:Y97">
    <cfRule type="expression" dxfId="2161" priority="2714">
      <formula>MOD(ROW(), 2)=1</formula>
    </cfRule>
  </conditionalFormatting>
  <conditionalFormatting sqref="J140">
    <cfRule type="expression" dxfId="2160" priority="2712">
      <formula>MOD(ROW(), 2)=1</formula>
    </cfRule>
  </conditionalFormatting>
  <conditionalFormatting sqref="I140">
    <cfRule type="expression" dxfId="2159" priority="2711">
      <formula>MOD(ROW(), 2)=1</formula>
    </cfRule>
  </conditionalFormatting>
  <conditionalFormatting sqref="H141">
    <cfRule type="expression" dxfId="2158" priority="2710">
      <formula>MOD(ROW(), 2)=1</formula>
    </cfRule>
  </conditionalFormatting>
  <conditionalFormatting sqref="J141">
    <cfRule type="expression" dxfId="2157" priority="2709">
      <formula>MOD(ROW(), 2)=1</formula>
    </cfRule>
  </conditionalFormatting>
  <conditionalFormatting sqref="I141">
    <cfRule type="expression" dxfId="2156" priority="2708">
      <formula>MOD(ROW(), 2)=1</formula>
    </cfRule>
  </conditionalFormatting>
  <conditionalFormatting sqref="H143">
    <cfRule type="expression" dxfId="2155" priority="2697">
      <formula>MOD(ROW(), 2)=1</formula>
    </cfRule>
  </conditionalFormatting>
  <conditionalFormatting sqref="J143">
    <cfRule type="expression" dxfId="2154" priority="2696">
      <formula>MOD(ROW(), 2)=1</formula>
    </cfRule>
  </conditionalFormatting>
  <conditionalFormatting sqref="I143">
    <cfRule type="expression" dxfId="2153" priority="2695">
      <formula>MOD(ROW(), 2)=1</formula>
    </cfRule>
  </conditionalFormatting>
  <conditionalFormatting sqref="A143">
    <cfRule type="expression" dxfId="2152" priority="2694">
      <formula>MOD(ROW(), 2)=1</formula>
    </cfRule>
  </conditionalFormatting>
  <conditionalFormatting sqref="E55">
    <cfRule type="expression" dxfId="2151" priority="2693">
      <formula>MOD(ROW(), 2)=1</formula>
    </cfRule>
  </conditionalFormatting>
  <conditionalFormatting sqref="H145">
    <cfRule type="expression" dxfId="2150" priority="2692">
      <formula>MOD(ROW(), 2)=1</formula>
    </cfRule>
  </conditionalFormatting>
  <conditionalFormatting sqref="J145">
    <cfRule type="expression" dxfId="2149" priority="2691">
      <formula>MOD(ROW(), 2)=1</formula>
    </cfRule>
  </conditionalFormatting>
  <conditionalFormatting sqref="I145">
    <cfRule type="expression" dxfId="2148" priority="2690">
      <formula>MOD(ROW(), 2)=1</formula>
    </cfRule>
  </conditionalFormatting>
  <conditionalFormatting sqref="A146">
    <cfRule type="expression" dxfId="2147" priority="2683">
      <formula>MOD(ROW(), 2)=1</formula>
    </cfRule>
  </conditionalFormatting>
  <conditionalFormatting sqref="T164">
    <cfRule type="expression" dxfId="2146" priority="2632">
      <formula>MOD(ROW(), 2)=1</formula>
    </cfRule>
  </conditionalFormatting>
  <conditionalFormatting sqref="AQ164">
    <cfRule type="expression" dxfId="2145" priority="2631">
      <formula>MOD(ROW(), 2)=1</formula>
    </cfRule>
  </conditionalFormatting>
  <conditionalFormatting sqref="AS164">
    <cfRule type="expression" dxfId="2144" priority="2630">
      <formula>MOD(ROW(), 2)=1</formula>
    </cfRule>
  </conditionalFormatting>
  <conditionalFormatting sqref="AT164">
    <cfRule type="expression" dxfId="2143" priority="2629">
      <formula>MOD(ROW(), 2)=1</formula>
    </cfRule>
  </conditionalFormatting>
  <conditionalFormatting sqref="AU164">
    <cfRule type="expression" dxfId="2142" priority="2628">
      <formula>MOD(ROW(), 2)=1</formula>
    </cfRule>
  </conditionalFormatting>
  <conditionalFormatting sqref="AZ164">
    <cfRule type="expression" dxfId="2141" priority="2627">
      <formula>MOD(ROW(), 2)=1</formula>
    </cfRule>
  </conditionalFormatting>
  <conditionalFormatting sqref="AY164">
    <cfRule type="expression" dxfId="2140" priority="2626">
      <formula>MOD(ROW(), 2)=1</formula>
    </cfRule>
  </conditionalFormatting>
  <conditionalFormatting sqref="G164">
    <cfRule type="expression" dxfId="2139" priority="2624">
      <formula>MOD(ROW(), 2)=1</formula>
    </cfRule>
  </conditionalFormatting>
  <conditionalFormatting sqref="E164">
    <cfRule type="expression" dxfId="2138" priority="2623">
      <formula>MOD(ROW(), 2)=1</formula>
    </cfRule>
  </conditionalFormatting>
  <conditionalFormatting sqref="L164">
    <cfRule type="expression" dxfId="2137" priority="2622">
      <formula>MOD(ROW(), 2)=1</formula>
    </cfRule>
  </conditionalFormatting>
  <conditionalFormatting sqref="K164">
    <cfRule type="expression" dxfId="2136" priority="2621">
      <formula>MOD(ROW(), 2)=1</formula>
    </cfRule>
  </conditionalFormatting>
  <conditionalFormatting sqref="N164">
    <cfRule type="expression" dxfId="2135" priority="2620">
      <formula>MOD(ROW(), 2)=1</formula>
    </cfRule>
  </conditionalFormatting>
  <conditionalFormatting sqref="P164">
    <cfRule type="expression" dxfId="2134" priority="2619">
      <formula>MOD(ROW(), 2)=1</formula>
    </cfRule>
  </conditionalFormatting>
  <conditionalFormatting sqref="M164">
    <cfRule type="expression" dxfId="2133" priority="2618">
      <formula>MOD(ROW(), 2)=1</formula>
    </cfRule>
  </conditionalFormatting>
  <conditionalFormatting sqref="AP164">
    <cfRule type="expression" dxfId="2132" priority="2617">
      <formula>MOD(ROW(), 2)=1</formula>
    </cfRule>
  </conditionalFormatting>
  <conditionalFormatting sqref="AD164:AL164">
    <cfRule type="expression" dxfId="2131" priority="2616">
      <formula>MOD(ROW(), 2)=1</formula>
    </cfRule>
  </conditionalFormatting>
  <conditionalFormatting sqref="H163:J163">
    <cfRule type="expression" dxfId="2130" priority="2615">
      <formula>MOD(ROW(), 2)=1</formula>
    </cfRule>
  </conditionalFormatting>
  <conditionalFormatting sqref="I164:J164">
    <cfRule type="expression" dxfId="2129" priority="2614">
      <formula>MOD(ROW(), 2)=1</formula>
    </cfRule>
  </conditionalFormatting>
  <conditionalFormatting sqref="BA177:BA181 B177:B181 AV177:AV181 U177:W181 Y177:AO177 Y178:AB181 AD178:AO181">
    <cfRule type="expression" dxfId="2128" priority="2613">
      <formula>MOD(ROW(), 2)=1</formula>
    </cfRule>
  </conditionalFormatting>
  <conditionalFormatting sqref="A177:A181">
    <cfRule type="expression" dxfId="2127" priority="2611">
      <formula>MOD(ROW(), 2)=1</formula>
    </cfRule>
  </conditionalFormatting>
  <conditionalFormatting sqref="R179:S179 R177:R178 R180:R181">
    <cfRule type="expression" dxfId="2126" priority="2610">
      <formula>MOD(ROW(), 2)=1</formula>
    </cfRule>
  </conditionalFormatting>
  <conditionalFormatting sqref="H151">
    <cfRule type="expression" dxfId="2125" priority="2655">
      <formula>MOD(ROW(), 2)=1</formula>
    </cfRule>
  </conditionalFormatting>
  <conditionalFormatting sqref="J151">
    <cfRule type="expression" dxfId="2124" priority="2654">
      <formula>MOD(ROW(), 2)=1</formula>
    </cfRule>
  </conditionalFormatting>
  <conditionalFormatting sqref="I151">
    <cfRule type="expression" dxfId="2123" priority="2653">
      <formula>MOD(ROW(), 2)=1</formula>
    </cfRule>
  </conditionalFormatting>
  <conditionalFormatting sqref="H155:J155">
    <cfRule type="expression" dxfId="2122" priority="2651">
      <formula>MOD(ROW(), 2)=1</formula>
    </cfRule>
  </conditionalFormatting>
  <conditionalFormatting sqref="AN156">
    <cfRule type="expression" dxfId="2121" priority="2650">
      <formula>MOD(ROW(), 2)=1</formula>
    </cfRule>
  </conditionalFormatting>
  <conditionalFormatting sqref="C164 F164">
    <cfRule type="expression" dxfId="2120" priority="2625">
      <formula>MOD(ROW(), 2)=1</formula>
    </cfRule>
  </conditionalFormatting>
  <conditionalFormatting sqref="Y155">
    <cfRule type="expression" dxfId="2119" priority="2647">
      <formula>MOD(ROW(), 2)=1</formula>
    </cfRule>
  </conditionalFormatting>
  <conditionalFormatting sqref="H156:J156">
    <cfRule type="expression" dxfId="2118" priority="2646">
      <formula>MOD(ROW(), 2)=1</formula>
    </cfRule>
  </conditionalFormatting>
  <conditionalFormatting sqref="AM156">
    <cfRule type="expression" dxfId="2117" priority="2645">
      <formula>MOD(ROW(), 2)=1</formula>
    </cfRule>
  </conditionalFormatting>
  <conditionalFormatting sqref="O73 O78:O81 O75">
    <cfRule type="expression" dxfId="2116" priority="2644">
      <formula>MOD(ROW(), 2)=1</formula>
    </cfRule>
  </conditionalFormatting>
  <conditionalFormatting sqref="M124">
    <cfRule type="expression" dxfId="2115" priority="2643">
      <formula>MOD(ROW(), 2)=1</formula>
    </cfRule>
  </conditionalFormatting>
  <conditionalFormatting sqref="AP159:AP163 AP165:AP167">
    <cfRule type="expression" dxfId="2114" priority="2642">
      <formula>MOD(ROW(), 2)=1</formula>
    </cfRule>
  </conditionalFormatting>
  <conditionalFormatting sqref="AD163:AL163">
    <cfRule type="expression" dxfId="2113" priority="2641">
      <formula>MOD(ROW(), 2)=1</formula>
    </cfRule>
  </conditionalFormatting>
  <conditionalFormatting sqref="B164 U164:X164 H164 Q164:R164 BA164 AM164:AO164 Z164:AB164">
    <cfRule type="expression" dxfId="2112" priority="2638">
      <formula>MOD(ROW(), 2)=1</formula>
    </cfRule>
  </conditionalFormatting>
  <conditionalFormatting sqref="AW164:AX164 AR164 O164">
    <cfRule type="expression" dxfId="2111" priority="2637">
      <formula>MOD(ROW(), 2)=1</formula>
    </cfRule>
  </conditionalFormatting>
  <conditionalFormatting sqref="AV164">
    <cfRule type="expression" dxfId="2110" priority="2636">
      <formula>MOD(ROW(), 2)=1</formula>
    </cfRule>
  </conditionalFormatting>
  <conditionalFormatting sqref="U164">
    <cfRule type="expression" dxfId="2109" priority="2634">
      <formula>"$J5!=$K5"</formula>
    </cfRule>
  </conditionalFormatting>
  <conditionalFormatting sqref="T164">
    <cfRule type="expression" dxfId="2108" priority="2633">
      <formula>"$J5!=$K5"</formula>
    </cfRule>
  </conditionalFormatting>
  <conditionalFormatting sqref="H157">
    <cfRule type="expression" dxfId="2107" priority="2568">
      <formula>MOD(ROW(), 2)=1</formula>
    </cfRule>
  </conditionalFormatting>
  <conditionalFormatting sqref="U177:U181">
    <cfRule type="expression" dxfId="2106" priority="2612">
      <formula>"$J5!=$K5"</formula>
    </cfRule>
  </conditionalFormatting>
  <conditionalFormatting sqref="T177:T181">
    <cfRule type="expression" dxfId="2105" priority="2609">
      <formula>"$J5!=$K5"</formula>
    </cfRule>
  </conditionalFormatting>
  <conditionalFormatting sqref="T177:T181">
    <cfRule type="expression" dxfId="2104" priority="2608">
      <formula>MOD(ROW(), 2)=1</formula>
    </cfRule>
  </conditionalFormatting>
  <conditionalFormatting sqref="AW177:AW181">
    <cfRule type="expression" dxfId="2103" priority="2607">
      <formula>MOD(ROW(), 2)=1</formula>
    </cfRule>
  </conditionalFormatting>
  <conditionalFormatting sqref="AX177:AX181">
    <cfRule type="expression" dxfId="2102" priority="2606">
      <formula>MOD(ROW(), 2)=1</formula>
    </cfRule>
  </conditionalFormatting>
  <conditionalFormatting sqref="AT177">
    <cfRule type="expression" dxfId="2101" priority="2605">
      <formula>MOD(ROW(), 2)=1</formula>
    </cfRule>
  </conditionalFormatting>
  <conditionalFormatting sqref="AU177">
    <cfRule type="expression" dxfId="2100" priority="2604">
      <formula>MOD(ROW(), 2)=1</formula>
    </cfRule>
  </conditionalFormatting>
  <conditionalFormatting sqref="AZ177:AZ181">
    <cfRule type="expression" dxfId="2099" priority="2603">
      <formula>MOD(ROW(), 2)=1</formula>
    </cfRule>
  </conditionalFormatting>
  <conditionalFormatting sqref="AY177:AY181">
    <cfRule type="expression" dxfId="2098" priority="2602">
      <formula>MOD(ROW(), 2)=1</formula>
    </cfRule>
  </conditionalFormatting>
  <conditionalFormatting sqref="F177:F181 C177:D181">
    <cfRule type="expression" dxfId="2097" priority="2601">
      <formula>MOD(ROW(), 2)=1</formula>
    </cfRule>
  </conditionalFormatting>
  <conditionalFormatting sqref="G177:G181">
    <cfRule type="expression" dxfId="2096" priority="2600">
      <formula>MOD(ROW(), 2)=1</formula>
    </cfRule>
  </conditionalFormatting>
  <conditionalFormatting sqref="E177:E181">
    <cfRule type="expression" dxfId="2095" priority="2599">
      <formula>MOD(ROW(), 2)=1</formula>
    </cfRule>
  </conditionalFormatting>
  <conditionalFormatting sqref="O177:O181 Q177:Q181">
    <cfRule type="expression" dxfId="2094" priority="2598">
      <formula>MOD(ROW(), 2)=1</formula>
    </cfRule>
  </conditionalFormatting>
  <conditionalFormatting sqref="H177:J179 H181">
    <cfRule type="expression" dxfId="2093" priority="2597">
      <formula>MOD(ROW(), 2)=1</formula>
    </cfRule>
  </conditionalFormatting>
  <conditionalFormatting sqref="M177:M181">
    <cfRule type="expression" dxfId="2092" priority="2596">
      <formula>MOD(ROW(), 2)=1</formula>
    </cfRule>
  </conditionalFormatting>
  <conditionalFormatting sqref="K177:K179">
    <cfRule type="expression" dxfId="2091" priority="2595">
      <formula>MOD(ROW(), 2)=1</formula>
    </cfRule>
  </conditionalFormatting>
  <conditionalFormatting sqref="L177:L179">
    <cfRule type="expression" dxfId="2090" priority="2594">
      <formula>MOD(ROW(), 2)=1</formula>
    </cfRule>
  </conditionalFormatting>
  <conditionalFormatting sqref="N177:N181">
    <cfRule type="expression" dxfId="2089" priority="2593">
      <formula>MOD(ROW(), 2)=1</formula>
    </cfRule>
  </conditionalFormatting>
  <conditionalFormatting sqref="P177:P181">
    <cfRule type="expression" dxfId="2088" priority="2592">
      <formula>MOD(ROW(), 2)=1</formula>
    </cfRule>
  </conditionalFormatting>
  <conditionalFormatting sqref="X177:X181">
    <cfRule type="expression" dxfId="2087" priority="2591">
      <formula>MOD(ROW(), 2)=1</formula>
    </cfRule>
  </conditionalFormatting>
  <conditionalFormatting sqref="Q157:R158 AM157:AO158 BA157:BA158 U157:W157 Y157:AB157 B157:B158 U158:AB158">
    <cfRule type="expression" dxfId="2086" priority="2590">
      <formula>MOD(ROW(), 2)=1</formula>
    </cfRule>
  </conditionalFormatting>
  <conditionalFormatting sqref="AW157:AX158 AR157:AR158 O157:O158">
    <cfRule type="expression" dxfId="2085" priority="2589">
      <formula>MOD(ROW(), 2)=1</formula>
    </cfRule>
  </conditionalFormatting>
  <conditionalFormatting sqref="AV157:AV158">
    <cfRule type="expression" dxfId="2084" priority="2588">
      <formula>MOD(ROW(), 2)=1</formula>
    </cfRule>
  </conditionalFormatting>
  <conditionalFormatting sqref="U157:U158">
    <cfRule type="expression" dxfId="2083" priority="2587">
      <formula>"$J5!=$K5"</formula>
    </cfRule>
  </conditionalFormatting>
  <conditionalFormatting sqref="T157:T158">
    <cfRule type="expression" dxfId="2082" priority="2586">
      <formula>"$J5!=$K5"</formula>
    </cfRule>
  </conditionalFormatting>
  <conditionalFormatting sqref="T157:T158">
    <cfRule type="expression" dxfId="2081" priority="2585">
      <formula>MOD(ROW(), 2)=1</formula>
    </cfRule>
  </conditionalFormatting>
  <conditionalFormatting sqref="AQ157:AQ158">
    <cfRule type="expression" dxfId="2080" priority="2584">
      <formula>MOD(ROW(), 2)=1</formula>
    </cfRule>
  </conditionalFormatting>
  <conditionalFormatting sqref="AS157">
    <cfRule type="expression" dxfId="2079" priority="2583">
      <formula>MOD(ROW(), 2)=1</formula>
    </cfRule>
  </conditionalFormatting>
  <conditionalFormatting sqref="AT157:AT158">
    <cfRule type="expression" dxfId="2078" priority="2582">
      <formula>MOD(ROW(), 2)=1</formula>
    </cfRule>
  </conditionalFormatting>
  <conditionalFormatting sqref="AU157:AU158">
    <cfRule type="expression" dxfId="2077" priority="2581">
      <formula>MOD(ROW(), 2)=1</formula>
    </cfRule>
  </conditionalFormatting>
  <conditionalFormatting sqref="AZ157:AZ158">
    <cfRule type="expression" dxfId="2076" priority="2580">
      <formula>MOD(ROW(), 2)=1</formula>
    </cfRule>
  </conditionalFormatting>
  <conditionalFormatting sqref="AY157:AY158">
    <cfRule type="expression" dxfId="2075" priority="2579">
      <formula>MOD(ROW(), 2)=1</formula>
    </cfRule>
  </conditionalFormatting>
  <conditionalFormatting sqref="C157:C158 F157:F158">
    <cfRule type="expression" dxfId="2074" priority="2578">
      <formula>MOD(ROW(), 2)=1</formula>
    </cfRule>
  </conditionalFormatting>
  <conditionalFormatting sqref="G157:G158">
    <cfRule type="expression" dxfId="2073" priority="2577">
      <formula>MOD(ROW(), 2)=1</formula>
    </cfRule>
  </conditionalFormatting>
  <conditionalFormatting sqref="E157:E158">
    <cfRule type="expression" dxfId="2072" priority="2576">
      <formula>MOD(ROW(), 2)=1</formula>
    </cfRule>
  </conditionalFormatting>
  <conditionalFormatting sqref="L157:L158">
    <cfRule type="expression" dxfId="2071" priority="2575">
      <formula>MOD(ROW(), 2)=1</formula>
    </cfRule>
  </conditionalFormatting>
  <conditionalFormatting sqref="K157:K158">
    <cfRule type="expression" dxfId="2070" priority="2574">
      <formula>MOD(ROW(), 2)=1</formula>
    </cfRule>
  </conditionalFormatting>
  <conditionalFormatting sqref="N157:N158">
    <cfRule type="expression" dxfId="2069" priority="2573">
      <formula>MOD(ROW(), 2)=1</formula>
    </cfRule>
  </conditionalFormatting>
  <conditionalFormatting sqref="P157:P158">
    <cfRule type="expression" dxfId="2068" priority="2572">
      <formula>MOD(ROW(), 2)=1</formula>
    </cfRule>
  </conditionalFormatting>
  <conditionalFormatting sqref="AP157:AP158">
    <cfRule type="expression" dxfId="2067" priority="2570">
      <formula>MOD(ROW(), 2)=1</formula>
    </cfRule>
  </conditionalFormatting>
  <conditionalFormatting sqref="AD157:AL158">
    <cfRule type="expression" dxfId="2066" priority="2569">
      <formula>MOD(ROW(), 2)=1</formula>
    </cfRule>
  </conditionalFormatting>
  <conditionalFormatting sqref="I131:N131">
    <cfRule type="expression" dxfId="2065" priority="2567">
      <formula>MOD(ROW(), 2)=1</formula>
    </cfRule>
  </conditionalFormatting>
  <conditionalFormatting sqref="O131">
    <cfRule type="expression" dxfId="2064" priority="2566">
      <formula>MOD(ROW(), 2)=1</formula>
    </cfRule>
  </conditionalFormatting>
  <conditionalFormatting sqref="A127:H127 P127:R127 BA127 AD127:AO127 T127:AB127">
    <cfRule type="expression" dxfId="2063" priority="2565">
      <formula>MOD(ROW(), 2)=1</formula>
    </cfRule>
  </conditionalFormatting>
  <conditionalFormatting sqref="T127:U127">
    <cfRule type="expression" dxfId="2062" priority="2564">
      <formula>"$J5!=$K5"</formula>
    </cfRule>
  </conditionalFormatting>
  <conditionalFormatting sqref="I127:N127">
    <cfRule type="expression" dxfId="2061" priority="2563">
      <formula>MOD(ROW(), 2)=1</formula>
    </cfRule>
  </conditionalFormatting>
  <conditionalFormatting sqref="O127">
    <cfRule type="expression" dxfId="2060" priority="2562">
      <formula>MOD(ROW(), 2)=1</formula>
    </cfRule>
  </conditionalFormatting>
  <conditionalFormatting sqref="A130">
    <cfRule type="expression" dxfId="2059" priority="2561">
      <formula>MOD(ROW(), 2)=1</formula>
    </cfRule>
  </conditionalFormatting>
  <conditionalFormatting sqref="A131">
    <cfRule type="expression" dxfId="2058" priority="2560">
      <formula>MOD(ROW(), 2)=1</formula>
    </cfRule>
  </conditionalFormatting>
  <conditionalFormatting sqref="H180:J180">
    <cfRule type="expression" dxfId="2057" priority="2559">
      <formula>MOD(ROW(), 2)=1</formula>
    </cfRule>
  </conditionalFormatting>
  <conditionalFormatting sqref="K180">
    <cfRule type="expression" dxfId="2056" priority="2558">
      <formula>MOD(ROW(), 2)=1</formula>
    </cfRule>
  </conditionalFormatting>
  <conditionalFormatting sqref="L180">
    <cfRule type="expression" dxfId="2055" priority="2557">
      <formula>MOD(ROW(), 2)=1</formula>
    </cfRule>
  </conditionalFormatting>
  <conditionalFormatting sqref="H152">
    <cfRule type="expression" dxfId="2054" priority="2556">
      <formula>MOD(ROW(), 2)=1</formula>
    </cfRule>
  </conditionalFormatting>
  <conditionalFormatting sqref="J152">
    <cfRule type="expression" dxfId="2053" priority="2555">
      <formula>MOD(ROW(), 2)=1</formula>
    </cfRule>
  </conditionalFormatting>
  <conditionalFormatting sqref="I152">
    <cfRule type="expression" dxfId="2052" priority="2554">
      <formula>MOD(ROW(), 2)=1</formula>
    </cfRule>
  </conditionalFormatting>
  <conditionalFormatting sqref="H144">
    <cfRule type="expression" dxfId="2051" priority="2551">
      <formula>MOD(ROW(), 2)=1</formula>
    </cfRule>
  </conditionalFormatting>
  <conditionalFormatting sqref="J144">
    <cfRule type="expression" dxfId="2050" priority="2550">
      <formula>MOD(ROW(), 2)=1</formula>
    </cfRule>
  </conditionalFormatting>
  <conditionalFormatting sqref="I144">
    <cfRule type="expression" dxfId="2049" priority="2549">
      <formula>MOD(ROW(), 2)=1</formula>
    </cfRule>
  </conditionalFormatting>
  <conditionalFormatting sqref="A144">
    <cfRule type="expression" dxfId="2048" priority="2547">
      <formula>MOD(ROW(), 2)=1</formula>
    </cfRule>
  </conditionalFormatting>
  <conditionalFormatting sqref="H147">
    <cfRule type="expression" dxfId="2047" priority="2546">
      <formula>MOD(ROW(), 2)=1</formula>
    </cfRule>
  </conditionalFormatting>
  <conditionalFormatting sqref="J147">
    <cfRule type="expression" dxfId="2046" priority="2545">
      <formula>MOD(ROW(), 2)=1</formula>
    </cfRule>
  </conditionalFormatting>
  <conditionalFormatting sqref="I147">
    <cfRule type="expression" dxfId="2045" priority="2544">
      <formula>MOD(ROW(), 2)=1</formula>
    </cfRule>
  </conditionalFormatting>
  <conditionalFormatting sqref="A147">
    <cfRule type="expression" dxfId="2044" priority="2543">
      <formula>MOD(ROW(), 2)=1</formula>
    </cfRule>
  </conditionalFormatting>
  <conditionalFormatting sqref="H149">
    <cfRule type="expression" dxfId="2043" priority="2542">
      <formula>MOD(ROW(), 2)=1</formula>
    </cfRule>
  </conditionalFormatting>
  <conditionalFormatting sqref="J149">
    <cfRule type="expression" dxfId="2042" priority="2541">
      <formula>MOD(ROW(), 2)=1</formula>
    </cfRule>
  </conditionalFormatting>
  <conditionalFormatting sqref="I149">
    <cfRule type="expression" dxfId="2041" priority="2540">
      <formula>MOD(ROW(), 2)=1</formula>
    </cfRule>
  </conditionalFormatting>
  <conditionalFormatting sqref="B142 B150">
    <cfRule type="expression" dxfId="2040" priority="2539">
      <formula>MOD(ROW(), 2)=1</formula>
    </cfRule>
  </conditionalFormatting>
  <conditionalFormatting sqref="AR142 Q142 AR150 Q150">
    <cfRule type="expression" dxfId="2039" priority="2535">
      <formula>MOD(ROW(), 2)=1</formula>
    </cfRule>
  </conditionalFormatting>
  <conditionalFormatting sqref="R142 R150">
    <cfRule type="expression" dxfId="2038" priority="2534">
      <formula>MOD(ROW(), 2)=1</formula>
    </cfRule>
  </conditionalFormatting>
  <conditionalFormatting sqref="T142 T150">
    <cfRule type="expression" dxfId="2037" priority="2533">
      <formula>"$J5!=$K5"</formula>
    </cfRule>
  </conditionalFormatting>
  <conditionalFormatting sqref="T142 T150">
    <cfRule type="expression" dxfId="2036" priority="2532">
      <formula>MOD(ROW(), 2)=1</formula>
    </cfRule>
  </conditionalFormatting>
  <conditionalFormatting sqref="AO142 AO150">
    <cfRule type="expression" dxfId="2035" priority="2531">
      <formula>MOD(ROW(), 2)=1</formula>
    </cfRule>
  </conditionalFormatting>
  <conditionalFormatting sqref="G142 G150">
    <cfRule type="expression" dxfId="2034" priority="2525">
      <formula>MOD(ROW(), 2)=1</formula>
    </cfRule>
  </conditionalFormatting>
  <conditionalFormatting sqref="F142 F150">
    <cfRule type="expression" dxfId="2033" priority="2524">
      <formula>MOD(ROW(), 2)=1</formula>
    </cfRule>
  </conditionalFormatting>
  <conditionalFormatting sqref="E142 E150">
    <cfRule type="expression" dxfId="2032" priority="2523">
      <formula>MOD(ROW(), 2)=1</formula>
    </cfRule>
  </conditionalFormatting>
  <conditionalFormatting sqref="K142 K150">
    <cfRule type="expression" dxfId="2031" priority="2522">
      <formula>MOD(ROW(), 2)=1</formula>
    </cfRule>
  </conditionalFormatting>
  <conditionalFormatting sqref="N142 N150">
    <cfRule type="expression" dxfId="2030" priority="2521">
      <formula>MOD(ROW(), 2)=1</formula>
    </cfRule>
  </conditionalFormatting>
  <conditionalFormatting sqref="L142 L150">
    <cfRule type="expression" dxfId="2029" priority="2520">
      <formula>MOD(ROW(), 2)=1</formula>
    </cfRule>
  </conditionalFormatting>
  <conditionalFormatting sqref="P142 P150">
    <cfRule type="expression" dxfId="2028" priority="2519">
      <formula>MOD(ROW(), 2)=1</formula>
    </cfRule>
  </conditionalFormatting>
  <conditionalFormatting sqref="M142 M150">
    <cfRule type="expression" dxfId="2027" priority="2518">
      <formula>MOD(ROW(), 2)=1</formula>
    </cfRule>
  </conditionalFormatting>
  <conditionalFormatting sqref="H142">
    <cfRule type="expression" dxfId="2026" priority="2516">
      <formula>MOD(ROW(), 2)=1</formula>
    </cfRule>
  </conditionalFormatting>
  <conditionalFormatting sqref="J142">
    <cfRule type="expression" dxfId="2025" priority="2515">
      <formula>MOD(ROW(), 2)=1</formula>
    </cfRule>
  </conditionalFormatting>
  <conditionalFormatting sqref="I142">
    <cfRule type="expression" dxfId="2024" priority="2514">
      <formula>MOD(ROW(), 2)=1</formula>
    </cfRule>
  </conditionalFormatting>
  <conditionalFormatting sqref="A142">
    <cfRule type="expression" dxfId="2023" priority="2513">
      <formula>MOD(ROW(), 2)=1</formula>
    </cfRule>
  </conditionalFormatting>
  <conditionalFormatting sqref="M163 M161 M156:M158">
    <cfRule type="expression" dxfId="2022" priority="2510">
      <formula>MOD(ROW(), 2)=1</formula>
    </cfRule>
  </conditionalFormatting>
  <conditionalFormatting sqref="H132">
    <cfRule type="expression" dxfId="2021" priority="2509">
      <formula>MOD(ROW(), 2)=1</formula>
    </cfRule>
  </conditionalFormatting>
  <conditionalFormatting sqref="I132:J132">
    <cfRule type="expression" dxfId="2020" priority="2508">
      <formula>MOD(ROW(), 2)=1</formula>
    </cfRule>
  </conditionalFormatting>
  <conditionalFormatting sqref="A132">
    <cfRule type="expression" dxfId="2019" priority="2507">
      <formula>MOD(ROW(), 2)=1</formula>
    </cfRule>
  </conditionalFormatting>
  <conditionalFormatting sqref="BA140:BA151">
    <cfRule type="expression" dxfId="2018" priority="2505">
      <formula>MOD(ROW(), 2)=1</formula>
    </cfRule>
  </conditionalFormatting>
  <conditionalFormatting sqref="AX140:AX151">
    <cfRule type="expression" dxfId="2017" priority="2504">
      <formula>MOD(ROW(), 2)=1</formula>
    </cfRule>
  </conditionalFormatting>
  <conditionalFormatting sqref="AU140:AU151">
    <cfRule type="expression" dxfId="2016" priority="2503">
      <formula>MOD(ROW(), 2)=1</formula>
    </cfRule>
  </conditionalFormatting>
  <conditionalFormatting sqref="AT140:AT151">
    <cfRule type="expression" dxfId="2015" priority="2502">
      <formula>MOD(ROW(), 2)=1</formula>
    </cfRule>
  </conditionalFormatting>
  <conditionalFormatting sqref="AW140:AW151">
    <cfRule type="expression" dxfId="2014" priority="2501">
      <formula>MOD(ROW(), 2)=1</formula>
    </cfRule>
  </conditionalFormatting>
  <conditionalFormatting sqref="AV140:AV151">
    <cfRule type="expression" dxfId="2013" priority="2500">
      <formula>MOD(ROW(), 2)=1</formula>
    </cfRule>
  </conditionalFormatting>
  <conditionalFormatting sqref="AZ140:AZ151">
    <cfRule type="expression" dxfId="2012" priority="2499">
      <formula>MOD(ROW(), 2)=1</formula>
    </cfRule>
  </conditionalFormatting>
  <conditionalFormatting sqref="AY140:AY151">
    <cfRule type="expression" dxfId="2011" priority="2498">
      <formula>MOD(ROW(), 2)=1</formula>
    </cfRule>
  </conditionalFormatting>
  <conditionalFormatting sqref="A141">
    <cfRule type="expression" dxfId="2010" priority="2497">
      <formula>MOD(ROW(), 2)=1</formula>
    </cfRule>
  </conditionalFormatting>
  <conditionalFormatting sqref="A149">
    <cfRule type="expression" dxfId="2009" priority="2496">
      <formula>MOD(ROW(), 2)=1</formula>
    </cfRule>
  </conditionalFormatting>
  <conditionalFormatting sqref="A151">
    <cfRule type="expression" dxfId="2008" priority="2495">
      <formula>MOD(ROW(), 2)=1</formula>
    </cfRule>
  </conditionalFormatting>
  <conditionalFormatting sqref="A152">
    <cfRule type="expression" dxfId="2007" priority="2494">
      <formula>MOD(ROW(), 2)=1</formula>
    </cfRule>
  </conditionalFormatting>
  <conditionalFormatting sqref="A164">
    <cfRule type="expression" dxfId="2006" priority="2493">
      <formula>MOD(ROW(), 2)=1</formula>
    </cfRule>
  </conditionalFormatting>
  <conditionalFormatting sqref="A163">
    <cfRule type="expression" dxfId="2005" priority="2492">
      <formula>MOD(ROW(), 2)=1</formula>
    </cfRule>
  </conditionalFormatting>
  <conditionalFormatting sqref="A167">
    <cfRule type="expression" dxfId="2004" priority="2491">
      <formula>MOD(ROW(), 2)=1</formula>
    </cfRule>
  </conditionalFormatting>
  <conditionalFormatting sqref="A168">
    <cfRule type="expression" dxfId="2003" priority="2490">
      <formula>MOD(ROW(), 2)=1</formula>
    </cfRule>
  </conditionalFormatting>
  <conditionalFormatting sqref="A169">
    <cfRule type="expression" dxfId="2002" priority="2489">
      <formula>MOD(ROW(), 2)=1</formula>
    </cfRule>
  </conditionalFormatting>
  <conditionalFormatting sqref="A170">
    <cfRule type="expression" dxfId="2001" priority="2488">
      <formula>MOD(ROW(), 2)=1</formula>
    </cfRule>
  </conditionalFormatting>
  <conditionalFormatting sqref="AY118:AZ118">
    <cfRule type="expression" dxfId="2000" priority="2487">
      <formula>MOD(ROW(), 2)=1</formula>
    </cfRule>
  </conditionalFormatting>
  <conditionalFormatting sqref="AX120">
    <cfRule type="expression" dxfId="1999" priority="2486">
      <formula>MOD(ROW(), 2)=1</formula>
    </cfRule>
  </conditionalFormatting>
  <conditionalFormatting sqref="I181:J181">
    <cfRule type="expression" dxfId="1998" priority="2485">
      <formula>MOD(ROW(), 2)=1</formula>
    </cfRule>
  </conditionalFormatting>
  <conditionalFormatting sqref="K181">
    <cfRule type="expression" dxfId="1997" priority="2484">
      <formula>MOD(ROW(), 2)=1</formula>
    </cfRule>
  </conditionalFormatting>
  <conditionalFormatting sqref="L181">
    <cfRule type="expression" dxfId="1996" priority="2483">
      <formula>MOD(ROW(), 2)=1</formula>
    </cfRule>
  </conditionalFormatting>
  <conditionalFormatting sqref="A128">
    <cfRule type="expression" dxfId="1995" priority="2482">
      <formula>MOD(ROW(), 2)=1</formula>
    </cfRule>
  </conditionalFormatting>
  <conditionalFormatting sqref="A125">
    <cfRule type="expression" dxfId="1994" priority="2481">
      <formula>MOD(ROW(), 2)=1</formula>
    </cfRule>
  </conditionalFormatting>
  <conditionalFormatting sqref="A126">
    <cfRule type="expression" dxfId="1993" priority="2480">
      <formula>MOD(ROW(), 2)=1</formula>
    </cfRule>
  </conditionalFormatting>
  <conditionalFormatting sqref="A129">
    <cfRule type="expression" dxfId="1992" priority="2479">
      <formula>MOD(ROW(), 2)=1</formula>
    </cfRule>
  </conditionalFormatting>
  <conditionalFormatting sqref="K133">
    <cfRule type="expression" dxfId="1991" priority="2478">
      <formula>MOD(ROW(), 2)=1</formula>
    </cfRule>
  </conditionalFormatting>
  <conditionalFormatting sqref="H133">
    <cfRule type="expression" dxfId="1990" priority="2477">
      <formula>MOD(ROW(), 2)=1</formula>
    </cfRule>
  </conditionalFormatting>
  <conditionalFormatting sqref="I133:J133">
    <cfRule type="expression" dxfId="1989" priority="2476">
      <formula>MOD(ROW(), 2)=1</formula>
    </cfRule>
  </conditionalFormatting>
  <conditionalFormatting sqref="K134">
    <cfRule type="expression" dxfId="1988" priority="2475">
      <formula>MOD(ROW(), 2)=1</formula>
    </cfRule>
  </conditionalFormatting>
  <conditionalFormatting sqref="H134">
    <cfRule type="expression" dxfId="1987" priority="2474">
      <formula>MOD(ROW(), 2)=1</formula>
    </cfRule>
  </conditionalFormatting>
  <conditionalFormatting sqref="I134:J134">
    <cfRule type="expression" dxfId="1986" priority="2473">
      <formula>MOD(ROW(), 2)=1</formula>
    </cfRule>
  </conditionalFormatting>
  <conditionalFormatting sqref="A171">
    <cfRule type="expression" dxfId="1985" priority="2472">
      <formula>MOD(ROW(), 2)=1</formula>
    </cfRule>
  </conditionalFormatting>
  <conditionalFormatting sqref="A172">
    <cfRule type="expression" dxfId="1984" priority="2471">
      <formula>MOD(ROW(), 2)=1</formula>
    </cfRule>
  </conditionalFormatting>
  <conditionalFormatting sqref="A173">
    <cfRule type="expression" dxfId="1983" priority="2470">
      <formula>MOD(ROW(), 2)=1</formula>
    </cfRule>
  </conditionalFormatting>
  <conditionalFormatting sqref="A174">
    <cfRule type="expression" dxfId="1982" priority="2469">
      <formula>MOD(ROW(), 2)=1</formula>
    </cfRule>
  </conditionalFormatting>
  <conditionalFormatting sqref="A175">
    <cfRule type="expression" dxfId="1981" priority="2468">
      <formula>MOD(ROW(), 2)=1</formula>
    </cfRule>
  </conditionalFormatting>
  <conditionalFormatting sqref="A155">
    <cfRule type="expression" dxfId="1980" priority="2467">
      <formula>MOD(ROW(), 2)=1</formula>
    </cfRule>
  </conditionalFormatting>
  <conditionalFormatting sqref="A156">
    <cfRule type="expression" dxfId="1979" priority="2466">
      <formula>MOD(ROW(), 2)=1</formula>
    </cfRule>
  </conditionalFormatting>
  <conditionalFormatting sqref="A122">
    <cfRule type="expression" dxfId="1978" priority="2465">
      <formula>MOD(ROW(), 2)=1</formula>
    </cfRule>
  </conditionalFormatting>
  <conditionalFormatting sqref="A123">
    <cfRule type="expression" dxfId="1977" priority="2464">
      <formula>MOD(ROW(), 2)=1</formula>
    </cfRule>
  </conditionalFormatting>
  <conditionalFormatting sqref="B137 E137:H137">
    <cfRule type="expression" dxfId="1976" priority="2463">
      <formula>MOD(ROW(), 2)=1</formula>
    </cfRule>
  </conditionalFormatting>
  <conditionalFormatting sqref="Q137:R137">
    <cfRule type="expression" dxfId="1975" priority="2462">
      <formula>MOD(ROW(), 2)=1</formula>
    </cfRule>
  </conditionalFormatting>
  <conditionalFormatting sqref="O137:P137">
    <cfRule type="expression" dxfId="1974" priority="2461">
      <formula>MOD(ROW(), 2)=1</formula>
    </cfRule>
  </conditionalFormatting>
  <conditionalFormatting sqref="A165">
    <cfRule type="expression" dxfId="1973" priority="2441">
      <formula>MOD(ROW(), 2)=1</formula>
    </cfRule>
  </conditionalFormatting>
  <conditionalFormatting sqref="AT178:AT181">
    <cfRule type="expression" dxfId="1972" priority="2459">
      <formula>MOD(ROW(), 2)=1</formula>
    </cfRule>
  </conditionalFormatting>
  <conditionalFormatting sqref="AU178:AU181">
    <cfRule type="expression" dxfId="1971" priority="2458">
      <formula>MOD(ROW(), 2)=1</formula>
    </cfRule>
  </conditionalFormatting>
  <conditionalFormatting sqref="AW122:AW134">
    <cfRule type="expression" dxfId="1970" priority="2450">
      <formula>MOD(ROW(), 2)=1</formula>
    </cfRule>
  </conditionalFormatting>
  <conditionalFormatting sqref="AV122:AV134 AV136">
    <cfRule type="expression" dxfId="1969" priority="2449">
      <formula>MOD(ROW(), 2)=1</formula>
    </cfRule>
  </conditionalFormatting>
  <conditionalFormatting sqref="U148:W152 U145:AB147 U144:W144 Y144:AB144 U143:AB143 U142:W142 Y142:AB142 U139:AB141 Y148:AB152 AD139:AK152">
    <cfRule type="expression" dxfId="1968" priority="2446">
      <formula>MOD(ROW(), 2)=1</formula>
    </cfRule>
  </conditionalFormatting>
  <conditionalFormatting sqref="U139:U152">
    <cfRule type="expression" dxfId="1967" priority="2445">
      <formula>"$J5!=$K5"</formula>
    </cfRule>
  </conditionalFormatting>
  <conditionalFormatting sqref="AL139:AL152">
    <cfRule type="expression" dxfId="1966" priority="2444">
      <formula>MOD(ROW(), 2)=1</formula>
    </cfRule>
  </conditionalFormatting>
  <conditionalFormatting sqref="AM139:AM152">
    <cfRule type="expression" dxfId="1965" priority="2443">
      <formula>MOD(ROW(), 2)=1</formula>
    </cfRule>
  </conditionalFormatting>
  <conditionalFormatting sqref="AN139:AN152">
    <cfRule type="expression" dxfId="1964" priority="2442">
      <formula>MOD(ROW(), 2)=1</formula>
    </cfRule>
  </conditionalFormatting>
  <conditionalFormatting sqref="X166">
    <cfRule type="expression" dxfId="1963" priority="2440">
      <formula>MOD(ROW(), 2)=1</formula>
    </cfRule>
  </conditionalFormatting>
  <conditionalFormatting sqref="Y169:AB169 AD169:AN169">
    <cfRule type="expression" dxfId="1962" priority="2439">
      <formula>MOD(ROW(), 2)=1</formula>
    </cfRule>
  </conditionalFormatting>
  <conditionalFormatting sqref="X169">
    <cfRule type="expression" dxfId="1961" priority="2438">
      <formula>MOD(ROW(), 2)=1</formula>
    </cfRule>
  </conditionalFormatting>
  <conditionalFormatting sqref="BA167:BA170">
    <cfRule type="expression" dxfId="1960" priority="2437">
      <formula>MOD(ROW(), 2)=1</formula>
    </cfRule>
  </conditionalFormatting>
  <conditionalFormatting sqref="AX167:AX170">
    <cfRule type="expression" dxfId="1959" priority="2436">
      <formula>MOD(ROW(), 2)=1</formula>
    </cfRule>
  </conditionalFormatting>
  <conditionalFormatting sqref="AZ167:AZ170">
    <cfRule type="expression" dxfId="1958" priority="2435">
      <formula>MOD(ROW(), 2)=1</formula>
    </cfRule>
  </conditionalFormatting>
  <conditionalFormatting sqref="AY167:AY170">
    <cfRule type="expression" dxfId="1957" priority="2434">
      <formula>MOD(ROW(), 2)=1</formula>
    </cfRule>
  </conditionalFormatting>
  <conditionalFormatting sqref="AT167">
    <cfRule type="expression" dxfId="1956" priority="2433">
      <formula>MOD(ROW(), 2)=1</formula>
    </cfRule>
  </conditionalFormatting>
  <conditionalFormatting sqref="AU167">
    <cfRule type="expression" dxfId="1955" priority="2432">
      <formula>MOD(ROW(), 2)=1</formula>
    </cfRule>
  </conditionalFormatting>
  <conditionalFormatting sqref="AR169">
    <cfRule type="expression" dxfId="1954" priority="2431">
      <formula>MOD(ROW(), 2)=1</formula>
    </cfRule>
  </conditionalFormatting>
  <conditionalFormatting sqref="AQ169">
    <cfRule type="expression" dxfId="1953" priority="2430">
      <formula>MOD(ROW(), 2)=1</formula>
    </cfRule>
  </conditionalFormatting>
  <conditionalFormatting sqref="AP169">
    <cfRule type="expression" dxfId="1952" priority="2429">
      <formula>MOD(ROW(), 2)=1</formula>
    </cfRule>
  </conditionalFormatting>
  <conditionalFormatting sqref="A166">
    <cfRule type="expression" dxfId="1951" priority="2428">
      <formula>MOD(ROW(), 2)=1</formula>
    </cfRule>
  </conditionalFormatting>
  <conditionalFormatting sqref="O152:O153 O147:O150 O140:O145">
    <cfRule type="expression" dxfId="1950" priority="2427">
      <formula>MOD(ROW(), 2)=1</formula>
    </cfRule>
  </conditionalFormatting>
  <conditionalFormatting sqref="P153">
    <cfRule type="expression" dxfId="1949" priority="2426">
      <formula>MOD(ROW(), 2)=1</formula>
    </cfRule>
  </conditionalFormatting>
  <conditionalFormatting sqref="A139">
    <cfRule type="expression" dxfId="1948" priority="2425">
      <formula>MOD(ROW(), 2)=1</formula>
    </cfRule>
  </conditionalFormatting>
  <conditionalFormatting sqref="H148">
    <cfRule type="expression" dxfId="1947" priority="2424">
      <formula>MOD(ROW(), 2)=1</formula>
    </cfRule>
  </conditionalFormatting>
  <conditionalFormatting sqref="J148">
    <cfRule type="expression" dxfId="1946" priority="2423">
      <formula>MOD(ROW(), 2)=1</formula>
    </cfRule>
  </conditionalFormatting>
  <conditionalFormatting sqref="I148">
    <cfRule type="expression" dxfId="1945" priority="2422">
      <formula>MOD(ROW(), 2)=1</formula>
    </cfRule>
  </conditionalFormatting>
  <conditionalFormatting sqref="X148:X152">
    <cfRule type="expression" dxfId="1944" priority="2421">
      <formula>MOD(ROW(), 2)=1</formula>
    </cfRule>
  </conditionalFormatting>
  <conditionalFormatting sqref="X144">
    <cfRule type="expression" dxfId="1943" priority="2420">
      <formula>MOD(ROW(), 2)=1</formula>
    </cfRule>
  </conditionalFormatting>
  <conditionalFormatting sqref="X142">
    <cfRule type="expression" dxfId="1942" priority="2419">
      <formula>MOD(ROW(), 2)=1</formula>
    </cfRule>
  </conditionalFormatting>
  <conditionalFormatting sqref="H150">
    <cfRule type="expression" dxfId="1941" priority="2418">
      <formula>MOD(ROW(), 2)=1</formula>
    </cfRule>
  </conditionalFormatting>
  <conditionalFormatting sqref="J150">
    <cfRule type="expression" dxfId="1940" priority="2417">
      <formula>MOD(ROW(), 2)=1</formula>
    </cfRule>
  </conditionalFormatting>
  <conditionalFormatting sqref="I150">
    <cfRule type="expression" dxfId="1939" priority="2416">
      <formula>MOD(ROW(), 2)=1</formula>
    </cfRule>
  </conditionalFormatting>
  <conditionalFormatting sqref="X176">
    <cfRule type="expression" dxfId="1938" priority="2415">
      <formula>MOD(ROW(), 2)=1</formula>
    </cfRule>
  </conditionalFormatting>
  <conditionalFormatting sqref="X174">
    <cfRule type="expression" dxfId="1937" priority="2414">
      <formula>MOD(ROW(), 2)=1</formula>
    </cfRule>
  </conditionalFormatting>
  <conditionalFormatting sqref="A176">
    <cfRule type="expression" dxfId="1936" priority="2413">
      <formula>MOD(ROW(), 2)=1</formula>
    </cfRule>
  </conditionalFormatting>
  <conditionalFormatting sqref="A148">
    <cfRule type="expression" dxfId="1935" priority="2412">
      <formula>MOD(ROW(), 2)=1</formula>
    </cfRule>
  </conditionalFormatting>
  <conditionalFormatting sqref="X157">
    <cfRule type="expression" dxfId="1934" priority="2411">
      <formula>MOD(ROW(), 2)=1</formula>
    </cfRule>
  </conditionalFormatting>
  <conditionalFormatting sqref="I157:J157">
    <cfRule type="expression" dxfId="1933" priority="2410">
      <formula>MOD(ROW(), 2)=1</formula>
    </cfRule>
  </conditionalFormatting>
  <conditionalFormatting sqref="A157">
    <cfRule type="expression" dxfId="1932" priority="2409">
      <formula>MOD(ROW(), 2)=1</formula>
    </cfRule>
  </conditionalFormatting>
  <conditionalFormatting sqref="H158">
    <cfRule type="expression" dxfId="1931" priority="2408">
      <formula>MOD(ROW(), 2)=1</formula>
    </cfRule>
  </conditionalFormatting>
  <conditionalFormatting sqref="I158:J158">
    <cfRule type="expression" dxfId="1930" priority="2407">
      <formula>MOD(ROW(), 2)=1</formula>
    </cfRule>
  </conditionalFormatting>
  <conditionalFormatting sqref="A158">
    <cfRule type="expression" dxfId="1929" priority="2405">
      <formula>MOD(ROW(), 2)=1</formula>
    </cfRule>
  </conditionalFormatting>
  <conditionalFormatting sqref="A150">
    <cfRule type="expression" dxfId="1928" priority="2403">
      <formula>MOD(ROW(), 2)=1</formula>
    </cfRule>
  </conditionalFormatting>
  <conditionalFormatting sqref="Y10:Y12">
    <cfRule type="expression" dxfId="1927" priority="2402">
      <formula>MOD(ROW(), 2)=1</formula>
    </cfRule>
  </conditionalFormatting>
  <conditionalFormatting sqref="AH165">
    <cfRule type="expression" dxfId="1926" priority="2401">
      <formula>MOD(ROW(), 2)=1</formula>
    </cfRule>
  </conditionalFormatting>
  <conditionalFormatting sqref="AH45">
    <cfRule type="expression" dxfId="1925" priority="2400">
      <formula>MOD(ROW(), 2)=1</formula>
    </cfRule>
  </conditionalFormatting>
  <conditionalFormatting sqref="AH40">
    <cfRule type="expression" dxfId="1924" priority="2399">
      <formula>MOD(ROW(), 2)=1</formula>
    </cfRule>
  </conditionalFormatting>
  <conditionalFormatting sqref="AH33">
    <cfRule type="expression" dxfId="1923" priority="2398">
      <formula>MOD(ROW(), 2)=1</formula>
    </cfRule>
  </conditionalFormatting>
  <conditionalFormatting sqref="AH32">
    <cfRule type="expression" dxfId="1922" priority="2397">
      <formula>MOD(ROW(), 2)=1</formula>
    </cfRule>
  </conditionalFormatting>
  <conditionalFormatting sqref="A134">
    <cfRule type="expression" dxfId="1921" priority="2396">
      <formula>MOD(ROW(), 2)=1</formula>
    </cfRule>
  </conditionalFormatting>
  <conditionalFormatting sqref="A124">
    <cfRule type="expression" dxfId="1920" priority="2395">
      <formula>MOD(ROW(), 2)=1</formula>
    </cfRule>
  </conditionalFormatting>
  <conditionalFormatting sqref="A136">
    <cfRule type="expression" dxfId="1919" priority="2375">
      <formula>MOD(ROW(), 2)=1</formula>
    </cfRule>
  </conditionalFormatting>
  <conditionalFormatting sqref="I135:K135 M138 I136:J136 M135 I138:J138">
    <cfRule type="expression" dxfId="1918" priority="2393">
      <formula>MOD(ROW(), 2)=1</formula>
    </cfRule>
  </conditionalFormatting>
  <conditionalFormatting sqref="M136">
    <cfRule type="expression" dxfId="1917" priority="2392">
      <formula>MOD(ROW(), 2)=1</formula>
    </cfRule>
  </conditionalFormatting>
  <conditionalFormatting sqref="J137">
    <cfRule type="expression" dxfId="1916" priority="2391">
      <formula>MOD(ROW(), 2)=1</formula>
    </cfRule>
  </conditionalFormatting>
  <conditionalFormatting sqref="M137">
    <cfRule type="expression" dxfId="1915" priority="2390">
      <formula>MOD(ROW(), 2)=1</formula>
    </cfRule>
  </conditionalFormatting>
  <conditionalFormatting sqref="I137">
    <cfRule type="expression" dxfId="1914" priority="2389">
      <formula>MOD(ROW(), 2)=1</formula>
    </cfRule>
  </conditionalFormatting>
  <conditionalFormatting sqref="K138 K136">
    <cfRule type="expression" dxfId="1913" priority="2388">
      <formula>MOD(ROW(), 2)=1</formula>
    </cfRule>
  </conditionalFormatting>
  <conditionalFormatting sqref="K137">
    <cfRule type="expression" dxfId="1912" priority="2387">
      <formula>MOD(ROW(), 2)=1</formula>
    </cfRule>
  </conditionalFormatting>
  <conditionalFormatting sqref="L135:L138">
    <cfRule type="expression" dxfId="1911" priority="2386">
      <formula>MOD(ROW(), 2)=1</formula>
    </cfRule>
  </conditionalFormatting>
  <conditionalFormatting sqref="N135">
    <cfRule type="expression" dxfId="1910" priority="2385">
      <formula>MOD(ROW(), 2)=1</formula>
    </cfRule>
  </conditionalFormatting>
  <conditionalFormatting sqref="N137">
    <cfRule type="expression" dxfId="1909" priority="2384">
      <formula>MOD(ROW(), 2)=1</formula>
    </cfRule>
  </conditionalFormatting>
  <conditionalFormatting sqref="N138">
    <cfRule type="expression" dxfId="1908" priority="2383">
      <formula>MOD(ROW(), 2)=1</formula>
    </cfRule>
  </conditionalFormatting>
  <conditionalFormatting sqref="N136">
    <cfRule type="expression" dxfId="1907" priority="2382">
      <formula>MOD(ROW(), 2)=1</formula>
    </cfRule>
  </conditionalFormatting>
  <conditionalFormatting sqref="AV135:AW135">
    <cfRule type="expression" dxfId="1906" priority="2381">
      <formula>MOD(ROW(), 2)=1</formula>
    </cfRule>
  </conditionalFormatting>
  <conditionalFormatting sqref="AV137:AV138">
    <cfRule type="expression" dxfId="1905" priority="2380">
      <formula>MOD(ROW(), 2)=1</formula>
    </cfRule>
  </conditionalFormatting>
  <conditionalFormatting sqref="A137">
    <cfRule type="expression" dxfId="1904" priority="2379">
      <formula>MOD(ROW(), 2)=1</formula>
    </cfRule>
  </conditionalFormatting>
  <conditionalFormatting sqref="A138">
    <cfRule type="expression" dxfId="1903" priority="2378">
      <formula>MOD(ROW(), 2)=1</formula>
    </cfRule>
  </conditionalFormatting>
  <conditionalFormatting sqref="A135">
    <cfRule type="expression" dxfId="1902" priority="2377">
      <formula>MOD(ROW(), 2)=1</formula>
    </cfRule>
  </conditionalFormatting>
  <conditionalFormatting sqref="X138">
    <cfRule type="expression" dxfId="1901" priority="2376">
      <formula>MOD(ROW(), 2)=1</formula>
    </cfRule>
  </conditionalFormatting>
  <conditionalFormatting sqref="C182">
    <cfRule type="expression" dxfId="1900" priority="2373">
      <formula>MOD(ROW(), 2)=1</formula>
    </cfRule>
  </conditionalFormatting>
  <conditionalFormatting sqref="U182:V182 U185:V185">
    <cfRule type="expression" dxfId="1899" priority="2371">
      <formula>MOD(ROW(), 2)=1</formula>
    </cfRule>
  </conditionalFormatting>
  <conditionalFormatting sqref="U182 U185">
    <cfRule type="expression" dxfId="1898" priority="2370">
      <formula>"$J5!=$K5"</formula>
    </cfRule>
  </conditionalFormatting>
  <conditionalFormatting sqref="M182">
    <cfRule type="expression" dxfId="1897" priority="2369">
      <formula>MOD(ROW(), 2)=1</formula>
    </cfRule>
  </conditionalFormatting>
  <conditionalFormatting sqref="I182:J182">
    <cfRule type="expression" dxfId="1896" priority="2367">
      <formula>MOD(ROW(), 2)=1</formula>
    </cfRule>
  </conditionalFormatting>
  <conditionalFormatting sqref="K182">
    <cfRule type="expression" dxfId="1895" priority="2366">
      <formula>MOD(ROW(), 2)=1</formula>
    </cfRule>
  </conditionalFormatting>
  <conditionalFormatting sqref="L182">
    <cfRule type="expression" dxfId="1894" priority="2365">
      <formula>MOD(ROW(), 2)=1</formula>
    </cfRule>
  </conditionalFormatting>
  <conditionalFormatting sqref="N182">
    <cfRule type="expression" dxfId="1893" priority="2364">
      <formula>MOD(ROW(), 2)=1</formula>
    </cfRule>
  </conditionalFormatting>
  <conditionalFormatting sqref="W182">
    <cfRule type="expression" dxfId="1892" priority="2363">
      <formula>MOD(ROW(), 2)=1</formula>
    </cfRule>
  </conditionalFormatting>
  <conditionalFormatting sqref="AS178">
    <cfRule type="expression" dxfId="1891" priority="2362">
      <formula>MOD(ROW(), 2)=1</formula>
    </cfRule>
  </conditionalFormatting>
  <conditionalFormatting sqref="AS177">
    <cfRule type="expression" dxfId="1890" priority="2361">
      <formula>MOD(ROW(), 2)=1</formula>
    </cfRule>
  </conditionalFormatting>
  <conditionalFormatting sqref="AS167:AS176">
    <cfRule type="expression" dxfId="1889" priority="2360">
      <formula>MOD(ROW(), 2)=1</formula>
    </cfRule>
  </conditionalFormatting>
  <conditionalFormatting sqref="AS165">
    <cfRule type="expression" dxfId="1888" priority="2359">
      <formula>MOD(ROW(), 2)=1</formula>
    </cfRule>
  </conditionalFormatting>
  <conditionalFormatting sqref="AS162">
    <cfRule type="expression" dxfId="1887" priority="2358">
      <formula>MOD(ROW(), 2)=1</formula>
    </cfRule>
  </conditionalFormatting>
  <conditionalFormatting sqref="AS158:AS160">
    <cfRule type="expression" dxfId="1886" priority="2357">
      <formula>MOD(ROW(), 2)=1</formula>
    </cfRule>
  </conditionalFormatting>
  <conditionalFormatting sqref="AS135:AS137 AS140:AS156">
    <cfRule type="expression" dxfId="1885" priority="2356">
      <formula>MOD(ROW(), 2)=1</formula>
    </cfRule>
  </conditionalFormatting>
  <conditionalFormatting sqref="AS123:AS132">
    <cfRule type="expression" dxfId="1884" priority="2355">
      <formula>MOD(ROW(), 2)=1</formula>
    </cfRule>
  </conditionalFormatting>
  <conditionalFormatting sqref="AS120:AS121">
    <cfRule type="expression" dxfId="1883" priority="2354">
      <formula>MOD(ROW(), 2)=1</formula>
    </cfRule>
  </conditionalFormatting>
  <conditionalFormatting sqref="AR70:AR75 AR78:AR87">
    <cfRule type="expression" dxfId="1882" priority="2353">
      <formula>MOD(ROW(), 2)=1</formula>
    </cfRule>
  </conditionalFormatting>
  <conditionalFormatting sqref="AR88">
    <cfRule type="expression" dxfId="1881" priority="2352">
      <formula>MOD(ROW(), 2)=1</formula>
    </cfRule>
  </conditionalFormatting>
  <conditionalFormatting sqref="AS70:AS75 AS78:AS88">
    <cfRule type="expression" dxfId="1880" priority="2351">
      <formula>MOD(ROW(), 2)=1</formula>
    </cfRule>
  </conditionalFormatting>
  <conditionalFormatting sqref="AS55:AS63">
    <cfRule type="expression" dxfId="1879" priority="2350">
      <formula>MOD(ROW(), 2)=1</formula>
    </cfRule>
  </conditionalFormatting>
  <conditionalFormatting sqref="AS50:AS53">
    <cfRule type="expression" dxfId="1878" priority="2349">
      <formula>MOD(ROW(), 2)=1</formula>
    </cfRule>
  </conditionalFormatting>
  <conditionalFormatting sqref="AR32:AR41">
    <cfRule type="expression" dxfId="1877" priority="2348">
      <formula>MOD(ROW(), 2)=1</formula>
    </cfRule>
  </conditionalFormatting>
  <conditionalFormatting sqref="AR45">
    <cfRule type="expression" dxfId="1876" priority="2347">
      <formula>MOD(ROW(), 2)=1</formula>
    </cfRule>
  </conditionalFormatting>
  <conditionalFormatting sqref="AR43">
    <cfRule type="expression" dxfId="1875" priority="2346">
      <formula>MOD(ROW(), 2)=1</formula>
    </cfRule>
  </conditionalFormatting>
  <conditionalFormatting sqref="AR48">
    <cfRule type="expression" dxfId="1874" priority="2345">
      <formula>MOD(ROW(), 2)=1</formula>
    </cfRule>
  </conditionalFormatting>
  <conditionalFormatting sqref="AR42">
    <cfRule type="expression" dxfId="1873" priority="2344">
      <formula>MOD(ROW(), 2)=1</formula>
    </cfRule>
  </conditionalFormatting>
  <conditionalFormatting sqref="AR46">
    <cfRule type="expression" dxfId="1872" priority="2343">
      <formula>MOD(ROW(), 2)=1</formula>
    </cfRule>
  </conditionalFormatting>
  <conditionalFormatting sqref="AR47">
    <cfRule type="expression" dxfId="1871" priority="2342">
      <formula>MOD(ROW(), 2)=1</formula>
    </cfRule>
  </conditionalFormatting>
  <conditionalFormatting sqref="AR44">
    <cfRule type="expression" dxfId="1870" priority="2341">
      <formula>MOD(ROW(), 2)=1</formula>
    </cfRule>
  </conditionalFormatting>
  <conditionalFormatting sqref="AS32:AS48">
    <cfRule type="expression" dxfId="1869" priority="2340">
      <formula>MOD(ROW(), 2)=1</formula>
    </cfRule>
  </conditionalFormatting>
  <conditionalFormatting sqref="AS4:AS28">
    <cfRule type="expression" dxfId="1868" priority="2339">
      <formula>MOD(ROW(), 2)=1</formula>
    </cfRule>
  </conditionalFormatting>
  <conditionalFormatting sqref="A186">
    <cfRule type="expression" dxfId="1867" priority="2337">
      <formula>MOD(ROW(), 2)=1</formula>
    </cfRule>
  </conditionalFormatting>
  <conditionalFormatting sqref="BA186:BA190">
    <cfRule type="expression" dxfId="1866" priority="2335">
      <formula>MOD(ROW(), 2)=1</formula>
    </cfRule>
  </conditionalFormatting>
  <conditionalFormatting sqref="AZ188:AZ190">
    <cfRule type="expression" dxfId="1865" priority="2334">
      <formula>MOD(ROW(), 2)=1</formula>
    </cfRule>
  </conditionalFormatting>
  <conditionalFormatting sqref="AL186:AL190 AY188:AY190 AW186:AW189 AR186:AR190 P186:P190">
    <cfRule type="expression" dxfId="1864" priority="2333">
      <formula>MOD(ROW(), 2)=1</formula>
    </cfRule>
  </conditionalFormatting>
  <conditionalFormatting sqref="AM186:AM190">
    <cfRule type="expression" dxfId="1863" priority="2332">
      <formula>MOD(ROW(), 2)=1</formula>
    </cfRule>
  </conditionalFormatting>
  <conditionalFormatting sqref="AV186:AV189">
    <cfRule type="expression" dxfId="1862" priority="2331">
      <formula>MOD(ROW(), 2)=1</formula>
    </cfRule>
  </conditionalFormatting>
  <conditionalFormatting sqref="AQ189 AP186 AN186:AN190">
    <cfRule type="expression" dxfId="1861" priority="2330">
      <formula>MOD(ROW(), 2)=1</formula>
    </cfRule>
  </conditionalFormatting>
  <conditionalFormatting sqref="J186 B186:B190">
    <cfRule type="expression" dxfId="1860" priority="2329">
      <formula>MOD(ROW(), 2)=1</formula>
    </cfRule>
  </conditionalFormatting>
  <conditionalFormatting sqref="K186">
    <cfRule type="expression" dxfId="1859" priority="2328">
      <formula>MOD(ROW(), 2)=1</formula>
    </cfRule>
  </conditionalFormatting>
  <conditionalFormatting sqref="I186">
    <cfRule type="expression" dxfId="1858" priority="2327">
      <formula>MOD(ROW(), 2)=1</formula>
    </cfRule>
  </conditionalFormatting>
  <conditionalFormatting sqref="X186 AD186:AK190 Z186:Z190 Q186:Q190">
    <cfRule type="expression" dxfId="1857" priority="2326">
      <formula>MOD(ROW(), 2)=1</formula>
    </cfRule>
  </conditionalFormatting>
  <conditionalFormatting sqref="AT188:AU190">
    <cfRule type="expression" dxfId="1856" priority="2323">
      <formula>MOD(ROW(), 2)=1</formula>
    </cfRule>
  </conditionalFormatting>
  <conditionalFormatting sqref="AX188:AX190">
    <cfRule type="expression" dxfId="1855" priority="2322">
      <formula>MOD(ROW(), 2)=1</formula>
    </cfRule>
  </conditionalFormatting>
  <conditionalFormatting sqref="AX188:AX190">
    <cfRule type="expression" dxfId="1854" priority="2321">
      <formula>MOD(ROW(), 2)=1</formula>
    </cfRule>
  </conditionalFormatting>
  <conditionalFormatting sqref="U186:V190">
    <cfRule type="expression" dxfId="1853" priority="2320">
      <formula>MOD(ROW(), 2)=1</formula>
    </cfRule>
  </conditionalFormatting>
  <conditionalFormatting sqref="U186:U190">
    <cfRule type="expression" dxfId="1852" priority="2319">
      <formula>"$J5!=$K5"</formula>
    </cfRule>
  </conditionalFormatting>
  <conditionalFormatting sqref="BA183:BA184">
    <cfRule type="expression" dxfId="1851" priority="2316">
      <formula>MOD(ROW(), 2)=1</formula>
    </cfRule>
  </conditionalFormatting>
  <conditionalFormatting sqref="O183:P184 AL183:AL184 AR183:AU183 AX183:AX184 AR184 AT184:AU184">
    <cfRule type="expression" dxfId="1850" priority="2315">
      <formula>MOD(ROW(), 2)=1</formula>
    </cfRule>
  </conditionalFormatting>
  <conditionalFormatting sqref="AM183:AM184">
    <cfRule type="expression" dxfId="1849" priority="2314">
      <formula>MOD(ROW(), 2)=1</formula>
    </cfRule>
  </conditionalFormatting>
  <conditionalFormatting sqref="AN183:AO184 AQ184">
    <cfRule type="expression" dxfId="1848" priority="2313">
      <formula>MOD(ROW(), 2)=1</formula>
    </cfRule>
  </conditionalFormatting>
  <conditionalFormatting sqref="B183:B184 D183:D184 F183:G183">
    <cfRule type="expression" dxfId="1847" priority="2312">
      <formula>MOD(ROW(), 2)=1</formula>
    </cfRule>
  </conditionalFormatting>
  <conditionalFormatting sqref="Q183:R183 X183:AB183 X184 AD184:AM190 Z184 Q184 AD183:AK183">
    <cfRule type="expression" dxfId="1846" priority="2311">
      <formula>MOD(ROW(), 2)=1</formula>
    </cfRule>
  </conditionalFormatting>
  <conditionalFormatting sqref="T183:T184">
    <cfRule type="expression" dxfId="1845" priority="2310">
      <formula>"$J5!=$K5"</formula>
    </cfRule>
  </conditionalFormatting>
  <conditionalFormatting sqref="T183:T184">
    <cfRule type="expression" dxfId="1844" priority="2309">
      <formula>MOD(ROW(), 2)=1</formula>
    </cfRule>
  </conditionalFormatting>
  <conditionalFormatting sqref="AY183:AZ184">
    <cfRule type="expression" dxfId="1843" priority="2308">
      <formula>MOD(ROW(), 2)=1</formula>
    </cfRule>
  </conditionalFormatting>
  <conditionalFormatting sqref="U183:V183">
    <cfRule type="expression" dxfId="1842" priority="2306">
      <formula>MOD(ROW(), 2)=1</formula>
    </cfRule>
  </conditionalFormatting>
  <conditionalFormatting sqref="U183">
    <cfRule type="expression" dxfId="1841" priority="2305">
      <formula>"$J5!=$K5"</formula>
    </cfRule>
  </conditionalFormatting>
  <conditionalFormatting sqref="W183">
    <cfRule type="expression" dxfId="1840" priority="2304">
      <formula>MOD(ROW(), 2)=1</formula>
    </cfRule>
  </conditionalFormatting>
  <conditionalFormatting sqref="A183">
    <cfRule type="expression" dxfId="1839" priority="2303">
      <formula>MOD(ROW(), 2)=1</formula>
    </cfRule>
  </conditionalFormatting>
  <conditionalFormatting sqref="H183">
    <cfRule type="expression" dxfId="1838" priority="2302">
      <formula>MOD(ROW(), 2)=1</formula>
    </cfRule>
  </conditionalFormatting>
  <conditionalFormatting sqref="M183">
    <cfRule type="expression" dxfId="1837" priority="2301">
      <formula>MOD(ROW(), 2)=1</formula>
    </cfRule>
  </conditionalFormatting>
  <conditionalFormatting sqref="I183:J183 J184">
    <cfRule type="expression" dxfId="1836" priority="2300">
      <formula>MOD(ROW(), 2)=1</formula>
    </cfRule>
  </conditionalFormatting>
  <conditionalFormatting sqref="K183">
    <cfRule type="expression" dxfId="1835" priority="2299">
      <formula>MOD(ROW(), 2)=1</formula>
    </cfRule>
  </conditionalFormatting>
  <conditionalFormatting sqref="L183">
    <cfRule type="expression" dxfId="1834" priority="2298">
      <formula>MOD(ROW(), 2)=1</formula>
    </cfRule>
  </conditionalFormatting>
  <conditionalFormatting sqref="N183:N184">
    <cfRule type="expression" dxfId="1833" priority="2297">
      <formula>MOD(ROW(), 2)=1</formula>
    </cfRule>
  </conditionalFormatting>
  <conditionalFormatting sqref="X182">
    <cfRule type="expression" dxfId="1832" priority="2296">
      <formula>MOD(ROW(), 2)=1</formula>
    </cfRule>
  </conditionalFormatting>
  <conditionalFormatting sqref="D135:D137">
    <cfRule type="expression" dxfId="1831" priority="2295">
      <formula>MOD(ROW(), 2)=1</formula>
    </cfRule>
  </conditionalFormatting>
  <conditionalFormatting sqref="E182:E184 E118:E121">
    <cfRule type="expression" dxfId="1830" priority="2294">
      <formula>MOD(ROW(), 2)=1</formula>
    </cfRule>
  </conditionalFormatting>
  <conditionalFormatting sqref="G54">
    <cfRule type="expression" dxfId="1829" priority="2293">
      <formula>MOD(ROW(), 2)=1</formula>
    </cfRule>
  </conditionalFormatting>
  <conditionalFormatting sqref="F54 F27:F28">
    <cfRule type="expression" dxfId="1828" priority="2292">
      <formula>MOD(ROW(), 2)=1</formula>
    </cfRule>
  </conditionalFormatting>
  <conditionalFormatting sqref="H27:H28">
    <cfRule type="expression" dxfId="1827" priority="2291">
      <formula>MOD(ROW(), 2)=1</formula>
    </cfRule>
  </conditionalFormatting>
  <conditionalFormatting sqref="AV119:AV121">
    <cfRule type="expression" dxfId="1826" priority="2290">
      <formula>MOD(ROW(), 2)=1</formula>
    </cfRule>
  </conditionalFormatting>
  <conditionalFormatting sqref="AV182:AW190">
    <cfRule type="expression" dxfId="1825" priority="2289">
      <formula>MOD(ROW(), 2)=1</formula>
    </cfRule>
  </conditionalFormatting>
  <conditionalFormatting sqref="AW120">
    <cfRule type="expression" dxfId="1824" priority="2288">
      <formula>MOD(ROW(), 2)=1</formula>
    </cfRule>
  </conditionalFormatting>
  <conditionalFormatting sqref="A182">
    <cfRule type="expression" dxfId="1823" priority="2287">
      <formula>MOD(ROW(), 2)=1</formula>
    </cfRule>
  </conditionalFormatting>
  <conditionalFormatting sqref="W64:W69 G64:L69 U64:V66 Z65:AA66 Z64:AN64 AN67:AN69 AD65:AN66 AT64:BA66 AT68:BA69 A64:C69 AB65:AC69 Q64:R69 T64:T69">
    <cfRule type="expression" dxfId="1822" priority="2286">
      <formula>MOD(ROW(), 2)=1</formula>
    </cfRule>
  </conditionalFormatting>
  <conditionalFormatting sqref="T64:U69">
    <cfRule type="expression" dxfId="1821" priority="2285">
      <formula>"$J5!=$K5"</formula>
    </cfRule>
  </conditionalFormatting>
  <conditionalFormatting sqref="M64:P64 O65 M65:N69 U67:W67 Z67:AA67 U68:AA68 O67:O69 AD67:AM69 P65:P69 U69:W69 Z69:AA69">
    <cfRule type="expression" dxfId="1820" priority="2284">
      <formula>MOD(ROW(), 2)=1</formula>
    </cfRule>
  </conditionalFormatting>
  <conditionalFormatting sqref="D64:D69">
    <cfRule type="expression" dxfId="1819" priority="2283">
      <formula>MOD(ROW(), 2)=1</formula>
    </cfRule>
  </conditionalFormatting>
  <conditionalFormatting sqref="AS76">
    <cfRule type="expression" dxfId="1818" priority="2269">
      <formula>MOD(ROW(), 2)=1</formula>
    </cfRule>
  </conditionalFormatting>
  <conditionalFormatting sqref="F64:F69">
    <cfRule type="expression" dxfId="1817" priority="2281">
      <formula>MOD(ROW(), 2)=1</formula>
    </cfRule>
  </conditionalFormatting>
  <conditionalFormatting sqref="Y64:Y67">
    <cfRule type="expression" dxfId="1816" priority="2280">
      <formula>MOD(ROW(), 2)=1</formula>
    </cfRule>
  </conditionalFormatting>
  <conditionalFormatting sqref="O66">
    <cfRule type="expression" dxfId="1815" priority="2279">
      <formula>MOD(ROW(), 2)=1</formula>
    </cfRule>
  </conditionalFormatting>
  <conditionalFormatting sqref="AS66">
    <cfRule type="expression" dxfId="1814" priority="2277">
      <formula>MOD(ROW(), 2)=1</formula>
    </cfRule>
  </conditionalFormatting>
  <conditionalFormatting sqref="AS65">
    <cfRule type="expression" dxfId="1813" priority="2276">
      <formula>MOD(ROW(), 2)=1</formula>
    </cfRule>
  </conditionalFormatting>
  <conditionalFormatting sqref="W76:W77 Q77:R77 G76:L77 AB76:AC77 AN76:AN77 AT76:BA76 A76:C77 R76 T76:T77">
    <cfRule type="expression" dxfId="1812" priority="2275">
      <formula>MOD(ROW(), 2)=1</formula>
    </cfRule>
  </conditionalFormatting>
  <conditionalFormatting sqref="T76:U77">
    <cfRule type="expression" dxfId="1811" priority="2274">
      <formula>"$J5!=$K5"</formula>
    </cfRule>
  </conditionalFormatting>
  <conditionalFormatting sqref="U76:AA77 M76:O77 AD76:AM77">
    <cfRule type="expression" dxfId="1810" priority="2273">
      <formula>MOD(ROW(), 2)=1</formula>
    </cfRule>
  </conditionalFormatting>
  <conditionalFormatting sqref="D76:D77">
    <cfRule type="expression" dxfId="1809" priority="2272">
      <formula>MOD(ROW(), 2)=1</formula>
    </cfRule>
  </conditionalFormatting>
  <conditionalFormatting sqref="G29:L31 Q29:R31 X29:AB29 AT29:BA29 M29:P30 B29:C31 Z30:AB31 AL31:AO31 AD31:AJ31 AD29:AO30 T29:W31">
    <cfRule type="expression" dxfId="1808" priority="2268">
      <formula>MOD(ROW(), 2)=1</formula>
    </cfRule>
  </conditionalFormatting>
  <conditionalFormatting sqref="F76:F77">
    <cfRule type="expression" dxfId="1807" priority="2270">
      <formula>MOD(ROW(), 2)=1</formula>
    </cfRule>
  </conditionalFormatting>
  <conditionalFormatting sqref="T29:U31">
    <cfRule type="expression" dxfId="1806" priority="2267">
      <formula>"$J5!=$K5"</formula>
    </cfRule>
  </conditionalFormatting>
  <conditionalFormatting sqref="M31:N31 P30">
    <cfRule type="expression" dxfId="1805" priority="2266">
      <formula>MOD(ROW(), 2)=1</formula>
    </cfRule>
  </conditionalFormatting>
  <conditionalFormatting sqref="D29:D31">
    <cfRule type="expression" dxfId="1804" priority="2265">
      <formula>MOD(ROW(), 2)=1</formula>
    </cfRule>
  </conditionalFormatting>
  <conditionalFormatting sqref="E29:E31">
    <cfRule type="expression" dxfId="1803" priority="2264">
      <formula>MOD(ROW(), 2)=1</formula>
    </cfRule>
  </conditionalFormatting>
  <conditionalFormatting sqref="F29:F31">
    <cfRule type="expression" dxfId="1802" priority="2263">
      <formula>MOD(ROW(), 2)=1</formula>
    </cfRule>
  </conditionalFormatting>
  <conditionalFormatting sqref="X31">
    <cfRule type="expression" dxfId="1801" priority="2262">
      <formula>MOD(ROW(), 2)=1</formula>
    </cfRule>
  </conditionalFormatting>
  <conditionalFormatting sqref="Y31">
    <cfRule type="expression" dxfId="1800" priority="2261">
      <formula>MOD(ROW(), 2)=1</formula>
    </cfRule>
  </conditionalFormatting>
  <conditionalFormatting sqref="Y30">
    <cfRule type="expression" dxfId="1799" priority="2260">
      <formula>MOD(ROW(), 2)=1</formula>
    </cfRule>
  </conditionalFormatting>
  <conditionalFormatting sqref="X30">
    <cfRule type="expression" dxfId="1798" priority="2259">
      <formula>MOD(ROW(), 2)=1</formula>
    </cfRule>
  </conditionalFormatting>
  <conditionalFormatting sqref="O31">
    <cfRule type="expression" dxfId="1797" priority="2258">
      <formula>MOD(ROW(), 2)=1</formula>
    </cfRule>
  </conditionalFormatting>
  <conditionalFormatting sqref="AS29">
    <cfRule type="expression" dxfId="1796" priority="2257">
      <formula>MOD(ROW(), 2)=1</formula>
    </cfRule>
  </conditionalFormatting>
  <conditionalFormatting sqref="E64:E69">
    <cfRule type="expression" dxfId="1795" priority="2256">
      <formula>MOD(ROW(), 2)=1</formula>
    </cfRule>
  </conditionalFormatting>
  <conditionalFormatting sqref="E76">
    <cfRule type="expression" dxfId="1794" priority="2255">
      <formula>MOD(ROW(), 2)=1</formula>
    </cfRule>
  </conditionalFormatting>
  <conditionalFormatting sqref="AS185:AS190">
    <cfRule type="expression" dxfId="1793" priority="2254">
      <formula>MOD(ROW(), 2)=1</formula>
    </cfRule>
  </conditionalFormatting>
  <conditionalFormatting sqref="AP185">
    <cfRule type="expression" dxfId="1792" priority="2253">
      <formula>MOD(ROW(), 2)=1</formula>
    </cfRule>
  </conditionalFormatting>
  <conditionalFormatting sqref="A184">
    <cfRule type="expression" dxfId="1791" priority="2252">
      <formula>MOD(ROW(), 2)=1</formula>
    </cfRule>
  </conditionalFormatting>
  <conditionalFormatting sqref="U184:V184">
    <cfRule type="expression" dxfId="1790" priority="2251">
      <formula>MOD(ROW(), 2)=1</formula>
    </cfRule>
  </conditionalFormatting>
  <conditionalFormatting sqref="U184">
    <cfRule type="expression" dxfId="1789" priority="2250">
      <formula>"$J5!=$K5"</formula>
    </cfRule>
  </conditionalFormatting>
  <conditionalFormatting sqref="C184:C190">
    <cfRule type="expression" dxfId="1788" priority="2249">
      <formula>MOD(ROW(), 2)=1</formula>
    </cfRule>
  </conditionalFormatting>
  <conditionalFormatting sqref="C183">
    <cfRule type="expression" dxfId="1787" priority="2248">
      <formula>MOD(ROW(), 2)=1</formula>
    </cfRule>
  </conditionalFormatting>
  <conditionalFormatting sqref="D185:D190">
    <cfRule type="expression" dxfId="1786" priority="2247">
      <formula>MOD(ROW(), 2)=1</formula>
    </cfRule>
  </conditionalFormatting>
  <conditionalFormatting sqref="E185:E190">
    <cfRule type="expression" dxfId="1785" priority="2246">
      <formula>MOD(ROW(), 2)=1</formula>
    </cfRule>
  </conditionalFormatting>
  <conditionalFormatting sqref="F184:F190">
    <cfRule type="expression" dxfId="1784" priority="2245">
      <formula>MOD(ROW(), 2)=1</formula>
    </cfRule>
  </conditionalFormatting>
  <conditionalFormatting sqref="G184:G190">
    <cfRule type="expression" dxfId="1783" priority="2244">
      <formula>MOD(ROW(), 2)=1</formula>
    </cfRule>
  </conditionalFormatting>
  <conditionalFormatting sqref="AO185:AO190">
    <cfRule type="expression" dxfId="1782" priority="2243">
      <formula>MOD(ROW(), 2)=1</formula>
    </cfRule>
  </conditionalFormatting>
  <conditionalFormatting sqref="AS184">
    <cfRule type="expression" dxfId="1781" priority="2242">
      <formula>MOD(ROW(), 2)=1</formula>
    </cfRule>
  </conditionalFormatting>
  <conditionalFormatting sqref="AV190:AW190">
    <cfRule type="expression" dxfId="1780" priority="2241">
      <formula>MOD(ROW(), 2)=1</formula>
    </cfRule>
  </conditionalFormatting>
  <conditionalFormatting sqref="AP184">
    <cfRule type="expression" dxfId="1779" priority="2240">
      <formula>MOD(ROW(), 2)=1</formula>
    </cfRule>
  </conditionalFormatting>
  <conditionalFormatting sqref="AP189">
    <cfRule type="expression" dxfId="1778" priority="2239">
      <formula>MOD(ROW(), 2)=1</formula>
    </cfRule>
  </conditionalFormatting>
  <conditionalFormatting sqref="AB185:AB186 AB187:AC189">
    <cfRule type="expression" dxfId="1777" priority="2238">
      <formula>MOD(ROW(), 2)=1</formula>
    </cfRule>
  </conditionalFormatting>
  <conditionalFormatting sqref="AA184:AA190">
    <cfRule type="expression" dxfId="1776" priority="2237">
      <formula>MOD(ROW(), 2)=1</formula>
    </cfRule>
  </conditionalFormatting>
  <conditionalFormatting sqref="W184:W190">
    <cfRule type="expression" dxfId="1775" priority="2236">
      <formula>MOD(ROW(), 2)=1</formula>
    </cfRule>
  </conditionalFormatting>
  <conditionalFormatting sqref="Y184:Y190">
    <cfRule type="expression" dxfId="1774" priority="2235">
      <formula>MOD(ROW(), 2)=1</formula>
    </cfRule>
  </conditionalFormatting>
  <conditionalFormatting sqref="M184:M190">
    <cfRule type="expression" dxfId="1773" priority="2234">
      <formula>MOD(ROW(), 2)=1</formula>
    </cfRule>
  </conditionalFormatting>
  <conditionalFormatting sqref="R186:R187">
    <cfRule type="expression" dxfId="1772" priority="2233">
      <formula>MOD(ROW(), 2)=1</formula>
    </cfRule>
  </conditionalFormatting>
  <conditionalFormatting sqref="R184">
    <cfRule type="expression" dxfId="1771" priority="2232">
      <formula>MOD(ROW(), 2)=1</formula>
    </cfRule>
  </conditionalFormatting>
  <conditionalFormatting sqref="R185">
    <cfRule type="expression" dxfId="1770" priority="2231">
      <formula>MOD(ROW(), 2)=1</formula>
    </cfRule>
  </conditionalFormatting>
  <conditionalFormatting sqref="R188">
    <cfRule type="expression" dxfId="1769" priority="2230">
      <formula>MOD(ROW(), 2)=1</formula>
    </cfRule>
  </conditionalFormatting>
  <conditionalFormatting sqref="R189">
    <cfRule type="expression" dxfId="1768" priority="2229">
      <formula>MOD(ROW(), 2)=1</formula>
    </cfRule>
  </conditionalFormatting>
  <conditionalFormatting sqref="R190">
    <cfRule type="expression" dxfId="1767" priority="2228">
      <formula>MOD(ROW(), 2)=1</formula>
    </cfRule>
  </conditionalFormatting>
  <conditionalFormatting sqref="T185:T190">
    <cfRule type="expression" dxfId="1766" priority="2227">
      <formula>"$J5!=$K5"</formula>
    </cfRule>
  </conditionalFormatting>
  <conditionalFormatting sqref="T185:T190">
    <cfRule type="expression" dxfId="1765" priority="2226">
      <formula>MOD(ROW(), 2)=1</formula>
    </cfRule>
  </conditionalFormatting>
  <conditionalFormatting sqref="D32:E40">
    <cfRule type="expression" dxfId="1764" priority="2225">
      <formula>MOD(ROW(), 2)=1</formula>
    </cfRule>
  </conditionalFormatting>
  <conditionalFormatting sqref="G87:G91">
    <cfRule type="expression" dxfId="1763" priority="2224">
      <formula>MOD(ROW(), 2)=1</formula>
    </cfRule>
  </conditionalFormatting>
  <conditionalFormatting sqref="G92:G96">
    <cfRule type="expression" dxfId="1762" priority="2223">
      <formula>MOD(ROW(), 2)=1</formula>
    </cfRule>
  </conditionalFormatting>
  <conditionalFormatting sqref="AO76:AO77 AO64:AO69">
    <cfRule type="expression" dxfId="1761" priority="2222">
      <formula>MOD(ROW(), 2)=1</formula>
    </cfRule>
  </conditionalFormatting>
  <conditionalFormatting sqref="A29">
    <cfRule type="expression" dxfId="1760" priority="2221">
      <formula>MOD(ROW(), 2)=1</formula>
    </cfRule>
  </conditionalFormatting>
  <conditionalFormatting sqref="A31">
    <cfRule type="expression" dxfId="1759" priority="2220">
      <formula>MOD(ROW(), 2)=1</formula>
    </cfRule>
  </conditionalFormatting>
  <conditionalFormatting sqref="AQ186">
    <cfRule type="expression" dxfId="1758" priority="2219">
      <formula>MOD(ROW(), 2)=1</formula>
    </cfRule>
  </conditionalFormatting>
  <conditionalFormatting sqref="AT186:AU187">
    <cfRule type="expression" dxfId="1757" priority="2218">
      <formula>MOD(ROW(), 2)=1</formula>
    </cfRule>
  </conditionalFormatting>
  <conditionalFormatting sqref="AZ186:AZ187">
    <cfRule type="expression" dxfId="1756" priority="2217">
      <formula>MOD(ROW(), 2)=1</formula>
    </cfRule>
  </conditionalFormatting>
  <conditionalFormatting sqref="AY186:AY187">
    <cfRule type="expression" dxfId="1755" priority="2216">
      <formula>MOD(ROW(), 2)=1</formula>
    </cfRule>
  </conditionalFormatting>
  <conditionalFormatting sqref="AX186:AX187">
    <cfRule type="expression" dxfId="1754" priority="2215">
      <formula>MOD(ROW(), 2)=1</formula>
    </cfRule>
  </conditionalFormatting>
  <conditionalFormatting sqref="AX186:AX187">
    <cfRule type="expression" dxfId="1753" priority="2214">
      <formula>MOD(ROW(), 2)=1</formula>
    </cfRule>
  </conditionalFormatting>
  <conditionalFormatting sqref="AO182">
    <cfRule type="expression" dxfId="1752" priority="2213">
      <formula>MOD(ROW(), 2)=1</formula>
    </cfRule>
  </conditionalFormatting>
  <conditionalFormatting sqref="N185:N190">
    <cfRule type="expression" dxfId="1751" priority="2212">
      <formula>MOD(ROW(), 2)=1</formula>
    </cfRule>
  </conditionalFormatting>
  <conditionalFormatting sqref="O185:O190">
    <cfRule type="expression" dxfId="1750" priority="2211">
      <formula>MOD(ROW(), 2)=1</formula>
    </cfRule>
  </conditionalFormatting>
  <conditionalFormatting sqref="H184:H190">
    <cfRule type="expression" dxfId="1749" priority="2210">
      <formula>MOD(ROW(), 2)=1</formula>
    </cfRule>
  </conditionalFormatting>
  <conditionalFormatting sqref="J185">
    <cfRule type="expression" dxfId="1748" priority="2209">
      <formula>MOD(ROW(), 2)=1</formula>
    </cfRule>
  </conditionalFormatting>
  <conditionalFormatting sqref="I184">
    <cfRule type="expression" dxfId="1747" priority="2208">
      <formula>MOD(ROW(), 2)=1</formula>
    </cfRule>
  </conditionalFormatting>
  <conditionalFormatting sqref="I185">
    <cfRule type="expression" dxfId="1746" priority="2206">
      <formula>MOD(ROW(), 2)=1</formula>
    </cfRule>
  </conditionalFormatting>
  <conditionalFormatting sqref="K184">
    <cfRule type="expression" dxfId="1745" priority="2205">
      <formula>MOD(ROW(), 2)=1</formula>
    </cfRule>
  </conditionalFormatting>
  <conditionalFormatting sqref="L184:L190">
    <cfRule type="expression" dxfId="1744" priority="2204">
      <formula>MOD(ROW(), 2)=1</formula>
    </cfRule>
  </conditionalFormatting>
  <conditionalFormatting sqref="A185">
    <cfRule type="expression" dxfId="1743" priority="2203">
      <formula>MOD(ROW(), 2)=1</formula>
    </cfRule>
  </conditionalFormatting>
  <conditionalFormatting sqref="K185">
    <cfRule type="expression" dxfId="1742" priority="2202">
      <formula>MOD(ROW(), 2)=1</formula>
    </cfRule>
  </conditionalFormatting>
  <conditionalFormatting sqref="X185">
    <cfRule type="expression" dxfId="1741" priority="2201">
      <formula>MOD(ROW(), 2)=1</formula>
    </cfRule>
  </conditionalFormatting>
  <conditionalFormatting sqref="A187">
    <cfRule type="expression" dxfId="1740" priority="2200">
      <formula>MOD(ROW(), 2)=1</formula>
    </cfRule>
  </conditionalFormatting>
  <conditionalFormatting sqref="X187">
    <cfRule type="expression" dxfId="1739" priority="2199">
      <formula>MOD(ROW(), 2)=1</formula>
    </cfRule>
  </conditionalFormatting>
  <conditionalFormatting sqref="J187">
    <cfRule type="expression" dxfId="1738" priority="2198">
      <formula>MOD(ROW(), 2)=1</formula>
    </cfRule>
  </conditionalFormatting>
  <conditionalFormatting sqref="I187">
    <cfRule type="expression" dxfId="1737" priority="2197">
      <formula>MOD(ROW(), 2)=1</formula>
    </cfRule>
  </conditionalFormatting>
  <conditionalFormatting sqref="K187">
    <cfRule type="expression" dxfId="1736" priority="2196">
      <formula>MOD(ROW(), 2)=1</formula>
    </cfRule>
  </conditionalFormatting>
  <conditionalFormatting sqref="AB184">
    <cfRule type="expression" dxfId="1735" priority="2195">
      <formula>MOD(ROW(), 2)=1</formula>
    </cfRule>
  </conditionalFormatting>
  <conditionalFormatting sqref="J188">
    <cfRule type="expression" dxfId="1734" priority="2194">
      <formula>MOD(ROW(), 2)=1</formula>
    </cfRule>
  </conditionalFormatting>
  <conditionalFormatting sqref="I188">
    <cfRule type="expression" dxfId="1733" priority="2193">
      <formula>MOD(ROW(), 2)=1</formula>
    </cfRule>
  </conditionalFormatting>
  <conditionalFormatting sqref="K188">
    <cfRule type="expression" dxfId="1732" priority="2192">
      <formula>MOD(ROW(), 2)=1</formula>
    </cfRule>
  </conditionalFormatting>
  <conditionalFormatting sqref="J189">
    <cfRule type="expression" dxfId="1731" priority="2191">
      <formula>MOD(ROW(), 2)=1</formula>
    </cfRule>
  </conditionalFormatting>
  <conditionalFormatting sqref="I189">
    <cfRule type="expression" dxfId="1730" priority="2190">
      <formula>MOD(ROW(), 2)=1</formula>
    </cfRule>
  </conditionalFormatting>
  <conditionalFormatting sqref="K189">
    <cfRule type="expression" dxfId="1729" priority="2189">
      <formula>MOD(ROW(), 2)=1</formula>
    </cfRule>
  </conditionalFormatting>
  <conditionalFormatting sqref="J190">
    <cfRule type="expression" dxfId="1728" priority="2188">
      <formula>MOD(ROW(), 2)=1</formula>
    </cfRule>
  </conditionalFormatting>
  <conditionalFormatting sqref="I190">
    <cfRule type="expression" dxfId="1727" priority="2187">
      <formula>MOD(ROW(), 2)=1</formula>
    </cfRule>
  </conditionalFormatting>
  <conditionalFormatting sqref="K190">
    <cfRule type="expression" dxfId="1726" priority="2186">
      <formula>MOD(ROW(), 2)=1</formula>
    </cfRule>
  </conditionalFormatting>
  <conditionalFormatting sqref="X188:X190">
    <cfRule type="expression" dxfId="1725" priority="2185">
      <formula>MOD(ROW(), 2)=1</formula>
    </cfRule>
  </conditionalFormatting>
  <conditionalFormatting sqref="A188">
    <cfRule type="expression" dxfId="1724" priority="2184">
      <formula>MOD(ROW(), 2)=1</formula>
    </cfRule>
  </conditionalFormatting>
  <conditionalFormatting sqref="A189">
    <cfRule type="expression" dxfId="1723" priority="2183">
      <formula>MOD(ROW(), 2)=1</formula>
    </cfRule>
  </conditionalFormatting>
  <conditionalFormatting sqref="A190">
    <cfRule type="expression" dxfId="1722" priority="2182">
      <formula>MOD(ROW(), 2)=1</formula>
    </cfRule>
  </conditionalFormatting>
  <conditionalFormatting sqref="P76:P77">
    <cfRule type="expression" dxfId="1721" priority="2181">
      <formula>MOD(ROW(), 2)=1</formula>
    </cfRule>
  </conditionalFormatting>
  <conditionalFormatting sqref="P31">
    <cfRule type="expression" dxfId="1720" priority="2180">
      <formula>MOD(ROW(), 2)=1</formula>
    </cfRule>
  </conditionalFormatting>
  <conditionalFormatting sqref="P197:Q197 AY197:BA197 AR194:AT194 AX192 AW197 AZ199:BA201 Q198:Q200 B197:B201 H197:H199 AT192 AD200:AO200 AT199:AU199 D191:D192 T197:T199 BA198 P198 AD197:AN199 L199 Y199:AA200 Z197:AA198 D194:D195 D197:D201">
    <cfRule type="expression" dxfId="1719" priority="2179">
      <formula>MOD(ROW(), 2)=1</formula>
    </cfRule>
  </conditionalFormatting>
  <conditionalFormatting sqref="T198:T199">
    <cfRule type="expression" dxfId="1718" priority="2178">
      <formula>"$J5!=$K5"</formula>
    </cfRule>
  </conditionalFormatting>
  <conditionalFormatting sqref="AX197">
    <cfRule type="expression" dxfId="1717" priority="2175">
      <formula>MOD(ROW(), 2)=1</formula>
    </cfRule>
  </conditionalFormatting>
  <conditionalFormatting sqref="BA195">
    <cfRule type="expression" dxfId="1716" priority="2166">
      <formula>MOD(ROW(), 2)=1</formula>
    </cfRule>
  </conditionalFormatting>
  <conditionalFormatting sqref="BA191:BA192 BA194">
    <cfRule type="expression" dxfId="1715" priority="2162">
      <formula>MOD(ROW(), 2)=1</formula>
    </cfRule>
  </conditionalFormatting>
  <conditionalFormatting sqref="AW195:AY195 O195:Q195 Y195:AA195 AT195 AD195:AN195">
    <cfRule type="expression" dxfId="1714" priority="2161">
      <formula>MOD(ROW(), 2)=1</formula>
    </cfRule>
  </conditionalFormatting>
  <conditionalFormatting sqref="T195">
    <cfRule type="expression" dxfId="1713" priority="2159">
      <formula>"$J5!=$K5"</formula>
    </cfRule>
  </conditionalFormatting>
  <conditionalFormatting sqref="T195">
    <cfRule type="expression" dxfId="1712" priority="2158">
      <formula>MOD(ROW(), 2)=1</formula>
    </cfRule>
  </conditionalFormatting>
  <conditionalFormatting sqref="H195">
    <cfRule type="expression" dxfId="1711" priority="2157">
      <formula>MOD(ROW(), 2)=1</formula>
    </cfRule>
  </conditionalFormatting>
  <conditionalFormatting sqref="AU195:AV195">
    <cfRule type="expression" dxfId="1710" priority="2155">
      <formula>MOD(ROW(), 2)=1</formula>
    </cfRule>
  </conditionalFormatting>
  <conditionalFormatting sqref="AZ192 AZ195">
    <cfRule type="expression" dxfId="1709" priority="2154">
      <formula>MOD(ROW(), 2)=1</formula>
    </cfRule>
  </conditionalFormatting>
  <conditionalFormatting sqref="P199 AR201:AT201 AR191 AT191 AW194:AX194 AW192 AW199:AY201 AY192 O200:P200 Y201:AA201 AD201:AM201 AD191:AM192 AW198:AX198 P191:Q192 P201:Q201 Y194:AA194 AR200:AS200 Z191:AA192 P194:Q194 AD194:AM194">
    <cfRule type="expression" dxfId="1708" priority="2144">
      <formula>MOD(ROW(), 2)=1</formula>
    </cfRule>
  </conditionalFormatting>
  <conditionalFormatting sqref="R191">
    <cfRule type="expression" dxfId="1707" priority="2141">
      <formula>MOD(ROW(), 2)=1</formula>
    </cfRule>
  </conditionalFormatting>
  <conditionalFormatting sqref="T191:T192 T201">
    <cfRule type="expression" dxfId="1706" priority="2140">
      <formula>"$J5!=$K5"</formula>
    </cfRule>
  </conditionalFormatting>
  <conditionalFormatting sqref="T191:T192 T201">
    <cfRule type="expression" dxfId="1705" priority="2139">
      <formula>MOD(ROW(), 2)=1</formula>
    </cfRule>
  </conditionalFormatting>
  <conditionalFormatting sqref="T194">
    <cfRule type="expression" dxfId="1704" priority="2137">
      <formula>"$J5!=$K5"</formula>
    </cfRule>
  </conditionalFormatting>
  <conditionalFormatting sqref="T194">
    <cfRule type="expression" dxfId="1703" priority="2136">
      <formula>MOD(ROW(), 2)=1</formula>
    </cfRule>
  </conditionalFormatting>
  <conditionalFormatting sqref="AU191:AV192 AU201 AU194:AV194">
    <cfRule type="expression" dxfId="1702" priority="2135">
      <formula>MOD(ROW(), 2)=1</formula>
    </cfRule>
  </conditionalFormatting>
  <conditionalFormatting sqref="AN201:AO201 AN191:AO192 AN194:AO194">
    <cfRule type="expression" dxfId="1701" priority="2134">
      <formula>MOD(ROW(), 2)=1</formula>
    </cfRule>
  </conditionalFormatting>
  <conditionalFormatting sqref="B191:B192 H194 L194 B194:B195">
    <cfRule type="expression" dxfId="1700" priority="2133">
      <formula>MOD(ROW(), 2)=1</formula>
    </cfRule>
  </conditionalFormatting>
  <conditionalFormatting sqref="T200">
    <cfRule type="expression" dxfId="1699" priority="2129">
      <formula>"$J5!=$K5"</formula>
    </cfRule>
  </conditionalFormatting>
  <conditionalFormatting sqref="T200">
    <cfRule type="expression" dxfId="1698" priority="2128">
      <formula>MOD(ROW(), 2)=1</formula>
    </cfRule>
  </conditionalFormatting>
  <conditionalFormatting sqref="C191">
    <cfRule type="expression" dxfId="1697" priority="2127">
      <formula>MOD(ROW(), 2)=1</formula>
    </cfRule>
  </conditionalFormatting>
  <conditionalFormatting sqref="F191">
    <cfRule type="expression" dxfId="1696" priority="2126">
      <formula>MOD(ROW(), 2)=1</formula>
    </cfRule>
  </conditionalFormatting>
  <conditionalFormatting sqref="AS191">
    <cfRule type="expression" dxfId="1695" priority="2125">
      <formula>MOD(ROW(), 2)=1</formula>
    </cfRule>
  </conditionalFormatting>
  <conditionalFormatting sqref="AW191">
    <cfRule type="expression" dxfId="1694" priority="2124">
      <formula>MOD(ROW(), 2)=1</formula>
    </cfRule>
  </conditionalFormatting>
  <conditionalFormatting sqref="AV201">
    <cfRule type="expression" dxfId="1693" priority="2121">
      <formula>MOD(ROW(), 2)=1</formula>
    </cfRule>
  </conditionalFormatting>
  <conditionalFormatting sqref="AV199">
    <cfRule type="expression" dxfId="1692" priority="2123">
      <formula>MOD(ROW(), 2)=1</formula>
    </cfRule>
  </conditionalFormatting>
  <conditionalFormatting sqref="AV200">
    <cfRule type="expression" dxfId="1691" priority="2122">
      <formula>MOD(ROW(), 2)=1</formula>
    </cfRule>
  </conditionalFormatting>
  <conditionalFormatting sqref="AX191:AY191">
    <cfRule type="expression" dxfId="1690" priority="2119">
      <formula>MOD(ROW(), 2)=1</formula>
    </cfRule>
  </conditionalFormatting>
  <conditionalFormatting sqref="AZ191">
    <cfRule type="expression" dxfId="1689" priority="2120">
      <formula>MOD(ROW(), 2)=1</formula>
    </cfRule>
  </conditionalFormatting>
  <conditionalFormatting sqref="AS195">
    <cfRule type="expression" dxfId="1688" priority="2117">
      <formula>MOD(ROW(), 2)=1</formula>
    </cfRule>
  </conditionalFormatting>
  <conditionalFormatting sqref="U191:V192 U194:V195 U197:V201">
    <cfRule type="expression" dxfId="1687" priority="2116">
      <formula>MOD(ROW(), 2)=1</formula>
    </cfRule>
  </conditionalFormatting>
  <conditionalFormatting sqref="U191:U192 U194:U195 U197:U201">
    <cfRule type="expression" dxfId="1686" priority="2115">
      <formula>"$J5!=$K5"</formula>
    </cfRule>
  </conditionalFormatting>
  <conditionalFormatting sqref="AB191:AC192 AB194:AC195 AB197:AC199">
    <cfRule type="expression" dxfId="1685" priority="2114">
      <formula>MOD(ROW(), 2)=1</formula>
    </cfRule>
  </conditionalFormatting>
  <conditionalFormatting sqref="F192 F194:F195 F197:F201">
    <cfRule type="expression" dxfId="1684" priority="2113">
      <formula>MOD(ROW(), 2)=1</formula>
    </cfRule>
  </conditionalFormatting>
  <conditionalFormatting sqref="AR192">
    <cfRule type="expression" dxfId="1683" priority="2112">
      <formula>MOD(ROW(), 2)=1</formula>
    </cfRule>
  </conditionalFormatting>
  <conditionalFormatting sqref="AS199">
    <cfRule type="expression" dxfId="1682" priority="2107">
      <formula>MOD(ROW(), 2)=1</formula>
    </cfRule>
  </conditionalFormatting>
  <conditionalFormatting sqref="C192 C194:C195 C197:C201">
    <cfRule type="expression" dxfId="1681" priority="2106">
      <formula>MOD(ROW(), 2)=1</formula>
    </cfRule>
  </conditionalFormatting>
  <conditionalFormatting sqref="E191">
    <cfRule type="expression" dxfId="1680" priority="2105">
      <formula>MOD(ROW(), 2)=1</formula>
    </cfRule>
  </conditionalFormatting>
  <conditionalFormatting sqref="E189:E208">
    <cfRule type="expression" dxfId="1679" priority="2104">
      <formula>MOD(ROW(), 2)=1</formula>
    </cfRule>
  </conditionalFormatting>
  <conditionalFormatting sqref="G191:G192 G194:G195 G197:G201">
    <cfRule type="expression" dxfId="1678" priority="2103">
      <formula>MOD(ROW(), 2)=1</formula>
    </cfRule>
  </conditionalFormatting>
  <conditionalFormatting sqref="O202:Q202 AY202:BA205 D202:D205 AV202:AW202 P203:Q205 T202:T205 AT204:AW205 B202:B205 Y202:AA205 Z210:AA210 B210 Z208:AA208 AD202:AN205 B208 AD208:AN208 AT208:AW208 T208 P208:Q208 D208 AY208:BA208 AY210:BA210 D210 P210:Q210 T210 AT210:AW210 AD210:AN210">
    <cfRule type="expression" dxfId="1677" priority="2102">
      <formula>MOD(ROW(), 2)=1</formula>
    </cfRule>
  </conditionalFormatting>
  <conditionalFormatting sqref="AX202:AX205 AX208 AX210">
    <cfRule type="expression" dxfId="1676" priority="2100">
      <formula>MOD(ROW(), 2)=1</formula>
    </cfRule>
  </conditionalFormatting>
  <conditionalFormatting sqref="L203">
    <cfRule type="expression" dxfId="1675" priority="2095">
      <formula>MOD(ROW(), 2)=1</formula>
    </cfRule>
  </conditionalFormatting>
  <conditionalFormatting sqref="AO202:AO205 AO208">
    <cfRule type="expression" dxfId="1674" priority="2092">
      <formula>MOD(ROW(), 2)=1</formula>
    </cfRule>
  </conditionalFormatting>
  <conditionalFormatting sqref="U202:V205 U208:V208 U210:V210">
    <cfRule type="expression" dxfId="1673" priority="2091">
      <formula>MOD(ROW(), 2)=1</formula>
    </cfRule>
  </conditionalFormatting>
  <conditionalFormatting sqref="U202:U205 U208 U210">
    <cfRule type="expression" dxfId="1672" priority="2090">
      <formula>"$J5!=$K5"</formula>
    </cfRule>
  </conditionalFormatting>
  <conditionalFormatting sqref="AB202 AB208 AB210:AC210 AB204">
    <cfRule type="expression" dxfId="1671" priority="2089">
      <formula>MOD(ROW(), 2)=1</formula>
    </cfRule>
  </conditionalFormatting>
  <conditionalFormatting sqref="F202:F205 F208 F210">
    <cfRule type="expression" dxfId="1670" priority="2088">
      <formula>MOD(ROW(), 2)=1</formula>
    </cfRule>
  </conditionalFormatting>
  <conditionalFormatting sqref="C202:C205 C208 C210">
    <cfRule type="expression" dxfId="1669" priority="2087">
      <formula>MOD(ROW(), 2)=1</formula>
    </cfRule>
  </conditionalFormatting>
  <conditionalFormatting sqref="E202:E205 E208 E210">
    <cfRule type="expression" dxfId="1668" priority="2086">
      <formula>MOD(ROW(), 2)=1</formula>
    </cfRule>
  </conditionalFormatting>
  <conditionalFormatting sqref="G202:G205 G208 G210">
    <cfRule type="expression" dxfId="1667" priority="2085">
      <formula>MOD(ROW(), 2)=1</formula>
    </cfRule>
  </conditionalFormatting>
  <conditionalFormatting sqref="AS204:AS205 AS208">
    <cfRule type="expression" dxfId="1666" priority="2083">
      <formula>MOD(ROW(), 2)=1</formula>
    </cfRule>
  </conditionalFormatting>
  <conditionalFormatting sqref="AS210">
    <cfRule type="expression" dxfId="1665" priority="2082">
      <formula>MOD(ROW(), 2)=1</formula>
    </cfRule>
  </conditionalFormatting>
  <conditionalFormatting sqref="A195">
    <cfRule type="expression" dxfId="1664" priority="2081">
      <formula>MOD(ROW(), 2)=1</formula>
    </cfRule>
  </conditionalFormatting>
  <conditionalFormatting sqref="R192 R194:R195 R208 R210 R197:R205">
    <cfRule type="expression" dxfId="1663" priority="2080">
      <formula>MOD(ROW(), 2)=1</formula>
    </cfRule>
  </conditionalFormatting>
  <conditionalFormatting sqref="N195">
    <cfRule type="expression" dxfId="1662" priority="2078">
      <formula>MOD(ROW(), 2)=1</formula>
    </cfRule>
  </conditionalFormatting>
  <conditionalFormatting sqref="L195">
    <cfRule type="expression" dxfId="1661" priority="2077">
      <formula>MOD(ROW(), 2)=1</formula>
    </cfRule>
  </conditionalFormatting>
  <conditionalFormatting sqref="J195">
    <cfRule type="expression" dxfId="1660" priority="2076">
      <formula>MOD(ROW(), 2)=1</formula>
    </cfRule>
  </conditionalFormatting>
  <conditionalFormatting sqref="I195">
    <cfRule type="expression" dxfId="1659" priority="2075">
      <formula>MOD(ROW(), 2)=1</formula>
    </cfRule>
  </conditionalFormatting>
  <conditionalFormatting sqref="K195">
    <cfRule type="expression" dxfId="1658" priority="2074">
      <formula>MOD(ROW(), 2)=1</formula>
    </cfRule>
  </conditionalFormatting>
  <conditionalFormatting sqref="M195">
    <cfRule type="expression" dxfId="1657" priority="2073">
      <formula>MOD(ROW(), 2)=1</formula>
    </cfRule>
  </conditionalFormatting>
  <conditionalFormatting sqref="W191:W192 W210 W194:W195 W215 W197:W205">
    <cfRule type="expression" dxfId="1656" priority="2072">
      <formula>MOD(ROW(), 2)=1</formula>
    </cfRule>
  </conditionalFormatting>
  <conditionalFormatting sqref="AZ194">
    <cfRule type="expression" dxfId="1655" priority="2071">
      <formula>MOD(ROW(), 2)=1</formula>
    </cfRule>
  </conditionalFormatting>
  <conditionalFormatting sqref="AY194">
    <cfRule type="expression" dxfId="1654" priority="2070">
      <formula>MOD(ROW(), 2)=1</formula>
    </cfRule>
  </conditionalFormatting>
  <conditionalFormatting sqref="AZ198">
    <cfRule type="expression" dxfId="1653" priority="2069">
      <formula>MOD(ROW(), 2)=1</formula>
    </cfRule>
  </conditionalFormatting>
  <conditionalFormatting sqref="AY198">
    <cfRule type="expression" dxfId="1652" priority="2068">
      <formula>MOD(ROW(), 2)=1</formula>
    </cfRule>
  </conditionalFormatting>
  <conditionalFormatting sqref="W208">
    <cfRule type="expression" dxfId="1651" priority="2061">
      <formula>MOD(ROW(), 2)=1</formula>
    </cfRule>
  </conditionalFormatting>
  <conditionalFormatting sqref="O191:O192 O194">
    <cfRule type="expression" dxfId="1650" priority="2060">
      <formula>MOD(ROW(), 2)=1</formula>
    </cfRule>
  </conditionalFormatting>
  <conditionalFormatting sqref="O197:O199">
    <cfRule type="expression" dxfId="1649" priority="2059">
      <formula>MOD(ROW(), 2)=1</formula>
    </cfRule>
  </conditionalFormatting>
  <conditionalFormatting sqref="O201">
    <cfRule type="expression" dxfId="1648" priority="2058">
      <formula>MOD(ROW(), 2)=1</formula>
    </cfRule>
  </conditionalFormatting>
  <conditionalFormatting sqref="O203:O205 O208 O210">
    <cfRule type="expression" dxfId="1647" priority="2057">
      <formula>MOD(ROW(), 2)=1</formula>
    </cfRule>
  </conditionalFormatting>
  <conditionalFormatting sqref="M191:M192 M194">
    <cfRule type="expression" dxfId="1646" priority="2056">
      <formula>MOD(ROW(), 2)=1</formula>
    </cfRule>
  </conditionalFormatting>
  <conditionalFormatting sqref="M197:M199">
    <cfRule type="expression" dxfId="1645" priority="2055">
      <formula>MOD(ROW(), 2)=1</formula>
    </cfRule>
  </conditionalFormatting>
  <conditionalFormatting sqref="AS192">
    <cfRule type="expression" dxfId="1644" priority="2054">
      <formula>MOD(ROW(), 2)=1</formula>
    </cfRule>
  </conditionalFormatting>
  <conditionalFormatting sqref="M200">
    <cfRule type="expression" dxfId="1643" priority="2053">
      <formula>MOD(ROW(), 2)=1</formula>
    </cfRule>
  </conditionalFormatting>
  <conditionalFormatting sqref="M201">
    <cfRule type="expression" dxfId="1642" priority="2052">
      <formula>MOD(ROW(), 2)=1</formula>
    </cfRule>
  </conditionalFormatting>
  <conditionalFormatting sqref="M202">
    <cfRule type="expression" dxfId="1641" priority="2051">
      <formula>MOD(ROW(), 2)=1</formula>
    </cfRule>
  </conditionalFormatting>
  <conditionalFormatting sqref="M203">
    <cfRule type="expression" dxfId="1640" priority="2050">
      <formula>MOD(ROW(), 2)=1</formula>
    </cfRule>
  </conditionalFormatting>
  <conditionalFormatting sqref="M205">
    <cfRule type="expression" dxfId="1639" priority="2049">
      <formula>MOD(ROW(), 2)=1</formula>
    </cfRule>
  </conditionalFormatting>
  <conditionalFormatting sqref="H204">
    <cfRule type="expression" dxfId="1638" priority="1986">
      <formula>MOD(ROW(), 2)=1</formula>
    </cfRule>
  </conditionalFormatting>
  <conditionalFormatting sqref="M208">
    <cfRule type="expression" dxfId="1637" priority="2047">
      <formula>MOD(ROW(), 2)=1</formula>
    </cfRule>
  </conditionalFormatting>
  <conditionalFormatting sqref="AO195 AO197:AO199">
    <cfRule type="expression" dxfId="1636" priority="2014">
      <formula>MOD(ROW(), 2)=1</formula>
    </cfRule>
  </conditionalFormatting>
  <conditionalFormatting sqref="M204">
    <cfRule type="expression" dxfId="1635" priority="2045">
      <formula>MOD(ROW(), 2)=1</formula>
    </cfRule>
  </conditionalFormatting>
  <conditionalFormatting sqref="K204">
    <cfRule type="expression" dxfId="1634" priority="1982">
      <formula>MOD(ROW(), 2)=1</formula>
    </cfRule>
  </conditionalFormatting>
  <conditionalFormatting sqref="M210">
    <cfRule type="expression" dxfId="1633" priority="2043">
      <formula>MOD(ROW(), 2)=1</formula>
    </cfRule>
  </conditionalFormatting>
  <conditionalFormatting sqref="AS202">
    <cfRule type="expression" dxfId="1632" priority="2041">
      <formula>MOD(ROW(), 2)=1</formula>
    </cfRule>
  </conditionalFormatting>
  <conditionalFormatting sqref="J194">
    <cfRule type="expression" dxfId="1631" priority="2040">
      <formula>MOD(ROW(), 2)=1</formula>
    </cfRule>
  </conditionalFormatting>
  <conditionalFormatting sqref="I194">
    <cfRule type="expression" dxfId="1630" priority="2039">
      <formula>MOD(ROW(), 2)=1</formula>
    </cfRule>
  </conditionalFormatting>
  <conditionalFormatting sqref="K194">
    <cfRule type="expression" dxfId="1629" priority="2038">
      <formula>MOD(ROW(), 2)=1</formula>
    </cfRule>
  </conditionalFormatting>
  <conditionalFormatting sqref="N194">
    <cfRule type="expression" dxfId="1628" priority="2037">
      <formula>MOD(ROW(), 2)=1</formula>
    </cfRule>
  </conditionalFormatting>
  <conditionalFormatting sqref="X194">
    <cfRule type="expression" dxfId="1627" priority="2036">
      <formula>MOD(ROW(), 2)=1</formula>
    </cfRule>
  </conditionalFormatting>
  <conditionalFormatting sqref="A194">
    <cfRule type="expression" dxfId="1626" priority="2035">
      <formula>MOD(ROW(), 2)=1</formula>
    </cfRule>
  </conditionalFormatting>
  <conditionalFormatting sqref="A198">
    <cfRule type="expression" dxfId="1625" priority="2034">
      <formula>MOD(ROW(), 2)=1</formula>
    </cfRule>
  </conditionalFormatting>
  <conditionalFormatting sqref="J198">
    <cfRule type="expression" dxfId="1624" priority="2033">
      <formula>MOD(ROW(), 2)=1</formula>
    </cfRule>
  </conditionalFormatting>
  <conditionalFormatting sqref="I198">
    <cfRule type="expression" dxfId="1623" priority="2032">
      <formula>MOD(ROW(), 2)=1</formula>
    </cfRule>
  </conditionalFormatting>
  <conditionalFormatting sqref="K198">
    <cfRule type="expression" dxfId="1622" priority="2031">
      <formula>MOD(ROW(), 2)=1</formula>
    </cfRule>
  </conditionalFormatting>
  <conditionalFormatting sqref="L198">
    <cfRule type="expression" dxfId="1621" priority="2030">
      <formula>MOD(ROW(), 2)=1</formula>
    </cfRule>
  </conditionalFormatting>
  <conditionalFormatting sqref="A197">
    <cfRule type="expression" dxfId="1620" priority="2027">
      <formula>MOD(ROW(), 2)=1</formula>
    </cfRule>
  </conditionalFormatting>
  <conditionalFormatting sqref="J197">
    <cfRule type="expression" dxfId="1619" priority="2026">
      <formula>MOD(ROW(), 2)=1</formula>
    </cfRule>
  </conditionalFormatting>
  <conditionalFormatting sqref="I197">
    <cfRule type="expression" dxfId="1618" priority="2025">
      <formula>MOD(ROW(), 2)=1</formula>
    </cfRule>
  </conditionalFormatting>
  <conditionalFormatting sqref="K197">
    <cfRule type="expression" dxfId="1617" priority="2024">
      <formula>MOD(ROW(), 2)=1</formula>
    </cfRule>
  </conditionalFormatting>
  <conditionalFormatting sqref="L197">
    <cfRule type="expression" dxfId="1616" priority="2023">
      <formula>MOD(ROW(), 2)=1</formula>
    </cfRule>
  </conditionalFormatting>
  <conditionalFormatting sqref="N197">
    <cfRule type="expression" dxfId="1615" priority="2022">
      <formula>MOD(ROW(), 2)=1</formula>
    </cfRule>
  </conditionalFormatting>
  <conditionalFormatting sqref="Y197">
    <cfRule type="expression" dxfId="1614" priority="2021">
      <formula>MOD(ROW(), 2)=1</formula>
    </cfRule>
  </conditionalFormatting>
  <conditionalFormatting sqref="A199">
    <cfRule type="expression" dxfId="1613" priority="2020">
      <formula>MOD(ROW(), 2)=1</formula>
    </cfRule>
  </conditionalFormatting>
  <conditionalFormatting sqref="J199">
    <cfRule type="expression" dxfId="1612" priority="2019">
      <formula>MOD(ROW(), 2)=1</formula>
    </cfRule>
  </conditionalFormatting>
  <conditionalFormatting sqref="I199">
    <cfRule type="expression" dxfId="1611" priority="2018">
      <formula>MOD(ROW(), 2)=1</formula>
    </cfRule>
  </conditionalFormatting>
  <conditionalFormatting sqref="K199">
    <cfRule type="expression" dxfId="1610" priority="2017">
      <formula>MOD(ROW(), 2)=1</formula>
    </cfRule>
  </conditionalFormatting>
  <conditionalFormatting sqref="N198:N199">
    <cfRule type="expression" dxfId="1609" priority="2015">
      <formula>MOD(ROW(), 2)=1</formula>
    </cfRule>
  </conditionalFormatting>
  <conditionalFormatting sqref="J203">
    <cfRule type="expression" dxfId="1608" priority="2011">
      <formula>MOD(ROW(), 2)=1</formula>
    </cfRule>
  </conditionalFormatting>
  <conditionalFormatting sqref="AO210">
    <cfRule type="expression" dxfId="1607" priority="2013">
      <formula>MOD(ROW(), 2)=1</formula>
    </cfRule>
  </conditionalFormatting>
  <conditionalFormatting sqref="H203">
    <cfRule type="expression" dxfId="1606" priority="2012">
      <formula>MOD(ROW(), 2)=1</formula>
    </cfRule>
  </conditionalFormatting>
  <conditionalFormatting sqref="I203">
    <cfRule type="expression" dxfId="1605" priority="2010">
      <formula>MOD(ROW(), 2)=1</formula>
    </cfRule>
  </conditionalFormatting>
  <conditionalFormatting sqref="K203">
    <cfRule type="expression" dxfId="1604" priority="2009">
      <formula>MOD(ROW(), 2)=1</formula>
    </cfRule>
  </conditionalFormatting>
  <conditionalFormatting sqref="A201">
    <cfRule type="expression" dxfId="1603" priority="2008">
      <formula>MOD(ROW(), 2)=1</formula>
    </cfRule>
  </conditionalFormatting>
  <conditionalFormatting sqref="H201">
    <cfRule type="expression" dxfId="1602" priority="2006">
      <formula>MOD(ROW(), 2)=1</formula>
    </cfRule>
  </conditionalFormatting>
  <conditionalFormatting sqref="J201">
    <cfRule type="expression" dxfId="1601" priority="2005">
      <formula>MOD(ROW(), 2)=1</formula>
    </cfRule>
  </conditionalFormatting>
  <conditionalFormatting sqref="I201">
    <cfRule type="expression" dxfId="1600" priority="2004">
      <formula>MOD(ROW(), 2)=1</formula>
    </cfRule>
  </conditionalFormatting>
  <conditionalFormatting sqref="K201">
    <cfRule type="expression" dxfId="1599" priority="2003">
      <formula>MOD(ROW(), 2)=1</formula>
    </cfRule>
  </conditionalFormatting>
  <conditionalFormatting sqref="L201">
    <cfRule type="expression" dxfId="1598" priority="2002">
      <formula>MOD(ROW(), 2)=1</formula>
    </cfRule>
  </conditionalFormatting>
  <conditionalFormatting sqref="L200">
    <cfRule type="expression" dxfId="1597" priority="2001">
      <formula>MOD(ROW(), 2)=1</formula>
    </cfRule>
  </conditionalFormatting>
  <conditionalFormatting sqref="L202">
    <cfRule type="expression" dxfId="1596" priority="2000">
      <formula>MOD(ROW(), 2)=1</formula>
    </cfRule>
  </conditionalFormatting>
  <conditionalFormatting sqref="L204:L205 L208 L210">
    <cfRule type="expression" dxfId="1595" priority="1999">
      <formula>MOD(ROW(), 2)=1</formula>
    </cfRule>
  </conditionalFormatting>
  <conditionalFormatting sqref="N200:N205 N208 N210">
    <cfRule type="expression" dxfId="1594" priority="1998">
      <formula>MOD(ROW(), 2)=1</formula>
    </cfRule>
  </conditionalFormatting>
  <conditionalFormatting sqref="AT202">
    <cfRule type="expression" dxfId="1593" priority="1997">
      <formula>MOD(ROW(), 2)=1</formula>
    </cfRule>
  </conditionalFormatting>
  <conditionalFormatting sqref="AU202">
    <cfRule type="expression" dxfId="1592" priority="1996">
      <formula>MOD(ROW(), 2)=1</formula>
    </cfRule>
  </conditionalFormatting>
  <conditionalFormatting sqref="H200">
    <cfRule type="expression" dxfId="1591" priority="1995">
      <formula>MOD(ROW(), 2)=1</formula>
    </cfRule>
  </conditionalFormatting>
  <conditionalFormatting sqref="J200">
    <cfRule type="expression" dxfId="1590" priority="1994">
      <formula>MOD(ROW(), 2)=1</formula>
    </cfRule>
  </conditionalFormatting>
  <conditionalFormatting sqref="I200">
    <cfRule type="expression" dxfId="1589" priority="1993">
      <formula>MOD(ROW(), 2)=1</formula>
    </cfRule>
  </conditionalFormatting>
  <conditionalFormatting sqref="K200">
    <cfRule type="expression" dxfId="1588" priority="1992">
      <formula>MOD(ROW(), 2)=1</formula>
    </cfRule>
  </conditionalFormatting>
  <conditionalFormatting sqref="AU200">
    <cfRule type="expression" dxfId="1587" priority="1990">
      <formula>MOD(ROW(), 2)=1</formula>
    </cfRule>
  </conditionalFormatting>
  <conditionalFormatting sqref="AT200">
    <cfRule type="expression" dxfId="1586" priority="1989">
      <formula>MOD(ROW(), 2)=1</formula>
    </cfRule>
  </conditionalFormatting>
  <conditionalFormatting sqref="A200">
    <cfRule type="expression" dxfId="1585" priority="1988">
      <formula>MOD(ROW(), 2)=1</formula>
    </cfRule>
  </conditionalFormatting>
  <conditionalFormatting sqref="A203">
    <cfRule type="expression" dxfId="1584" priority="1987">
      <formula>MOD(ROW(), 2)=1</formula>
    </cfRule>
  </conditionalFormatting>
  <conditionalFormatting sqref="J204">
    <cfRule type="expression" dxfId="1583" priority="1985">
      <formula>MOD(ROW(), 2)=1</formula>
    </cfRule>
  </conditionalFormatting>
  <conditionalFormatting sqref="I204">
    <cfRule type="expression" dxfId="1582" priority="1984">
      <formula>MOD(ROW(), 2)=1</formula>
    </cfRule>
  </conditionalFormatting>
  <conditionalFormatting sqref="J205">
    <cfRule type="expression" dxfId="1581" priority="1979">
      <formula>MOD(ROW(), 2)=1</formula>
    </cfRule>
  </conditionalFormatting>
  <conditionalFormatting sqref="A204">
    <cfRule type="expression" dxfId="1580" priority="1981">
      <formula>MOD(ROW(), 2)=1</formula>
    </cfRule>
  </conditionalFormatting>
  <conditionalFormatting sqref="H205">
    <cfRule type="expression" dxfId="1579" priority="1980">
      <formula>MOD(ROW(), 2)=1</formula>
    </cfRule>
  </conditionalFormatting>
  <conditionalFormatting sqref="I205">
    <cfRule type="expression" dxfId="1578" priority="1978">
      <formula>MOD(ROW(), 2)=1</formula>
    </cfRule>
  </conditionalFormatting>
  <conditionalFormatting sqref="K205">
    <cfRule type="expression" dxfId="1577" priority="1977">
      <formula>MOD(ROW(), 2)=1</formula>
    </cfRule>
  </conditionalFormatting>
  <conditionalFormatting sqref="A205">
    <cfRule type="expression" dxfId="1576" priority="1976">
      <formula>MOD(ROW(), 2)=1</formula>
    </cfRule>
  </conditionalFormatting>
  <conditionalFormatting sqref="A192">
    <cfRule type="expression" dxfId="1575" priority="1975">
      <formula>MOD(ROW(), 2)=1</formula>
    </cfRule>
  </conditionalFormatting>
  <conditionalFormatting sqref="H192">
    <cfRule type="expression" dxfId="1574" priority="1974">
      <formula>MOD(ROW(), 2)=1</formula>
    </cfRule>
  </conditionalFormatting>
  <conditionalFormatting sqref="J192">
    <cfRule type="expression" dxfId="1573" priority="1973">
      <formula>MOD(ROW(), 2)=1</formula>
    </cfRule>
  </conditionalFormatting>
  <conditionalFormatting sqref="I192">
    <cfRule type="expression" dxfId="1572" priority="1972">
      <formula>MOD(ROW(), 2)=1</formula>
    </cfRule>
  </conditionalFormatting>
  <conditionalFormatting sqref="K192">
    <cfRule type="expression" dxfId="1571" priority="1971">
      <formula>MOD(ROW(), 2)=1</formula>
    </cfRule>
  </conditionalFormatting>
  <conditionalFormatting sqref="L192">
    <cfRule type="expression" dxfId="1570" priority="1970">
      <formula>MOD(ROW(), 2)=1</formula>
    </cfRule>
  </conditionalFormatting>
  <conditionalFormatting sqref="N191:N192">
    <cfRule type="expression" dxfId="1569" priority="1969">
      <formula>MOD(ROW(), 2)=1</formula>
    </cfRule>
  </conditionalFormatting>
  <conditionalFormatting sqref="H191">
    <cfRule type="expression" dxfId="1568" priority="1968">
      <formula>MOD(ROW(), 2)=1</formula>
    </cfRule>
  </conditionalFormatting>
  <conditionalFormatting sqref="J191">
    <cfRule type="expression" dxfId="1567" priority="1967">
      <formula>MOD(ROW(), 2)=1</formula>
    </cfRule>
  </conditionalFormatting>
  <conditionalFormatting sqref="I191">
    <cfRule type="expression" dxfId="1566" priority="1966">
      <formula>MOD(ROW(), 2)=1</formula>
    </cfRule>
  </conditionalFormatting>
  <conditionalFormatting sqref="L191">
    <cfRule type="expression" dxfId="1565" priority="1964">
      <formula>MOD(ROW(), 2)=1</formula>
    </cfRule>
  </conditionalFormatting>
  <conditionalFormatting sqref="K191">
    <cfRule type="expression" dxfId="1564" priority="1963">
      <formula>MOD(ROW(), 2)=1</formula>
    </cfRule>
  </conditionalFormatting>
  <conditionalFormatting sqref="A191">
    <cfRule type="expression" dxfId="1563" priority="1962">
      <formula>MOD(ROW(), 2)=1</formula>
    </cfRule>
  </conditionalFormatting>
  <conditionalFormatting sqref="X191">
    <cfRule type="expression" dxfId="1562" priority="1961">
      <formula>MOD(ROW(), 2)=1</formula>
    </cfRule>
  </conditionalFormatting>
  <conditionalFormatting sqref="X192">
    <cfRule type="expression" dxfId="1561" priority="1960">
      <formula>MOD(ROW(), 2)=1</formula>
    </cfRule>
  </conditionalFormatting>
  <conditionalFormatting sqref="X195">
    <cfRule type="expression" dxfId="1560" priority="1959">
      <formula>MOD(ROW(), 2)=1</formula>
    </cfRule>
  </conditionalFormatting>
  <conditionalFormatting sqref="X197">
    <cfRule type="expression" dxfId="1559" priority="1957">
      <formula>MOD(ROW(), 2)=1</formula>
    </cfRule>
  </conditionalFormatting>
  <conditionalFormatting sqref="X198">
    <cfRule type="expression" dxfId="1558" priority="1956">
      <formula>MOD(ROW(), 2)=1</formula>
    </cfRule>
  </conditionalFormatting>
  <conditionalFormatting sqref="X199">
    <cfRule type="expression" dxfId="1557" priority="1955">
      <formula>MOD(ROW(), 2)=1</formula>
    </cfRule>
  </conditionalFormatting>
  <conditionalFormatting sqref="X201">
    <cfRule type="expression" dxfId="1556" priority="1953">
      <formula>MOD(ROW(), 2)=1</formula>
    </cfRule>
  </conditionalFormatting>
  <conditionalFormatting sqref="X200">
    <cfRule type="expression" dxfId="1555" priority="1952">
      <formula>MOD(ROW(), 2)=1</formula>
    </cfRule>
  </conditionalFormatting>
  <conditionalFormatting sqref="X203">
    <cfRule type="expression" dxfId="1554" priority="1951">
      <formula>MOD(ROW(), 2)=1</formula>
    </cfRule>
  </conditionalFormatting>
  <conditionalFormatting sqref="X204">
    <cfRule type="expression" dxfId="1553" priority="1950">
      <formula>MOD(ROW(), 2)=1</formula>
    </cfRule>
  </conditionalFormatting>
  <conditionalFormatting sqref="X205">
    <cfRule type="expression" dxfId="1552" priority="1949">
      <formula>MOD(ROW(), 2)=1</formula>
    </cfRule>
  </conditionalFormatting>
  <conditionalFormatting sqref="Y191">
    <cfRule type="expression" dxfId="1551" priority="1947">
      <formula>MOD(ROW(), 2)=1</formula>
    </cfRule>
  </conditionalFormatting>
  <conditionalFormatting sqref="Y192">
    <cfRule type="expression" dxfId="1550" priority="1946">
      <formula>MOD(ROW(), 2)=1</formula>
    </cfRule>
  </conditionalFormatting>
  <conditionalFormatting sqref="Y208">
    <cfRule type="expression" dxfId="1549" priority="1945">
      <formula>MOD(ROW(), 2)=1</formula>
    </cfRule>
  </conditionalFormatting>
  <conditionalFormatting sqref="F42:F45">
    <cfRule type="expression" dxfId="1548" priority="1944">
      <formula>MOD(ROW(), 2)=1</formula>
    </cfRule>
  </conditionalFormatting>
  <conditionalFormatting sqref="D43:D44">
    <cfRule type="expression" dxfId="1547" priority="1943">
      <formula>MOD(ROW(), 2)=1</formula>
    </cfRule>
  </conditionalFormatting>
  <conditionalFormatting sqref="F206:F207">
    <cfRule type="expression" dxfId="1546" priority="1880">
      <formula>MOD(ROW(), 2)=1</formula>
    </cfRule>
  </conditionalFormatting>
  <conditionalFormatting sqref="C206:C207">
    <cfRule type="expression" dxfId="1545" priority="1879">
      <formula>MOD(ROW(), 2)=1</formula>
    </cfRule>
  </conditionalFormatting>
  <conditionalFormatting sqref="E206:E207">
    <cfRule type="expression" dxfId="1544" priority="1878">
      <formula>MOD(ROW(), 2)=1</formula>
    </cfRule>
  </conditionalFormatting>
  <conditionalFormatting sqref="G206:G207">
    <cfRule type="expression" dxfId="1543" priority="1877">
      <formula>MOD(ROW(), 2)=1</formula>
    </cfRule>
  </conditionalFormatting>
  <conditionalFormatting sqref="AS206:AS207">
    <cfRule type="expression" dxfId="1542" priority="1876">
      <formula>MOD(ROW(), 2)=1</formula>
    </cfRule>
  </conditionalFormatting>
  <conditionalFormatting sqref="R206:R207">
    <cfRule type="expression" dxfId="1541" priority="1875">
      <formula>MOD(ROW(), 2)=1</formula>
    </cfRule>
  </conditionalFormatting>
  <conditionalFormatting sqref="Y198">
    <cfRule type="expression" dxfId="1540" priority="1936">
      <formula>MOD(ROW(), 2)=1</formula>
    </cfRule>
  </conditionalFormatting>
  <conditionalFormatting sqref="AS68">
    <cfRule type="expression" dxfId="1539" priority="1934">
      <formula>MOD(ROW(), 2)=1</formula>
    </cfRule>
  </conditionalFormatting>
  <conditionalFormatting sqref="AS64">
    <cfRule type="expression" dxfId="1538" priority="1933">
      <formula>MOD(ROW(), 2)=1</formula>
    </cfRule>
  </conditionalFormatting>
  <conditionalFormatting sqref="AS69">
    <cfRule type="expression" dxfId="1537" priority="1932">
      <formula>MOD(ROW(), 2)=1</formula>
    </cfRule>
  </conditionalFormatting>
  <conditionalFormatting sqref="AR193:AS193 D193">
    <cfRule type="expression" dxfId="1536" priority="1931">
      <formula>MOD(ROW(), 2)=1</formula>
    </cfRule>
  </conditionalFormatting>
  <conditionalFormatting sqref="BA193">
    <cfRule type="expression" dxfId="1535" priority="1929">
      <formula>MOD(ROW(), 2)=1</formula>
    </cfRule>
  </conditionalFormatting>
  <conditionalFormatting sqref="AW193:AX193 P193:Q193">
    <cfRule type="expression" dxfId="1534" priority="1928">
      <formula>MOD(ROW(), 2)=1</formula>
    </cfRule>
  </conditionalFormatting>
  <conditionalFormatting sqref="T193">
    <cfRule type="expression" dxfId="1533" priority="1927">
      <formula>"$J5!=$K5"</formula>
    </cfRule>
  </conditionalFormatting>
  <conditionalFormatting sqref="T193">
    <cfRule type="expression" dxfId="1532" priority="1926">
      <formula>MOD(ROW(), 2)=1</formula>
    </cfRule>
  </conditionalFormatting>
  <conditionalFormatting sqref="AV193">
    <cfRule type="expression" dxfId="1531" priority="1925">
      <formula>MOD(ROW(), 2)=1</formula>
    </cfRule>
  </conditionalFormatting>
  <conditionalFormatting sqref="AO193">
    <cfRule type="expression" dxfId="1530" priority="1924">
      <formula>MOD(ROW(), 2)=1</formula>
    </cfRule>
  </conditionalFormatting>
  <conditionalFormatting sqref="H193 B193">
    <cfRule type="expression" dxfId="1529" priority="1923">
      <formula>MOD(ROW(), 2)=1</formula>
    </cfRule>
  </conditionalFormatting>
  <conditionalFormatting sqref="U193">
    <cfRule type="expression" dxfId="1528" priority="1922">
      <formula>MOD(ROW(), 2)=1</formula>
    </cfRule>
  </conditionalFormatting>
  <conditionalFormatting sqref="U193">
    <cfRule type="expression" dxfId="1527" priority="1921">
      <formula>"$J5!=$K5"</formula>
    </cfRule>
  </conditionalFormatting>
  <conditionalFormatting sqref="F193">
    <cfRule type="expression" dxfId="1526" priority="1919">
      <formula>MOD(ROW(), 2)=1</formula>
    </cfRule>
  </conditionalFormatting>
  <conditionalFormatting sqref="E193">
    <cfRule type="expression" dxfId="1525" priority="1917">
      <formula>MOD(ROW(), 2)=1</formula>
    </cfRule>
  </conditionalFormatting>
  <conditionalFormatting sqref="AY193">
    <cfRule type="expression" dxfId="1524" priority="1912">
      <formula>MOD(ROW(), 2)=1</formula>
    </cfRule>
  </conditionalFormatting>
  <conditionalFormatting sqref="R193">
    <cfRule type="expression" dxfId="1523" priority="1915">
      <formula>MOD(ROW(), 2)=1</formula>
    </cfRule>
  </conditionalFormatting>
  <conditionalFormatting sqref="W193">
    <cfRule type="expression" dxfId="1522" priority="1914">
      <formula>MOD(ROW(), 2)=1</formula>
    </cfRule>
  </conditionalFormatting>
  <conditionalFormatting sqref="AZ193">
    <cfRule type="expression" dxfId="1521" priority="1913">
      <formula>MOD(ROW(), 2)=1</formula>
    </cfRule>
  </conditionalFormatting>
  <conditionalFormatting sqref="O193">
    <cfRule type="expression" dxfId="1520" priority="1911">
      <formula>MOD(ROW(), 2)=1</formula>
    </cfRule>
  </conditionalFormatting>
  <conditionalFormatting sqref="M193">
    <cfRule type="expression" dxfId="1519" priority="1910">
      <formula>MOD(ROW(), 2)=1</formula>
    </cfRule>
  </conditionalFormatting>
  <conditionalFormatting sqref="I193">
    <cfRule type="expression" dxfId="1518" priority="1908">
      <formula>MOD(ROW(), 2)=1</formula>
    </cfRule>
  </conditionalFormatting>
  <conditionalFormatting sqref="A193">
    <cfRule type="expression" dxfId="1517" priority="1904">
      <formula>MOD(ROW(), 2)=1</formula>
    </cfRule>
  </conditionalFormatting>
  <conditionalFormatting sqref="Y210">
    <cfRule type="expression" dxfId="1516" priority="1903">
      <formula>MOD(ROW(), 2)=1</formula>
    </cfRule>
  </conditionalFormatting>
  <conditionalFormatting sqref="X210">
    <cfRule type="expression" dxfId="1515" priority="1902">
      <formula>MOD(ROW(), 2)=1</formula>
    </cfRule>
  </conditionalFormatting>
  <conditionalFormatting sqref="H210">
    <cfRule type="expression" dxfId="1514" priority="1901">
      <formula>MOD(ROW(), 2)=1</formula>
    </cfRule>
  </conditionalFormatting>
  <conditionalFormatting sqref="J210">
    <cfRule type="expression" dxfId="1513" priority="1900">
      <formula>MOD(ROW(), 2)=1</formula>
    </cfRule>
  </conditionalFormatting>
  <conditionalFormatting sqref="I210">
    <cfRule type="expression" dxfId="1512" priority="1899">
      <formula>MOD(ROW(), 2)=1</formula>
    </cfRule>
  </conditionalFormatting>
  <conditionalFormatting sqref="K210">
    <cfRule type="expression" dxfId="1511" priority="1898">
      <formula>MOD(ROW(), 2)=1</formula>
    </cfRule>
  </conditionalFormatting>
  <conditionalFormatting sqref="A210">
    <cfRule type="expression" dxfId="1510" priority="1897">
      <formula>MOD(ROW(), 2)=1</formula>
    </cfRule>
  </conditionalFormatting>
  <conditionalFormatting sqref="H208">
    <cfRule type="expression" dxfId="1509" priority="1896">
      <formula>MOD(ROW(), 2)=1</formula>
    </cfRule>
  </conditionalFormatting>
  <conditionalFormatting sqref="J208">
    <cfRule type="expression" dxfId="1508" priority="1895">
      <formula>MOD(ROW(), 2)=1</formula>
    </cfRule>
  </conditionalFormatting>
  <conditionalFormatting sqref="I208">
    <cfRule type="expression" dxfId="1507" priority="1894">
      <formula>MOD(ROW(), 2)=1</formula>
    </cfRule>
  </conditionalFormatting>
  <conditionalFormatting sqref="K208">
    <cfRule type="expression" dxfId="1506" priority="1893">
      <formula>MOD(ROW(), 2)=1</formula>
    </cfRule>
  </conditionalFormatting>
  <conditionalFormatting sqref="J202">
    <cfRule type="expression" dxfId="1505" priority="1892">
      <formula>MOD(ROW(), 2)=1</formula>
    </cfRule>
  </conditionalFormatting>
  <conditionalFormatting sqref="I202">
    <cfRule type="expression" dxfId="1504" priority="1891">
      <formula>MOD(ROW(), 2)=1</formula>
    </cfRule>
  </conditionalFormatting>
  <conditionalFormatting sqref="K202">
    <cfRule type="expression" dxfId="1503" priority="1890">
      <formula>MOD(ROW(), 2)=1</formula>
    </cfRule>
  </conditionalFormatting>
  <conditionalFormatting sqref="A208">
    <cfRule type="expression" dxfId="1502" priority="1889">
      <formula>MOD(ROW(), 2)=1</formula>
    </cfRule>
  </conditionalFormatting>
  <conditionalFormatting sqref="X208">
    <cfRule type="expression" dxfId="1501" priority="1888">
      <formula>MOD(ROW(), 2)=1</formula>
    </cfRule>
  </conditionalFormatting>
  <conditionalFormatting sqref="AY206:BA207 D206:D207 P206:Q207 T206:T207 AT206:AW207 Y206:AA207 AD206:AN207 B206:B207">
    <cfRule type="expression" dxfId="1500" priority="1887">
      <formula>MOD(ROW(), 2)=1</formula>
    </cfRule>
  </conditionalFormatting>
  <conditionalFormatting sqref="AX206:AX207">
    <cfRule type="expression" dxfId="1499" priority="1886">
      <formula>MOD(ROW(), 2)=1</formula>
    </cfRule>
  </conditionalFormatting>
  <conditionalFormatting sqref="AO206:AO207">
    <cfRule type="expression" dxfId="1498" priority="1884">
      <formula>MOD(ROW(), 2)=1</formula>
    </cfRule>
  </conditionalFormatting>
  <conditionalFormatting sqref="U206:V207">
    <cfRule type="expression" dxfId="1497" priority="1883">
      <formula>MOD(ROW(), 2)=1</formula>
    </cfRule>
  </conditionalFormatting>
  <conditionalFormatting sqref="U206:U207">
    <cfRule type="expression" dxfId="1496" priority="1882">
      <formula>"$J5!=$K5"</formula>
    </cfRule>
  </conditionalFormatting>
  <conditionalFormatting sqref="AB206">
    <cfRule type="expression" dxfId="1495" priority="1881">
      <formula>MOD(ROW(), 2)=1</formula>
    </cfRule>
  </conditionalFormatting>
  <conditionalFormatting sqref="W206:W207">
    <cfRule type="expression" dxfId="1494" priority="1874">
      <formula>MOD(ROW(), 2)=1</formula>
    </cfRule>
  </conditionalFormatting>
  <conditionalFormatting sqref="O206:O207">
    <cfRule type="expression" dxfId="1493" priority="1873">
      <formula>MOD(ROW(), 2)=1</formula>
    </cfRule>
  </conditionalFormatting>
  <conditionalFormatting sqref="M207">
    <cfRule type="expression" dxfId="1492" priority="1872">
      <formula>MOD(ROW(), 2)=1</formula>
    </cfRule>
  </conditionalFormatting>
  <conditionalFormatting sqref="M206">
    <cfRule type="expression" dxfId="1491" priority="1871">
      <formula>MOD(ROW(), 2)=1</formula>
    </cfRule>
  </conditionalFormatting>
  <conditionalFormatting sqref="L206:L207">
    <cfRule type="expression" dxfId="1490" priority="1870">
      <formula>MOD(ROW(), 2)=1</formula>
    </cfRule>
  </conditionalFormatting>
  <conditionalFormatting sqref="N206:N207">
    <cfRule type="expression" dxfId="1489" priority="1869">
      <formula>MOD(ROW(), 2)=1</formula>
    </cfRule>
  </conditionalFormatting>
  <conditionalFormatting sqref="A207">
    <cfRule type="expression" dxfId="1488" priority="1868">
      <formula>MOD(ROW(), 2)=1</formula>
    </cfRule>
  </conditionalFormatting>
  <conditionalFormatting sqref="H207">
    <cfRule type="expression" dxfId="1487" priority="1867">
      <formula>MOD(ROW(), 2)=1</formula>
    </cfRule>
  </conditionalFormatting>
  <conditionalFormatting sqref="J207">
    <cfRule type="expression" dxfId="1486" priority="1866">
      <formula>MOD(ROW(), 2)=1</formula>
    </cfRule>
  </conditionalFormatting>
  <conditionalFormatting sqref="I207">
    <cfRule type="expression" dxfId="1485" priority="1865">
      <formula>MOD(ROW(), 2)=1</formula>
    </cfRule>
  </conditionalFormatting>
  <conditionalFormatting sqref="K207">
    <cfRule type="expression" dxfId="1484" priority="1864">
      <formula>MOD(ROW(), 2)=1</formula>
    </cfRule>
  </conditionalFormatting>
  <conditionalFormatting sqref="X207">
    <cfRule type="expression" dxfId="1483" priority="1863">
      <formula>MOD(ROW(), 2)=1</formula>
    </cfRule>
  </conditionalFormatting>
  <conditionalFormatting sqref="H206">
    <cfRule type="expression" dxfId="1482" priority="1862">
      <formula>MOD(ROW(), 2)=1</formula>
    </cfRule>
  </conditionalFormatting>
  <conditionalFormatting sqref="J206">
    <cfRule type="expression" dxfId="1481" priority="1861">
      <formula>MOD(ROW(), 2)=1</formula>
    </cfRule>
  </conditionalFormatting>
  <conditionalFormatting sqref="I206">
    <cfRule type="expression" dxfId="1480" priority="1860">
      <formula>MOD(ROW(), 2)=1</formula>
    </cfRule>
  </conditionalFormatting>
  <conditionalFormatting sqref="K206">
    <cfRule type="expression" dxfId="1479" priority="1859">
      <formula>MOD(ROW(), 2)=1</formula>
    </cfRule>
  </conditionalFormatting>
  <conditionalFormatting sqref="A206">
    <cfRule type="expression" dxfId="1478" priority="1858">
      <formula>MOD(ROW(), 2)=1</formula>
    </cfRule>
  </conditionalFormatting>
  <conditionalFormatting sqref="AD209:AN209 D209 P209:Q209 T209 AT209:AW209 H209 BA209 Y209:AA209 B209">
    <cfRule type="expression" dxfId="1477" priority="1857">
      <formula>MOD(ROW(), 2)=1</formula>
    </cfRule>
  </conditionalFormatting>
  <conditionalFormatting sqref="AX209">
    <cfRule type="expression" dxfId="1476" priority="1856">
      <formula>MOD(ROW(), 2)=1</formula>
    </cfRule>
  </conditionalFormatting>
  <conditionalFormatting sqref="AO209">
    <cfRule type="expression" dxfId="1475" priority="1854">
      <formula>MOD(ROW(), 2)=1</formula>
    </cfRule>
  </conditionalFormatting>
  <conditionalFormatting sqref="U209:V209">
    <cfRule type="expression" dxfId="1474" priority="1853">
      <formula>MOD(ROW(), 2)=1</formula>
    </cfRule>
  </conditionalFormatting>
  <conditionalFormatting sqref="U209">
    <cfRule type="expression" dxfId="1473" priority="1852">
      <formula>"$J5!=$K5"</formula>
    </cfRule>
  </conditionalFormatting>
  <conditionalFormatting sqref="F209">
    <cfRule type="expression" dxfId="1472" priority="1850">
      <formula>MOD(ROW(), 2)=1</formula>
    </cfRule>
  </conditionalFormatting>
  <conditionalFormatting sqref="C209">
    <cfRule type="expression" dxfId="1471" priority="1849">
      <formula>MOD(ROW(), 2)=1</formula>
    </cfRule>
  </conditionalFormatting>
  <conditionalFormatting sqref="E209">
    <cfRule type="expression" dxfId="1470" priority="1848">
      <formula>MOD(ROW(), 2)=1</formula>
    </cfRule>
  </conditionalFormatting>
  <conditionalFormatting sqref="G209">
    <cfRule type="expression" dxfId="1469" priority="1847">
      <formula>MOD(ROW(), 2)=1</formula>
    </cfRule>
  </conditionalFormatting>
  <conditionalFormatting sqref="AS209">
    <cfRule type="expression" dxfId="1468" priority="1846">
      <formula>MOD(ROW(), 2)=1</formula>
    </cfRule>
  </conditionalFormatting>
  <conditionalFormatting sqref="R209">
    <cfRule type="expression" dxfId="1467" priority="1845">
      <formula>MOD(ROW(), 2)=1</formula>
    </cfRule>
  </conditionalFormatting>
  <conditionalFormatting sqref="W209">
    <cfRule type="expression" dxfId="1466" priority="1844">
      <formula>MOD(ROW(), 2)=1</formula>
    </cfRule>
  </conditionalFormatting>
  <conditionalFormatting sqref="O209">
    <cfRule type="expression" dxfId="1465" priority="1843">
      <formula>MOD(ROW(), 2)=1</formula>
    </cfRule>
  </conditionalFormatting>
  <conditionalFormatting sqref="M209">
    <cfRule type="expression" dxfId="1464" priority="1842">
      <formula>MOD(ROW(), 2)=1</formula>
    </cfRule>
  </conditionalFormatting>
  <conditionalFormatting sqref="L209">
    <cfRule type="expression" dxfId="1463" priority="1841">
      <formula>MOD(ROW(), 2)=1</formula>
    </cfRule>
  </conditionalFormatting>
  <conditionalFormatting sqref="N209">
    <cfRule type="expression" dxfId="1462" priority="1840">
      <formula>MOD(ROW(), 2)=1</formula>
    </cfRule>
  </conditionalFormatting>
  <conditionalFormatting sqref="AY209:AZ209">
    <cfRule type="expression" dxfId="1461" priority="1838">
      <formula>MOD(ROW(), 2)=1</formula>
    </cfRule>
  </conditionalFormatting>
  <conditionalFormatting sqref="J209">
    <cfRule type="expression" dxfId="1460" priority="1837">
      <formula>MOD(ROW(), 2)=1</formula>
    </cfRule>
  </conditionalFormatting>
  <conditionalFormatting sqref="I209">
    <cfRule type="expression" dxfId="1459" priority="1836">
      <formula>MOD(ROW(), 2)=1</formula>
    </cfRule>
  </conditionalFormatting>
  <conditionalFormatting sqref="K209">
    <cfRule type="expression" dxfId="1458" priority="1835">
      <formula>MOD(ROW(), 2)=1</formula>
    </cfRule>
  </conditionalFormatting>
  <conditionalFormatting sqref="X209">
    <cfRule type="expression" dxfId="1457" priority="1834">
      <formula>MOD(ROW(), 2)=1</formula>
    </cfRule>
  </conditionalFormatting>
  <conditionalFormatting sqref="A209">
    <cfRule type="expression" dxfId="1456" priority="1833">
      <formula>MOD(ROW(), 2)=1</formula>
    </cfRule>
  </conditionalFormatting>
  <conditionalFormatting sqref="X206">
    <cfRule type="expression" dxfId="1455" priority="1832">
      <formula>MOD(ROW(), 2)=1</formula>
    </cfRule>
  </conditionalFormatting>
  <conditionalFormatting sqref="AT193">
    <cfRule type="expression" dxfId="1454" priority="1831">
      <formula>MOD(ROW(), 2)=1</formula>
    </cfRule>
  </conditionalFormatting>
  <conditionalFormatting sqref="AU193">
    <cfRule type="expression" dxfId="1453" priority="1830">
      <formula>MOD(ROW(), 2)=1</formula>
    </cfRule>
  </conditionalFormatting>
  <conditionalFormatting sqref="H202">
    <cfRule type="expression" dxfId="1452" priority="1829">
      <formula>MOD(ROW(), 2)=1</formula>
    </cfRule>
  </conditionalFormatting>
  <conditionalFormatting sqref="A30">
    <cfRule type="expression" dxfId="1451" priority="1828">
      <formula>MOD(ROW(), 2)=1</formula>
    </cfRule>
  </conditionalFormatting>
  <conditionalFormatting sqref="A202">
    <cfRule type="expression" dxfId="1450" priority="1827">
      <formula>MOD(ROW(), 2)=1</formula>
    </cfRule>
  </conditionalFormatting>
  <conditionalFormatting sqref="X202">
    <cfRule type="expression" dxfId="1449" priority="1826">
      <formula>MOD(ROW(), 2)=1</formula>
    </cfRule>
  </conditionalFormatting>
  <conditionalFormatting sqref="F70:F75">
    <cfRule type="expression" dxfId="1448" priority="1825">
      <formula>MOD(ROW(), 2)=1</formula>
    </cfRule>
  </conditionalFormatting>
  <conditionalFormatting sqref="AW74:AX74">
    <cfRule type="expression" dxfId="1447" priority="1824">
      <formula>MOD(ROW(), 2)=1</formula>
    </cfRule>
  </conditionalFormatting>
  <conditionalFormatting sqref="AV74">
    <cfRule type="expression" dxfId="1446" priority="1823">
      <formula>MOD(ROW(), 2)=1</formula>
    </cfRule>
  </conditionalFormatting>
  <conditionalFormatting sqref="F52:F53">
    <cfRule type="expression" dxfId="1445" priority="1821">
      <formula>MOD(ROW(), 2)=1</formula>
    </cfRule>
  </conditionalFormatting>
  <conditionalFormatting sqref="P52:P53">
    <cfRule type="expression" dxfId="1444" priority="1819">
      <formula>MOD(ROW(), 2)=1</formula>
    </cfRule>
  </conditionalFormatting>
  <conditionalFormatting sqref="AY27:AZ27">
    <cfRule type="expression" dxfId="1443" priority="1816">
      <formula>MOD(ROW(), 2)=1</formula>
    </cfRule>
  </conditionalFormatting>
  <conditionalFormatting sqref="Y16:Y20">
    <cfRule type="expression" dxfId="1442" priority="1818">
      <formula>MOD(ROW(), 2)=1</formula>
    </cfRule>
  </conditionalFormatting>
  <conditionalFormatting sqref="AY28:AZ28">
    <cfRule type="expression" dxfId="1441" priority="1817">
      <formula>MOD(ROW(), 2)=1</formula>
    </cfRule>
  </conditionalFormatting>
  <conditionalFormatting sqref="A32">
    <cfRule type="expression" dxfId="1440" priority="1815">
      <formula>MOD(ROW(), 2)=1</formula>
    </cfRule>
  </conditionalFormatting>
  <conditionalFormatting sqref="A38">
    <cfRule type="expression" dxfId="1439" priority="1814">
      <formula>MOD(ROW(), 2)=1</formula>
    </cfRule>
  </conditionalFormatting>
  <conditionalFormatting sqref="A36">
    <cfRule type="expression" dxfId="1438" priority="1813">
      <formula>MOD(ROW(), 2)=1</formula>
    </cfRule>
  </conditionalFormatting>
  <conditionalFormatting sqref="A37">
    <cfRule type="expression" dxfId="1437" priority="1812">
      <formula>MOD(ROW(), 2)=1</formula>
    </cfRule>
  </conditionalFormatting>
  <conditionalFormatting sqref="AK31">
    <cfRule type="expression" dxfId="1436" priority="1811">
      <formula>MOD(ROW(), 2)=1</formula>
    </cfRule>
  </conditionalFormatting>
  <conditionalFormatting sqref="A41">
    <cfRule type="expression" dxfId="1435" priority="1810">
      <formula>MOD(ROW(), 2)=1</formula>
    </cfRule>
  </conditionalFormatting>
  <conditionalFormatting sqref="F58:F59 F110:F113 F47:F51">
    <cfRule type="expression" dxfId="1434" priority="1809">
      <formula>MOD(ROW(), 2)=1</formula>
    </cfRule>
  </conditionalFormatting>
  <conditionalFormatting sqref="D58:D59 D110:D113 D47:D51">
    <cfRule type="expression" dxfId="1433" priority="1808">
      <formula>MOD(ROW(), 2)=1</formula>
    </cfRule>
  </conditionalFormatting>
  <conditionalFormatting sqref="E58:E59 E110:E113 E47:E51">
    <cfRule type="expression" dxfId="1432" priority="1807">
      <formula>MOD(ROW(), 2)=1</formula>
    </cfRule>
  </conditionalFormatting>
  <conditionalFormatting sqref="G58:G59 G110:G113 G47:G51">
    <cfRule type="expression" dxfId="1431" priority="1806">
      <formula>MOD(ROW(), 2)=1</formula>
    </cfRule>
  </conditionalFormatting>
  <conditionalFormatting sqref="AY48:AZ48">
    <cfRule type="expression" dxfId="1430" priority="1805">
      <formula>MOD(ROW(), 2)=1</formula>
    </cfRule>
  </conditionalFormatting>
  <conditionalFormatting sqref="BA50">
    <cfRule type="expression" dxfId="1429" priority="1804">
      <formula>MOD(ROW(), 2)=1</formula>
    </cfRule>
  </conditionalFormatting>
  <conditionalFormatting sqref="AZ49">
    <cfRule type="expression" dxfId="1428" priority="1803">
      <formula>MOD(ROW(), 2)=1</formula>
    </cfRule>
  </conditionalFormatting>
  <conditionalFormatting sqref="AY49">
    <cfRule type="expression" dxfId="1427" priority="1802">
      <formula>MOD(ROW(), 2)=1</formula>
    </cfRule>
  </conditionalFormatting>
  <conditionalFormatting sqref="X47">
    <cfRule type="expression" dxfId="1426" priority="1800">
      <formula>MOD(ROW(), 2)=1</formula>
    </cfRule>
  </conditionalFormatting>
  <conditionalFormatting sqref="AN49">
    <cfRule type="expression" dxfId="1425" priority="1799">
      <formula>MOD(ROW(), 2)=1</formula>
    </cfRule>
  </conditionalFormatting>
  <conditionalFormatting sqref="AN50">
    <cfRule type="expression" dxfId="1424" priority="1798">
      <formula>MOD(ROW(), 2)=1</formula>
    </cfRule>
  </conditionalFormatting>
  <conditionalFormatting sqref="A47">
    <cfRule type="expression" dxfId="1423" priority="1797">
      <formula>MOD(ROW(), 2)=1</formula>
    </cfRule>
  </conditionalFormatting>
  <conditionalFormatting sqref="Y46:Y51">
    <cfRule type="expression" dxfId="1422" priority="1794">
      <formula>MOD(ROW(), 2)=1</formula>
    </cfRule>
  </conditionalFormatting>
  <conditionalFormatting sqref="A50">
    <cfRule type="expression" dxfId="1421" priority="1793">
      <formula>MOD(ROW(), 2)=1</formula>
    </cfRule>
  </conditionalFormatting>
  <conditionalFormatting sqref="K50">
    <cfRule type="expression" dxfId="1420" priority="1792">
      <formula>MOD(ROW(), 2)=1</formula>
    </cfRule>
  </conditionalFormatting>
  <conditionalFormatting sqref="K49">
    <cfRule type="expression" dxfId="1419" priority="1791">
      <formula>MOD(ROW(), 2)=1</formula>
    </cfRule>
  </conditionalFormatting>
  <conditionalFormatting sqref="K48">
    <cfRule type="expression" dxfId="1418" priority="1790">
      <formula>MOD(ROW(), 2)=1</formula>
    </cfRule>
  </conditionalFormatting>
  <conditionalFormatting sqref="A48">
    <cfRule type="expression" dxfId="1417" priority="1789">
      <formula>MOD(ROW(), 2)=1</formula>
    </cfRule>
  </conditionalFormatting>
  <conditionalFormatting sqref="A49">
    <cfRule type="expression" dxfId="1416" priority="1788">
      <formula>MOD(ROW(), 2)=1</formula>
    </cfRule>
  </conditionalFormatting>
  <conditionalFormatting sqref="X46">
    <cfRule type="expression" dxfId="1415" priority="1787">
      <formula>MOD(ROW(), 2)=1</formula>
    </cfRule>
  </conditionalFormatting>
  <conditionalFormatting sqref="X50">
    <cfRule type="expression" dxfId="1414" priority="1786">
      <formula>MOD(ROW(), 2)=1</formula>
    </cfRule>
  </conditionalFormatting>
  <conditionalFormatting sqref="X51">
    <cfRule type="expression" dxfId="1413" priority="1785">
      <formula>MOD(ROW(), 2)=1</formula>
    </cfRule>
  </conditionalFormatting>
  <conditionalFormatting sqref="A51">
    <cfRule type="expression" dxfId="1412" priority="1784">
      <formula>MOD(ROW(), 2)=1</formula>
    </cfRule>
  </conditionalFormatting>
  <conditionalFormatting sqref="K51">
    <cfRule type="expression" dxfId="1411" priority="1783">
      <formula>MOD(ROW(), 2)=1</formula>
    </cfRule>
  </conditionalFormatting>
  <conditionalFormatting sqref="A111">
    <cfRule type="expression" dxfId="1410" priority="1781">
      <formula>MOD(ROW(), 2)=1</formula>
    </cfRule>
  </conditionalFormatting>
  <conditionalFormatting sqref="A58">
    <cfRule type="expression" dxfId="1409" priority="1780">
      <formula>MOD(ROW(), 2)=1</formula>
    </cfRule>
  </conditionalFormatting>
  <conditionalFormatting sqref="C136:C137">
    <cfRule type="expression" dxfId="1408" priority="1778">
      <formula>MOD(ROW(), 2)=1</formula>
    </cfRule>
  </conditionalFormatting>
  <conditionalFormatting sqref="C140:C152">
    <cfRule type="expression" dxfId="1407" priority="1777">
      <formula>MOD(ROW(), 2)=1</formula>
    </cfRule>
  </conditionalFormatting>
  <conditionalFormatting sqref="D140:D152">
    <cfRule type="expression" dxfId="1406" priority="1776">
      <formula>MOD(ROW(), 2)=1</formula>
    </cfRule>
  </conditionalFormatting>
  <conditionalFormatting sqref="D153:D176">
    <cfRule type="expression" dxfId="1405" priority="1775">
      <formula>MOD(ROW(), 2)=1</formula>
    </cfRule>
  </conditionalFormatting>
  <conditionalFormatting sqref="B212 D212:G212">
    <cfRule type="expression" dxfId="1404" priority="1773">
      <formula>MOD(ROW(), 2)=1</formula>
    </cfRule>
  </conditionalFormatting>
  <conditionalFormatting sqref="C212">
    <cfRule type="expression" dxfId="1403" priority="1772">
      <formula>MOD(ROW(), 2)=1</formula>
    </cfRule>
  </conditionalFormatting>
  <conditionalFormatting sqref="B213 D213:G213">
    <cfRule type="expression" dxfId="1402" priority="1771">
      <formula>MOD(ROW(), 2)=1</formula>
    </cfRule>
  </conditionalFormatting>
  <conditionalFormatting sqref="C213">
    <cfRule type="expression" dxfId="1401" priority="1770">
      <formula>MOD(ROW(), 2)=1</formula>
    </cfRule>
  </conditionalFormatting>
  <conditionalFormatting sqref="AT213:AU213">
    <cfRule type="expression" dxfId="1400" priority="1769">
      <formula>MOD(ROW(), 2)=1</formula>
    </cfRule>
  </conditionalFormatting>
  <conditionalFormatting sqref="R212:S212 R213">
    <cfRule type="expression" dxfId="1399" priority="1768">
      <formula>MOD(ROW(), 2)=1</formula>
    </cfRule>
  </conditionalFormatting>
  <conditionalFormatting sqref="AO212:AO215">
    <cfRule type="expression" dxfId="1398" priority="1767">
      <formula>MOD(ROW(), 2)=1</formula>
    </cfRule>
  </conditionalFormatting>
  <conditionalFormatting sqref="B214:B215 D214:G215">
    <cfRule type="expression" dxfId="1397" priority="1766">
      <formula>MOD(ROW(), 2)=1</formula>
    </cfRule>
  </conditionalFormatting>
  <conditionalFormatting sqref="C214:C215">
    <cfRule type="expression" dxfId="1396" priority="1765">
      <formula>MOD(ROW(), 2)=1</formula>
    </cfRule>
  </conditionalFormatting>
  <conditionalFormatting sqref="M213:M215">
    <cfRule type="expression" dxfId="1395" priority="1764">
      <formula>MOD(ROW(), 2)=1</formula>
    </cfRule>
  </conditionalFormatting>
  <conditionalFormatting sqref="AS213">
    <cfRule type="expression" dxfId="1394" priority="1762">
      <formula>MOD(ROW(), 2)=1</formula>
    </cfRule>
  </conditionalFormatting>
  <conditionalFormatting sqref="W213">
    <cfRule type="expression" dxfId="1393" priority="1761">
      <formula>MOD(ROW(), 2)=1</formula>
    </cfRule>
  </conditionalFormatting>
  <conditionalFormatting sqref="H216:I216">
    <cfRule type="expression" dxfId="1392" priority="1760">
      <formula>MOD(ROW(), 2)=1</formula>
    </cfRule>
  </conditionalFormatting>
  <conditionalFormatting sqref="B216:B218 D216:G218">
    <cfRule type="expression" dxfId="1391" priority="1759">
      <formula>MOD(ROW(), 2)=1</formula>
    </cfRule>
  </conditionalFormatting>
  <conditionalFormatting sqref="C216:C218">
    <cfRule type="expression" dxfId="1390" priority="1758">
      <formula>MOD(ROW(), 2)=1</formula>
    </cfRule>
  </conditionalFormatting>
  <conditionalFormatting sqref="M216:M218">
    <cfRule type="expression" dxfId="1389" priority="1757">
      <formula>MOD(ROW(), 2)=1</formula>
    </cfRule>
  </conditionalFormatting>
  <conditionalFormatting sqref="AS215">
    <cfRule type="expression" dxfId="1388" priority="1756">
      <formula>MOD(ROW(), 2)=1</formula>
    </cfRule>
  </conditionalFormatting>
  <conditionalFormatting sqref="AS212">
    <cfRule type="expression" dxfId="1387" priority="1754">
      <formula>MOD(ROW(), 2)=1</formula>
    </cfRule>
  </conditionalFormatting>
  <conditionalFormatting sqref="AS214">
    <cfRule type="expression" dxfId="1386" priority="1753">
      <formula>MOD(ROW(), 2)=1</formula>
    </cfRule>
  </conditionalFormatting>
  <conditionalFormatting sqref="AO216">
    <cfRule type="expression" dxfId="1385" priority="1752">
      <formula>MOD(ROW(), 2)=1</formula>
    </cfRule>
  </conditionalFormatting>
  <conditionalFormatting sqref="W212">
    <cfRule type="expression" dxfId="1384" priority="1751">
      <formula>MOD(ROW(), 2)=1</formula>
    </cfRule>
  </conditionalFormatting>
  <conditionalFormatting sqref="W216:W217">
    <cfRule type="expression" dxfId="1383" priority="1750">
      <formula>MOD(ROW(), 2)=1</formula>
    </cfRule>
  </conditionalFormatting>
  <conditionalFormatting sqref="W218">
    <cfRule type="expression" dxfId="1382" priority="1749">
      <formula>MOD(ROW(), 2)=1</formula>
    </cfRule>
  </conditionalFormatting>
  <conditionalFormatting sqref="W214">
    <cfRule type="expression" dxfId="1381" priority="1748">
      <formula>MOD(ROW(), 2)=1</formula>
    </cfRule>
  </conditionalFormatting>
  <conditionalFormatting sqref="O214">
    <cfRule type="expression" dxfId="1380" priority="1746">
      <formula>MOD(ROW(), 2)=1</formula>
    </cfRule>
  </conditionalFormatting>
  <conditionalFormatting sqref="O212">
    <cfRule type="expression" dxfId="1379" priority="1745">
      <formula>MOD(ROW(), 2)=1</formula>
    </cfRule>
  </conditionalFormatting>
  <conditionalFormatting sqref="O117">
    <cfRule type="expression" dxfId="1378" priority="1744">
      <formula>MOD(ROW(), 2)=1</formula>
    </cfRule>
  </conditionalFormatting>
  <conditionalFormatting sqref="M212">
    <cfRule type="expression" dxfId="1377" priority="1743">
      <formula>MOD(ROW(), 2)=1</formula>
    </cfRule>
  </conditionalFormatting>
  <conditionalFormatting sqref="M73">
    <cfRule type="expression" dxfId="1376" priority="1742">
      <formula>MOD(ROW(), 2)=1</formula>
    </cfRule>
  </conditionalFormatting>
  <conditionalFormatting sqref="X212">
    <cfRule type="expression" dxfId="1375" priority="1741">
      <formula>MOD(ROW(), 2)=1</formula>
    </cfRule>
  </conditionalFormatting>
  <conditionalFormatting sqref="AS217">
    <cfRule type="expression" dxfId="1374" priority="1740">
      <formula>MOD(ROW(), 2)=1</formula>
    </cfRule>
  </conditionalFormatting>
  <conditionalFormatting sqref="AS218">
    <cfRule type="expression" dxfId="1373" priority="1739">
      <formula>MOD(ROW(), 2)=1</formula>
    </cfRule>
  </conditionalFormatting>
  <conditionalFormatting sqref="Y212">
    <cfRule type="expression" dxfId="1372" priority="1738">
      <formula>MOD(ROW(), 2)=1</formula>
    </cfRule>
  </conditionalFormatting>
  <conditionalFormatting sqref="I212">
    <cfRule type="expression" dxfId="1371" priority="1737">
      <formula>MOD(ROW(), 2)=1</formula>
    </cfRule>
  </conditionalFormatting>
  <conditionalFormatting sqref="K212">
    <cfRule type="expression" dxfId="1370" priority="1736">
      <formula>MOD(ROW(), 2)=1</formula>
    </cfRule>
  </conditionalFormatting>
  <conditionalFormatting sqref="A212">
    <cfRule type="expression" dxfId="1369" priority="1735">
      <formula>MOD(ROW(), 2)=1</formula>
    </cfRule>
  </conditionalFormatting>
  <conditionalFormatting sqref="J217">
    <cfRule type="expression" dxfId="1368" priority="1733">
      <formula>MOD(ROW(), 2)=1</formula>
    </cfRule>
  </conditionalFormatting>
  <conditionalFormatting sqref="J218">
    <cfRule type="expression" dxfId="1367" priority="1732">
      <formula>MOD(ROW(), 2)=1</formula>
    </cfRule>
  </conditionalFormatting>
  <conditionalFormatting sqref="J74:M74 O74">
    <cfRule type="expression" dxfId="1366" priority="1731">
      <formula>MOD(ROW(), 2)=1</formula>
    </cfRule>
  </conditionalFormatting>
  <conditionalFormatting sqref="T74:AN74">
    <cfRule type="expression" dxfId="1365" priority="1730">
      <formula>MOD(ROW(), 2)=1</formula>
    </cfRule>
  </conditionalFormatting>
  <conditionalFormatting sqref="J193:K193">
    <cfRule type="expression" dxfId="1364" priority="1729">
      <formula>MOD(ROW(), 2)=1</formula>
    </cfRule>
  </conditionalFormatting>
  <conditionalFormatting sqref="J53 P52:P53">
    <cfRule type="expression" dxfId="1363" priority="1728">
      <formula>MOD(ROW(), 2)=1</formula>
    </cfRule>
  </conditionalFormatting>
  <conditionalFormatting sqref="A213">
    <cfRule type="expression" dxfId="1362" priority="1727">
      <formula>MOD(ROW(), 2)=1</formula>
    </cfRule>
  </conditionalFormatting>
  <conditionalFormatting sqref="H213 J213">
    <cfRule type="expression" dxfId="1361" priority="1726">
      <formula>MOD(ROW(), 2)=1</formula>
    </cfRule>
  </conditionalFormatting>
  <conditionalFormatting sqref="I213">
    <cfRule type="expression" dxfId="1360" priority="1725">
      <formula>MOD(ROW(), 2)=1</formula>
    </cfRule>
  </conditionalFormatting>
  <conditionalFormatting sqref="K213">
    <cfRule type="expression" dxfId="1359" priority="1724">
      <formula>MOD(ROW(), 2)=1</formula>
    </cfRule>
  </conditionalFormatting>
  <conditionalFormatting sqref="X213">
    <cfRule type="expression" dxfId="1358" priority="1723">
      <formula>MOD(ROW(), 2)=1</formula>
    </cfRule>
  </conditionalFormatting>
  <conditionalFormatting sqref="Y213">
    <cfRule type="expression" dxfId="1357" priority="1722">
      <formula>MOD(ROW(), 2)=1</formula>
    </cfRule>
  </conditionalFormatting>
  <conditionalFormatting sqref="B211 T211:V211 AT211:BA211 X211:AO211 D211:G211 J211 L211:Q211">
    <cfRule type="expression" dxfId="1356" priority="1721">
      <formula>MOD(ROW(), 2)=1</formula>
    </cfRule>
  </conditionalFormatting>
  <conditionalFormatting sqref="T211:U211">
    <cfRule type="expression" dxfId="1355" priority="1720">
      <formula>"$J5!=$K5"</formula>
    </cfRule>
  </conditionalFormatting>
  <conditionalFormatting sqref="W211">
    <cfRule type="expression" dxfId="1354" priority="1719">
      <formula>MOD(ROW(), 2)=1</formula>
    </cfRule>
  </conditionalFormatting>
  <conditionalFormatting sqref="C211">
    <cfRule type="expression" dxfId="1353" priority="1718">
      <formula>MOD(ROW(), 2)=1</formula>
    </cfRule>
  </conditionalFormatting>
  <conditionalFormatting sqref="R211">
    <cfRule type="expression" dxfId="1352" priority="1717">
      <formula>MOD(ROW(), 2)=1</formula>
    </cfRule>
  </conditionalFormatting>
  <conditionalFormatting sqref="AS211">
    <cfRule type="expression" dxfId="1351" priority="1716">
      <formula>MOD(ROW(), 2)=1</formula>
    </cfRule>
  </conditionalFormatting>
  <conditionalFormatting sqref="A211">
    <cfRule type="expression" dxfId="1350" priority="1715">
      <formula>MOD(ROW(), 2)=1</formula>
    </cfRule>
  </conditionalFormatting>
  <conditionalFormatting sqref="H211">
    <cfRule type="expression" dxfId="1349" priority="1714">
      <formula>MOD(ROW(), 2)=1</formula>
    </cfRule>
  </conditionalFormatting>
  <conditionalFormatting sqref="I211">
    <cfRule type="expression" dxfId="1348" priority="1713">
      <formula>MOD(ROW(), 2)=1</formula>
    </cfRule>
  </conditionalFormatting>
  <conditionalFormatting sqref="K211">
    <cfRule type="expression" dxfId="1347" priority="1712">
      <formula>MOD(ROW(), 2)=1</formula>
    </cfRule>
  </conditionalFormatting>
  <conditionalFormatting sqref="H215">
    <cfRule type="expression" dxfId="1346" priority="1711">
      <formula>MOD(ROW(), 2)=1</formula>
    </cfRule>
  </conditionalFormatting>
  <conditionalFormatting sqref="I215">
    <cfRule type="expression" dxfId="1345" priority="1710">
      <formula>MOD(ROW(), 2)=1</formula>
    </cfRule>
  </conditionalFormatting>
  <conditionalFormatting sqref="L215">
    <cfRule type="expression" dxfId="1344" priority="1709">
      <formula>MOD(ROW(), 2)=1</formula>
    </cfRule>
  </conditionalFormatting>
  <conditionalFormatting sqref="K215">
    <cfRule type="expression" dxfId="1343" priority="1708">
      <formula>MOD(ROW(), 2)=1</formula>
    </cfRule>
  </conditionalFormatting>
  <conditionalFormatting sqref="A215">
    <cfRule type="expression" dxfId="1342" priority="1707">
      <formula>MOD(ROW(), 2)=1</formula>
    </cfRule>
  </conditionalFormatting>
  <conditionalFormatting sqref="L214">
    <cfRule type="expression" dxfId="1341" priority="1706">
      <formula>MOD(ROW(), 2)=1</formula>
    </cfRule>
  </conditionalFormatting>
  <conditionalFormatting sqref="L216:L218">
    <cfRule type="expression" dxfId="1340" priority="1705">
      <formula>MOD(ROW(), 2)=1</formula>
    </cfRule>
  </conditionalFormatting>
  <conditionalFormatting sqref="A218">
    <cfRule type="expression" dxfId="1339" priority="1704">
      <formula>MOD(ROW(), 2)=1</formula>
    </cfRule>
  </conditionalFormatting>
  <conditionalFormatting sqref="K217:K218">
    <cfRule type="expression" dxfId="1338" priority="1703">
      <formula>MOD(ROW(), 2)=1</formula>
    </cfRule>
  </conditionalFormatting>
  <conditionalFormatting sqref="H217:H218">
    <cfRule type="expression" dxfId="1337" priority="1702">
      <formula>MOD(ROW(), 2)=1</formula>
    </cfRule>
  </conditionalFormatting>
  <conditionalFormatting sqref="I217:I218">
    <cfRule type="expression" dxfId="1336" priority="1701">
      <formula>MOD(ROW(), 2)=1</formula>
    </cfRule>
  </conditionalFormatting>
  <conditionalFormatting sqref="X217">
    <cfRule type="expression" dxfId="1335" priority="1614">
      <formula>MOD(ROW(), 2)=1</formula>
    </cfRule>
  </conditionalFormatting>
  <conditionalFormatting sqref="A217">
    <cfRule type="expression" dxfId="1334" priority="1613">
      <formula>MOD(ROW(), 2)=1</formula>
    </cfRule>
  </conditionalFormatting>
  <conditionalFormatting sqref="P79:P86">
    <cfRule type="expression" dxfId="1333" priority="1603">
      <formula>MOD(ROW(), 2)=1</formula>
    </cfRule>
  </conditionalFormatting>
  <conditionalFormatting sqref="P86">
    <cfRule type="expression" dxfId="1332" priority="1602">
      <formula>MOD(ROW(), 2)=1</formula>
    </cfRule>
  </conditionalFormatting>
  <conditionalFormatting sqref="A78">
    <cfRule type="expression" dxfId="1331" priority="1601">
      <formula>MOD(ROW(), 2)=1</formula>
    </cfRule>
  </conditionalFormatting>
  <conditionalFormatting sqref="O82">
    <cfRule type="expression" dxfId="1330" priority="1600">
      <formula>MOD(ROW(), 2)=1</formula>
    </cfRule>
  </conditionalFormatting>
  <conditionalFormatting sqref="D103:G109">
    <cfRule type="expression" dxfId="1329" priority="1599">
      <formula>MOD(ROW(), 2)=1</formula>
    </cfRule>
  </conditionalFormatting>
  <conditionalFormatting sqref="E43:E45">
    <cfRule type="expression" dxfId="1328" priority="1598">
      <formula>MOD(ROW(), 2)=1</formula>
    </cfRule>
  </conditionalFormatting>
  <conditionalFormatting sqref="H42:H45">
    <cfRule type="expression" dxfId="1327" priority="1597">
      <formula>MOD(ROW(), 2)=1</formula>
    </cfRule>
  </conditionalFormatting>
  <conditionalFormatting sqref="A33">
    <cfRule type="expression" dxfId="1326" priority="1596">
      <formula>MOD(ROW(), 2)=1</formula>
    </cfRule>
  </conditionalFormatting>
  <conditionalFormatting sqref="A39">
    <cfRule type="expression" dxfId="1325" priority="1595">
      <formula>MOD(ROW(), 2)=1</formula>
    </cfRule>
  </conditionalFormatting>
  <conditionalFormatting sqref="A40">
    <cfRule type="expression" dxfId="1324" priority="1594">
      <formula>MOD(ROW(), 2)=1</formula>
    </cfRule>
  </conditionalFormatting>
  <conditionalFormatting sqref="AW43">
    <cfRule type="expression" dxfId="1323" priority="1593">
      <formula>MOD(ROW(), 2)=1</formula>
    </cfRule>
  </conditionalFormatting>
  <conditionalFormatting sqref="AW44">
    <cfRule type="expression" dxfId="1322" priority="1592">
      <formula>MOD(ROW(), 2)=1</formula>
    </cfRule>
  </conditionalFormatting>
  <conditionalFormatting sqref="AO44">
    <cfRule type="expression" dxfId="1321" priority="1591">
      <formula>MOD(ROW(), 2)=1</formula>
    </cfRule>
  </conditionalFormatting>
  <conditionalFormatting sqref="W43:W45">
    <cfRule type="expression" dxfId="1320" priority="1590">
      <formula>MOD(ROW(), 2)=1</formula>
    </cfRule>
  </conditionalFormatting>
  <conditionalFormatting sqref="W43:W45">
    <cfRule type="expression" dxfId="1319" priority="1589">
      <formula>MOD(ROW(), 2)=1</formula>
    </cfRule>
  </conditionalFormatting>
  <conditionalFormatting sqref="X42:Y42 Y45 X43:X44">
    <cfRule type="expression" dxfId="1318" priority="1588">
      <formula>MOD(ROW(), 2)=1</formula>
    </cfRule>
  </conditionalFormatting>
  <conditionalFormatting sqref="Y43:Y44">
    <cfRule type="expression" dxfId="1317" priority="1587">
      <formula>MOD(ROW(), 2)=1</formula>
    </cfRule>
  </conditionalFormatting>
  <conditionalFormatting sqref="X45">
    <cfRule type="expression" dxfId="1316" priority="1586">
      <formula>MOD(ROW(), 2)=1</formula>
    </cfRule>
  </conditionalFormatting>
  <conditionalFormatting sqref="AY43:AZ45">
    <cfRule type="expression" dxfId="1315" priority="1585">
      <formula>MOD(ROW(), 2)=1</formula>
    </cfRule>
  </conditionalFormatting>
  <conditionalFormatting sqref="J56 J58:J59">
    <cfRule type="expression" dxfId="1314" priority="1584">
      <formula>MOD(ROW(), 2)=1</formula>
    </cfRule>
  </conditionalFormatting>
  <conditionalFormatting sqref="L56 L58:L59">
    <cfRule type="expression" dxfId="1313" priority="1583">
      <formula>MOD(ROW(), 2)=1</formula>
    </cfRule>
  </conditionalFormatting>
  <conditionalFormatting sqref="A87">
    <cfRule type="expression" dxfId="1312" priority="1573">
      <formula>MOD(ROW(), 2)=1</formula>
    </cfRule>
  </conditionalFormatting>
  <conditionalFormatting sqref="X64:X67 X69 X71 X73">
    <cfRule type="expression" dxfId="1311" priority="1582">
      <formula>MOD(ROW(), 2)=1</formula>
    </cfRule>
  </conditionalFormatting>
  <conditionalFormatting sqref="Y54 Y69:Y73">
    <cfRule type="expression" dxfId="1310" priority="1581">
      <formula>MOD(ROW(), 2)=1</formula>
    </cfRule>
  </conditionalFormatting>
  <conditionalFormatting sqref="L53:M53 M52">
    <cfRule type="expression" dxfId="1309" priority="1580">
      <formula>MOD(ROW(), 2)=1</formula>
    </cfRule>
  </conditionalFormatting>
  <conditionalFormatting sqref="K53">
    <cfRule type="expression" dxfId="1308" priority="1579">
      <formula>MOD(ROW(), 2)=1</formula>
    </cfRule>
  </conditionalFormatting>
  <conditionalFormatting sqref="N52:N53">
    <cfRule type="expression" dxfId="1307" priority="1578">
      <formula>MOD(ROW(), 2)=1</formula>
    </cfRule>
  </conditionalFormatting>
  <conditionalFormatting sqref="O52:O53">
    <cfRule type="expression" dxfId="1306" priority="1577">
      <formula>MOD(ROW(), 2)=1</formula>
    </cfRule>
  </conditionalFormatting>
  <conditionalFormatting sqref="U53:W53 U52:V52">
    <cfRule type="expression" dxfId="1305" priority="1576">
      <formula>MOD(ROW(), 2)=1</formula>
    </cfRule>
  </conditionalFormatting>
  <conditionalFormatting sqref="X53:AN53 X52:Y52 AN52">
    <cfRule type="expression" dxfId="1304" priority="1575">
      <formula>MOD(ROW(), 2)=1</formula>
    </cfRule>
  </conditionalFormatting>
  <conditionalFormatting sqref="AO86">
    <cfRule type="expression" dxfId="1303" priority="1574">
      <formula>MOD(ROW(), 2)=1</formula>
    </cfRule>
  </conditionalFormatting>
  <conditionalFormatting sqref="L86">
    <cfRule type="expression" dxfId="1302" priority="1572">
      <formula>MOD(ROW(), 2)=1</formula>
    </cfRule>
  </conditionalFormatting>
  <conditionalFormatting sqref="X88">
    <cfRule type="expression" dxfId="1301" priority="1571">
      <formula>MOD(ROW(), 2)=1</formula>
    </cfRule>
  </conditionalFormatting>
  <conditionalFormatting sqref="AB88:AC88">
    <cfRule type="expression" dxfId="1300" priority="1570">
      <formula>MOD(ROW(), 2)=1</formula>
    </cfRule>
  </conditionalFormatting>
  <conditionalFormatting sqref="A88">
    <cfRule type="expression" dxfId="1299" priority="1569">
      <formula>MOD(ROW(), 2)=1</formula>
    </cfRule>
  </conditionalFormatting>
  <conditionalFormatting sqref="O98:R98 T98:AA98">
    <cfRule type="expression" dxfId="1298" priority="1568">
      <formula>MOD(ROW(), 2)=1</formula>
    </cfRule>
  </conditionalFormatting>
  <conditionalFormatting sqref="T98:U98">
    <cfRule type="expression" dxfId="1297" priority="1567">
      <formula>"$J5!=$K5"</formula>
    </cfRule>
  </conditionalFormatting>
  <conditionalFormatting sqref="O55:P56 O58:P59">
    <cfRule type="expression" dxfId="1296" priority="1566">
      <formula>MOD(ROW(), 2)=1</formula>
    </cfRule>
  </conditionalFormatting>
  <conditionalFormatting sqref="AB89:AC89">
    <cfRule type="expression" dxfId="1295" priority="1565">
      <formula>MOD(ROW(), 2)=1</formula>
    </cfRule>
  </conditionalFormatting>
  <conditionalFormatting sqref="AS89">
    <cfRule type="expression" dxfId="1294" priority="1564">
      <formula>MOD(ROW(), 2)=1</formula>
    </cfRule>
  </conditionalFormatting>
  <conditionalFormatting sqref="A89">
    <cfRule type="expression" dxfId="1293" priority="1563">
      <formula>MOD(ROW(), 2)=1</formula>
    </cfRule>
  </conditionalFormatting>
  <conditionalFormatting sqref="Y164">
    <cfRule type="expression" dxfId="1292" priority="1562">
      <formula>MOD(ROW(), 2)=1</formula>
    </cfRule>
  </conditionalFormatting>
  <conditionalFormatting sqref="L90:L91">
    <cfRule type="expression" dxfId="1291" priority="1561">
      <formula>MOD(ROW(), 2)=1</formula>
    </cfRule>
  </conditionalFormatting>
  <conditionalFormatting sqref="L94">
    <cfRule type="expression" dxfId="1290" priority="1560">
      <formula>MOD(ROW(), 2)=1</formula>
    </cfRule>
  </conditionalFormatting>
  <conditionalFormatting sqref="L97:L98">
    <cfRule type="expression" dxfId="1289" priority="1559">
      <formula>MOD(ROW(), 2)=1</formula>
    </cfRule>
  </conditionalFormatting>
  <conditionalFormatting sqref="L97:L98">
    <cfRule type="expression" dxfId="1288" priority="1558">
      <formula>MOD(ROW(), 2)=1</formula>
    </cfRule>
  </conditionalFormatting>
  <conditionalFormatting sqref="A90">
    <cfRule type="expression" dxfId="1287" priority="1557">
      <formula>MOD(ROW(), 2)=1</formula>
    </cfRule>
  </conditionalFormatting>
  <conditionalFormatting sqref="AX196 AT196 D196">
    <cfRule type="expression" dxfId="1286" priority="1554">
      <formula>MOD(ROW(), 2)=1</formula>
    </cfRule>
  </conditionalFormatting>
  <conditionalFormatting sqref="BA196">
    <cfRule type="expression" dxfId="1285" priority="1552">
      <formula>MOD(ROW(), 2)=1</formula>
    </cfRule>
  </conditionalFormatting>
  <conditionalFormatting sqref="AZ196">
    <cfRule type="expression" dxfId="1284" priority="1551">
      <formula>MOD(ROW(), 2)=1</formula>
    </cfRule>
  </conditionalFormatting>
  <conditionalFormatting sqref="AW196 AY196 AD196:AM196 P196:Q196 Z196:AA196">
    <cfRule type="expression" dxfId="1283" priority="1550">
      <formula>MOD(ROW(), 2)=1</formula>
    </cfRule>
  </conditionalFormatting>
  <conditionalFormatting sqref="T196">
    <cfRule type="expression" dxfId="1282" priority="1549">
      <formula>"$J5!=$K5"</formula>
    </cfRule>
  </conditionalFormatting>
  <conditionalFormatting sqref="T196">
    <cfRule type="expression" dxfId="1281" priority="1548">
      <formula>MOD(ROW(), 2)=1</formula>
    </cfRule>
  </conditionalFormatting>
  <conditionalFormatting sqref="AU196:AV196">
    <cfRule type="expression" dxfId="1280" priority="1547">
      <formula>MOD(ROW(), 2)=1</formula>
    </cfRule>
  </conditionalFormatting>
  <conditionalFormatting sqref="AN196:AO196">
    <cfRule type="expression" dxfId="1279" priority="1546">
      <formula>MOD(ROW(), 2)=1</formula>
    </cfRule>
  </conditionalFormatting>
  <conditionalFormatting sqref="B196">
    <cfRule type="expression" dxfId="1278" priority="1545">
      <formula>MOD(ROW(), 2)=1</formula>
    </cfRule>
  </conditionalFormatting>
  <conditionalFormatting sqref="U196:V196">
    <cfRule type="expression" dxfId="1277" priority="1544">
      <formula>MOD(ROW(), 2)=1</formula>
    </cfRule>
  </conditionalFormatting>
  <conditionalFormatting sqref="U196">
    <cfRule type="expression" dxfId="1276" priority="1543">
      <formula>"$J5!=$K5"</formula>
    </cfRule>
  </conditionalFormatting>
  <conditionalFormatting sqref="AB196:AC196">
    <cfRule type="expression" dxfId="1275" priority="1542">
      <formula>MOD(ROW(), 2)=1</formula>
    </cfRule>
  </conditionalFormatting>
  <conditionalFormatting sqref="F196">
    <cfRule type="expression" dxfId="1274" priority="1541">
      <formula>MOD(ROW(), 2)=1</formula>
    </cfRule>
  </conditionalFormatting>
  <conditionalFormatting sqref="AR196">
    <cfRule type="expression" dxfId="1273" priority="1540">
      <formula>MOD(ROW(), 2)=1</formula>
    </cfRule>
  </conditionalFormatting>
  <conditionalFormatting sqref="C196">
    <cfRule type="expression" dxfId="1272" priority="1538">
      <formula>MOD(ROW(), 2)=1</formula>
    </cfRule>
  </conditionalFormatting>
  <conditionalFormatting sqref="E196">
    <cfRule type="expression" dxfId="1271" priority="1537">
      <formula>MOD(ROW(), 2)=1</formula>
    </cfRule>
  </conditionalFormatting>
  <conditionalFormatting sqref="G196">
    <cfRule type="expression" dxfId="1270" priority="1536">
      <formula>MOD(ROW(), 2)=1</formula>
    </cfRule>
  </conditionalFormatting>
  <conditionalFormatting sqref="R196">
    <cfRule type="expression" dxfId="1269" priority="1535">
      <formula>MOD(ROW(), 2)=1</formula>
    </cfRule>
  </conditionalFormatting>
  <conditionalFormatting sqref="W196">
    <cfRule type="expression" dxfId="1268" priority="1534">
      <formula>MOD(ROW(), 2)=1</formula>
    </cfRule>
  </conditionalFormatting>
  <conditionalFormatting sqref="O196">
    <cfRule type="expression" dxfId="1267" priority="1533">
      <formula>MOD(ROW(), 2)=1</formula>
    </cfRule>
  </conditionalFormatting>
  <conditionalFormatting sqref="AS196">
    <cfRule type="expression" dxfId="1266" priority="1531">
      <formula>MOD(ROW(), 2)=1</formula>
    </cfRule>
  </conditionalFormatting>
  <conditionalFormatting sqref="A196">
    <cfRule type="expression" dxfId="1265" priority="1530">
      <formula>MOD(ROW(), 2)=1</formula>
    </cfRule>
  </conditionalFormatting>
  <conditionalFormatting sqref="H196">
    <cfRule type="expression" dxfId="1264" priority="1529">
      <formula>MOD(ROW(), 2)=1</formula>
    </cfRule>
  </conditionalFormatting>
  <conditionalFormatting sqref="J196">
    <cfRule type="expression" dxfId="1263" priority="1528">
      <formula>MOD(ROW(), 2)=1</formula>
    </cfRule>
  </conditionalFormatting>
  <conditionalFormatting sqref="I196">
    <cfRule type="expression" dxfId="1262" priority="1527">
      <formula>MOD(ROW(), 2)=1</formula>
    </cfRule>
  </conditionalFormatting>
  <conditionalFormatting sqref="K196">
    <cfRule type="expression" dxfId="1261" priority="1526">
      <formula>MOD(ROW(), 2)=1</formula>
    </cfRule>
  </conditionalFormatting>
  <conditionalFormatting sqref="N196">
    <cfRule type="expression" dxfId="1260" priority="1524">
      <formula>MOD(ROW(), 2)=1</formula>
    </cfRule>
  </conditionalFormatting>
  <conditionalFormatting sqref="X196">
    <cfRule type="expression" dxfId="1259" priority="1523">
      <formula>MOD(ROW(), 2)=1</formula>
    </cfRule>
  </conditionalFormatting>
  <conditionalFormatting sqref="Y196">
    <cfRule type="expression" dxfId="1258" priority="1522">
      <formula>MOD(ROW(), 2)=1</formula>
    </cfRule>
  </conditionalFormatting>
  <conditionalFormatting sqref="A91">
    <cfRule type="expression" dxfId="1257" priority="1521">
      <formula>MOD(ROW(), 2)=1</formula>
    </cfRule>
  </conditionalFormatting>
  <conditionalFormatting sqref="B265:B266">
    <cfRule type="expression" dxfId="1256" priority="1483">
      <formula>MOD(ROW(), 2)=1</formula>
    </cfRule>
  </conditionalFormatting>
  <conditionalFormatting sqref="Q218">
    <cfRule type="expression" dxfId="1255" priority="1479">
      <formula>MOD(ROW(), 2)=1</formula>
    </cfRule>
  </conditionalFormatting>
  <conditionalFormatting sqref="Q217">
    <cfRule type="expression" dxfId="1254" priority="1478">
      <formula>MOD(ROW(), 2)=1</formula>
    </cfRule>
  </conditionalFormatting>
  <conditionalFormatting sqref="R265:R266">
    <cfRule type="expression" dxfId="1253" priority="1475">
      <formula>MOD(ROW(), 2)=1</formula>
    </cfRule>
  </conditionalFormatting>
  <conditionalFormatting sqref="R218">
    <cfRule type="expression" dxfId="1252" priority="1474">
      <formula>MOD(ROW(), 2)=1</formula>
    </cfRule>
  </conditionalFormatting>
  <conditionalFormatting sqref="A92">
    <cfRule type="expression" dxfId="1251" priority="1473">
      <formula>MOD(ROW(), 2)=1</formula>
    </cfRule>
  </conditionalFormatting>
  <conditionalFormatting sqref="A82">
    <cfRule type="expression" dxfId="1250" priority="1472">
      <formula>MOD(ROW(), 2)=1</formula>
    </cfRule>
  </conditionalFormatting>
  <conditionalFormatting sqref="A85">
    <cfRule type="expression" dxfId="1249" priority="1471">
      <formula>MOD(ROW(), 2)=1</formula>
    </cfRule>
  </conditionalFormatting>
  <conditionalFormatting sqref="A86">
    <cfRule type="expression" dxfId="1248" priority="1470">
      <formula>MOD(ROW(), 2)=1</formula>
    </cfRule>
  </conditionalFormatting>
  <conditionalFormatting sqref="L239 T239:W239 AT239:BA239 Y239:AB239 AD239:AN239">
    <cfRule type="expression" dxfId="1247" priority="1469">
      <formula>MOD(ROW(), 2)=1</formula>
    </cfRule>
  </conditionalFormatting>
  <conditionalFormatting sqref="T239:U239">
    <cfRule type="expression" dxfId="1246" priority="1468">
      <formula>"$J5!=$K5"</formula>
    </cfRule>
  </conditionalFormatting>
  <conditionalFormatting sqref="A229:A230 A237 A232">
    <cfRule type="expression" dxfId="1245" priority="1467">
      <formula>MOD(ROW(), 2)=1</formula>
    </cfRule>
  </conditionalFormatting>
  <conditionalFormatting sqref="BA228:BA238">
    <cfRule type="expression" dxfId="1244" priority="1465">
      <formula>MOD(ROW(), 2)=1</formula>
    </cfRule>
  </conditionalFormatting>
  <conditionalFormatting sqref="AZ228:AZ238">
    <cfRule type="expression" dxfId="1243" priority="1464">
      <formula>MOD(ROW(), 2)=1</formula>
    </cfRule>
  </conditionalFormatting>
  <conditionalFormatting sqref="AY228:AY238 AL228 AW233:AW237 AR228:AR232 AR233:AS238 M228:N228 O238:P238 P228:P237 M232 M230 AL231 AL233:AL236 AL238">
    <cfRule type="expression" dxfId="1242" priority="1463">
      <formula>MOD(ROW(), 2)=1</formula>
    </cfRule>
  </conditionalFormatting>
  <conditionalFormatting sqref="AM228 AM231 AM233:AM236 AM238">
    <cfRule type="expression" dxfId="1241" priority="1462">
      <formula>MOD(ROW(), 2)=1</formula>
    </cfRule>
  </conditionalFormatting>
  <conditionalFormatting sqref="AV233:AV237 AW234:AW237">
    <cfRule type="expression" dxfId="1240" priority="1461">
      <formula>MOD(ROW(), 2)=1</formula>
    </cfRule>
  </conditionalFormatting>
  <conditionalFormatting sqref="AN228:AN229 AP229:AP238 AN231 AN233:AN236 AN238">
    <cfRule type="expression" dxfId="1239" priority="1460">
      <formula>MOD(ROW(), 2)=1</formula>
    </cfRule>
  </conditionalFormatting>
  <conditionalFormatting sqref="L229:L230 J229 D233 B237:B238 H228:H232 H237 L236 L232">
    <cfRule type="expression" dxfId="1238" priority="1459">
      <formula>MOD(ROW(), 2)=1</formula>
    </cfRule>
  </conditionalFormatting>
  <conditionalFormatting sqref="K229:K230">
    <cfRule type="expression" dxfId="1237" priority="1458">
      <formula>MOD(ROW(), 2)=1</formula>
    </cfRule>
  </conditionalFormatting>
  <conditionalFormatting sqref="I229:I230">
    <cfRule type="expression" dxfId="1236" priority="1457">
      <formula>MOD(ROW(), 2)=1</formula>
    </cfRule>
  </conditionalFormatting>
  <conditionalFormatting sqref="X228:AB228 Y238:AB238 Y235:AB236 Y231:AB231 X233:AB234 X229:Y230 X232:Y232 AD231:AK231 AD233:AK236 AD238:AK238 AD228:AK228">
    <cfRule type="expression" dxfId="1235" priority="1456">
      <formula>MOD(ROW(), 2)=1</formula>
    </cfRule>
  </conditionalFormatting>
  <conditionalFormatting sqref="T228:T237">
    <cfRule type="expression" dxfId="1234" priority="1455">
      <formula>"$J5!=$K5"</formula>
    </cfRule>
  </conditionalFormatting>
  <conditionalFormatting sqref="T228:T237">
    <cfRule type="expression" dxfId="1233" priority="1454">
      <formula>MOD(ROW(), 2)=1</formula>
    </cfRule>
  </conditionalFormatting>
  <conditionalFormatting sqref="AT228:AU228 AT230:AU238">
    <cfRule type="expression" dxfId="1232" priority="1453">
      <formula>MOD(ROW(), 2)=1</formula>
    </cfRule>
  </conditionalFormatting>
  <conditionalFormatting sqref="AX228:AX238">
    <cfRule type="expression" dxfId="1231" priority="1452">
      <formula>MOD(ROW(), 2)=1</formula>
    </cfRule>
  </conditionalFormatting>
  <conditionalFormatting sqref="AX228:AX238">
    <cfRule type="expression" dxfId="1230" priority="1451">
      <formula>MOD(ROW(), 2)=1</formula>
    </cfRule>
  </conditionalFormatting>
  <conditionalFormatting sqref="U228:V238">
    <cfRule type="expression" dxfId="1229" priority="1450">
      <formula>MOD(ROW(), 2)=1</formula>
    </cfRule>
  </conditionalFormatting>
  <conditionalFormatting sqref="U228:U238">
    <cfRule type="expression" dxfId="1228" priority="1449">
      <formula>"$J5!=$K5"</formula>
    </cfRule>
  </conditionalFormatting>
  <conditionalFormatting sqref="W236 W238">
    <cfRule type="expression" dxfId="1227" priority="1448">
      <formula>MOD(ROW(), 2)=1</formula>
    </cfRule>
  </conditionalFormatting>
  <conditionalFormatting sqref="W228:W235">
    <cfRule type="expression" dxfId="1226" priority="1447">
      <formula>MOD(ROW(), 2)=1</formula>
    </cfRule>
  </conditionalFormatting>
  <conditionalFormatting sqref="C233">
    <cfRule type="expression" dxfId="1225" priority="1446">
      <formula>MOD(ROW(), 2)=1</formula>
    </cfRule>
  </conditionalFormatting>
  <conditionalFormatting sqref="AS230">
    <cfRule type="expression" dxfId="1224" priority="1445">
      <formula>MOD(ROW(), 2)=1</formula>
    </cfRule>
  </conditionalFormatting>
  <conditionalFormatting sqref="AS228">
    <cfRule type="expression" dxfId="1223" priority="1444">
      <formula>MOD(ROW(), 2)=1</formula>
    </cfRule>
  </conditionalFormatting>
  <conditionalFormatting sqref="AS229">
    <cfRule type="expression" dxfId="1222" priority="1443">
      <formula>MOD(ROW(), 2)=1</formula>
    </cfRule>
  </conditionalFormatting>
  <conditionalFormatting sqref="AW228:AW232">
    <cfRule type="expression" dxfId="1221" priority="1442">
      <formula>MOD(ROW(), 2)=1</formula>
    </cfRule>
  </conditionalFormatting>
  <conditionalFormatting sqref="AV228:AV232">
    <cfRule type="expression" dxfId="1220" priority="1441">
      <formula>MOD(ROW(), 2)=1</formula>
    </cfRule>
  </conditionalFormatting>
  <conditionalFormatting sqref="AS231:AS232">
    <cfRule type="expression" dxfId="1219" priority="1440">
      <formula>MOD(ROW(), 2)=1</formula>
    </cfRule>
  </conditionalFormatting>
  <conditionalFormatting sqref="B228:B236">
    <cfRule type="expression" dxfId="1218" priority="1439">
      <formula>MOD(ROW(), 2)=1</formula>
    </cfRule>
  </conditionalFormatting>
  <conditionalFormatting sqref="D228:D232">
    <cfRule type="expression" dxfId="1217" priority="1438">
      <formula>MOD(ROW(), 2)=1</formula>
    </cfRule>
  </conditionalFormatting>
  <conditionalFormatting sqref="C228:C232">
    <cfRule type="expression" dxfId="1216" priority="1437">
      <formula>MOD(ROW(), 2)=1</formula>
    </cfRule>
  </conditionalFormatting>
  <conditionalFormatting sqref="D234:D236">
    <cfRule type="expression" dxfId="1215" priority="1436">
      <formula>MOD(ROW(), 2)=1</formula>
    </cfRule>
  </conditionalFormatting>
  <conditionalFormatting sqref="C234:C236">
    <cfRule type="expression" dxfId="1214" priority="1435">
      <formula>MOD(ROW(), 2)=1</formula>
    </cfRule>
  </conditionalFormatting>
  <conditionalFormatting sqref="D237:D238">
    <cfRule type="expression" dxfId="1213" priority="1434">
      <formula>MOD(ROW(), 2)=1</formula>
    </cfRule>
  </conditionalFormatting>
  <conditionalFormatting sqref="C237:C238">
    <cfRule type="expression" dxfId="1212" priority="1433">
      <formula>MOD(ROW(), 2)=1</formula>
    </cfRule>
  </conditionalFormatting>
  <conditionalFormatting sqref="AV238:AW238">
    <cfRule type="expression" dxfId="1211" priority="1432">
      <formula>MOD(ROW(), 2)=1</formula>
    </cfRule>
  </conditionalFormatting>
  <conditionalFormatting sqref="E228:G238">
    <cfRule type="expression" dxfId="1210" priority="1431">
      <formula>MOD(ROW(), 2)=1</formula>
    </cfRule>
  </conditionalFormatting>
  <conditionalFormatting sqref="B239">
    <cfRule type="expression" dxfId="1209" priority="1430">
      <formula>MOD(ROW(), 2)=1</formula>
    </cfRule>
  </conditionalFormatting>
  <conditionalFormatting sqref="AO228:AO238">
    <cfRule type="expression" dxfId="1208" priority="1427">
      <formula>MOD(ROW(), 2)=1</formula>
    </cfRule>
  </conditionalFormatting>
  <conditionalFormatting sqref="AO228:AO238">
    <cfRule type="expression" dxfId="1207" priority="1426">
      <formula>MOD(ROW(), 2)=1</formula>
    </cfRule>
  </conditionalFormatting>
  <conditionalFormatting sqref="A235">
    <cfRule type="expression" dxfId="1206" priority="1425">
      <formula>MOD(ROW(), 2)=1</formula>
    </cfRule>
  </conditionalFormatting>
  <conditionalFormatting sqref="X235">
    <cfRule type="expression" dxfId="1205" priority="1424">
      <formula>MOD(ROW(), 2)=1</formula>
    </cfRule>
  </conditionalFormatting>
  <conditionalFormatting sqref="H235:L235">
    <cfRule type="expression" dxfId="1204" priority="1423">
      <formula>MOD(ROW(), 2)=1</formula>
    </cfRule>
  </conditionalFormatting>
  <conditionalFormatting sqref="L235">
    <cfRule type="expression" dxfId="1203" priority="1421">
      <formula>MOD(ROW(), 2)=1</formula>
    </cfRule>
  </conditionalFormatting>
  <conditionalFormatting sqref="W237">
    <cfRule type="expression" dxfId="1202" priority="1419">
      <formula>MOD(ROW(), 2)=1</formula>
    </cfRule>
  </conditionalFormatting>
  <conditionalFormatting sqref="H238:L238">
    <cfRule type="expression" dxfId="1201" priority="1418">
      <formula>MOD(ROW(), 2)=1</formula>
    </cfRule>
  </conditionalFormatting>
  <conditionalFormatting sqref="L238">
    <cfRule type="expression" dxfId="1200" priority="1417">
      <formula>MOD(ROW(), 2)=1</formula>
    </cfRule>
  </conditionalFormatting>
  <conditionalFormatting sqref="A238">
    <cfRule type="expression" dxfId="1199" priority="1416">
      <formula>MOD(ROW(), 2)=1</formula>
    </cfRule>
  </conditionalFormatting>
  <conditionalFormatting sqref="O228 O234:O236 O230:O232">
    <cfRule type="expression" dxfId="1198" priority="1415">
      <formula>MOD(ROW(), 2)=1</formula>
    </cfRule>
  </conditionalFormatting>
  <conditionalFormatting sqref="O228 O234:O236 O230:O232">
    <cfRule type="expression" dxfId="1197" priority="1414">
      <formula>MOD(ROW(), 2)=1</formula>
    </cfRule>
  </conditionalFormatting>
  <conditionalFormatting sqref="X238">
    <cfRule type="expression" dxfId="1196" priority="1413">
      <formula>MOD(ROW(), 2)=1</formula>
    </cfRule>
  </conditionalFormatting>
  <conditionalFormatting sqref="H233:L233">
    <cfRule type="expression" dxfId="1195" priority="1412">
      <formula>MOD(ROW(), 2)=1</formula>
    </cfRule>
  </conditionalFormatting>
  <conditionalFormatting sqref="L233">
    <cfRule type="expression" dxfId="1194" priority="1411">
      <formula>MOD(ROW(), 2)=1</formula>
    </cfRule>
  </conditionalFormatting>
  <conditionalFormatting sqref="A233">
    <cfRule type="expression" dxfId="1193" priority="1410">
      <formula>MOD(ROW(), 2)=1</formula>
    </cfRule>
  </conditionalFormatting>
  <conditionalFormatting sqref="D239">
    <cfRule type="expression" dxfId="1192" priority="1409">
      <formula>MOD(ROW(), 2)=1</formula>
    </cfRule>
  </conditionalFormatting>
  <conditionalFormatting sqref="C239">
    <cfRule type="expression" dxfId="1191" priority="1408">
      <formula>MOD(ROW(), 2)=1</formula>
    </cfRule>
  </conditionalFormatting>
  <conditionalFormatting sqref="E239:G239">
    <cfRule type="expression" dxfId="1190" priority="1407">
      <formula>MOD(ROW(), 2)=1</formula>
    </cfRule>
  </conditionalFormatting>
  <conditionalFormatting sqref="O239:P239">
    <cfRule type="expression" dxfId="1189" priority="1406">
      <formula>MOD(ROW(), 2)=1</formula>
    </cfRule>
  </conditionalFormatting>
  <conditionalFormatting sqref="AS239">
    <cfRule type="expression" dxfId="1188" priority="1404">
      <formula>MOD(ROW(), 2)=1</formula>
    </cfRule>
  </conditionalFormatting>
  <conditionalFormatting sqref="AO239">
    <cfRule type="expression" dxfId="1187" priority="1403">
      <formula>MOD(ROW(), 2)=1</formula>
    </cfRule>
  </conditionalFormatting>
  <conditionalFormatting sqref="AO239">
    <cfRule type="expression" dxfId="1186" priority="1402">
      <formula>MOD(ROW(), 2)=1</formula>
    </cfRule>
  </conditionalFormatting>
  <conditionalFormatting sqref="H239:K239">
    <cfRule type="expression" dxfId="1185" priority="1401">
      <formula>MOD(ROW(), 2)=1</formula>
    </cfRule>
  </conditionalFormatting>
  <conditionalFormatting sqref="A234">
    <cfRule type="expression" dxfId="1184" priority="1392">
      <formula>MOD(ROW(), 2)=1</formula>
    </cfRule>
  </conditionalFormatting>
  <conditionalFormatting sqref="H234:L234">
    <cfRule type="expression" dxfId="1183" priority="1391">
      <formula>MOD(ROW(), 2)=1</formula>
    </cfRule>
  </conditionalFormatting>
  <conditionalFormatting sqref="L234">
    <cfRule type="expression" dxfId="1182" priority="1390">
      <formula>MOD(ROW(), 2)=1</formula>
    </cfRule>
  </conditionalFormatting>
  <conditionalFormatting sqref="A239">
    <cfRule type="expression" dxfId="1181" priority="1389">
      <formula>MOD(ROW(), 2)=1</formula>
    </cfRule>
  </conditionalFormatting>
  <conditionalFormatting sqref="T238">
    <cfRule type="expression" dxfId="1180" priority="1388">
      <formula>MOD(ROW(), 2)=1</formula>
    </cfRule>
  </conditionalFormatting>
  <conditionalFormatting sqref="T238">
    <cfRule type="expression" dxfId="1179" priority="1387">
      <formula>"$J5!=$K5"</formula>
    </cfRule>
  </conditionalFormatting>
  <conditionalFormatting sqref="X239">
    <cfRule type="expression" dxfId="1178" priority="1386">
      <formula>MOD(ROW(), 2)=1</formula>
    </cfRule>
  </conditionalFormatting>
  <conditionalFormatting sqref="X236">
    <cfRule type="expression" dxfId="1177" priority="1385">
      <formula>MOD(ROW(), 2)=1</formula>
    </cfRule>
  </conditionalFormatting>
  <conditionalFormatting sqref="H236:K236">
    <cfRule type="expression" dxfId="1176" priority="1384">
      <formula>MOD(ROW(), 2)=1</formula>
    </cfRule>
  </conditionalFormatting>
  <conditionalFormatting sqref="A236">
    <cfRule type="expression" dxfId="1175" priority="1383">
      <formula>MOD(ROW(), 2)=1</formula>
    </cfRule>
  </conditionalFormatting>
  <conditionalFormatting sqref="AQ229:AQ239">
    <cfRule type="expression" dxfId="1174" priority="1382">
      <formula>MOD(ROW(), 2)=1</formula>
    </cfRule>
  </conditionalFormatting>
  <conditionalFormatting sqref="Q228:Q237">
    <cfRule type="expression" dxfId="1173" priority="1381">
      <formula>MOD(ROW(), 2)=1</formula>
    </cfRule>
  </conditionalFormatting>
  <conditionalFormatting sqref="R228:R239">
    <cfRule type="expression" dxfId="1172" priority="1380">
      <formula>MOD(ROW(), 2)=1</formula>
    </cfRule>
  </conditionalFormatting>
  <conditionalFormatting sqref="J228">
    <cfRule type="expression" dxfId="1171" priority="1379">
      <formula>MOD(ROW(), 2)=1</formula>
    </cfRule>
  </conditionalFormatting>
  <conditionalFormatting sqref="K228">
    <cfRule type="expression" dxfId="1170" priority="1378">
      <formula>MOD(ROW(), 2)=1</formula>
    </cfRule>
  </conditionalFormatting>
  <conditionalFormatting sqref="I228">
    <cfRule type="expression" dxfId="1169" priority="1377">
      <formula>MOD(ROW(), 2)=1</formula>
    </cfRule>
  </conditionalFormatting>
  <conditionalFormatting sqref="AL229">
    <cfRule type="expression" dxfId="1168" priority="1376">
      <formula>MOD(ROW(), 2)=1</formula>
    </cfRule>
  </conditionalFormatting>
  <conditionalFormatting sqref="AM229">
    <cfRule type="expression" dxfId="1167" priority="1375">
      <formula>MOD(ROW(), 2)=1</formula>
    </cfRule>
  </conditionalFormatting>
  <conditionalFormatting sqref="Z229:AB229 AD229:AK229">
    <cfRule type="expression" dxfId="1166" priority="1374">
      <formula>MOD(ROW(), 2)=1</formula>
    </cfRule>
  </conditionalFormatting>
  <conditionalFormatting sqref="AU229">
    <cfRule type="expression" dxfId="1165" priority="1373">
      <formula>MOD(ROW(), 2)=1</formula>
    </cfRule>
  </conditionalFormatting>
  <conditionalFormatting sqref="AT229">
    <cfRule type="expression" dxfId="1164" priority="1372">
      <formula>MOD(ROW(), 2)=1</formula>
    </cfRule>
  </conditionalFormatting>
  <conditionalFormatting sqref="AN230">
    <cfRule type="expression" dxfId="1163" priority="1371">
      <formula>MOD(ROW(), 2)=1</formula>
    </cfRule>
  </conditionalFormatting>
  <conditionalFormatting sqref="AL230">
    <cfRule type="expression" dxfId="1162" priority="1370">
      <formula>MOD(ROW(), 2)=1</formula>
    </cfRule>
  </conditionalFormatting>
  <conditionalFormatting sqref="AM230">
    <cfRule type="expression" dxfId="1161" priority="1369">
      <formula>MOD(ROW(), 2)=1</formula>
    </cfRule>
  </conditionalFormatting>
  <conditionalFormatting sqref="Z230:AB230 AD230:AK230">
    <cfRule type="expression" dxfId="1160" priority="1368">
      <formula>MOD(ROW(), 2)=1</formula>
    </cfRule>
  </conditionalFormatting>
  <conditionalFormatting sqref="AN232">
    <cfRule type="expression" dxfId="1159" priority="1367">
      <formula>MOD(ROW(), 2)=1</formula>
    </cfRule>
  </conditionalFormatting>
  <conditionalFormatting sqref="AL232">
    <cfRule type="expression" dxfId="1158" priority="1366">
      <formula>MOD(ROW(), 2)=1</formula>
    </cfRule>
  </conditionalFormatting>
  <conditionalFormatting sqref="AM232">
    <cfRule type="expression" dxfId="1157" priority="1365">
      <formula>MOD(ROW(), 2)=1</formula>
    </cfRule>
  </conditionalFormatting>
  <conditionalFormatting sqref="Z232:AB232 AD232:AK232">
    <cfRule type="expression" dxfId="1156" priority="1364">
      <formula>MOD(ROW(), 2)=1</formula>
    </cfRule>
  </conditionalFormatting>
  <conditionalFormatting sqref="AN237">
    <cfRule type="expression" dxfId="1155" priority="1363">
      <formula>MOD(ROW(), 2)=1</formula>
    </cfRule>
  </conditionalFormatting>
  <conditionalFormatting sqref="X237:Y237">
    <cfRule type="expression" dxfId="1154" priority="1362">
      <formula>MOD(ROW(), 2)=1</formula>
    </cfRule>
  </conditionalFormatting>
  <conditionalFormatting sqref="AL237">
    <cfRule type="expression" dxfId="1153" priority="1361">
      <formula>MOD(ROW(), 2)=1</formula>
    </cfRule>
  </conditionalFormatting>
  <conditionalFormatting sqref="AM237">
    <cfRule type="expression" dxfId="1152" priority="1360">
      <formula>MOD(ROW(), 2)=1</formula>
    </cfRule>
  </conditionalFormatting>
  <conditionalFormatting sqref="Z237:AB237 AD237:AK237">
    <cfRule type="expression" dxfId="1151" priority="1359">
      <formula>MOD(ROW(), 2)=1</formula>
    </cfRule>
  </conditionalFormatting>
  <conditionalFormatting sqref="N229:N239">
    <cfRule type="expression" dxfId="1150" priority="1358">
      <formula>MOD(ROW(), 2)=1</formula>
    </cfRule>
  </conditionalFormatting>
  <conditionalFormatting sqref="L228">
    <cfRule type="expression" dxfId="1149" priority="1357">
      <formula>MOD(ROW(), 2)=1</formula>
    </cfRule>
  </conditionalFormatting>
  <conditionalFormatting sqref="X231">
    <cfRule type="expression" dxfId="1148" priority="1356">
      <formula>MOD(ROW(), 2)=1</formula>
    </cfRule>
  </conditionalFormatting>
  <conditionalFormatting sqref="L231 J231">
    <cfRule type="expression" dxfId="1147" priority="1355">
      <formula>MOD(ROW(), 2)=1</formula>
    </cfRule>
  </conditionalFormatting>
  <conditionalFormatting sqref="K231">
    <cfRule type="expression" dxfId="1146" priority="1354">
      <formula>MOD(ROW(), 2)=1</formula>
    </cfRule>
  </conditionalFormatting>
  <conditionalFormatting sqref="I231">
    <cfRule type="expression" dxfId="1145" priority="1353">
      <formula>MOD(ROW(), 2)=1</formula>
    </cfRule>
  </conditionalFormatting>
  <conditionalFormatting sqref="A231">
    <cfRule type="expression" dxfId="1144" priority="1352">
      <formula>MOD(ROW(), 2)=1</formula>
    </cfRule>
  </conditionalFormatting>
  <conditionalFormatting sqref="J230">
    <cfRule type="expression" dxfId="1143" priority="1351">
      <formula>MOD(ROW(), 2)=1</formula>
    </cfRule>
  </conditionalFormatting>
  <conditionalFormatting sqref="K232">
    <cfRule type="expression" dxfId="1142" priority="1350">
      <formula>MOD(ROW(), 2)=1</formula>
    </cfRule>
  </conditionalFormatting>
  <conditionalFormatting sqref="I232">
    <cfRule type="expression" dxfId="1141" priority="1349">
      <formula>MOD(ROW(), 2)=1</formula>
    </cfRule>
  </conditionalFormatting>
  <conditionalFormatting sqref="J232">
    <cfRule type="expression" dxfId="1140" priority="1348">
      <formula>MOD(ROW(), 2)=1</formula>
    </cfRule>
  </conditionalFormatting>
  <conditionalFormatting sqref="M229">
    <cfRule type="expression" dxfId="1139" priority="1347">
      <formula>MOD(ROW(), 2)=1</formula>
    </cfRule>
  </conditionalFormatting>
  <conditionalFormatting sqref="M233">
    <cfRule type="expression" dxfId="1138" priority="1345">
      <formula>MOD(ROW(), 2)=1</formula>
    </cfRule>
  </conditionalFormatting>
  <conditionalFormatting sqref="M234">
    <cfRule type="expression" dxfId="1137" priority="1344">
      <formula>MOD(ROW(), 2)=1</formula>
    </cfRule>
  </conditionalFormatting>
  <conditionalFormatting sqref="M235">
    <cfRule type="expression" dxfId="1136" priority="1343">
      <formula>MOD(ROW(), 2)=1</formula>
    </cfRule>
  </conditionalFormatting>
  <conditionalFormatting sqref="M236">
    <cfRule type="expression" dxfId="1135" priority="1342">
      <formula>MOD(ROW(), 2)=1</formula>
    </cfRule>
  </conditionalFormatting>
  <conditionalFormatting sqref="I237:L237">
    <cfRule type="expression" dxfId="1134" priority="1341">
      <formula>MOD(ROW(), 2)=1</formula>
    </cfRule>
  </conditionalFormatting>
  <conditionalFormatting sqref="L237">
    <cfRule type="expression" dxfId="1133" priority="1340">
      <formula>MOD(ROW(), 2)=1</formula>
    </cfRule>
  </conditionalFormatting>
  <conditionalFormatting sqref="M237">
    <cfRule type="expression" dxfId="1132" priority="1339">
      <formula>MOD(ROW(), 2)=1</formula>
    </cfRule>
  </conditionalFormatting>
  <conditionalFormatting sqref="M238">
    <cfRule type="expression" dxfId="1131" priority="1338">
      <formula>MOD(ROW(), 2)=1</formula>
    </cfRule>
  </conditionalFormatting>
  <conditionalFormatting sqref="M239">
    <cfRule type="expression" dxfId="1130" priority="1337">
      <formula>MOD(ROW(), 2)=1</formula>
    </cfRule>
  </conditionalFormatting>
  <conditionalFormatting sqref="D241:G243">
    <cfRule type="expression" dxfId="1129" priority="1336">
      <formula>MOD(ROW(), 2)=1</formula>
    </cfRule>
  </conditionalFormatting>
  <conditionalFormatting sqref="C241:C243">
    <cfRule type="expression" dxfId="1128" priority="1335">
      <formula>MOD(ROW(), 2)=1</formula>
    </cfRule>
  </conditionalFormatting>
  <conditionalFormatting sqref="D240:G240">
    <cfRule type="expression" dxfId="1127" priority="1334">
      <formula>MOD(ROW(), 2)=1</formula>
    </cfRule>
  </conditionalFormatting>
  <conditionalFormatting sqref="C240">
    <cfRule type="expression" dxfId="1126" priority="1333">
      <formula>MOD(ROW(), 2)=1</formula>
    </cfRule>
  </conditionalFormatting>
  <conditionalFormatting sqref="F244">
    <cfRule type="expression" dxfId="1125" priority="1332">
      <formula>MOD(ROW(), 2)=1</formula>
    </cfRule>
  </conditionalFormatting>
  <conditionalFormatting sqref="C244">
    <cfRule type="expression" dxfId="1124" priority="1331">
      <formula>MOD(ROW(), 2)=1</formula>
    </cfRule>
  </conditionalFormatting>
  <conditionalFormatting sqref="G244">
    <cfRule type="expression" dxfId="1123" priority="1330">
      <formula>MOD(ROW(), 2)=1</formula>
    </cfRule>
  </conditionalFormatting>
  <conditionalFormatting sqref="D244:E244">
    <cfRule type="expression" dxfId="1122" priority="1329">
      <formula>MOD(ROW(), 2)=1</formula>
    </cfRule>
  </conditionalFormatting>
  <conditionalFormatting sqref="AS241:AS243">
    <cfRule type="expression" dxfId="1121" priority="1328">
      <formula>MOD(ROW(), 2)=1</formula>
    </cfRule>
  </conditionalFormatting>
  <conditionalFormatting sqref="F245">
    <cfRule type="expression" dxfId="1120" priority="1327">
      <formula>MOD(ROW(), 2)=1</formula>
    </cfRule>
  </conditionalFormatting>
  <conditionalFormatting sqref="C245">
    <cfRule type="expression" dxfId="1119" priority="1326">
      <formula>MOD(ROW(), 2)=1</formula>
    </cfRule>
  </conditionalFormatting>
  <conditionalFormatting sqref="G245">
    <cfRule type="expression" dxfId="1118" priority="1325">
      <formula>MOD(ROW(), 2)=1</formula>
    </cfRule>
  </conditionalFormatting>
  <conditionalFormatting sqref="D245:E245">
    <cfRule type="expression" dxfId="1117" priority="1324">
      <formula>MOD(ROW(), 2)=1</formula>
    </cfRule>
  </conditionalFormatting>
  <conditionalFormatting sqref="M240:M243">
    <cfRule type="expression" dxfId="1116" priority="1323">
      <formula>MOD(ROW(), 2)=1</formula>
    </cfRule>
  </conditionalFormatting>
  <conditionalFormatting sqref="AT244:AU244">
    <cfRule type="expression" dxfId="1115" priority="1322">
      <formula>MOD(ROW(), 2)=1</formula>
    </cfRule>
  </conditionalFormatting>
  <conditionalFormatting sqref="L244">
    <cfRule type="expression" dxfId="1114" priority="1314">
      <formula>MOD(ROW(), 2)=1</formula>
    </cfRule>
  </conditionalFormatting>
  <conditionalFormatting sqref="AL240">
    <cfRule type="expression" dxfId="1113" priority="1311">
      <formula>MOD(ROW(), 2)=1</formula>
    </cfRule>
  </conditionalFormatting>
  <conditionalFormatting sqref="AM240">
    <cfRule type="expression" dxfId="1112" priority="1310">
      <formula>MOD(ROW(), 2)=1</formula>
    </cfRule>
  </conditionalFormatting>
  <conditionalFormatting sqref="AD240:AK240">
    <cfRule type="expression" dxfId="1111" priority="1309">
      <formula>MOD(ROW(), 2)=1</formula>
    </cfRule>
  </conditionalFormatting>
  <conditionalFormatting sqref="A243">
    <cfRule type="expression" dxfId="1110" priority="1305">
      <formula>MOD(ROW(), 2)=1</formula>
    </cfRule>
  </conditionalFormatting>
  <conditionalFormatting sqref="H243">
    <cfRule type="expression" dxfId="1109" priority="1304">
      <formula>MOD(ROW(), 2)=1</formula>
    </cfRule>
  </conditionalFormatting>
  <conditionalFormatting sqref="J243">
    <cfRule type="expression" dxfId="1108" priority="1303">
      <formula>MOD(ROW(), 2)=1</formula>
    </cfRule>
  </conditionalFormatting>
  <conditionalFormatting sqref="K243">
    <cfRule type="expression" dxfId="1107" priority="1302">
      <formula>MOD(ROW(), 2)=1</formula>
    </cfRule>
  </conditionalFormatting>
  <conditionalFormatting sqref="I243">
    <cfRule type="expression" dxfId="1106" priority="1301">
      <formula>MOD(ROW(), 2)=1</formula>
    </cfRule>
  </conditionalFormatting>
  <conditionalFormatting sqref="A93">
    <cfRule type="expression" dxfId="1105" priority="1300">
      <formula>MOD(ROW(), 2)=1</formula>
    </cfRule>
  </conditionalFormatting>
  <conditionalFormatting sqref="AY58">
    <cfRule type="expression" dxfId="1104" priority="1298">
      <formula>MOD(ROW(), 2)=1</formula>
    </cfRule>
  </conditionalFormatting>
  <conditionalFormatting sqref="AY58">
    <cfRule type="expression" dxfId="1103" priority="1297">
      <formula>MOD(ROW(), 2)=1</formula>
    </cfRule>
  </conditionalFormatting>
  <conditionalFormatting sqref="A60">
    <cfRule type="expression" dxfId="1102" priority="1296">
      <formula>MOD(ROW(), 2)=1</formula>
    </cfRule>
  </conditionalFormatting>
  <conditionalFormatting sqref="O241:O245">
    <cfRule type="expression" dxfId="1101" priority="1295">
      <formula>MOD(ROW(), 2)=1</formula>
    </cfRule>
  </conditionalFormatting>
  <conditionalFormatting sqref="N244:N245">
    <cfRule type="expression" dxfId="1100" priority="1294">
      <formula>MOD(ROW(), 2)=1</formula>
    </cfRule>
  </conditionalFormatting>
  <conditionalFormatting sqref="X243">
    <cfRule type="expression" dxfId="1099" priority="1292">
      <formula>MOD(ROW(), 2)=1</formula>
    </cfRule>
  </conditionalFormatting>
  <conditionalFormatting sqref="A94">
    <cfRule type="expression" dxfId="1098" priority="1291">
      <formula>MOD(ROW(), 2)=1</formula>
    </cfRule>
  </conditionalFormatting>
  <conditionalFormatting sqref="A61">
    <cfRule type="expression" dxfId="1097" priority="1290">
      <formula>MOD(ROW(), 2)=1</formula>
    </cfRule>
  </conditionalFormatting>
  <conditionalFormatting sqref="L96">
    <cfRule type="expression" dxfId="1096" priority="1289">
      <formula>MOD(ROW(), 2)=1</formula>
    </cfRule>
  </conditionalFormatting>
  <conditionalFormatting sqref="L95">
    <cfRule type="expression" dxfId="1095" priority="1288">
      <formula>MOD(ROW(), 2)=1</formula>
    </cfRule>
  </conditionalFormatting>
  <conditionalFormatting sqref="A96">
    <cfRule type="expression" dxfId="1094" priority="1287">
      <formula>MOD(ROW(), 2)=1</formula>
    </cfRule>
  </conditionalFormatting>
  <conditionalFormatting sqref="A95">
    <cfRule type="expression" dxfId="1093" priority="1286">
      <formula>MOD(ROW(), 2)=1</formula>
    </cfRule>
  </conditionalFormatting>
  <conditionalFormatting sqref="A62">
    <cfRule type="expression" dxfId="1092" priority="1283">
      <formula>MOD(ROW(), 2)=1</formula>
    </cfRule>
  </conditionalFormatting>
  <conditionalFormatting sqref="L241">
    <cfRule type="expression" dxfId="1091" priority="1211">
      <formula>MOD(ROW(), 2)=1</formula>
    </cfRule>
  </conditionalFormatting>
  <conditionalFormatting sqref="J241">
    <cfRule type="expression" dxfId="1090" priority="1210">
      <formula>MOD(ROW(), 2)=1</formula>
    </cfRule>
  </conditionalFormatting>
  <conditionalFormatting sqref="K241">
    <cfRule type="expression" dxfId="1089" priority="1209">
      <formula>MOD(ROW(), 2)=1</formula>
    </cfRule>
  </conditionalFormatting>
  <conditionalFormatting sqref="I241">
    <cfRule type="expression" dxfId="1088" priority="1208">
      <formula>MOD(ROW(), 2)=1</formula>
    </cfRule>
  </conditionalFormatting>
  <conditionalFormatting sqref="A241">
    <cfRule type="expression" dxfId="1087" priority="1207">
      <formula>MOD(ROW(), 2)=1</formula>
    </cfRule>
  </conditionalFormatting>
  <conditionalFormatting sqref="X241">
    <cfRule type="expression" dxfId="1086" priority="1206">
      <formula>MOD(ROW(), 2)=1</formula>
    </cfRule>
  </conditionalFormatting>
  <conditionalFormatting sqref="H242">
    <cfRule type="expression" dxfId="1085" priority="1204">
      <formula>MOD(ROW(), 2)=1</formula>
    </cfRule>
  </conditionalFormatting>
  <conditionalFormatting sqref="J242">
    <cfRule type="expression" dxfId="1084" priority="1203">
      <formula>MOD(ROW(), 2)=1</formula>
    </cfRule>
  </conditionalFormatting>
  <conditionalFormatting sqref="K242">
    <cfRule type="expression" dxfId="1083" priority="1202">
      <formula>MOD(ROW(), 2)=1</formula>
    </cfRule>
  </conditionalFormatting>
  <conditionalFormatting sqref="I242">
    <cfRule type="expression" dxfId="1082" priority="1201">
      <formula>MOD(ROW(), 2)=1</formula>
    </cfRule>
  </conditionalFormatting>
  <conditionalFormatting sqref="X242">
    <cfRule type="expression" dxfId="1081" priority="1200">
      <formula>MOD(ROW(), 2)=1</formula>
    </cfRule>
  </conditionalFormatting>
  <conditionalFormatting sqref="A242">
    <cfRule type="expression" dxfId="1080" priority="1199">
      <formula>MOD(ROW(), 2)=1</formula>
    </cfRule>
  </conditionalFormatting>
  <conditionalFormatting sqref="Y214">
    <cfRule type="expression" dxfId="1079" priority="1198">
      <formula>MOD(ROW(), 2)=1</formula>
    </cfRule>
  </conditionalFormatting>
  <conditionalFormatting sqref="H214">
    <cfRule type="expression" dxfId="1078" priority="1197">
      <formula>MOD(ROW(), 2)=1</formula>
    </cfRule>
  </conditionalFormatting>
  <conditionalFormatting sqref="I214">
    <cfRule type="expression" dxfId="1077" priority="1196">
      <formula>MOD(ROW(), 2)=1</formula>
    </cfRule>
  </conditionalFormatting>
  <conditionalFormatting sqref="K214">
    <cfRule type="expression" dxfId="1076" priority="1195">
      <formula>MOD(ROW(), 2)=1</formula>
    </cfRule>
  </conditionalFormatting>
  <conditionalFormatting sqref="A214">
    <cfRule type="expression" dxfId="1075" priority="1194">
      <formula>MOD(ROW(), 2)=1</formula>
    </cfRule>
  </conditionalFormatting>
  <conditionalFormatting sqref="X216:AB216 AD216:AN216">
    <cfRule type="expression" dxfId="1074" priority="1193">
      <formula>MOD(ROW(), 2)=1</formula>
    </cfRule>
  </conditionalFormatting>
  <conditionalFormatting sqref="AX216">
    <cfRule type="expression" dxfId="1073" priority="1192">
      <formula>MOD(ROW(), 2)=1</formula>
    </cfRule>
  </conditionalFormatting>
  <conditionalFormatting sqref="X193:AN193">
    <cfRule type="expression" dxfId="1072" priority="1191">
      <formula>MOD(ROW(), 2)=1</formula>
    </cfRule>
  </conditionalFormatting>
  <conditionalFormatting sqref="A63">
    <cfRule type="expression" dxfId="1071" priority="1190">
      <formula>MOD(ROW(), 2)=1</formula>
    </cfRule>
  </conditionalFormatting>
  <conditionalFormatting sqref="AY56:AZ56">
    <cfRule type="expression" dxfId="1070" priority="1189">
      <formula>MOD(ROW(), 2)=1</formula>
    </cfRule>
  </conditionalFormatting>
  <conditionalFormatting sqref="A56">
    <cfRule type="expression" dxfId="1069" priority="1188">
      <formula>MOD(ROW(), 2)=1</formula>
    </cfRule>
  </conditionalFormatting>
  <conditionalFormatting sqref="U56:V56">
    <cfRule type="expression" dxfId="1068" priority="1187">
      <formula>MOD(ROW(), 2)=1</formula>
    </cfRule>
  </conditionalFormatting>
  <conditionalFormatting sqref="U56">
    <cfRule type="expression" dxfId="1067" priority="1186">
      <formula>"$J5!=$K5"</formula>
    </cfRule>
  </conditionalFormatting>
  <conditionalFormatting sqref="A57">
    <cfRule type="expression" dxfId="1066" priority="1185">
      <formula>MOD(ROW(), 2)=1</formula>
    </cfRule>
  </conditionalFormatting>
  <conditionalFormatting sqref="A57">
    <cfRule type="expression" dxfId="1065" priority="1184">
      <formula>MOD(ROW(), 2)=1</formula>
    </cfRule>
  </conditionalFormatting>
  <conditionalFormatting sqref="Q57:R57 N57 B57:K57">
    <cfRule type="expression" dxfId="1064" priority="1183">
      <formula>MOD(ROW(), 2)=1</formula>
    </cfRule>
  </conditionalFormatting>
  <conditionalFormatting sqref="Q57:R57 N57">
    <cfRule type="expression" dxfId="1063" priority="1182">
      <formula>MOD(ROW(), 2)=1</formula>
    </cfRule>
  </conditionalFormatting>
  <conditionalFormatting sqref="F57">
    <cfRule type="expression" dxfId="1062" priority="1181">
      <formula>MOD(ROW(), 2)=1</formula>
    </cfRule>
  </conditionalFormatting>
  <conditionalFormatting sqref="D57">
    <cfRule type="expression" dxfId="1061" priority="1180">
      <formula>MOD(ROW(), 2)=1</formula>
    </cfRule>
  </conditionalFormatting>
  <conditionalFormatting sqref="E57">
    <cfRule type="expression" dxfId="1060" priority="1179">
      <formula>MOD(ROW(), 2)=1</formula>
    </cfRule>
  </conditionalFormatting>
  <conditionalFormatting sqref="G57">
    <cfRule type="expression" dxfId="1059" priority="1178">
      <formula>MOD(ROW(), 2)=1</formula>
    </cfRule>
  </conditionalFormatting>
  <conditionalFormatting sqref="J57">
    <cfRule type="expression" dxfId="1058" priority="1177">
      <formula>MOD(ROW(), 2)=1</formula>
    </cfRule>
  </conditionalFormatting>
  <conditionalFormatting sqref="O57:P57">
    <cfRule type="expression" dxfId="1057" priority="1175">
      <formula>MOD(ROW(), 2)=1</formula>
    </cfRule>
  </conditionalFormatting>
  <conditionalFormatting sqref="U57:V57">
    <cfRule type="expression" dxfId="1056" priority="1174">
      <formula>MOD(ROW(), 2)=1</formula>
    </cfRule>
  </conditionalFormatting>
  <conditionalFormatting sqref="U57">
    <cfRule type="expression" dxfId="1055" priority="1173">
      <formula>"$J5!=$K5"</formula>
    </cfRule>
  </conditionalFormatting>
  <conditionalFormatting sqref="U57">
    <cfRule type="expression" dxfId="1054" priority="1172">
      <formula>"$J5!=$K5"</formula>
    </cfRule>
  </conditionalFormatting>
  <conditionalFormatting sqref="U57:V57">
    <cfRule type="expression" dxfId="1053" priority="1171">
      <formula>MOD(ROW(), 2)=1</formula>
    </cfRule>
  </conditionalFormatting>
  <conditionalFormatting sqref="AT57:AW57">
    <cfRule type="expression" dxfId="1052" priority="1170">
      <formula>MOD(ROW(), 2)=1</formula>
    </cfRule>
  </conditionalFormatting>
  <conditionalFormatting sqref="AW57">
    <cfRule type="expression" dxfId="1051" priority="1169">
      <formula>MOD(ROW(), 2)=1</formula>
    </cfRule>
  </conditionalFormatting>
  <conditionalFormatting sqref="AT57:AV57">
    <cfRule type="expression" dxfId="1050" priority="1168">
      <formula>MOD(ROW(), 2)=1</formula>
    </cfRule>
  </conditionalFormatting>
  <conditionalFormatting sqref="AY57:BA57">
    <cfRule type="expression" dxfId="1049" priority="1167">
      <formula>MOD(ROW(), 2)=1</formula>
    </cfRule>
  </conditionalFormatting>
  <conditionalFormatting sqref="AY57:BA57">
    <cfRule type="expression" dxfId="1048" priority="1165">
      <formula>MOD(ROW(), 2)=1</formula>
    </cfRule>
  </conditionalFormatting>
  <conditionalFormatting sqref="AD57:AM57">
    <cfRule type="expression" dxfId="1047" priority="1164">
      <formula>MOD(ROW(), 2)=1</formula>
    </cfRule>
  </conditionalFormatting>
  <conditionalFormatting sqref="Z57:AA57">
    <cfRule type="expression" dxfId="1046" priority="1163">
      <formula>MOD(ROW(), 2)=1</formula>
    </cfRule>
  </conditionalFormatting>
  <conditionalFormatting sqref="AR57">
    <cfRule type="expression" dxfId="1045" priority="1162">
      <formula>MOD(ROW(), 2)=1</formula>
    </cfRule>
  </conditionalFormatting>
  <conditionalFormatting sqref="AO57">
    <cfRule type="expression" dxfId="1044" priority="1161">
      <formula>MOD(ROW(), 2)=1</formula>
    </cfRule>
  </conditionalFormatting>
  <conditionalFormatting sqref="AO56">
    <cfRule type="expression" dxfId="1043" priority="1160">
      <formula>MOD(ROW(), 2)=1</formula>
    </cfRule>
  </conditionalFormatting>
  <conditionalFormatting sqref="AN57">
    <cfRule type="expression" dxfId="1042" priority="1159">
      <formula>MOD(ROW(), 2)=1</formula>
    </cfRule>
  </conditionalFormatting>
  <conditionalFormatting sqref="AQ59:AR59">
    <cfRule type="expression" dxfId="1041" priority="1157">
      <formula>MOD(ROW(), 2)=1</formula>
    </cfRule>
  </conditionalFormatting>
  <conditionalFormatting sqref="AQ59:AR59">
    <cfRule type="expression" dxfId="1040" priority="1156">
      <formula>MOD(ROW(), 2)=1</formula>
    </cfRule>
  </conditionalFormatting>
  <conditionalFormatting sqref="A55">
    <cfRule type="expression" dxfId="1039" priority="1155">
      <formula>MOD(ROW(), 2)=1</formula>
    </cfRule>
  </conditionalFormatting>
  <conditionalFormatting sqref="K54">
    <cfRule type="expression" dxfId="1038" priority="1154">
      <formula>MOD(ROW(), 2)=1</formula>
    </cfRule>
  </conditionalFormatting>
  <conditionalFormatting sqref="L54">
    <cfRule type="expression" dxfId="1037" priority="1153">
      <formula>MOD(ROW(), 2)=1</formula>
    </cfRule>
  </conditionalFormatting>
  <conditionalFormatting sqref="A54">
    <cfRule type="expression" dxfId="1036" priority="1152">
      <formula>MOD(ROW(), 2)=1</formula>
    </cfRule>
  </conditionalFormatting>
  <conditionalFormatting sqref="AY70:AZ70">
    <cfRule type="expression" dxfId="1035" priority="1150">
      <formula>MOD(ROW(), 2)=1</formula>
    </cfRule>
  </conditionalFormatting>
  <conditionalFormatting sqref="X70">
    <cfRule type="expression" dxfId="1034" priority="1149">
      <formula>MOD(ROW(), 2)=1</formula>
    </cfRule>
  </conditionalFormatting>
  <conditionalFormatting sqref="O71">
    <cfRule type="expression" dxfId="1033" priority="1148">
      <formula>MOD(ROW(), 2)=1</formula>
    </cfRule>
  </conditionalFormatting>
  <conditionalFormatting sqref="A70">
    <cfRule type="expression" dxfId="1032" priority="1147">
      <formula>MOD(ROW(), 2)=1</formula>
    </cfRule>
  </conditionalFormatting>
  <conditionalFormatting sqref="L70">
    <cfRule type="expression" dxfId="1031" priority="1146">
      <formula>MOD(ROW(), 2)=1</formula>
    </cfRule>
  </conditionalFormatting>
  <conditionalFormatting sqref="X75">
    <cfRule type="expression" dxfId="1030" priority="1145">
      <formula>MOD(ROW(), 2)=1</formula>
    </cfRule>
  </conditionalFormatting>
  <conditionalFormatting sqref="Y75">
    <cfRule type="expression" dxfId="1029" priority="1144">
      <formula>MOD(ROW(), 2)=1</formula>
    </cfRule>
  </conditionalFormatting>
  <conditionalFormatting sqref="A71">
    <cfRule type="expression" dxfId="1028" priority="1143">
      <formula>MOD(ROW(), 2)=1</formula>
    </cfRule>
  </conditionalFormatting>
  <conditionalFormatting sqref="X72">
    <cfRule type="expression" dxfId="1027" priority="1142">
      <formula>MOD(ROW(), 2)=1</formula>
    </cfRule>
  </conditionalFormatting>
  <conditionalFormatting sqref="L72">
    <cfRule type="expression" dxfId="1026" priority="1141">
      <formula>MOD(ROW(), 2)=1</formula>
    </cfRule>
  </conditionalFormatting>
  <conditionalFormatting sqref="A72">
    <cfRule type="expression" dxfId="1025" priority="1140">
      <formula>MOD(ROW(), 2)=1</formula>
    </cfRule>
  </conditionalFormatting>
  <conditionalFormatting sqref="A73">
    <cfRule type="expression" dxfId="1024" priority="1139">
      <formula>MOD(ROW(), 2)=1</formula>
    </cfRule>
  </conditionalFormatting>
  <conditionalFormatting sqref="N74">
    <cfRule type="expression" dxfId="1023" priority="1138">
      <formula>MOD(ROW(), 2)=1</formula>
    </cfRule>
  </conditionalFormatting>
  <conditionalFormatting sqref="AY74:AZ74">
    <cfRule type="expression" dxfId="1022" priority="1137">
      <formula>MOD(ROW(), 2)=1</formula>
    </cfRule>
  </conditionalFormatting>
  <conditionalFormatting sqref="A75">
    <cfRule type="expression" dxfId="1021" priority="1136">
      <formula>MOD(ROW(), 2)=1</formula>
    </cfRule>
  </conditionalFormatting>
  <conditionalFormatting sqref="AO74">
    <cfRule type="expression" dxfId="1020" priority="1135">
      <formula>MOD(ROW(), 2)=1</formula>
    </cfRule>
  </conditionalFormatting>
  <conditionalFormatting sqref="L75">
    <cfRule type="expression" dxfId="1019" priority="1134">
      <formula>MOD(ROW(), 2)=1</formula>
    </cfRule>
  </conditionalFormatting>
  <conditionalFormatting sqref="A97">
    <cfRule type="expression" dxfId="1018" priority="1133">
      <formula>MOD(ROW(), 2)=1</formula>
    </cfRule>
  </conditionalFormatting>
  <conditionalFormatting sqref="K97">
    <cfRule type="expression" dxfId="1017" priority="1132">
      <formula>MOD(ROW(), 2)=1</formula>
    </cfRule>
  </conditionalFormatting>
  <conditionalFormatting sqref="A98">
    <cfRule type="expression" dxfId="1016" priority="1130">
      <formula>MOD(ROW(), 2)=1</formula>
    </cfRule>
  </conditionalFormatting>
  <conditionalFormatting sqref="L99">
    <cfRule type="expression" dxfId="1015" priority="1129">
      <formula>MOD(ROW(), 2)=1</formula>
    </cfRule>
  </conditionalFormatting>
  <conditionalFormatting sqref="L99">
    <cfRule type="expression" dxfId="1014" priority="1128">
      <formula>MOD(ROW(), 2)=1</formula>
    </cfRule>
  </conditionalFormatting>
  <conditionalFormatting sqref="AB99">
    <cfRule type="expression" dxfId="1013" priority="1127">
      <formula>MOD(ROW(), 2)=1</formula>
    </cfRule>
  </conditionalFormatting>
  <conditionalFormatting sqref="A99">
    <cfRule type="expression" dxfId="1012" priority="1126">
      <formula>MOD(ROW(), 2)=1</formula>
    </cfRule>
  </conditionalFormatting>
  <conditionalFormatting sqref="AB49:AB50">
    <cfRule type="expression" dxfId="1011" priority="1125">
      <formula>MOD(ROW(), 2)=1</formula>
    </cfRule>
  </conditionalFormatting>
  <conditionalFormatting sqref="AB97:AC97">
    <cfRule type="expression" dxfId="1010" priority="1123">
      <formula>MOD(ROW(), 2)=1</formula>
    </cfRule>
  </conditionalFormatting>
  <conditionalFormatting sqref="AB98">
    <cfRule type="expression" dxfId="1009" priority="1122">
      <formula>MOD(ROW(), 2)=1</formula>
    </cfRule>
  </conditionalFormatting>
  <conditionalFormatting sqref="AB118:AC118">
    <cfRule type="expression" dxfId="1008" priority="1121">
      <formula>MOD(ROW(), 2)=1</formula>
    </cfRule>
  </conditionalFormatting>
  <conditionalFormatting sqref="AB123">
    <cfRule type="expression" dxfId="1007" priority="1120">
      <formula>MOD(ROW(), 2)=1</formula>
    </cfRule>
  </conditionalFormatting>
  <conditionalFormatting sqref="AB190">
    <cfRule type="expression" dxfId="1006" priority="1119">
      <formula>MOD(ROW(), 2)=1</formula>
    </cfRule>
  </conditionalFormatting>
  <conditionalFormatting sqref="AB200:AC200">
    <cfRule type="expression" dxfId="1005" priority="1118">
      <formula>MOD(ROW(), 2)=1</formula>
    </cfRule>
  </conditionalFormatting>
  <conditionalFormatting sqref="AB201">
    <cfRule type="expression" dxfId="1004" priority="1117">
      <formula>MOD(ROW(), 2)=1</formula>
    </cfRule>
  </conditionalFormatting>
  <conditionalFormatting sqref="AB203">
    <cfRule type="expression" dxfId="1003" priority="1116">
      <formula>MOD(ROW(), 2)=1</formula>
    </cfRule>
  </conditionalFormatting>
  <conditionalFormatting sqref="AB205:AC205">
    <cfRule type="expression" dxfId="1002" priority="1115">
      <formula>MOD(ROW(), 2)=1</formula>
    </cfRule>
  </conditionalFormatting>
  <conditionalFormatting sqref="AB207">
    <cfRule type="expression" dxfId="1001" priority="1114">
      <formula>MOD(ROW(), 2)=1</formula>
    </cfRule>
  </conditionalFormatting>
  <conditionalFormatting sqref="AB209">
    <cfRule type="expression" dxfId="1000" priority="1113">
      <formula>MOD(ROW(), 2)=1</formula>
    </cfRule>
  </conditionalFormatting>
  <conditionalFormatting sqref="O151">
    <cfRule type="expression" dxfId="999" priority="1112">
      <formula>MOD(ROW(), 2)=1</formula>
    </cfRule>
  </conditionalFormatting>
  <conditionalFormatting sqref="AW121">
    <cfRule type="expression" dxfId="998" priority="1111">
      <formula>MOD(ROW(), 2)=1</formula>
    </cfRule>
  </conditionalFormatting>
  <conditionalFormatting sqref="AY119:AZ121">
    <cfRule type="expression" dxfId="997" priority="1110">
      <formula>MOD(ROW(), 2)=1</formula>
    </cfRule>
  </conditionalFormatting>
  <conditionalFormatting sqref="A118">
    <cfRule type="expression" dxfId="996" priority="1109">
      <formula>MOD(ROW(), 2)=1</formula>
    </cfRule>
  </conditionalFormatting>
  <conditionalFormatting sqref="A119">
    <cfRule type="expression" dxfId="995" priority="1108">
      <formula>MOD(ROW(), 2)=1</formula>
    </cfRule>
  </conditionalFormatting>
  <conditionalFormatting sqref="A120">
    <cfRule type="expression" dxfId="994" priority="1107">
      <formula>MOD(ROW(), 2)=1</formula>
    </cfRule>
  </conditionalFormatting>
  <conditionalFormatting sqref="A121">
    <cfRule type="expression" dxfId="993" priority="1106">
      <formula>MOD(ROW(), 2)=1</formula>
    </cfRule>
  </conditionalFormatting>
  <conditionalFormatting sqref="AC12:AC45">
    <cfRule type="expression" dxfId="992" priority="1105">
      <formula>MOD(ROW(), 2)=1</formula>
    </cfRule>
  </conditionalFormatting>
  <conditionalFormatting sqref="AC47:AC51">
    <cfRule type="expression" dxfId="991" priority="1104">
      <formula>MOD(ROW(), 2)=1</formula>
    </cfRule>
  </conditionalFormatting>
  <conditionalFormatting sqref="AC55:AC59">
    <cfRule type="expression" dxfId="990" priority="1103">
      <formula>MOD(ROW(), 2)=1</formula>
    </cfRule>
  </conditionalFormatting>
  <conditionalFormatting sqref="AC98:AC102">
    <cfRule type="expression" dxfId="989" priority="1102">
      <formula>MOD(ROW(), 2)=1</formula>
    </cfRule>
  </conditionalFormatting>
  <conditionalFormatting sqref="AC104">
    <cfRule type="expression" dxfId="988" priority="1101">
      <formula>MOD(ROW(), 2)=1</formula>
    </cfRule>
  </conditionalFormatting>
  <conditionalFormatting sqref="AC112:AC117">
    <cfRule type="expression" dxfId="987" priority="1100">
      <formula>MOD(ROW(), 2)=1</formula>
    </cfRule>
  </conditionalFormatting>
  <conditionalFormatting sqref="AC119:AC121">
    <cfRule type="expression" dxfId="986" priority="1099">
      <formula>MOD(ROW(), 2)=1</formula>
    </cfRule>
  </conditionalFormatting>
  <conditionalFormatting sqref="AC123">
    <cfRule type="expression" dxfId="985" priority="1098">
      <formula>MOD(ROW(), 2)=1</formula>
    </cfRule>
  </conditionalFormatting>
  <conditionalFormatting sqref="AC125:AC133">
    <cfRule type="expression" dxfId="984" priority="1097">
      <formula>MOD(ROW(), 2)=1</formula>
    </cfRule>
  </conditionalFormatting>
  <conditionalFormatting sqref="AC137:AC152">
    <cfRule type="expression" dxfId="983" priority="1096">
      <formula>MOD(ROW(), 2)=1</formula>
    </cfRule>
  </conditionalFormatting>
  <conditionalFormatting sqref="AC154:AC176">
    <cfRule type="expression" dxfId="982" priority="1095">
      <formula>MOD(ROW(), 2)=1</formula>
    </cfRule>
  </conditionalFormatting>
  <conditionalFormatting sqref="AC178:AC183">
    <cfRule type="expression" dxfId="981" priority="1094">
      <formula>MOD(ROW(), 2)=1</formula>
    </cfRule>
  </conditionalFormatting>
  <conditionalFormatting sqref="AC184:AC186">
    <cfRule type="expression" dxfId="980" priority="1093">
      <formula>MOD(ROW(), 2)=1</formula>
    </cfRule>
  </conditionalFormatting>
  <conditionalFormatting sqref="AC190">
    <cfRule type="expression" dxfId="979" priority="1092">
      <formula>MOD(ROW(), 2)=1</formula>
    </cfRule>
  </conditionalFormatting>
  <conditionalFormatting sqref="AC207">
    <cfRule type="expression" dxfId="978" priority="1091">
      <formula>MOD(ROW(), 2)=1</formula>
    </cfRule>
  </conditionalFormatting>
  <conditionalFormatting sqref="AC201">
    <cfRule type="expression" dxfId="977" priority="1090">
      <formula>MOD(ROW(), 2)=1</formula>
    </cfRule>
  </conditionalFormatting>
  <conditionalFormatting sqref="AC202">
    <cfRule type="expression" dxfId="976" priority="1089">
      <formula>MOD(ROW(), 2)=1</formula>
    </cfRule>
  </conditionalFormatting>
  <conditionalFormatting sqref="AC203">
    <cfRule type="expression" dxfId="975" priority="1088">
      <formula>MOD(ROW(), 2)=1</formula>
    </cfRule>
  </conditionalFormatting>
  <conditionalFormatting sqref="AC204">
    <cfRule type="expression" dxfId="974" priority="1087">
      <formula>MOD(ROW(), 2)=1</formula>
    </cfRule>
  </conditionalFormatting>
  <conditionalFormatting sqref="AC206">
    <cfRule type="expression" dxfId="973" priority="1086">
      <formula>MOD(ROW(), 2)=1</formula>
    </cfRule>
  </conditionalFormatting>
  <conditionalFormatting sqref="AC208">
    <cfRule type="expression" dxfId="972" priority="1085">
      <formula>MOD(ROW(), 2)=1</formula>
    </cfRule>
  </conditionalFormatting>
  <conditionalFormatting sqref="AC209">
    <cfRule type="expression" dxfId="971" priority="1084">
      <formula>MOD(ROW(), 2)=1</formula>
    </cfRule>
  </conditionalFormatting>
  <conditionalFormatting sqref="AC212:AC215">
    <cfRule type="expression" dxfId="970" priority="1083">
      <formula>MOD(ROW(), 2)=1</formula>
    </cfRule>
  </conditionalFormatting>
  <conditionalFormatting sqref="AC216:AC218">
    <cfRule type="expression" dxfId="969" priority="1082">
      <formula>MOD(ROW(), 2)=1</formula>
    </cfRule>
  </conditionalFormatting>
  <conditionalFormatting sqref="AC228:AC239">
    <cfRule type="expression" dxfId="968" priority="1080">
      <formula>MOD(ROW(), 2)=1</formula>
    </cfRule>
  </conditionalFormatting>
  <conditionalFormatting sqref="A228">
    <cfRule type="expression" dxfId="967" priority="1079">
      <formula>MOD(ROW(), 2)=1</formula>
    </cfRule>
  </conditionalFormatting>
  <conditionalFormatting sqref="V251">
    <cfRule type="expression" dxfId="966" priority="1077">
      <formula>"$J5!=$K5"</formula>
    </cfRule>
  </conditionalFormatting>
  <conditionalFormatting sqref="C193">
    <cfRule type="expression" dxfId="965" priority="1076">
      <formula>MOD(ROW(), 2)=1</formula>
    </cfRule>
  </conditionalFormatting>
  <conditionalFormatting sqref="G193">
    <cfRule type="expression" dxfId="964" priority="1075">
      <formula>MOD(ROW(), 2)=1</formula>
    </cfRule>
  </conditionalFormatting>
  <conditionalFormatting sqref="L196:M196">
    <cfRule type="expression" dxfId="963" priority="1072">
      <formula>MOD(ROW(), 2)=1</formula>
    </cfRule>
  </conditionalFormatting>
  <conditionalFormatting sqref="L193">
    <cfRule type="expression" dxfId="962" priority="1074">
      <formula>MOD(ROW(), 2)=1</formula>
    </cfRule>
  </conditionalFormatting>
  <conditionalFormatting sqref="N193">
    <cfRule type="expression" dxfId="961" priority="1073">
      <formula>MOD(ROW(), 2)=1</formula>
    </cfRule>
  </conditionalFormatting>
  <conditionalFormatting sqref="U216:V216">
    <cfRule type="expression" dxfId="960" priority="1071">
      <formula>MOD(ROW(), 2)=1</formula>
    </cfRule>
  </conditionalFormatting>
  <conditionalFormatting sqref="V193">
    <cfRule type="expression" dxfId="959" priority="1070">
      <formula>MOD(ROW(), 2)=1</formula>
    </cfRule>
  </conditionalFormatting>
  <conditionalFormatting sqref="A264 T264:AG264 C264:H264 O264:P264 AI264:BA264">
    <cfRule type="expression" dxfId="958" priority="1068">
      <formula>MOD(ROW(), 2)=1</formula>
    </cfRule>
  </conditionalFormatting>
  <conditionalFormatting sqref="T264:U264">
    <cfRule type="expression" dxfId="957" priority="1067">
      <formula>"$J5!=$K5"</formula>
    </cfRule>
  </conditionalFormatting>
  <conditionalFormatting sqref="B264">
    <cfRule type="expression" dxfId="956" priority="1066">
      <formula>MOD(ROW(), 2)=1</formula>
    </cfRule>
  </conditionalFormatting>
  <conditionalFormatting sqref="R264">
    <cfRule type="expression" dxfId="955" priority="1064">
      <formula>MOD(ROW(), 2)=1</formula>
    </cfRule>
  </conditionalFormatting>
  <conditionalFormatting sqref="N264 L264">
    <cfRule type="expression" dxfId="954" priority="1063">
      <formula>MOD(ROW(), 2)=1</formula>
    </cfRule>
  </conditionalFormatting>
  <conditionalFormatting sqref="M264">
    <cfRule type="expression" dxfId="953" priority="1062">
      <formula>MOD(ROW(), 2)=1</formula>
    </cfRule>
  </conditionalFormatting>
  <conditionalFormatting sqref="J264">
    <cfRule type="expression" dxfId="952" priority="1061">
      <formula>MOD(ROW(), 2)=1</formula>
    </cfRule>
  </conditionalFormatting>
  <conditionalFormatting sqref="K264">
    <cfRule type="expression" dxfId="951" priority="1060">
      <formula>MOD(ROW(), 2)=1</formula>
    </cfRule>
  </conditionalFormatting>
  <conditionalFormatting sqref="I264">
    <cfRule type="expression" dxfId="950" priority="1059">
      <formula>MOD(ROW(), 2)=1</formula>
    </cfRule>
  </conditionalFormatting>
  <conditionalFormatting sqref="J216">
    <cfRule type="expression" dxfId="949" priority="1058">
      <formula>MOD(ROW(), 2)=1</formula>
    </cfRule>
  </conditionalFormatting>
  <conditionalFormatting sqref="K216">
    <cfRule type="expression" dxfId="948" priority="1057">
      <formula>MOD(ROW(), 2)=1</formula>
    </cfRule>
  </conditionalFormatting>
  <conditionalFormatting sqref="K58">
    <cfRule type="expression" dxfId="947" priority="1056">
      <formula>MOD(ROW(), 2)=1</formula>
    </cfRule>
  </conditionalFormatting>
  <conditionalFormatting sqref="G52:G53">
    <cfRule type="expression" dxfId="946" priority="1055">
      <formula>MOD(ROW(), 2)=1</formula>
    </cfRule>
  </conditionalFormatting>
  <conditionalFormatting sqref="AP221:AR223 AP225:AR225 AQ226:AR226 AP227:AR227">
    <cfRule type="expression" dxfId="945" priority="1054">
      <formula>MOD(ROW(), 2)=1</formula>
    </cfRule>
  </conditionalFormatting>
  <conditionalFormatting sqref="B221 AX221:AX223 H221:H222 BA221:BA223 W221:AB222 W225:AB225 BA225:BA227 AX225:AX227 AD225:AL227 AD221:AL223 AN221:AN223 AN225:AN227 L221:L222 H225 W223 Y223:AB223 W226:W227 Y226:AB227">
    <cfRule type="expression" dxfId="944" priority="1053">
      <formula>MOD(ROW(), 2)=1</formula>
    </cfRule>
  </conditionalFormatting>
  <conditionalFormatting sqref="R221:R223 R225">
    <cfRule type="expression" dxfId="943" priority="1052">
      <formula>MOD(ROW(), 2)=1</formula>
    </cfRule>
  </conditionalFormatting>
  <conditionalFormatting sqref="T221:T223 T225">
    <cfRule type="expression" dxfId="942" priority="1051">
      <formula>"$J5!=$K5"</formula>
    </cfRule>
  </conditionalFormatting>
  <conditionalFormatting sqref="T221:T223 T225">
    <cfRule type="expression" dxfId="941" priority="1050">
      <formula>MOD(ROW(), 2)=1</formula>
    </cfRule>
  </conditionalFormatting>
  <conditionalFormatting sqref="AO221:AO223 AO225">
    <cfRule type="expression" dxfId="940" priority="1049">
      <formula>MOD(ROW(), 2)=1</formula>
    </cfRule>
  </conditionalFormatting>
  <conditionalFormatting sqref="AW221">
    <cfRule type="expression" dxfId="939" priority="1048">
      <formula>MOD(ROW(), 2)=1</formula>
    </cfRule>
  </conditionalFormatting>
  <conditionalFormatting sqref="F221">
    <cfRule type="expression" dxfId="938" priority="1047">
      <formula>MOD(ROW(), 2)=1</formula>
    </cfRule>
  </conditionalFormatting>
  <conditionalFormatting sqref="D221">
    <cfRule type="expression" dxfId="937" priority="1046">
      <formula>MOD(ROW(), 2)=1</formula>
    </cfRule>
  </conditionalFormatting>
  <conditionalFormatting sqref="G221">
    <cfRule type="expression" dxfId="936" priority="1045">
      <formula>MOD(ROW(), 2)=1</formula>
    </cfRule>
  </conditionalFormatting>
  <conditionalFormatting sqref="AV221">
    <cfRule type="expression" dxfId="935" priority="1044">
      <formula>MOD(ROW(), 2)=1</formula>
    </cfRule>
  </conditionalFormatting>
  <conditionalFormatting sqref="AV222:AW223">
    <cfRule type="expression" dxfId="934" priority="1043">
      <formula>MOD(ROW(), 2)=1</formula>
    </cfRule>
  </conditionalFormatting>
  <conditionalFormatting sqref="B222">
    <cfRule type="expression" dxfId="933" priority="1042">
      <formula>MOD(ROW(), 2)=1</formula>
    </cfRule>
  </conditionalFormatting>
  <conditionalFormatting sqref="F222">
    <cfRule type="expression" dxfId="932" priority="1041">
      <formula>MOD(ROW(), 2)=1</formula>
    </cfRule>
  </conditionalFormatting>
  <conditionalFormatting sqref="D222">
    <cfRule type="expression" dxfId="931" priority="1040">
      <formula>MOD(ROW(), 2)=1</formula>
    </cfRule>
  </conditionalFormatting>
  <conditionalFormatting sqref="G222">
    <cfRule type="expression" dxfId="930" priority="1039">
      <formula>MOD(ROW(), 2)=1</formula>
    </cfRule>
  </conditionalFormatting>
  <conditionalFormatting sqref="B223 B225">
    <cfRule type="expression" dxfId="929" priority="1037">
      <formula>MOD(ROW(), 2)=1</formula>
    </cfRule>
  </conditionalFormatting>
  <conditionalFormatting sqref="F223 F225">
    <cfRule type="expression" dxfId="928" priority="1036">
      <formula>MOD(ROW(), 2)=1</formula>
    </cfRule>
  </conditionalFormatting>
  <conditionalFormatting sqref="D223 D225">
    <cfRule type="expression" dxfId="927" priority="1035">
      <formula>MOD(ROW(), 2)=1</formula>
    </cfRule>
  </conditionalFormatting>
  <conditionalFormatting sqref="G223 G225">
    <cfRule type="expression" dxfId="926" priority="1034">
      <formula>MOD(ROW(), 2)=1</formula>
    </cfRule>
  </conditionalFormatting>
  <conditionalFormatting sqref="AV225:AW225">
    <cfRule type="expression" dxfId="925" priority="1033">
      <formula>MOD(ROW(), 2)=1</formula>
    </cfRule>
  </conditionalFormatting>
  <conditionalFormatting sqref="B226">
    <cfRule type="expression" dxfId="924" priority="1032">
      <formula>MOD(ROW(), 2)=1</formula>
    </cfRule>
  </conditionalFormatting>
  <conditionalFormatting sqref="F226">
    <cfRule type="expression" dxfId="923" priority="1031">
      <formula>MOD(ROW(), 2)=1</formula>
    </cfRule>
  </conditionalFormatting>
  <conditionalFormatting sqref="D226">
    <cfRule type="expression" dxfId="922" priority="1030">
      <formula>MOD(ROW(), 2)=1</formula>
    </cfRule>
  </conditionalFormatting>
  <conditionalFormatting sqref="G226">
    <cfRule type="expression" dxfId="921" priority="1029">
      <formula>MOD(ROW(), 2)=1</formula>
    </cfRule>
  </conditionalFormatting>
  <conditionalFormatting sqref="R226">
    <cfRule type="expression" dxfId="920" priority="1028">
      <formula>MOD(ROW(), 2)=1</formula>
    </cfRule>
  </conditionalFormatting>
  <conditionalFormatting sqref="T226">
    <cfRule type="expression" dxfId="919" priority="1027">
      <formula>"$J5!=$K5"</formula>
    </cfRule>
  </conditionalFormatting>
  <conditionalFormatting sqref="T226">
    <cfRule type="expression" dxfId="918" priority="1026">
      <formula>MOD(ROW(), 2)=1</formula>
    </cfRule>
  </conditionalFormatting>
  <conditionalFormatting sqref="AO226">
    <cfRule type="expression" dxfId="917" priority="1025">
      <formula>MOD(ROW(), 2)=1</formula>
    </cfRule>
  </conditionalFormatting>
  <conditionalFormatting sqref="AV226:AW226">
    <cfRule type="expression" dxfId="916" priority="1024">
      <formula>MOD(ROW(), 2)=1</formula>
    </cfRule>
  </conditionalFormatting>
  <conditionalFormatting sqref="H227">
    <cfRule type="expression" dxfId="915" priority="1023">
      <formula>MOD(ROW(), 2)=1</formula>
    </cfRule>
  </conditionalFormatting>
  <conditionalFormatting sqref="B227">
    <cfRule type="expression" dxfId="914" priority="1022">
      <formula>MOD(ROW(), 2)=1</formula>
    </cfRule>
  </conditionalFormatting>
  <conditionalFormatting sqref="F227">
    <cfRule type="expression" dxfId="913" priority="1021">
      <formula>MOD(ROW(), 2)=1</formula>
    </cfRule>
  </conditionalFormatting>
  <conditionalFormatting sqref="D227">
    <cfRule type="expression" dxfId="912" priority="1020">
      <formula>MOD(ROW(), 2)=1</formula>
    </cfRule>
  </conditionalFormatting>
  <conditionalFormatting sqref="G227">
    <cfRule type="expression" dxfId="911" priority="1019">
      <formula>MOD(ROW(), 2)=1</formula>
    </cfRule>
  </conditionalFormatting>
  <conditionalFormatting sqref="R227">
    <cfRule type="expression" dxfId="910" priority="1018">
      <formula>MOD(ROW(), 2)=1</formula>
    </cfRule>
  </conditionalFormatting>
  <conditionalFormatting sqref="T227">
    <cfRule type="expression" dxfId="909" priority="1017">
      <formula>"$J5!=$K5"</formula>
    </cfRule>
  </conditionalFormatting>
  <conditionalFormatting sqref="T227">
    <cfRule type="expression" dxfId="908" priority="1016">
      <formula>MOD(ROW(), 2)=1</formula>
    </cfRule>
  </conditionalFormatting>
  <conditionalFormatting sqref="AO227">
    <cfRule type="expression" dxfId="907" priority="1015">
      <formula>MOD(ROW(), 2)=1</formula>
    </cfRule>
  </conditionalFormatting>
  <conditionalFormatting sqref="AV227:AW227">
    <cfRule type="expression" dxfId="906" priority="1014">
      <formula>MOD(ROW(), 2)=1</formula>
    </cfRule>
  </conditionalFormatting>
  <conditionalFormatting sqref="AT221:AU223 AT225:AU227">
    <cfRule type="expression" dxfId="905" priority="1013">
      <formula>MOD(ROW(), 2)=1</formula>
    </cfRule>
  </conditionalFormatting>
  <conditionalFormatting sqref="AY221:AZ223 AY225:AZ227">
    <cfRule type="expression" dxfId="904" priority="1012">
      <formula>MOD(ROW(), 2)=1</formula>
    </cfRule>
  </conditionalFormatting>
  <conditionalFormatting sqref="E221:E223 E225:E227">
    <cfRule type="expression" dxfId="903" priority="1011">
      <formula>MOD(ROW(), 2)=1</formula>
    </cfRule>
  </conditionalFormatting>
  <conditionalFormatting sqref="C221:C223 C225:C227">
    <cfRule type="expression" dxfId="902" priority="1010">
      <formula>MOD(ROW(), 2)=1</formula>
    </cfRule>
  </conditionalFormatting>
  <conditionalFormatting sqref="A221:A222">
    <cfRule type="expression" dxfId="901" priority="1009">
      <formula>MOD(ROW(), 2)=1</formula>
    </cfRule>
  </conditionalFormatting>
  <conditionalFormatting sqref="M221:M222 M225:M226">
    <cfRule type="expression" dxfId="900" priority="1008">
      <formula>MOD(ROW(), 2)=1</formula>
    </cfRule>
  </conditionalFormatting>
  <conditionalFormatting sqref="AS221:AS223">
    <cfRule type="expression" dxfId="899" priority="1007">
      <formula>MOD(ROW(), 2)=1</formula>
    </cfRule>
  </conditionalFormatting>
  <conditionalFormatting sqref="U221:V223 U225:V226 U227">
    <cfRule type="expression" dxfId="898" priority="1006">
      <formula>MOD(ROW(), 2)=1</formula>
    </cfRule>
  </conditionalFormatting>
  <conditionalFormatting sqref="U221:U223 U225:U227">
    <cfRule type="expression" dxfId="897" priority="1005">
      <formula>"$J5!=$K5"</formula>
    </cfRule>
  </conditionalFormatting>
  <conditionalFormatting sqref="J221">
    <cfRule type="expression" dxfId="896" priority="1004">
      <formula>MOD(ROW(), 2)=1</formula>
    </cfRule>
  </conditionalFormatting>
  <conditionalFormatting sqref="K221">
    <cfRule type="expression" dxfId="895" priority="1003">
      <formula>MOD(ROW(), 2)=1</formula>
    </cfRule>
  </conditionalFormatting>
  <conditionalFormatting sqref="I221">
    <cfRule type="expression" dxfId="894" priority="1002">
      <formula>MOD(ROW(), 2)=1</formula>
    </cfRule>
  </conditionalFormatting>
  <conditionalFormatting sqref="I222">
    <cfRule type="expression" dxfId="893" priority="1001">
      <formula>MOD(ROW(), 2)=1</formula>
    </cfRule>
  </conditionalFormatting>
  <conditionalFormatting sqref="J222">
    <cfRule type="expression" dxfId="892" priority="1000">
      <formula>MOD(ROW(), 2)=1</formula>
    </cfRule>
  </conditionalFormatting>
  <conditionalFormatting sqref="K222">
    <cfRule type="expression" dxfId="891" priority="999">
      <formula>MOD(ROW(), 2)=1</formula>
    </cfRule>
  </conditionalFormatting>
  <conditionalFormatting sqref="Q221:Q223 Q225:Q227">
    <cfRule type="expression" dxfId="890" priority="998">
      <formula>MOD(ROW(), 2)=1</formula>
    </cfRule>
  </conditionalFormatting>
  <conditionalFormatting sqref="AS227">
    <cfRule type="expression" dxfId="889" priority="997">
      <formula>MOD(ROW(), 2)=1</formula>
    </cfRule>
  </conditionalFormatting>
  <conditionalFormatting sqref="AP219:AQ220 AR220:AS220">
    <cfRule type="expression" dxfId="888" priority="996">
      <formula>MOD(ROW(), 2)=1</formula>
    </cfRule>
  </conditionalFormatting>
  <conditionalFormatting sqref="AS219">
    <cfRule type="expression" dxfId="887" priority="995">
      <formula>MOD(ROW(), 2)=1</formula>
    </cfRule>
  </conditionalFormatting>
  <conditionalFormatting sqref="B219 AX219 Z219:AM219 W219 AM220:AM227">
    <cfRule type="expression" dxfId="886" priority="994">
      <formula>MOD(ROW(), 2)=1</formula>
    </cfRule>
  </conditionalFormatting>
  <conditionalFormatting sqref="BA219">
    <cfRule type="expression" dxfId="885" priority="992">
      <formula>MOD(ROW(), 2)=1</formula>
    </cfRule>
  </conditionalFormatting>
  <conditionalFormatting sqref="O219:P219">
    <cfRule type="expression" dxfId="884" priority="991">
      <formula>MOD(ROW(), 2)=1</formula>
    </cfRule>
  </conditionalFormatting>
  <conditionalFormatting sqref="M219">
    <cfRule type="expression" dxfId="883" priority="990">
      <formula>MOD(ROW(), 2)=1</formula>
    </cfRule>
  </conditionalFormatting>
  <conditionalFormatting sqref="AN219">
    <cfRule type="expression" dxfId="882" priority="989">
      <formula>MOD(ROW(), 2)=1</formula>
    </cfRule>
  </conditionalFormatting>
  <conditionalFormatting sqref="H219">
    <cfRule type="expression" dxfId="881" priority="988">
      <formula>MOD(ROW(), 2)=1</formula>
    </cfRule>
  </conditionalFormatting>
  <conditionalFormatting sqref="Y219">
    <cfRule type="expression" dxfId="880" priority="977">
      <formula>MOD(ROW(), 2)=1</formula>
    </cfRule>
  </conditionalFormatting>
  <conditionalFormatting sqref="R219">
    <cfRule type="expression" dxfId="879" priority="987">
      <formula>MOD(ROW(), 2)=1</formula>
    </cfRule>
  </conditionalFormatting>
  <conditionalFormatting sqref="T219">
    <cfRule type="expression" dxfId="878" priority="986">
      <formula>"$J5!=$K5"</formula>
    </cfRule>
  </conditionalFormatting>
  <conditionalFormatting sqref="T219">
    <cfRule type="expression" dxfId="877" priority="985">
      <formula>MOD(ROW(), 2)=1</formula>
    </cfRule>
  </conditionalFormatting>
  <conditionalFormatting sqref="AO219">
    <cfRule type="expression" dxfId="876" priority="984">
      <formula>MOD(ROW(), 2)=1</formula>
    </cfRule>
  </conditionalFormatting>
  <conditionalFormatting sqref="AW219">
    <cfRule type="expression" dxfId="875" priority="983">
      <formula>MOD(ROW(), 2)=1</formula>
    </cfRule>
  </conditionalFormatting>
  <conditionalFormatting sqref="AR219">
    <cfRule type="expression" dxfId="874" priority="982">
      <formula>MOD(ROW(), 2)=1</formula>
    </cfRule>
  </conditionalFormatting>
  <conditionalFormatting sqref="F219">
    <cfRule type="expression" dxfId="873" priority="981">
      <formula>MOD(ROW(), 2)=1</formula>
    </cfRule>
  </conditionalFormatting>
  <conditionalFormatting sqref="D219">
    <cfRule type="expression" dxfId="872" priority="980">
      <formula>MOD(ROW(), 2)=1</formula>
    </cfRule>
  </conditionalFormatting>
  <conditionalFormatting sqref="E219">
    <cfRule type="expression" dxfId="871" priority="979">
      <formula>MOD(ROW(), 2)=1</formula>
    </cfRule>
  </conditionalFormatting>
  <conditionalFormatting sqref="G219">
    <cfRule type="expression" dxfId="870" priority="978">
      <formula>MOD(ROW(), 2)=1</formula>
    </cfRule>
  </conditionalFormatting>
  <conditionalFormatting sqref="AV219">
    <cfRule type="expression" dxfId="869" priority="976">
      <formula>MOD(ROW(), 2)=1</formula>
    </cfRule>
  </conditionalFormatting>
  <conditionalFormatting sqref="B220 H220 AX220 BA220 W220 O220 AD220:AL220 AN220 Y220:AB220">
    <cfRule type="expression" dxfId="868" priority="975">
      <formula>MOD(ROW(), 2)=1</formula>
    </cfRule>
  </conditionalFormatting>
  <conditionalFormatting sqref="R220">
    <cfRule type="expression" dxfId="867" priority="974">
      <formula>MOD(ROW(), 2)=1</formula>
    </cfRule>
  </conditionalFormatting>
  <conditionalFormatting sqref="T220">
    <cfRule type="expression" dxfId="866" priority="973">
      <formula>"$J5!=$K5"</formula>
    </cfRule>
  </conditionalFormatting>
  <conditionalFormatting sqref="T220">
    <cfRule type="expression" dxfId="865" priority="972">
      <formula>MOD(ROW(), 2)=1</formula>
    </cfRule>
  </conditionalFormatting>
  <conditionalFormatting sqref="AO220">
    <cfRule type="expression" dxfId="864" priority="971">
      <formula>MOD(ROW(), 2)=1</formula>
    </cfRule>
  </conditionalFormatting>
  <conditionalFormatting sqref="AW220">
    <cfRule type="expression" dxfId="863" priority="970">
      <formula>MOD(ROW(), 2)=1</formula>
    </cfRule>
  </conditionalFormatting>
  <conditionalFormatting sqref="F220">
    <cfRule type="expression" dxfId="862" priority="969">
      <formula>MOD(ROW(), 2)=1</formula>
    </cfRule>
  </conditionalFormatting>
  <conditionalFormatting sqref="D220">
    <cfRule type="expression" dxfId="861" priority="968">
      <formula>MOD(ROW(), 2)=1</formula>
    </cfRule>
  </conditionalFormatting>
  <conditionalFormatting sqref="G220">
    <cfRule type="expression" dxfId="860" priority="967">
      <formula>MOD(ROW(), 2)=1</formula>
    </cfRule>
  </conditionalFormatting>
  <conditionalFormatting sqref="AV220">
    <cfRule type="expression" dxfId="859" priority="966">
      <formula>MOD(ROW(), 2)=1</formula>
    </cfRule>
  </conditionalFormatting>
  <conditionalFormatting sqref="AT219:AU220">
    <cfRule type="expression" dxfId="858" priority="965">
      <formula>MOD(ROW(), 2)=1</formula>
    </cfRule>
  </conditionalFormatting>
  <conditionalFormatting sqref="AY219:AZ220">
    <cfRule type="expression" dxfId="857" priority="964">
      <formula>MOD(ROW(), 2)=1</formula>
    </cfRule>
  </conditionalFormatting>
  <conditionalFormatting sqref="E220">
    <cfRule type="expression" dxfId="856" priority="963">
      <formula>MOD(ROW(), 2)=1</formula>
    </cfRule>
  </conditionalFormatting>
  <conditionalFormatting sqref="C219">
    <cfRule type="expression" dxfId="855" priority="962">
      <formula>MOD(ROW(), 2)=1</formula>
    </cfRule>
  </conditionalFormatting>
  <conditionalFormatting sqref="C220">
    <cfRule type="expression" dxfId="854" priority="961">
      <formula>MOD(ROW(), 2)=1</formula>
    </cfRule>
  </conditionalFormatting>
  <conditionalFormatting sqref="M220">
    <cfRule type="expression" dxfId="853" priority="960">
      <formula>MOD(ROW(), 2)=1</formula>
    </cfRule>
  </conditionalFormatting>
  <conditionalFormatting sqref="U219:V220">
    <cfRule type="expression" dxfId="852" priority="959">
      <formula>MOD(ROW(), 2)=1</formula>
    </cfRule>
  </conditionalFormatting>
  <conditionalFormatting sqref="U219:U220">
    <cfRule type="expression" dxfId="851" priority="958">
      <formula>"$J5!=$K5"</formula>
    </cfRule>
  </conditionalFormatting>
  <conditionalFormatting sqref="Q220">
    <cfRule type="expression" dxfId="850" priority="957">
      <formula>MOD(ROW(), 2)=1</formula>
    </cfRule>
  </conditionalFormatting>
  <conditionalFormatting sqref="Q219">
    <cfRule type="expression" dxfId="849" priority="956">
      <formula>MOD(ROW(), 2)=1</formula>
    </cfRule>
  </conditionalFormatting>
  <conditionalFormatting sqref="A219">
    <cfRule type="expression" dxfId="848" priority="955">
      <formula>MOD(ROW(), 2)=1</formula>
    </cfRule>
  </conditionalFormatting>
  <conditionalFormatting sqref="O221:O223 O225:O226">
    <cfRule type="expression" dxfId="847" priority="954">
      <formula>MOD(ROW(), 2)=1</formula>
    </cfRule>
  </conditionalFormatting>
  <conditionalFormatting sqref="O227">
    <cfRule type="expression" dxfId="846" priority="953">
      <formula>MOD(ROW(), 2)=1</formula>
    </cfRule>
  </conditionalFormatting>
  <conditionalFormatting sqref="AP224:AR224">
    <cfRule type="expression" dxfId="845" priority="952">
      <formula>MOD(ROW(), 2)=1</formula>
    </cfRule>
  </conditionalFormatting>
  <conditionalFormatting sqref="H224 AX224 BA224 W224 O224 AD224:AL224 AN224 Y224:AB224">
    <cfRule type="expression" dxfId="844" priority="951">
      <formula>MOD(ROW(), 2)=1</formula>
    </cfRule>
  </conditionalFormatting>
  <conditionalFormatting sqref="R224">
    <cfRule type="expression" dxfId="843" priority="950">
      <formula>MOD(ROW(), 2)=1</formula>
    </cfRule>
  </conditionalFormatting>
  <conditionalFormatting sqref="T224">
    <cfRule type="expression" dxfId="842" priority="949">
      <formula>"$J5!=$K5"</formula>
    </cfRule>
  </conditionalFormatting>
  <conditionalFormatting sqref="T224">
    <cfRule type="expression" dxfId="841" priority="948">
      <formula>MOD(ROW(), 2)=1</formula>
    </cfRule>
  </conditionalFormatting>
  <conditionalFormatting sqref="AO224">
    <cfRule type="expression" dxfId="840" priority="947">
      <formula>MOD(ROW(), 2)=1</formula>
    </cfRule>
  </conditionalFormatting>
  <conditionalFormatting sqref="AV224:AW224">
    <cfRule type="expression" dxfId="839" priority="946">
      <formula>MOD(ROW(), 2)=1</formula>
    </cfRule>
  </conditionalFormatting>
  <conditionalFormatting sqref="B224">
    <cfRule type="expression" dxfId="838" priority="945">
      <formula>MOD(ROW(), 2)=1</formula>
    </cfRule>
  </conditionalFormatting>
  <conditionalFormatting sqref="F224">
    <cfRule type="expression" dxfId="837" priority="944">
      <formula>MOD(ROW(), 2)=1</formula>
    </cfRule>
  </conditionalFormatting>
  <conditionalFormatting sqref="D224">
    <cfRule type="expression" dxfId="836" priority="943">
      <formula>MOD(ROW(), 2)=1</formula>
    </cfRule>
  </conditionalFormatting>
  <conditionalFormatting sqref="G224">
    <cfRule type="expression" dxfId="835" priority="942">
      <formula>MOD(ROW(), 2)=1</formula>
    </cfRule>
  </conditionalFormatting>
  <conditionalFormatting sqref="AT224:AU224">
    <cfRule type="expression" dxfId="834" priority="941">
      <formula>MOD(ROW(), 2)=1</formula>
    </cfRule>
  </conditionalFormatting>
  <conditionalFormatting sqref="AY224:AZ224">
    <cfRule type="expression" dxfId="833" priority="940">
      <formula>MOD(ROW(), 2)=1</formula>
    </cfRule>
  </conditionalFormatting>
  <conditionalFormatting sqref="E224">
    <cfRule type="expression" dxfId="832" priority="939">
      <formula>MOD(ROW(), 2)=1</formula>
    </cfRule>
  </conditionalFormatting>
  <conditionalFormatting sqref="C224">
    <cfRule type="expression" dxfId="831" priority="938">
      <formula>MOD(ROW(), 2)=1</formula>
    </cfRule>
  </conditionalFormatting>
  <conditionalFormatting sqref="M224">
    <cfRule type="expression" dxfId="830" priority="937">
      <formula>MOD(ROW(), 2)=1</formula>
    </cfRule>
  </conditionalFormatting>
  <conditionalFormatting sqref="U224:V224">
    <cfRule type="expression" dxfId="829" priority="936">
      <formula>MOD(ROW(), 2)=1</formula>
    </cfRule>
  </conditionalFormatting>
  <conditionalFormatting sqref="U224">
    <cfRule type="expression" dxfId="828" priority="935">
      <formula>"$J5!=$K5"</formula>
    </cfRule>
  </conditionalFormatting>
  <conditionalFormatting sqref="Q224">
    <cfRule type="expression" dxfId="827" priority="934">
      <formula>MOD(ROW(), 2)=1</formula>
    </cfRule>
  </conditionalFormatting>
  <conditionalFormatting sqref="AS224">
    <cfRule type="expression" dxfId="826" priority="933">
      <formula>MOD(ROW(), 2)=1</formula>
    </cfRule>
  </conditionalFormatting>
  <conditionalFormatting sqref="A220">
    <cfRule type="expression" dxfId="825" priority="932">
      <formula>MOD(ROW(), 2)=1</formula>
    </cfRule>
  </conditionalFormatting>
  <conditionalFormatting sqref="A223:A225">
    <cfRule type="expression" dxfId="824" priority="931">
      <formula>MOD(ROW(), 2)=1</formula>
    </cfRule>
  </conditionalFormatting>
  <conditionalFormatting sqref="P220:P227">
    <cfRule type="expression" dxfId="823" priority="930">
      <formula>MOD(ROW(), 2)=1</formula>
    </cfRule>
  </conditionalFormatting>
  <conditionalFormatting sqref="AC220:AC227">
    <cfRule type="expression" dxfId="822" priority="929">
      <formula>MOD(ROW(), 2)=1</formula>
    </cfRule>
  </conditionalFormatting>
  <conditionalFormatting sqref="AS225:AS226">
    <cfRule type="expression" dxfId="821" priority="928">
      <formula>MOD(ROW(), 2)=1</formula>
    </cfRule>
  </conditionalFormatting>
  <conditionalFormatting sqref="V227">
    <cfRule type="expression" dxfId="820" priority="927">
      <formula>MOD(ROW(), 2)=1</formula>
    </cfRule>
  </conditionalFormatting>
  <conditionalFormatting sqref="J219">
    <cfRule type="expression" dxfId="819" priority="926">
      <formula>MOD(ROW(), 2)=1</formula>
    </cfRule>
  </conditionalFormatting>
  <conditionalFormatting sqref="J220">
    <cfRule type="expression" dxfId="818" priority="925">
      <formula>MOD(ROW(), 2)=1</formula>
    </cfRule>
  </conditionalFormatting>
  <conditionalFormatting sqref="J224">
    <cfRule type="expression" dxfId="817" priority="924">
      <formula>MOD(ROW(), 2)=1</formula>
    </cfRule>
  </conditionalFormatting>
  <conditionalFormatting sqref="J223">
    <cfRule type="expression" dxfId="816" priority="923">
      <formula>MOD(ROW(), 2)=1</formula>
    </cfRule>
  </conditionalFormatting>
  <conditionalFormatting sqref="J226">
    <cfRule type="expression" dxfId="815" priority="922">
      <formula>MOD(ROW(), 2)=1</formula>
    </cfRule>
  </conditionalFormatting>
  <conditionalFormatting sqref="J225">
    <cfRule type="expression" dxfId="814" priority="921">
      <formula>MOD(ROW(), 2)=1</formula>
    </cfRule>
  </conditionalFormatting>
  <conditionalFormatting sqref="J227">
    <cfRule type="expression" dxfId="813" priority="920">
      <formula>MOD(ROW(), 2)=1</formula>
    </cfRule>
  </conditionalFormatting>
  <conditionalFormatting sqref="K220">
    <cfRule type="expression" dxfId="812" priority="919">
      <formula>MOD(ROW(), 2)=1</formula>
    </cfRule>
  </conditionalFormatting>
  <conditionalFormatting sqref="K219">
    <cfRule type="expression" dxfId="811" priority="918">
      <formula>MOD(ROW(), 2)=1</formula>
    </cfRule>
  </conditionalFormatting>
  <conditionalFormatting sqref="K223">
    <cfRule type="expression" dxfId="810" priority="917">
      <formula>MOD(ROW(), 2)=1</formula>
    </cfRule>
  </conditionalFormatting>
  <conditionalFormatting sqref="K224">
    <cfRule type="expression" dxfId="809" priority="916">
      <formula>MOD(ROW(), 2)=1</formula>
    </cfRule>
  </conditionalFormatting>
  <conditionalFormatting sqref="K225">
    <cfRule type="expression" dxfId="808" priority="915">
      <formula>MOD(ROW(), 2)=1</formula>
    </cfRule>
  </conditionalFormatting>
  <conditionalFormatting sqref="K226">
    <cfRule type="expression" dxfId="807" priority="914">
      <formula>MOD(ROW(), 2)=1</formula>
    </cfRule>
  </conditionalFormatting>
  <conditionalFormatting sqref="K227">
    <cfRule type="expression" dxfId="806" priority="913">
      <formula>MOD(ROW(), 2)=1</formula>
    </cfRule>
  </conditionalFormatting>
  <conditionalFormatting sqref="L219">
    <cfRule type="expression" dxfId="805" priority="912">
      <formula>MOD(ROW(), 2)=1</formula>
    </cfRule>
  </conditionalFormatting>
  <conditionalFormatting sqref="L220">
    <cfRule type="expression" dxfId="804" priority="911">
      <formula>MOD(ROW(), 2)=1</formula>
    </cfRule>
  </conditionalFormatting>
  <conditionalFormatting sqref="L223">
    <cfRule type="expression" dxfId="803" priority="910">
      <formula>MOD(ROW(), 2)=1</formula>
    </cfRule>
  </conditionalFormatting>
  <conditionalFormatting sqref="L224">
    <cfRule type="expression" dxfId="802" priority="909">
      <formula>MOD(ROW(), 2)=1</formula>
    </cfRule>
  </conditionalFormatting>
  <conditionalFormatting sqref="L225">
    <cfRule type="expression" dxfId="801" priority="908">
      <formula>MOD(ROW(), 2)=1</formula>
    </cfRule>
  </conditionalFormatting>
  <conditionalFormatting sqref="L226">
    <cfRule type="expression" dxfId="800" priority="907">
      <formula>MOD(ROW(), 2)=1</formula>
    </cfRule>
  </conditionalFormatting>
  <conditionalFormatting sqref="L227">
    <cfRule type="expression" dxfId="799" priority="906">
      <formula>MOD(ROW(), 2)=1</formula>
    </cfRule>
  </conditionalFormatting>
  <conditionalFormatting sqref="I219">
    <cfRule type="expression" dxfId="798" priority="905">
      <formula>MOD(ROW(), 2)=1</formula>
    </cfRule>
  </conditionalFormatting>
  <conditionalFormatting sqref="I220">
    <cfRule type="expression" dxfId="797" priority="904">
      <formula>MOD(ROW(), 2)=1</formula>
    </cfRule>
  </conditionalFormatting>
  <conditionalFormatting sqref="I223">
    <cfRule type="expression" dxfId="796" priority="903">
      <formula>MOD(ROW(), 2)=1</formula>
    </cfRule>
  </conditionalFormatting>
  <conditionalFormatting sqref="I224">
    <cfRule type="expression" dxfId="795" priority="902">
      <formula>MOD(ROW(), 2)=1</formula>
    </cfRule>
  </conditionalFormatting>
  <conditionalFormatting sqref="I225">
    <cfRule type="expression" dxfId="794" priority="901">
      <formula>MOD(ROW(), 2)=1</formula>
    </cfRule>
  </conditionalFormatting>
  <conditionalFormatting sqref="I226">
    <cfRule type="expression" dxfId="793" priority="900">
      <formula>MOD(ROW(), 2)=1</formula>
    </cfRule>
  </conditionalFormatting>
  <conditionalFormatting sqref="I227">
    <cfRule type="expression" dxfId="792" priority="899">
      <formula>MOD(ROW(), 2)=1</formula>
    </cfRule>
  </conditionalFormatting>
  <conditionalFormatting sqref="N219">
    <cfRule type="expression" dxfId="791" priority="898">
      <formula>MOD(ROW(), 2)=1</formula>
    </cfRule>
  </conditionalFormatting>
  <conditionalFormatting sqref="N220">
    <cfRule type="expression" dxfId="790" priority="897">
      <formula>MOD(ROW(), 2)=1</formula>
    </cfRule>
  </conditionalFormatting>
  <conditionalFormatting sqref="N221">
    <cfRule type="expression" dxfId="789" priority="896">
      <formula>MOD(ROW(), 2)=1</formula>
    </cfRule>
  </conditionalFormatting>
  <conditionalFormatting sqref="N222">
    <cfRule type="expression" dxfId="788" priority="895">
      <formula>MOD(ROW(), 2)=1</formula>
    </cfRule>
  </conditionalFormatting>
  <conditionalFormatting sqref="N223">
    <cfRule type="expression" dxfId="787" priority="894">
      <formula>MOD(ROW(), 2)=1</formula>
    </cfRule>
  </conditionalFormatting>
  <conditionalFormatting sqref="N224">
    <cfRule type="expression" dxfId="786" priority="893">
      <formula>MOD(ROW(), 2)=1</formula>
    </cfRule>
  </conditionalFormatting>
  <conditionalFormatting sqref="N225">
    <cfRule type="expression" dxfId="785" priority="892">
      <formula>MOD(ROW(), 2)=1</formula>
    </cfRule>
  </conditionalFormatting>
  <conditionalFormatting sqref="N226">
    <cfRule type="expression" dxfId="784" priority="891">
      <formula>MOD(ROW(), 2)=1</formula>
    </cfRule>
  </conditionalFormatting>
  <conditionalFormatting sqref="N227">
    <cfRule type="expression" dxfId="783" priority="890">
      <formula>MOD(ROW(), 2)=1</formula>
    </cfRule>
  </conditionalFormatting>
  <conditionalFormatting sqref="X223">
    <cfRule type="expression" dxfId="782" priority="889">
      <formula>MOD(ROW(), 2)=1</formula>
    </cfRule>
  </conditionalFormatting>
  <conditionalFormatting sqref="X226">
    <cfRule type="expression" dxfId="781" priority="888">
      <formula>MOD(ROW(), 2)=1</formula>
    </cfRule>
  </conditionalFormatting>
  <conditionalFormatting sqref="X227">
    <cfRule type="expression" dxfId="780" priority="887">
      <formula>MOD(ROW(), 2)=1</formula>
    </cfRule>
  </conditionalFormatting>
  <conditionalFormatting sqref="X219">
    <cfRule type="expression" dxfId="779" priority="886">
      <formula>MOD(ROW(), 2)=1</formula>
    </cfRule>
  </conditionalFormatting>
  <conditionalFormatting sqref="X220">
    <cfRule type="expression" dxfId="778" priority="885">
      <formula>MOD(ROW(), 2)=1</formula>
    </cfRule>
  </conditionalFormatting>
  <conditionalFormatting sqref="X224">
    <cfRule type="expression" dxfId="777" priority="884">
      <formula>MOD(ROW(), 2)=1</formula>
    </cfRule>
  </conditionalFormatting>
  <conditionalFormatting sqref="A226">
    <cfRule type="expression" dxfId="776" priority="883">
      <formula>MOD(ROW(), 2)=1</formula>
    </cfRule>
  </conditionalFormatting>
  <conditionalFormatting sqref="A227">
    <cfRule type="expression" dxfId="775" priority="882">
      <formula>MOD(ROW(), 2)=1</formula>
    </cfRule>
  </conditionalFormatting>
  <conditionalFormatting sqref="M223">
    <cfRule type="expression" dxfId="774" priority="881">
      <formula>MOD(ROW(), 2)=1</formula>
    </cfRule>
  </conditionalFormatting>
  <conditionalFormatting sqref="M227">
    <cfRule type="expression" dxfId="773" priority="880">
      <formula>MOD(ROW(), 2)=1</formula>
    </cfRule>
  </conditionalFormatting>
  <conditionalFormatting sqref="H223">
    <cfRule type="expression" dxfId="772" priority="879">
      <formula>MOD(ROW(), 2)=1</formula>
    </cfRule>
  </conditionalFormatting>
  <conditionalFormatting sqref="H226">
    <cfRule type="expression" dxfId="771" priority="878">
      <formula>MOD(ROW(), 2)=1</formula>
    </cfRule>
  </conditionalFormatting>
  <conditionalFormatting sqref="AS138:AS139">
    <cfRule type="expression" dxfId="770" priority="877">
      <formula>MOD(ROW(), 2)=1</formula>
    </cfRule>
  </conditionalFormatting>
  <conditionalFormatting sqref="C265:C266">
    <cfRule type="expression" dxfId="769" priority="875">
      <formula>MOD(ROW(), 2)=1</formula>
    </cfRule>
  </conditionalFormatting>
  <conditionalFormatting sqref="AS265">
    <cfRule type="expression" dxfId="768" priority="874">
      <formula>MOD(ROW(), 2)=1</formula>
    </cfRule>
  </conditionalFormatting>
  <conditionalFormatting sqref="AS266">
    <cfRule type="expression" dxfId="767" priority="873">
      <formula>MOD(ROW(), 2)=1</formula>
    </cfRule>
  </conditionalFormatting>
  <conditionalFormatting sqref="M265:M266">
    <cfRule type="expression" dxfId="766" priority="872">
      <formula>MOD(ROW(), 2)=1</formula>
    </cfRule>
  </conditionalFormatting>
  <conditionalFormatting sqref="Y78">
    <cfRule type="expression" dxfId="765" priority="871">
      <formula>MOD(ROW(), 2)=1</formula>
    </cfRule>
  </conditionalFormatting>
  <conditionalFormatting sqref="B267 F290:G290 F296:H296 O296 O293 L296 L293 U296:X296 F288:H288 F291:H293 L288 F274:H274 P274 F283:H283 F280:L280 R296 F269:G269 F268:L268 F270:H271 F306:G306 O275:O276 F275:L276 F278:G278 L278 L303 F286:G287 O286:P287 F302:G303 O302:P303 B302:B303 A290:B293 A275:B276 F267:G267 L267 F284:G284 A280:B280 A286:B288 A296:B296 A268:B271 O271:P271 P278 O288 O290:P292 Z296:BA296 Z271:BA271 Z274:BA276 O267:O270 P282 B278 A282:B284 F282:L282 L281 U281:Y281 F305:H305 B305:B306 O305:P306 U305:W305 AO305:AP306 Y305:Y306 AS305:BA306 L305:L306 U306:V306 T271:X271 T267:BA270 R267:R271 R278 O283:P284 R280:R283 R274:X274 R275:R276 T275:X276 T282:BA283 T278:BA278 T280:BA280 R290:X291 R286:BA288 R292:R293 T302:BA303 T292:X293 R302:R303 R305:R306 B274 R284:BA284 Z291:BA293 Z290:AG290 AI290:AL290 AN290:BA290">
    <cfRule type="expression" dxfId="764" priority="868">
      <formula>MOD(ROW(), 2)=1</formula>
    </cfRule>
  </conditionalFormatting>
  <conditionalFormatting sqref="T302:U303 U296 T267:U271 T280:U280 T290:U293 T286:U288 T282:U284 U281 U305:U306 T274:U278">
    <cfRule type="expression" dxfId="763" priority="867">
      <formula>"$J5!=$K5"</formula>
    </cfRule>
  </conditionalFormatting>
  <conditionalFormatting sqref="E77:E94">
    <cfRule type="expression" dxfId="762" priority="866">
      <formula>MOD(ROW(), 2)=1</formula>
    </cfRule>
  </conditionalFormatting>
  <conditionalFormatting sqref="E267:E271 E302:E303 E280 E290:E293 E274:E276 E305:E306 E286:E288 E296 E282:E284 E278">
    <cfRule type="expression" dxfId="761" priority="865">
      <formula>MOD(ROW(), 2)=1</formula>
    </cfRule>
  </conditionalFormatting>
  <conditionalFormatting sqref="D267:D271 D302:D303 D280 D290:D293 D274:D276 D305:D306 D286:D288 D296 D282:D284 D278">
    <cfRule type="expression" dxfId="760" priority="864">
      <formula>MOD(ROW(), 2)=1</formula>
    </cfRule>
  </conditionalFormatting>
  <conditionalFormatting sqref="C267">
    <cfRule type="expression" dxfId="759" priority="862">
      <formula>MOD(ROW(), 2)=1</formula>
    </cfRule>
  </conditionalFormatting>
  <conditionalFormatting sqref="C268:C271 C302:C303 C280 C290:C293 C274:C276 C305:C306 C286:C288 C296 C282:C284 C278">
    <cfRule type="expression" dxfId="758" priority="861">
      <formula>MOD(ROW(), 2)=1</formula>
    </cfRule>
  </conditionalFormatting>
  <conditionalFormatting sqref="W307 AT309:AU309 W308:AA308 AX307:BA310 F323:P508 W319:AA319 AC319:AG319 W323:BA508 AQ322:AX322 G315:P315 N316:P316 N318:P318 G319:P319 G316:L316 W321 A323:A508 AI319:AM319 G317:P317 AP308:AU308 AP310:AU310 AP309:AR309 O313:P314 A313 W318 Y318:AA318 G318:J318 T323:T508 T315:T321 A311 N311:P312 G311:L312 W309:W310 Y307:AU307 G307:G310 O307:P310 AC308:AN310 Y309:AA310 T307:T312 H313 J313:L313 H314:M314 M320:P320 X322:AO322 H322:K322 M322:P322 AC318:AN318 AP319:AX319 X318:X321 W320:AX320 BA318:BA322 Y321:AX321 H321:P321 AP318:AW318 J320:K320">
    <cfRule type="expression" dxfId="757" priority="860">
      <formula>MOD(ROW(), 2)=1</formula>
    </cfRule>
  </conditionalFormatting>
  <conditionalFormatting sqref="T323:T508 T315:T321 T307:T312">
    <cfRule type="expression" dxfId="756" priority="859">
      <formula>"$J5!=$K5"</formula>
    </cfRule>
  </conditionalFormatting>
  <conditionalFormatting sqref="E311:E314 E323:E508">
    <cfRule type="expression" dxfId="755" priority="858">
      <formula>MOD(ROW(), 2)=1</formula>
    </cfRule>
  </conditionalFormatting>
  <conditionalFormatting sqref="D311:D319 D323:D508">
    <cfRule type="expression" dxfId="754" priority="857">
      <formula>MOD(ROW(), 2)=1</formula>
    </cfRule>
  </conditionalFormatting>
  <conditionalFormatting sqref="C323:C508">
    <cfRule type="expression" dxfId="753" priority="856">
      <formula>MOD(ROW(), 2)=1</formula>
    </cfRule>
  </conditionalFormatting>
  <conditionalFormatting sqref="U307:V508">
    <cfRule type="expression" dxfId="752" priority="854">
      <formula>MOD(ROW(), 2)=1</formula>
    </cfRule>
  </conditionalFormatting>
  <conditionalFormatting sqref="U307:U508">
    <cfRule type="expression" dxfId="751" priority="853">
      <formula>"$J5!=$K5"</formula>
    </cfRule>
  </conditionalFormatting>
  <conditionalFormatting sqref="R322:S322 R307:R321">
    <cfRule type="expression" dxfId="750" priority="852">
      <formula>MOD(ROW(), 2)=1</formula>
    </cfRule>
  </conditionalFormatting>
  <conditionalFormatting sqref="B307:B508">
    <cfRule type="expression" dxfId="749" priority="851">
      <formula>MOD(ROW(), 2)=1</formula>
    </cfRule>
  </conditionalFormatting>
  <conditionalFormatting sqref="H290:L290">
    <cfRule type="expression" dxfId="748" priority="850">
      <formula>MOD(ROW(), 2)=1</formula>
    </cfRule>
  </conditionalFormatting>
  <conditionalFormatting sqref="I291:L291">
    <cfRule type="expression" dxfId="747" priority="848">
      <formula>MOD(ROW(), 2)=1</formula>
    </cfRule>
  </conditionalFormatting>
  <conditionalFormatting sqref="AB311:AB314">
    <cfRule type="expression" dxfId="746" priority="778">
      <formula>MOD(ROW(), 2)=1</formula>
    </cfRule>
  </conditionalFormatting>
  <conditionalFormatting sqref="AS319">
    <cfRule type="expression" dxfId="745" priority="776">
      <formula>MOD(ROW(), 2)=1</formula>
    </cfRule>
  </conditionalFormatting>
  <conditionalFormatting sqref="B297 F297:J297 X297 O297:P297 L297 Z297:BA297 T297:V297 R297">
    <cfRule type="expression" dxfId="744" priority="843">
      <formula>MOD(ROW(), 2)=1</formula>
    </cfRule>
  </conditionalFormatting>
  <conditionalFormatting sqref="T297:U297">
    <cfRule type="expression" dxfId="743" priority="842">
      <formula>"$J5!=$K5"</formula>
    </cfRule>
  </conditionalFormatting>
  <conditionalFormatting sqref="E297">
    <cfRule type="expression" dxfId="742" priority="841">
      <formula>MOD(ROW(), 2)=1</formula>
    </cfRule>
  </conditionalFormatting>
  <conditionalFormatting sqref="D297">
    <cfRule type="expression" dxfId="741" priority="840">
      <formula>MOD(ROW(), 2)=1</formula>
    </cfRule>
  </conditionalFormatting>
  <conditionalFormatting sqref="C297">
    <cfRule type="expression" dxfId="740" priority="839">
      <formula>MOD(ROW(), 2)=1</formula>
    </cfRule>
  </conditionalFormatting>
  <conditionalFormatting sqref="I296">
    <cfRule type="expression" dxfId="739" priority="837">
      <formula>MOD(ROW(), 2)=1</formula>
    </cfRule>
  </conditionalFormatting>
  <conditionalFormatting sqref="I293:K293">
    <cfRule type="expression" dxfId="738" priority="835">
      <formula>MOD(ROW(), 2)=1</formula>
    </cfRule>
  </conditionalFormatting>
  <conditionalFormatting sqref="A300:B300 F300:I300 P300 Z300:AW300 T300:X300 R300">
    <cfRule type="expression" dxfId="737" priority="832">
      <formula>MOD(ROW(), 2)=1</formula>
    </cfRule>
  </conditionalFormatting>
  <conditionalFormatting sqref="T300:U300">
    <cfRule type="expression" dxfId="736" priority="831">
      <formula>"$J5!=$K5"</formula>
    </cfRule>
  </conditionalFormatting>
  <conditionalFormatting sqref="E300">
    <cfRule type="expression" dxfId="735" priority="830">
      <formula>MOD(ROW(), 2)=1</formula>
    </cfRule>
  </conditionalFormatting>
  <conditionalFormatting sqref="D300">
    <cfRule type="expression" dxfId="734" priority="829">
      <formula>MOD(ROW(), 2)=1</formula>
    </cfRule>
  </conditionalFormatting>
  <conditionalFormatting sqref="C300">
    <cfRule type="expression" dxfId="733" priority="828">
      <formula>MOD(ROW(), 2)=1</formula>
    </cfRule>
  </conditionalFormatting>
  <conditionalFormatting sqref="O300">
    <cfRule type="expression" dxfId="732" priority="827">
      <formula>MOD(ROW(), 2)=1</formula>
    </cfRule>
  </conditionalFormatting>
  <conditionalFormatting sqref="J300:L300">
    <cfRule type="expression" dxfId="731" priority="826">
      <formula>MOD(ROW(), 2)=1</formula>
    </cfRule>
  </conditionalFormatting>
  <conditionalFormatting sqref="AX300:BA300">
    <cfRule type="expression" dxfId="730" priority="825">
      <formula>MOD(ROW(), 2)=1</formula>
    </cfRule>
  </conditionalFormatting>
  <conditionalFormatting sqref="AS320">
    <cfRule type="expression" dxfId="729" priority="783">
      <formula>MOD(ROW(), 2)=1</formula>
    </cfRule>
  </conditionalFormatting>
  <conditionalFormatting sqref="C307:F310">
    <cfRule type="expression" dxfId="728" priority="823">
      <formula>MOD(ROW(), 2)=1</formula>
    </cfRule>
  </conditionalFormatting>
  <conditionalFormatting sqref="J296">
    <cfRule type="expression" dxfId="727" priority="822">
      <formula>MOD(ROW(), 2)=1</formula>
    </cfRule>
  </conditionalFormatting>
  <conditionalFormatting sqref="K296">
    <cfRule type="expression" dxfId="726" priority="821">
      <formula>MOD(ROW(), 2)=1</formula>
    </cfRule>
  </conditionalFormatting>
  <conditionalFormatting sqref="AS307:AS310">
    <cfRule type="expression" dxfId="725" priority="820">
      <formula>MOD(ROW(), 2)=1</formula>
    </cfRule>
  </conditionalFormatting>
  <conditionalFormatting sqref="AB308:AB310">
    <cfRule type="expression" dxfId="724" priority="819">
      <formula>MOD(ROW(), 2)=1</formula>
    </cfRule>
  </conditionalFormatting>
  <conditionalFormatting sqref="T296">
    <cfRule type="expression" dxfId="723" priority="817">
      <formula>MOD(ROW(), 2)=1</formula>
    </cfRule>
  </conditionalFormatting>
  <conditionalFormatting sqref="T296">
    <cfRule type="expression" dxfId="722" priority="816">
      <formula>"$J5!=$K5"</formula>
    </cfRule>
  </conditionalFormatting>
  <conditionalFormatting sqref="W297">
    <cfRule type="expression" dxfId="721" priority="815">
      <formula>MOD(ROW(), 2)=1</formula>
    </cfRule>
  </conditionalFormatting>
  <conditionalFormatting sqref="AV307:AW310">
    <cfRule type="expression" dxfId="720" priority="814">
      <formula>MOD(ROW(), 2)=1</formula>
    </cfRule>
  </conditionalFormatting>
  <conditionalFormatting sqref="I288:K288">
    <cfRule type="expression" dxfId="719" priority="813">
      <formula>MOD(ROW(), 2)=1</formula>
    </cfRule>
  </conditionalFormatting>
  <conditionalFormatting sqref="J292">
    <cfRule type="expression" dxfId="718" priority="812">
      <formula>MOD(ROW(), 2)=1</formula>
    </cfRule>
  </conditionalFormatting>
  <conditionalFormatting sqref="I292">
    <cfRule type="expression" dxfId="717" priority="811">
      <formula>MOD(ROW(), 2)=1</formula>
    </cfRule>
  </conditionalFormatting>
  <conditionalFormatting sqref="K292">
    <cfRule type="expression" dxfId="716" priority="810">
      <formula>MOD(ROW(), 2)=1</formula>
    </cfRule>
  </conditionalFormatting>
  <conditionalFormatting sqref="L292">
    <cfRule type="expression" dxfId="715" priority="809">
      <formula>MOD(ROW(), 2)=1</formula>
    </cfRule>
  </conditionalFormatting>
  <conditionalFormatting sqref="L270">
    <cfRule type="expression" dxfId="714" priority="808">
      <formula>MOD(ROW(), 2)=1</formula>
    </cfRule>
  </conditionalFormatting>
  <conditionalFormatting sqref="I270:K270">
    <cfRule type="expression" dxfId="713" priority="807">
      <formula>MOD(ROW(), 2)=1</formula>
    </cfRule>
  </conditionalFormatting>
  <conditionalFormatting sqref="E322">
    <cfRule type="expression" dxfId="712" priority="786">
      <formula>MOD(ROW(), 2)=1</formula>
    </cfRule>
  </conditionalFormatting>
  <conditionalFormatting sqref="G322">
    <cfRule type="expression" dxfId="711" priority="784">
      <formula>MOD(ROW(), 2)=1</formula>
    </cfRule>
  </conditionalFormatting>
  <conditionalFormatting sqref="L274">
    <cfRule type="expression" dxfId="710" priority="803">
      <formula>MOD(ROW(), 2)=1</formula>
    </cfRule>
  </conditionalFormatting>
  <conditionalFormatting sqref="I274:K274">
    <cfRule type="expression" dxfId="709" priority="802">
      <formula>MOD(ROW(), 2)=1</formula>
    </cfRule>
  </conditionalFormatting>
  <conditionalFormatting sqref="L283">
    <cfRule type="expression" dxfId="708" priority="801">
      <formula>MOD(ROW(), 2)=1</formula>
    </cfRule>
  </conditionalFormatting>
  <conditionalFormatting sqref="I283:K283">
    <cfRule type="expression" dxfId="707" priority="800">
      <formula>MOD(ROW(), 2)=1</formula>
    </cfRule>
  </conditionalFormatting>
  <conditionalFormatting sqref="C311:C314">
    <cfRule type="expression" dxfId="706" priority="799">
      <formula>MOD(ROW(), 2)=1</formula>
    </cfRule>
  </conditionalFormatting>
  <conditionalFormatting sqref="G313:G314">
    <cfRule type="expression" dxfId="705" priority="798">
      <formula>MOD(ROW(), 2)=1</formula>
    </cfRule>
  </conditionalFormatting>
  <conditionalFormatting sqref="F311:F314">
    <cfRule type="expression" dxfId="704" priority="797">
      <formula>MOD(ROW(), 2)=1</formula>
    </cfRule>
  </conditionalFormatting>
  <conditionalFormatting sqref="C315:C319">
    <cfRule type="expression" dxfId="703" priority="796">
      <formula>MOD(ROW(), 2)=1</formula>
    </cfRule>
  </conditionalFormatting>
  <conditionalFormatting sqref="E315:E318">
    <cfRule type="expression" dxfId="702" priority="795">
      <formula>MOD(ROW(), 2)=1</formula>
    </cfRule>
  </conditionalFormatting>
  <conditionalFormatting sqref="F315:F319">
    <cfRule type="expression" dxfId="701" priority="794">
      <formula>MOD(ROW(), 2)=1</formula>
    </cfRule>
  </conditionalFormatting>
  <conditionalFormatting sqref="AS318">
    <cfRule type="expression" dxfId="700" priority="793">
      <formula>MOD(ROW(), 2)=1</formula>
    </cfRule>
  </conditionalFormatting>
  <conditionalFormatting sqref="AS314">
    <cfRule type="expression" dxfId="699" priority="792">
      <formula>MOD(ROW(), 2)=1</formula>
    </cfRule>
  </conditionalFormatting>
  <conditionalFormatting sqref="AS311:AS313">
    <cfRule type="expression" dxfId="698" priority="791">
      <formula>MOD(ROW(), 2)=1</formula>
    </cfRule>
  </conditionalFormatting>
  <conditionalFormatting sqref="AS317">
    <cfRule type="expression" dxfId="697" priority="790">
      <formula>MOD(ROW(), 2)=1</formula>
    </cfRule>
  </conditionalFormatting>
  <conditionalFormatting sqref="G320:G321">
    <cfRule type="expression" dxfId="696" priority="789">
      <formula>MOD(ROW(), 2)=1</formula>
    </cfRule>
  </conditionalFormatting>
  <conditionalFormatting sqref="D320:D322">
    <cfRule type="expression" dxfId="695" priority="788">
      <formula>MOD(ROW(), 2)=1</formula>
    </cfRule>
  </conditionalFormatting>
  <conditionalFormatting sqref="C320:C322">
    <cfRule type="expression" dxfId="694" priority="787">
      <formula>MOD(ROW(), 2)=1</formula>
    </cfRule>
  </conditionalFormatting>
  <conditionalFormatting sqref="F320:F322">
    <cfRule type="expression" dxfId="693" priority="785">
      <formula>MOD(ROW(), 2)=1</formula>
    </cfRule>
  </conditionalFormatting>
  <conditionalFormatting sqref="AV317">
    <cfRule type="expression" dxfId="692" priority="782">
      <formula>MOD(ROW(), 2)=1</formula>
    </cfRule>
  </conditionalFormatting>
  <conditionalFormatting sqref="AW317">
    <cfRule type="expression" dxfId="691" priority="781">
      <formula>MOD(ROW(), 2)=1</formula>
    </cfRule>
  </conditionalFormatting>
  <conditionalFormatting sqref="AV315">
    <cfRule type="expression" dxfId="690" priority="780">
      <formula>MOD(ROW(), 2)=1</formula>
    </cfRule>
  </conditionalFormatting>
  <conditionalFormatting sqref="AW315">
    <cfRule type="expression" dxfId="689" priority="779">
      <formula>MOD(ROW(), 2)=1</formula>
    </cfRule>
  </conditionalFormatting>
  <conditionalFormatting sqref="AB316:AB319">
    <cfRule type="expression" dxfId="688" priority="777">
      <formula>MOD(ROW(), 2)=1</formula>
    </cfRule>
  </conditionalFormatting>
  <conditionalFormatting sqref="AP322">
    <cfRule type="expression" dxfId="687" priority="775">
      <formula>MOD(ROW(), 2)=1</formula>
    </cfRule>
  </conditionalFormatting>
  <conditionalFormatting sqref="AS322">
    <cfRule type="expression" dxfId="686" priority="774">
      <formula>MOD(ROW(), 2)=1</formula>
    </cfRule>
  </conditionalFormatting>
  <conditionalFormatting sqref="AV311:AW314">
    <cfRule type="expression" dxfId="685" priority="760">
      <formula>MOD(ROW(), 2)=1</formula>
    </cfRule>
  </conditionalFormatting>
  <conditionalFormatting sqref="P267:P269">
    <cfRule type="expression" dxfId="684" priority="769">
      <formula>MOD(ROW(), 2)=1</formula>
    </cfRule>
  </conditionalFormatting>
  <conditionalFormatting sqref="P270">
    <cfRule type="expression" dxfId="683" priority="768">
      <formula>MOD(ROW(), 2)=1</formula>
    </cfRule>
  </conditionalFormatting>
  <conditionalFormatting sqref="A316">
    <cfRule type="expression" dxfId="682" priority="739">
      <formula>MOD(ROW(), 2)=1</formula>
    </cfRule>
  </conditionalFormatting>
  <conditionalFormatting sqref="P276">
    <cfRule type="expression" dxfId="681" priority="766">
      <formula>MOD(ROW(), 2)=1</formula>
    </cfRule>
  </conditionalFormatting>
  <conditionalFormatting sqref="P275">
    <cfRule type="expression" dxfId="680" priority="765">
      <formula>MOD(ROW(), 2)=1</formula>
    </cfRule>
  </conditionalFormatting>
  <conditionalFormatting sqref="P280:P281">
    <cfRule type="expression" dxfId="679" priority="764">
      <formula>MOD(ROW(), 2)=1</formula>
    </cfRule>
  </conditionalFormatting>
  <conditionalFormatting sqref="P288">
    <cfRule type="expression" dxfId="678" priority="763">
      <formula>MOD(ROW(), 2)=1</formula>
    </cfRule>
  </conditionalFormatting>
  <conditionalFormatting sqref="P293">
    <cfRule type="expression" dxfId="677" priority="762">
      <formula>MOD(ROW(), 2)=1</formula>
    </cfRule>
  </conditionalFormatting>
  <conditionalFormatting sqref="P296">
    <cfRule type="expression" dxfId="676" priority="761">
      <formula>MOD(ROW(), 2)=1</formula>
    </cfRule>
  </conditionalFormatting>
  <conditionalFormatting sqref="AX314:AZ314">
    <cfRule type="expression" dxfId="675" priority="759">
      <formula>MOD(ROW(), 2)=1</formula>
    </cfRule>
  </conditionalFormatting>
  <conditionalFormatting sqref="AS321">
    <cfRule type="expression" dxfId="674" priority="758">
      <formula>MOD(ROW(), 2)=1</formula>
    </cfRule>
  </conditionalFormatting>
  <conditionalFormatting sqref="AS316">
    <cfRule type="expression" dxfId="673" priority="757">
      <formula>MOD(ROW(), 2)=1</formula>
    </cfRule>
  </conditionalFormatting>
  <conditionalFormatting sqref="X315">
    <cfRule type="expression" dxfId="672" priority="756">
      <formula>MOD(ROW(), 2)=1</formula>
    </cfRule>
  </conditionalFormatting>
  <conditionalFormatting sqref="A315">
    <cfRule type="expression" dxfId="671" priority="755">
      <formula>MOD(ROW(), 2)=1</formula>
    </cfRule>
  </conditionalFormatting>
  <conditionalFormatting sqref="F289:I289 U289:X289 O289:P289 A289:B289 AO289:BA289 Z289 R289:S289 AI289:AM289 AC289:AG289">
    <cfRule type="expression" dxfId="670" priority="684">
      <formula>MOD(ROW(), 2)=1</formula>
    </cfRule>
  </conditionalFormatting>
  <conditionalFormatting sqref="E289">
    <cfRule type="expression" dxfId="669" priority="682">
      <formula>MOD(ROW(), 2)=1</formula>
    </cfRule>
  </conditionalFormatting>
  <conditionalFormatting sqref="D289">
    <cfRule type="expression" dxfId="668" priority="681">
      <formula>MOD(ROW(), 2)=1</formula>
    </cfRule>
  </conditionalFormatting>
  <conditionalFormatting sqref="M311:M313">
    <cfRule type="expression" dxfId="667" priority="749">
      <formula>MOD(ROW(), 2)=1</formula>
    </cfRule>
  </conditionalFormatting>
  <conditionalFormatting sqref="M316">
    <cfRule type="expression" dxfId="666" priority="748">
      <formula>MOD(ROW(), 2)=1</formula>
    </cfRule>
  </conditionalFormatting>
  <conditionalFormatting sqref="M318">
    <cfRule type="expression" dxfId="665" priority="747">
      <formula>MOD(ROW(), 2)=1</formula>
    </cfRule>
  </conditionalFormatting>
  <conditionalFormatting sqref="AY313:AZ313">
    <cfRule type="expression" dxfId="664" priority="745">
      <formula>MOD(ROW(), 2)=1</formula>
    </cfRule>
  </conditionalFormatting>
  <conditionalFormatting sqref="L289">
    <cfRule type="expression" dxfId="663" priority="675">
      <formula>MOD(ROW(), 2)=1</formula>
    </cfRule>
  </conditionalFormatting>
  <conditionalFormatting sqref="AM315">
    <cfRule type="expression" dxfId="662" priority="743">
      <formula>MOD(ROW(), 2)=1</formula>
    </cfRule>
  </conditionalFormatting>
  <conditionalFormatting sqref="AN319">
    <cfRule type="expression" dxfId="661" priority="742">
      <formula>MOD(ROW(), 2)=1</formula>
    </cfRule>
  </conditionalFormatting>
  <conditionalFormatting sqref="A319">
    <cfRule type="expression" dxfId="660" priority="741">
      <formula>MOD(ROW(), 2)=1</formula>
    </cfRule>
  </conditionalFormatting>
  <conditionalFormatting sqref="X316">
    <cfRule type="expression" dxfId="659" priority="740">
      <formula>MOD(ROW(), 2)=1</formula>
    </cfRule>
  </conditionalFormatting>
  <conditionalFormatting sqref="X321">
    <cfRule type="expression" dxfId="658" priority="738">
      <formula>MOD(ROW(), 2)=1</formula>
    </cfRule>
  </conditionalFormatting>
  <conditionalFormatting sqref="L318">
    <cfRule type="expression" dxfId="657" priority="702">
      <formula>MOD(ROW(), 2)=1</formula>
    </cfRule>
  </conditionalFormatting>
  <conditionalFormatting sqref="P273">
    <cfRule type="expression" dxfId="656" priority="666">
      <formula>MOD(ROW(), 2)=1</formula>
    </cfRule>
  </conditionalFormatting>
  <conditionalFormatting sqref="J303">
    <cfRule type="expression" dxfId="655" priority="734">
      <formula>MOD(ROW(), 2)=1</formula>
    </cfRule>
  </conditionalFormatting>
  <conditionalFormatting sqref="AH319">
    <cfRule type="expression" dxfId="654" priority="733">
      <formula>MOD(ROW(), 2)=1</formula>
    </cfRule>
  </conditionalFormatting>
  <conditionalFormatting sqref="H286">
    <cfRule type="expression" dxfId="653" priority="731">
      <formula>MOD(ROW(), 2)=1</formula>
    </cfRule>
  </conditionalFormatting>
  <conditionalFormatting sqref="L286">
    <cfRule type="expression" dxfId="652" priority="730">
      <formula>MOD(ROW(), 2)=1</formula>
    </cfRule>
  </conditionalFormatting>
  <conditionalFormatting sqref="I286:K286">
    <cfRule type="expression" dxfId="651" priority="729">
      <formula>MOD(ROW(), 2)=1</formula>
    </cfRule>
  </conditionalFormatting>
  <conditionalFormatting sqref="H287">
    <cfRule type="expression" dxfId="650" priority="728">
      <formula>MOD(ROW(), 2)=1</formula>
    </cfRule>
  </conditionalFormatting>
  <conditionalFormatting sqref="L287">
    <cfRule type="expression" dxfId="649" priority="727">
      <formula>MOD(ROW(), 2)=1</formula>
    </cfRule>
  </conditionalFormatting>
  <conditionalFormatting sqref="I287:K287">
    <cfRule type="expression" dxfId="648" priority="726">
      <formula>MOD(ROW(), 2)=1</formula>
    </cfRule>
  </conditionalFormatting>
  <conditionalFormatting sqref="H302:I302">
    <cfRule type="expression" dxfId="647" priority="724">
      <formula>MOD(ROW(), 2)=1</formula>
    </cfRule>
  </conditionalFormatting>
  <conditionalFormatting sqref="J302:L302">
    <cfRule type="expression" dxfId="646" priority="723">
      <formula>MOD(ROW(), 2)=1</formula>
    </cfRule>
  </conditionalFormatting>
  <conditionalFormatting sqref="A302">
    <cfRule type="expression" dxfId="645" priority="721">
      <formula>MOD(ROW(), 2)=1</formula>
    </cfRule>
  </conditionalFormatting>
  <conditionalFormatting sqref="H303:I303">
    <cfRule type="expression" dxfId="644" priority="720">
      <formula>MOD(ROW(), 2)=1</formula>
    </cfRule>
  </conditionalFormatting>
  <conditionalFormatting sqref="K303">
    <cfRule type="expression" dxfId="643" priority="719">
      <formula>MOD(ROW(), 2)=1</formula>
    </cfRule>
  </conditionalFormatting>
  <conditionalFormatting sqref="J299:K299">
    <cfRule type="expression" dxfId="642" priority="649">
      <formula>MOD(ROW(), 2)=1</formula>
    </cfRule>
  </conditionalFormatting>
  <conditionalFormatting sqref="A303">
    <cfRule type="expression" dxfId="641" priority="716">
      <formula>MOD(ROW(), 2)=1</formula>
    </cfRule>
  </conditionalFormatting>
  <conditionalFormatting sqref="V269">
    <cfRule type="expression" dxfId="640" priority="715">
      <formula>"$J5!=$K5"</formula>
    </cfRule>
  </conditionalFormatting>
  <conditionalFormatting sqref="H269">
    <cfRule type="expression" dxfId="639" priority="714">
      <formula>MOD(ROW(), 2)=1</formula>
    </cfRule>
  </conditionalFormatting>
  <conditionalFormatting sqref="L269">
    <cfRule type="expression" dxfId="638" priority="713">
      <formula>MOD(ROW(), 2)=1</formula>
    </cfRule>
  </conditionalFormatting>
  <conditionalFormatting sqref="I269:K269">
    <cfRule type="expression" dxfId="637" priority="712">
      <formula>MOD(ROW(), 2)=1</formula>
    </cfRule>
  </conditionalFormatting>
  <conditionalFormatting sqref="J309">
    <cfRule type="expression" dxfId="636" priority="641">
      <formula>MOD(ROW(), 2)=1</formula>
    </cfRule>
  </conditionalFormatting>
  <conditionalFormatting sqref="A317">
    <cfRule type="expression" dxfId="635" priority="709">
      <formula>MOD(ROW(), 2)=1</formula>
    </cfRule>
  </conditionalFormatting>
  <conditionalFormatting sqref="X317">
    <cfRule type="expression" dxfId="634" priority="708">
      <formula>MOD(ROW(), 2)=1</formula>
    </cfRule>
  </conditionalFormatting>
  <conditionalFormatting sqref="AO308:AO310">
    <cfRule type="expression" dxfId="633" priority="707">
      <formula>MOD(ROW(), 2)=1</formula>
    </cfRule>
  </conditionalFormatting>
  <conditionalFormatting sqref="N313:N314">
    <cfRule type="expression" dxfId="632" priority="706">
      <formula>MOD(ROW(), 2)=1</formula>
    </cfRule>
  </conditionalFormatting>
  <conditionalFormatting sqref="X312">
    <cfRule type="expression" dxfId="631" priority="705">
      <formula>MOD(ROW(), 2)=1</formula>
    </cfRule>
  </conditionalFormatting>
  <conditionalFormatting sqref="A312">
    <cfRule type="expression" dxfId="630" priority="704">
      <formula>MOD(ROW(), 2)=1</formula>
    </cfRule>
  </conditionalFormatting>
  <conditionalFormatting sqref="X318">
    <cfRule type="expression" dxfId="629" priority="703">
      <formula>MOD(ROW(), 2)=1</formula>
    </cfRule>
  </conditionalFormatting>
  <conditionalFormatting sqref="A279:B279 F279:L279 P279 R279 T279:BA279">
    <cfRule type="expression" dxfId="628" priority="696">
      <formula>MOD(ROW(), 2)=1</formula>
    </cfRule>
  </conditionalFormatting>
  <conditionalFormatting sqref="T279:U279">
    <cfRule type="expression" dxfId="627" priority="695">
      <formula>"$J5!=$K5"</formula>
    </cfRule>
  </conditionalFormatting>
  <conditionalFormatting sqref="E279">
    <cfRule type="expression" dxfId="626" priority="694">
      <formula>MOD(ROW(), 2)=1</formula>
    </cfRule>
  </conditionalFormatting>
  <conditionalFormatting sqref="D279">
    <cfRule type="expression" dxfId="625" priority="693">
      <formula>MOD(ROW(), 2)=1</formula>
    </cfRule>
  </conditionalFormatting>
  <conditionalFormatting sqref="C279">
    <cfRule type="expression" dxfId="624" priority="692">
      <formula>MOD(ROW(), 2)=1</formula>
    </cfRule>
  </conditionalFormatting>
  <conditionalFormatting sqref="T322">
    <cfRule type="expression" dxfId="623" priority="690">
      <formula>MOD(ROW(), 2)=1</formula>
    </cfRule>
  </conditionalFormatting>
  <conditionalFormatting sqref="T322">
    <cfRule type="expression" dxfId="622" priority="689">
      <formula>"$J5!=$K5"</formula>
    </cfRule>
  </conditionalFormatting>
  <conditionalFormatting sqref="T313:T314">
    <cfRule type="expression" dxfId="621" priority="688">
      <formula>MOD(ROW(), 2)=1</formula>
    </cfRule>
  </conditionalFormatting>
  <conditionalFormatting sqref="T313:T314">
    <cfRule type="expression" dxfId="620" priority="687">
      <formula>"$J5!=$K5"</formula>
    </cfRule>
  </conditionalFormatting>
  <conditionalFormatting sqref="W322">
    <cfRule type="expression" dxfId="619" priority="686">
      <formula>MOD(ROW(), 2)=1</formula>
    </cfRule>
  </conditionalFormatting>
  <conditionalFormatting sqref="U289">
    <cfRule type="expression" dxfId="618" priority="683">
      <formula>"$J5!=$K5"</formula>
    </cfRule>
  </conditionalFormatting>
  <conditionalFormatting sqref="C289">
    <cfRule type="expression" dxfId="617" priority="680">
      <formula>MOD(ROW(), 2)=1</formula>
    </cfRule>
  </conditionalFormatting>
  <conditionalFormatting sqref="J289">
    <cfRule type="expression" dxfId="616" priority="679">
      <formula>MOD(ROW(), 2)=1</formula>
    </cfRule>
  </conditionalFormatting>
  <conditionalFormatting sqref="K289">
    <cfRule type="expression" dxfId="615" priority="678">
      <formula>MOD(ROW(), 2)=1</formula>
    </cfRule>
  </conditionalFormatting>
  <conditionalFormatting sqref="T289">
    <cfRule type="expression" dxfId="614" priority="677">
      <formula>"$J5!=$K5"</formula>
    </cfRule>
  </conditionalFormatting>
  <conditionalFormatting sqref="T289">
    <cfRule type="expression" dxfId="613" priority="676">
      <formula>MOD(ROW(), 2)=1</formula>
    </cfRule>
  </conditionalFormatting>
  <conditionalFormatting sqref="AX301:AZ301">
    <cfRule type="expression" dxfId="612" priority="605">
      <formula>MOD(ROW(), 2)=1</formula>
    </cfRule>
  </conditionalFormatting>
  <conditionalFormatting sqref="AN289">
    <cfRule type="expression" dxfId="611" priority="673">
      <formula>MOD(ROW(), 2)=1</formula>
    </cfRule>
  </conditionalFormatting>
  <conditionalFormatting sqref="O273 F272:G273 O272:P272 A272:B273 Z272:BA273 T272:X273 R272:R273">
    <cfRule type="expression" dxfId="610" priority="671">
      <formula>MOD(ROW(), 2)=1</formula>
    </cfRule>
  </conditionalFormatting>
  <conditionalFormatting sqref="T272:U273">
    <cfRule type="expression" dxfId="609" priority="670">
      <formula>"$J5!=$K5"</formula>
    </cfRule>
  </conditionalFormatting>
  <conditionalFormatting sqref="E272:E273">
    <cfRule type="expression" dxfId="608" priority="669">
      <formula>MOD(ROW(), 2)=1</formula>
    </cfRule>
  </conditionalFormatting>
  <conditionalFormatting sqref="D272:D273">
    <cfRule type="expression" dxfId="607" priority="668">
      <formula>MOD(ROW(), 2)=1</formula>
    </cfRule>
  </conditionalFormatting>
  <conditionalFormatting sqref="C272:C273">
    <cfRule type="expression" dxfId="606" priority="667">
      <formula>MOD(ROW(), 2)=1</formula>
    </cfRule>
  </conditionalFormatting>
  <conditionalFormatting sqref="H273">
    <cfRule type="expression" dxfId="605" priority="665">
      <formula>MOD(ROW(), 2)=1</formula>
    </cfRule>
  </conditionalFormatting>
  <conditionalFormatting sqref="I273:K273">
    <cfRule type="expression" dxfId="604" priority="664">
      <formula>MOD(ROW(), 2)=1</formula>
    </cfRule>
  </conditionalFormatting>
  <conditionalFormatting sqref="L273">
    <cfRule type="expression" dxfId="603" priority="662">
      <formula>MOD(ROW(), 2)=1</formula>
    </cfRule>
  </conditionalFormatting>
  <conditionalFormatting sqref="C304">
    <cfRule type="expression" dxfId="602" priority="592">
      <formula>MOD(ROW(), 2)=1</formula>
    </cfRule>
  </conditionalFormatting>
  <conditionalFormatting sqref="H272">
    <cfRule type="expression" dxfId="601" priority="660">
      <formula>MOD(ROW(), 2)=1</formula>
    </cfRule>
  </conditionalFormatting>
  <conditionalFormatting sqref="I272:K272">
    <cfRule type="expression" dxfId="600" priority="659">
      <formula>MOD(ROW(), 2)=1</formula>
    </cfRule>
  </conditionalFormatting>
  <conditionalFormatting sqref="L272">
    <cfRule type="expression" dxfId="599" priority="657">
      <formula>MOD(ROW(), 2)=1</formula>
    </cfRule>
  </conditionalFormatting>
  <conditionalFormatting sqref="B299 F299:G299 O299:P299 Z299:BA299 T299:X299 R299">
    <cfRule type="expression" dxfId="598" priority="655">
      <formula>MOD(ROW(), 2)=1</formula>
    </cfRule>
  </conditionalFormatting>
  <conditionalFormatting sqref="T299:U299">
    <cfRule type="expression" dxfId="597" priority="654">
      <formula>"$J5!=$K5"</formula>
    </cfRule>
  </conditionalFormatting>
  <conditionalFormatting sqref="E299">
    <cfRule type="expression" dxfId="596" priority="653">
      <formula>MOD(ROW(), 2)=1</formula>
    </cfRule>
  </conditionalFormatting>
  <conditionalFormatting sqref="D299">
    <cfRule type="expression" dxfId="595" priority="652">
      <formula>MOD(ROW(), 2)=1</formula>
    </cfRule>
  </conditionalFormatting>
  <conditionalFormatting sqref="C299">
    <cfRule type="expression" dxfId="594" priority="651">
      <formula>MOD(ROW(), 2)=1</formula>
    </cfRule>
  </conditionalFormatting>
  <conditionalFormatting sqref="H299:I299">
    <cfRule type="expression" dxfId="593" priority="650">
      <formula>MOD(ROW(), 2)=1</formula>
    </cfRule>
  </conditionalFormatting>
  <conditionalFormatting sqref="L299">
    <cfRule type="expression" dxfId="592" priority="648">
      <formula>MOD(ROW(), 2)=1</formula>
    </cfRule>
  </conditionalFormatting>
  <conditionalFormatting sqref="A299">
    <cfRule type="expression" dxfId="591" priority="646">
      <formula>MOD(ROW(), 2)=1</formula>
    </cfRule>
  </conditionalFormatting>
  <conditionalFormatting sqref="H285">
    <cfRule type="expression" dxfId="590" priority="576">
      <formula>MOD(ROW(), 2)=1</formula>
    </cfRule>
  </conditionalFormatting>
  <conditionalFormatting sqref="Y9">
    <cfRule type="expression" dxfId="589" priority="644">
      <formula>MOD(ROW(), 2)=1</formula>
    </cfRule>
  </conditionalFormatting>
  <conditionalFormatting sqref="A309">
    <cfRule type="expression" dxfId="588" priority="643">
      <formula>MOD(ROW(), 2)=1</formula>
    </cfRule>
  </conditionalFormatting>
  <conditionalFormatting sqref="L309">
    <cfRule type="expression" dxfId="587" priority="642">
      <formula>MOD(ROW(), 2)=1</formula>
    </cfRule>
  </conditionalFormatting>
  <conditionalFormatting sqref="H309:I309">
    <cfRule type="expression" dxfId="586" priority="640">
      <formula>MOD(ROW(), 2)=1</formula>
    </cfRule>
  </conditionalFormatting>
  <conditionalFormatting sqref="K309">
    <cfRule type="expression" dxfId="585" priority="639">
      <formula>MOD(ROW(), 2)=1</formula>
    </cfRule>
  </conditionalFormatting>
  <conditionalFormatting sqref="N309">
    <cfRule type="expression" dxfId="584" priority="637">
      <formula>MOD(ROW(), 2)=1</formula>
    </cfRule>
  </conditionalFormatting>
  <conditionalFormatting sqref="M309">
    <cfRule type="expression" dxfId="583" priority="636">
      <formula>MOD(ROW(), 2)=1</formula>
    </cfRule>
  </conditionalFormatting>
  <conditionalFormatting sqref="M306:M308">
    <cfRule type="expression" dxfId="582" priority="635">
      <formula>MOD(ROW(), 2)=1</formula>
    </cfRule>
  </conditionalFormatting>
  <conditionalFormatting sqref="X309">
    <cfRule type="expression" dxfId="581" priority="634">
      <formula>MOD(ROW(), 2)=1</formula>
    </cfRule>
  </conditionalFormatting>
  <conditionalFormatting sqref="I294">
    <cfRule type="expression" dxfId="580" priority="563">
      <formula>MOD(ROW(), 2)=1</formula>
    </cfRule>
  </conditionalFormatting>
  <conditionalFormatting sqref="A267">
    <cfRule type="expression" dxfId="579" priority="631">
      <formula>MOD(ROW(), 2)=1</formula>
    </cfRule>
  </conditionalFormatting>
  <conditionalFormatting sqref="H267">
    <cfRule type="expression" dxfId="578" priority="630">
      <formula>MOD(ROW(), 2)=1</formula>
    </cfRule>
  </conditionalFormatting>
  <conditionalFormatting sqref="I267:K267">
    <cfRule type="expression" dxfId="577" priority="629">
      <formula>MOD(ROW(), 2)=1</formula>
    </cfRule>
  </conditionalFormatting>
  <conditionalFormatting sqref="N267">
    <cfRule type="expression" dxfId="576" priority="628">
      <formula>MOD(ROW(), 2)=1</formula>
    </cfRule>
  </conditionalFormatting>
  <conditionalFormatting sqref="AN295">
    <cfRule type="expression" dxfId="575" priority="558">
      <formula>MOD(ROW(), 2)=1</formula>
    </cfRule>
  </conditionalFormatting>
  <conditionalFormatting sqref="H284">
    <cfRule type="expression" dxfId="574" priority="626">
      <formula>MOD(ROW(), 2)=1</formula>
    </cfRule>
  </conditionalFormatting>
  <conditionalFormatting sqref="L284">
    <cfRule type="expression" dxfId="573" priority="625">
      <formula>MOD(ROW(), 2)=1</formula>
    </cfRule>
  </conditionalFormatting>
  <conditionalFormatting sqref="I284:K284">
    <cfRule type="expression" dxfId="572" priority="624">
      <formula>MOD(ROW(), 2)=1</formula>
    </cfRule>
  </conditionalFormatting>
  <conditionalFormatting sqref="F298:G298 B298 P298 Z298:BA298 T298:X298 R298">
    <cfRule type="expression" dxfId="571" priority="621">
      <formula>MOD(ROW(), 2)=1</formula>
    </cfRule>
  </conditionalFormatting>
  <conditionalFormatting sqref="T298:U298">
    <cfRule type="expression" dxfId="570" priority="620">
      <formula>"$J5!=$K5"</formula>
    </cfRule>
  </conditionalFormatting>
  <conditionalFormatting sqref="E298">
    <cfRule type="expression" dxfId="569" priority="619">
      <formula>MOD(ROW(), 2)=1</formula>
    </cfRule>
  </conditionalFormatting>
  <conditionalFormatting sqref="D298">
    <cfRule type="expression" dxfId="568" priority="618">
      <formula>MOD(ROW(), 2)=1</formula>
    </cfRule>
  </conditionalFormatting>
  <conditionalFormatting sqref="C298">
    <cfRule type="expression" dxfId="567" priority="617">
      <formula>MOD(ROW(), 2)=1</formula>
    </cfRule>
  </conditionalFormatting>
  <conditionalFormatting sqref="A298">
    <cfRule type="expression" dxfId="566" priority="616">
      <formula>MOD(ROW(), 2)=1</formula>
    </cfRule>
  </conditionalFormatting>
  <conditionalFormatting sqref="O298">
    <cfRule type="expression" dxfId="565" priority="615">
      <formula>MOD(ROW(), 2)=1</formula>
    </cfRule>
  </conditionalFormatting>
  <conditionalFormatting sqref="H298:I298">
    <cfRule type="expression" dxfId="564" priority="614">
      <formula>MOD(ROW(), 2)=1</formula>
    </cfRule>
  </conditionalFormatting>
  <conditionalFormatting sqref="J298:K298">
    <cfRule type="expression" dxfId="563" priority="613">
      <formula>MOD(ROW(), 2)=1</formula>
    </cfRule>
  </conditionalFormatting>
  <conditionalFormatting sqref="L298">
    <cfRule type="expression" dxfId="562" priority="612">
      <formula>MOD(ROW(), 2)=1</formula>
    </cfRule>
  </conditionalFormatting>
  <conditionalFormatting sqref="A301:B301 BA301 AV301:AW301 O301:P301 F301:G301 T301:AS301 R301">
    <cfRule type="expression" dxfId="561" priority="610">
      <formula>MOD(ROW(), 2)=1</formula>
    </cfRule>
  </conditionalFormatting>
  <conditionalFormatting sqref="T301:U301">
    <cfRule type="expression" dxfId="560" priority="609">
      <formula>"$J5!=$K5"</formula>
    </cfRule>
  </conditionalFormatting>
  <conditionalFormatting sqref="E301">
    <cfRule type="expression" dxfId="559" priority="608">
      <formula>MOD(ROW(), 2)=1</formula>
    </cfRule>
  </conditionalFormatting>
  <conditionalFormatting sqref="D301">
    <cfRule type="expression" dxfId="558" priority="607">
      <formula>MOD(ROW(), 2)=1</formula>
    </cfRule>
  </conditionalFormatting>
  <conditionalFormatting sqref="C301">
    <cfRule type="expression" dxfId="557" priority="606">
      <formula>MOD(ROW(), 2)=1</formula>
    </cfRule>
  </conditionalFormatting>
  <conditionalFormatting sqref="AT301:AU301">
    <cfRule type="expression" dxfId="556" priority="604">
      <formula>MOD(ROW(), 2)=1</formula>
    </cfRule>
  </conditionalFormatting>
  <conditionalFormatting sqref="L301">
    <cfRule type="expression" dxfId="555" priority="603">
      <formula>MOD(ROW(), 2)=1</formula>
    </cfRule>
  </conditionalFormatting>
  <conditionalFormatting sqref="J301">
    <cfRule type="expression" dxfId="554" priority="602">
      <formula>MOD(ROW(), 2)=1</formula>
    </cfRule>
  </conditionalFormatting>
  <conditionalFormatting sqref="H301:I301">
    <cfRule type="expression" dxfId="553" priority="601">
      <formula>MOD(ROW(), 2)=1</formula>
    </cfRule>
  </conditionalFormatting>
  <conditionalFormatting sqref="K301">
    <cfRule type="expression" dxfId="552" priority="600">
      <formula>MOD(ROW(), 2)=1</formula>
    </cfRule>
  </conditionalFormatting>
  <conditionalFormatting sqref="AH264">
    <cfRule type="expression" dxfId="551" priority="528">
      <formula>MOD(ROW(), 2)=1</formula>
    </cfRule>
  </conditionalFormatting>
  <conditionalFormatting sqref="A304:B304 F304:H304 L304 O304:P304 Z304:BA304 R304 T304:X304">
    <cfRule type="expression" dxfId="550" priority="596">
      <formula>MOD(ROW(), 2)=1</formula>
    </cfRule>
  </conditionalFormatting>
  <conditionalFormatting sqref="T304:U304">
    <cfRule type="expression" dxfId="549" priority="595">
      <formula>"$J5!=$K5"</formula>
    </cfRule>
  </conditionalFormatting>
  <conditionalFormatting sqref="E304">
    <cfRule type="expression" dxfId="548" priority="594">
      <formula>MOD(ROW(), 2)=1</formula>
    </cfRule>
  </conditionalFormatting>
  <conditionalFormatting sqref="D304">
    <cfRule type="expression" dxfId="547" priority="593">
      <formula>MOD(ROW(), 2)=1</formula>
    </cfRule>
  </conditionalFormatting>
  <conditionalFormatting sqref="J304">
    <cfRule type="expression" dxfId="546" priority="591">
      <formula>MOD(ROW(), 2)=1</formula>
    </cfRule>
  </conditionalFormatting>
  <conditionalFormatting sqref="I304">
    <cfRule type="expression" dxfId="545" priority="590">
      <formula>MOD(ROW(), 2)=1</formula>
    </cfRule>
  </conditionalFormatting>
  <conditionalFormatting sqref="K304">
    <cfRule type="expression" dxfId="544" priority="589">
      <formula>MOD(ROW(), 2)=1</formula>
    </cfRule>
  </conditionalFormatting>
  <conditionalFormatting sqref="BB4:BB5 BB7:BB11 BB133 BB79:BB81 BB34:BB35 BB74 BB52:BB53 BB13:BB28 BB216 BB42:BB46 BB83:BB84 BB240 BB246:BB250 BB100:BB109 BB112:BB117 BB265:BB266 BB58:BB59 BB252:BB263">
    <cfRule type="expression" dxfId="543" priority="518">
      <formula>MOD(ROW(), 2)=1</formula>
    </cfRule>
  </conditionalFormatting>
  <conditionalFormatting sqref="B285 O285:P285 F285:G285 L285 I285 R285:AA285 AC285:BA285">
    <cfRule type="expression" dxfId="542" priority="585">
      <formula>MOD(ROW(), 2)=1</formula>
    </cfRule>
  </conditionalFormatting>
  <conditionalFormatting sqref="T285:U285">
    <cfRule type="expression" dxfId="541" priority="584">
      <formula>"$J5!=$K5"</formula>
    </cfRule>
  </conditionalFormatting>
  <conditionalFormatting sqref="E285">
    <cfRule type="expression" dxfId="540" priority="583">
      <formula>MOD(ROW(), 2)=1</formula>
    </cfRule>
  </conditionalFormatting>
  <conditionalFormatting sqref="D285">
    <cfRule type="expression" dxfId="539" priority="582">
      <formula>MOD(ROW(), 2)=1</formula>
    </cfRule>
  </conditionalFormatting>
  <conditionalFormatting sqref="C285">
    <cfRule type="expression" dxfId="538" priority="581">
      <formula>MOD(ROW(), 2)=1</formula>
    </cfRule>
  </conditionalFormatting>
  <conditionalFormatting sqref="J285">
    <cfRule type="expression" dxfId="537" priority="580">
      <formula>MOD(ROW(), 2)=1</formula>
    </cfRule>
  </conditionalFormatting>
  <conditionalFormatting sqref="K285">
    <cfRule type="expression" dxfId="536" priority="579">
      <formula>MOD(ROW(), 2)=1</formula>
    </cfRule>
  </conditionalFormatting>
  <conditionalFormatting sqref="BB140">
    <cfRule type="expression" dxfId="535" priority="509">
      <formula>MOD(ROW(), 2)=1</formula>
    </cfRule>
  </conditionalFormatting>
  <conditionalFormatting sqref="A285">
    <cfRule type="expression" dxfId="534" priority="577">
      <formula>MOD(ROW(), 2)=1</formula>
    </cfRule>
  </conditionalFormatting>
  <conditionalFormatting sqref="L294 F294:H295 AV295:AW295 BA295 O294:P295 AO295:AS295 B294:B295 Z295:AM295 Z294:BA294 T294:X295 R294:R295">
    <cfRule type="expression" dxfId="533" priority="574">
      <formula>MOD(ROW(), 2)=1</formula>
    </cfRule>
  </conditionalFormatting>
  <conditionalFormatting sqref="T294:U295">
    <cfRule type="expression" dxfId="532" priority="573">
      <formula>"$J5!=$K5"</formula>
    </cfRule>
  </conditionalFormatting>
  <conditionalFormatting sqref="E294:E295">
    <cfRule type="expression" dxfId="531" priority="572">
      <formula>MOD(ROW(), 2)=1</formula>
    </cfRule>
  </conditionalFormatting>
  <conditionalFormatting sqref="D294:D295">
    <cfRule type="expression" dxfId="530" priority="571">
      <formula>MOD(ROW(), 2)=1</formula>
    </cfRule>
  </conditionalFormatting>
  <conditionalFormatting sqref="C294:C295">
    <cfRule type="expression" dxfId="529" priority="570">
      <formula>MOD(ROW(), 2)=1</formula>
    </cfRule>
  </conditionalFormatting>
  <conditionalFormatting sqref="AT295:AU295">
    <cfRule type="expression" dxfId="528" priority="569">
      <formula>MOD(ROW(), 2)=1</formula>
    </cfRule>
  </conditionalFormatting>
  <conditionalFormatting sqref="AX295:AZ295">
    <cfRule type="expression" dxfId="527" priority="568">
      <formula>MOD(ROW(), 2)=1</formula>
    </cfRule>
  </conditionalFormatting>
  <conditionalFormatting sqref="J294">
    <cfRule type="expression" dxfId="526" priority="567">
      <formula>MOD(ROW(), 2)=1</formula>
    </cfRule>
  </conditionalFormatting>
  <conditionalFormatting sqref="K294">
    <cfRule type="expression" dxfId="525" priority="566">
      <formula>MOD(ROW(), 2)=1</formula>
    </cfRule>
  </conditionalFormatting>
  <conditionalFormatting sqref="BB149">
    <cfRule type="expression" dxfId="524" priority="496">
      <formula>MOD(ROW(), 2)=1</formula>
    </cfRule>
  </conditionalFormatting>
  <conditionalFormatting sqref="I295">
    <cfRule type="expression" dxfId="523" priority="562">
      <formula>MOD(ROW(), 2)=1</formula>
    </cfRule>
  </conditionalFormatting>
  <conditionalFormatting sqref="J295">
    <cfRule type="expression" dxfId="522" priority="561">
      <formula>MOD(ROW(), 2)=1</formula>
    </cfRule>
  </conditionalFormatting>
  <conditionalFormatting sqref="K295">
    <cfRule type="expression" dxfId="521" priority="560">
      <formula>MOD(ROW(), 2)=1</formula>
    </cfRule>
  </conditionalFormatting>
  <conditionalFormatting sqref="L295">
    <cfRule type="expression" dxfId="520" priority="557">
      <formula>MOD(ROW(), 2)=1</formula>
    </cfRule>
  </conditionalFormatting>
  <conditionalFormatting sqref="A294">
    <cfRule type="expression" dxfId="519" priority="556">
      <formula>MOD(ROW(), 2)=1</formula>
    </cfRule>
  </conditionalFormatting>
  <conditionalFormatting sqref="A295">
    <cfRule type="expression" dxfId="518" priority="555">
      <formula>MOD(ROW(), 2)=1</formula>
    </cfRule>
  </conditionalFormatting>
  <conditionalFormatting sqref="L307">
    <cfRule type="expression" dxfId="517" priority="554">
      <formula>MOD(ROW(), 2)=1</formula>
    </cfRule>
  </conditionalFormatting>
  <conditionalFormatting sqref="J307">
    <cfRule type="expression" dxfId="516" priority="553">
      <formula>MOD(ROW(), 2)=1</formula>
    </cfRule>
  </conditionalFormatting>
  <conditionalFormatting sqref="H307:I307">
    <cfRule type="expression" dxfId="515" priority="552">
      <formula>MOD(ROW(), 2)=1</formula>
    </cfRule>
  </conditionalFormatting>
  <conditionalFormatting sqref="K307">
    <cfRule type="expression" dxfId="514" priority="551">
      <formula>MOD(ROW(), 2)=1</formula>
    </cfRule>
  </conditionalFormatting>
  <conditionalFormatting sqref="N307">
    <cfRule type="expression" dxfId="513" priority="550">
      <formula>MOD(ROW(), 2)=1</formula>
    </cfRule>
  </conditionalFormatting>
  <conditionalFormatting sqref="A307">
    <cfRule type="expression" dxfId="512" priority="549">
      <formula>MOD(ROW(), 2)=1</formula>
    </cfRule>
  </conditionalFormatting>
  <conditionalFormatting sqref="X307">
    <cfRule type="expression" dxfId="511" priority="548">
      <formula>MOD(ROW(), 2)=1</formula>
    </cfRule>
  </conditionalFormatting>
  <conditionalFormatting sqref="J308">
    <cfRule type="expression" dxfId="510" priority="546">
      <formula>MOD(ROW(), 2)=1</formula>
    </cfRule>
  </conditionalFormatting>
  <conditionalFormatting sqref="H308:I308">
    <cfRule type="expression" dxfId="509" priority="545">
      <formula>MOD(ROW(), 2)=1</formula>
    </cfRule>
  </conditionalFormatting>
  <conditionalFormatting sqref="K308">
    <cfRule type="expression" dxfId="508" priority="544">
      <formula>MOD(ROW(), 2)=1</formula>
    </cfRule>
  </conditionalFormatting>
  <conditionalFormatting sqref="L308">
    <cfRule type="expression" dxfId="507" priority="543">
      <formula>MOD(ROW(), 2)=1</formula>
    </cfRule>
  </conditionalFormatting>
  <conditionalFormatting sqref="L310">
    <cfRule type="expression" dxfId="506" priority="542">
      <formula>MOD(ROW(), 2)=1</formula>
    </cfRule>
  </conditionalFormatting>
  <conditionalFormatting sqref="J310">
    <cfRule type="expression" dxfId="505" priority="541">
      <formula>MOD(ROW(), 2)=1</formula>
    </cfRule>
  </conditionalFormatting>
  <conditionalFormatting sqref="I310">
    <cfRule type="expression" dxfId="504" priority="540">
      <formula>MOD(ROW(), 2)=1</formula>
    </cfRule>
  </conditionalFormatting>
  <conditionalFormatting sqref="K310">
    <cfRule type="expression" dxfId="503" priority="539">
      <formula>MOD(ROW(), 2)=1</formula>
    </cfRule>
  </conditionalFormatting>
  <conditionalFormatting sqref="H310">
    <cfRule type="expression" dxfId="502" priority="538">
      <formula>MOD(ROW(), 2)=1</formula>
    </cfRule>
  </conditionalFormatting>
  <conditionalFormatting sqref="N308">
    <cfRule type="expression" dxfId="501" priority="537">
      <formula>MOD(ROW(), 2)=1</formula>
    </cfRule>
  </conditionalFormatting>
  <conditionalFormatting sqref="N310">
    <cfRule type="expression" dxfId="500" priority="536">
      <formula>MOD(ROW(), 2)=1</formula>
    </cfRule>
  </conditionalFormatting>
  <conditionalFormatting sqref="A308">
    <cfRule type="expression" dxfId="499" priority="535">
      <formula>MOD(ROW(), 2)=1</formula>
    </cfRule>
  </conditionalFormatting>
  <conditionalFormatting sqref="A310">
    <cfRule type="expression" dxfId="498" priority="534">
      <formula>MOD(ROW(), 2)=1</formula>
    </cfRule>
  </conditionalFormatting>
  <conditionalFormatting sqref="X310">
    <cfRule type="expression" dxfId="497" priority="533">
      <formula>MOD(ROW(), 2)=1</formula>
    </cfRule>
  </conditionalFormatting>
  <conditionalFormatting sqref="BB138">
    <cfRule type="expression" dxfId="496" priority="463">
      <formula>MOD(ROW(), 2)=1</formula>
    </cfRule>
  </conditionalFormatting>
  <conditionalFormatting sqref="BB135">
    <cfRule type="expression" dxfId="495" priority="462">
      <formula>MOD(ROW(), 2)=1</formula>
    </cfRule>
  </conditionalFormatting>
  <conditionalFormatting sqref="BB136">
    <cfRule type="expression" dxfId="494" priority="461">
      <formula>MOD(ROW(), 2)=1</formula>
    </cfRule>
  </conditionalFormatting>
  <conditionalFormatting sqref="L271">
    <cfRule type="expression" dxfId="493" priority="527">
      <formula>MOD(ROW(), 2)=1</formula>
    </cfRule>
  </conditionalFormatting>
  <conditionalFormatting sqref="I271:K271">
    <cfRule type="expression" dxfId="492" priority="526">
      <formula>MOD(ROW(), 2)=1</formula>
    </cfRule>
  </conditionalFormatting>
  <conditionalFormatting sqref="N268:N306">
    <cfRule type="expression" dxfId="491" priority="524">
      <formula>MOD(ROW(), 2)=1</formula>
    </cfRule>
  </conditionalFormatting>
  <conditionalFormatting sqref="M310">
    <cfRule type="expression" dxfId="490" priority="523">
      <formula>MOD(ROW(), 2)=1</formula>
    </cfRule>
  </conditionalFormatting>
  <conditionalFormatting sqref="K297">
    <cfRule type="expression" dxfId="489" priority="521">
      <formula>MOD(ROW(), 2)=1</formula>
    </cfRule>
  </conditionalFormatting>
  <conditionalFormatting sqref="BB187">
    <cfRule type="expression" dxfId="488" priority="451">
      <formula>MOD(ROW(), 2)=1</formula>
    </cfRule>
  </conditionalFormatting>
  <conditionalFormatting sqref="P24:P28">
    <cfRule type="expression" dxfId="487" priority="519">
      <formula>MOD(ROW(), 2)=1</formula>
    </cfRule>
  </conditionalFormatting>
  <conditionalFormatting sqref="BB12">
    <cfRule type="expression" dxfId="486" priority="517">
      <formula>MOD(ROW(), 2)=1</formula>
    </cfRule>
  </conditionalFormatting>
  <conditionalFormatting sqref="BB154">
    <cfRule type="expression" dxfId="485" priority="516">
      <formula>MOD(ROW(), 2)=1</formula>
    </cfRule>
  </conditionalFormatting>
  <conditionalFormatting sqref="BB6">
    <cfRule type="expression" dxfId="484" priority="515">
      <formula>MOD(ROW(), 2)=1</formula>
    </cfRule>
  </conditionalFormatting>
  <conditionalFormatting sqref="BB153">
    <cfRule type="expression" dxfId="483" priority="514">
      <formula>MOD(ROW(), 2)=1</formula>
    </cfRule>
  </conditionalFormatting>
  <conditionalFormatting sqref="BB160">
    <cfRule type="expression" dxfId="482" priority="513">
      <formula>MOD(ROW(), 2)=1</formula>
    </cfRule>
  </conditionalFormatting>
  <conditionalFormatting sqref="BB159">
    <cfRule type="expression" dxfId="481" priority="512">
      <formula>MOD(ROW(), 2)=1</formula>
    </cfRule>
  </conditionalFormatting>
  <conditionalFormatting sqref="BB162">
    <cfRule type="expression" dxfId="480" priority="511">
      <formula>MOD(ROW(), 2)=1</formula>
    </cfRule>
  </conditionalFormatting>
  <conditionalFormatting sqref="BB161">
    <cfRule type="expression" dxfId="479" priority="510">
      <formula>MOD(ROW(), 2)=1</formula>
    </cfRule>
  </conditionalFormatting>
  <conditionalFormatting sqref="BB145">
    <cfRule type="expression" dxfId="478" priority="507">
      <formula>MOD(ROW(), 2)=1</formula>
    </cfRule>
  </conditionalFormatting>
  <conditionalFormatting sqref="BB143">
    <cfRule type="expression" dxfId="477" priority="508">
      <formula>MOD(ROW(), 2)=1</formula>
    </cfRule>
  </conditionalFormatting>
  <conditionalFormatting sqref="BB146">
    <cfRule type="expression" dxfId="476" priority="506">
      <formula>MOD(ROW(), 2)=1</formula>
    </cfRule>
  </conditionalFormatting>
  <conditionalFormatting sqref="BB177:BB181">
    <cfRule type="expression" dxfId="475" priority="505">
      <formula>MOD(ROW(), 2)=1</formula>
    </cfRule>
  </conditionalFormatting>
  <conditionalFormatting sqref="BB127">
    <cfRule type="expression" dxfId="474" priority="504">
      <formula>MOD(ROW(), 2)=1</formula>
    </cfRule>
  </conditionalFormatting>
  <conditionalFormatting sqref="BB130">
    <cfRule type="expression" dxfId="473" priority="503">
      <formula>MOD(ROW(), 2)=1</formula>
    </cfRule>
  </conditionalFormatting>
  <conditionalFormatting sqref="BB131">
    <cfRule type="expression" dxfId="472" priority="502">
      <formula>MOD(ROW(), 2)=1</formula>
    </cfRule>
  </conditionalFormatting>
  <conditionalFormatting sqref="BB144">
    <cfRule type="expression" dxfId="471" priority="501">
      <formula>MOD(ROW(), 2)=1</formula>
    </cfRule>
  </conditionalFormatting>
  <conditionalFormatting sqref="BB147">
    <cfRule type="expression" dxfId="470" priority="500">
      <formula>MOD(ROW(), 2)=1</formula>
    </cfRule>
  </conditionalFormatting>
  <conditionalFormatting sqref="BB142">
    <cfRule type="expression" dxfId="469" priority="499">
      <formula>MOD(ROW(), 2)=1</formula>
    </cfRule>
  </conditionalFormatting>
  <conditionalFormatting sqref="BB132">
    <cfRule type="expression" dxfId="468" priority="498">
      <formula>MOD(ROW(), 2)=1</formula>
    </cfRule>
  </conditionalFormatting>
  <conditionalFormatting sqref="BB141">
    <cfRule type="expression" dxfId="467" priority="497">
      <formula>MOD(ROW(), 2)=1</formula>
    </cfRule>
  </conditionalFormatting>
  <conditionalFormatting sqref="BB151">
    <cfRule type="expression" dxfId="466" priority="495">
      <formula>MOD(ROW(), 2)=1</formula>
    </cfRule>
  </conditionalFormatting>
  <conditionalFormatting sqref="BB152">
    <cfRule type="expression" dxfId="465" priority="494">
      <formula>MOD(ROW(), 2)=1</formula>
    </cfRule>
  </conditionalFormatting>
  <conditionalFormatting sqref="BB164">
    <cfRule type="expression" dxfId="464" priority="493">
      <formula>MOD(ROW(), 2)=1</formula>
    </cfRule>
  </conditionalFormatting>
  <conditionalFormatting sqref="BB163">
    <cfRule type="expression" dxfId="463" priority="492">
      <formula>MOD(ROW(), 2)=1</formula>
    </cfRule>
  </conditionalFormatting>
  <conditionalFormatting sqref="BB167">
    <cfRule type="expression" dxfId="462" priority="491">
      <formula>MOD(ROW(), 2)=1</formula>
    </cfRule>
  </conditionalFormatting>
  <conditionalFormatting sqref="BB168">
    <cfRule type="expression" dxfId="461" priority="490">
      <formula>MOD(ROW(), 2)=1</formula>
    </cfRule>
  </conditionalFormatting>
  <conditionalFormatting sqref="BB169">
    <cfRule type="expression" dxfId="460" priority="489">
      <formula>MOD(ROW(), 2)=1</formula>
    </cfRule>
  </conditionalFormatting>
  <conditionalFormatting sqref="BB170">
    <cfRule type="expression" dxfId="459" priority="488">
      <formula>MOD(ROW(), 2)=1</formula>
    </cfRule>
  </conditionalFormatting>
  <conditionalFormatting sqref="BB128">
    <cfRule type="expression" dxfId="458" priority="487">
      <formula>MOD(ROW(), 2)=1</formula>
    </cfRule>
  </conditionalFormatting>
  <conditionalFormatting sqref="BB125">
    <cfRule type="expression" dxfId="457" priority="486">
      <formula>MOD(ROW(), 2)=1</formula>
    </cfRule>
  </conditionalFormatting>
  <conditionalFormatting sqref="BB126">
    <cfRule type="expression" dxfId="456" priority="485">
      <formula>MOD(ROW(), 2)=1</formula>
    </cfRule>
  </conditionalFormatting>
  <conditionalFormatting sqref="BB129">
    <cfRule type="expression" dxfId="455" priority="484">
      <formula>MOD(ROW(), 2)=1</formula>
    </cfRule>
  </conditionalFormatting>
  <conditionalFormatting sqref="BB171">
    <cfRule type="expression" dxfId="454" priority="483">
      <formula>MOD(ROW(), 2)=1</formula>
    </cfRule>
  </conditionalFormatting>
  <conditionalFormatting sqref="BB172">
    <cfRule type="expression" dxfId="453" priority="482">
      <formula>MOD(ROW(), 2)=1</formula>
    </cfRule>
  </conditionalFormatting>
  <conditionalFormatting sqref="BB173">
    <cfRule type="expression" dxfId="452" priority="481">
      <formula>MOD(ROW(), 2)=1</formula>
    </cfRule>
  </conditionalFormatting>
  <conditionalFormatting sqref="BB174">
    <cfRule type="expression" dxfId="451" priority="480">
      <formula>MOD(ROW(), 2)=1</formula>
    </cfRule>
  </conditionalFormatting>
  <conditionalFormatting sqref="BB175">
    <cfRule type="expression" dxfId="450" priority="479">
      <formula>MOD(ROW(), 2)=1</formula>
    </cfRule>
  </conditionalFormatting>
  <conditionalFormatting sqref="BB155">
    <cfRule type="expression" dxfId="449" priority="478">
      <formula>MOD(ROW(), 2)=1</formula>
    </cfRule>
  </conditionalFormatting>
  <conditionalFormatting sqref="BB156">
    <cfRule type="expression" dxfId="448" priority="477">
      <formula>MOD(ROW(), 2)=1</formula>
    </cfRule>
  </conditionalFormatting>
  <conditionalFormatting sqref="BB122">
    <cfRule type="expression" dxfId="447" priority="476">
      <formula>MOD(ROW(), 2)=1</formula>
    </cfRule>
  </conditionalFormatting>
  <conditionalFormatting sqref="BB123">
    <cfRule type="expression" dxfId="446" priority="475">
      <formula>MOD(ROW(), 2)=1</formula>
    </cfRule>
  </conditionalFormatting>
  <conditionalFormatting sqref="BB165">
    <cfRule type="expression" dxfId="445" priority="474">
      <formula>MOD(ROW(), 2)=1</formula>
    </cfRule>
  </conditionalFormatting>
  <conditionalFormatting sqref="BB166">
    <cfRule type="expression" dxfId="444" priority="473">
      <formula>MOD(ROW(), 2)=1</formula>
    </cfRule>
  </conditionalFormatting>
  <conditionalFormatting sqref="BB139">
    <cfRule type="expression" dxfId="443" priority="472">
      <formula>MOD(ROW(), 2)=1</formula>
    </cfRule>
  </conditionalFormatting>
  <conditionalFormatting sqref="BB176">
    <cfRule type="expression" dxfId="442" priority="471">
      <formula>MOD(ROW(), 2)=1</formula>
    </cfRule>
  </conditionalFormatting>
  <conditionalFormatting sqref="BB148">
    <cfRule type="expression" dxfId="441" priority="470">
      <formula>MOD(ROW(), 2)=1</formula>
    </cfRule>
  </conditionalFormatting>
  <conditionalFormatting sqref="BB157">
    <cfRule type="expression" dxfId="440" priority="469">
      <formula>MOD(ROW(), 2)=1</formula>
    </cfRule>
  </conditionalFormatting>
  <conditionalFormatting sqref="BB158">
    <cfRule type="expression" dxfId="439" priority="468">
      <formula>MOD(ROW(), 2)=1</formula>
    </cfRule>
  </conditionalFormatting>
  <conditionalFormatting sqref="BB150">
    <cfRule type="expression" dxfId="438" priority="467">
      <formula>MOD(ROW(), 2)=1</formula>
    </cfRule>
  </conditionalFormatting>
  <conditionalFormatting sqref="BB134">
    <cfRule type="expression" dxfId="437" priority="466">
      <formula>MOD(ROW(), 2)=1</formula>
    </cfRule>
  </conditionalFormatting>
  <conditionalFormatting sqref="BB124">
    <cfRule type="expression" dxfId="436" priority="465">
      <formula>MOD(ROW(), 2)=1</formula>
    </cfRule>
  </conditionalFormatting>
  <conditionalFormatting sqref="BB137">
    <cfRule type="expression" dxfId="435" priority="464">
      <formula>MOD(ROW(), 2)=1</formula>
    </cfRule>
  </conditionalFormatting>
  <conditionalFormatting sqref="BB186">
    <cfRule type="expression" dxfId="434" priority="460">
      <formula>MOD(ROW(), 2)=1</formula>
    </cfRule>
  </conditionalFormatting>
  <conditionalFormatting sqref="BB183">
    <cfRule type="expression" dxfId="433" priority="459">
      <formula>MOD(ROW(), 2)=1</formula>
    </cfRule>
  </conditionalFormatting>
  <conditionalFormatting sqref="BB182">
    <cfRule type="expression" dxfId="432" priority="458">
      <formula>MOD(ROW(), 2)=1</formula>
    </cfRule>
  </conditionalFormatting>
  <conditionalFormatting sqref="BB64:BB69">
    <cfRule type="expression" dxfId="431" priority="457">
      <formula>MOD(ROW(), 2)=1</formula>
    </cfRule>
  </conditionalFormatting>
  <conditionalFormatting sqref="BB76:BB77">
    <cfRule type="expression" dxfId="430" priority="456">
      <formula>MOD(ROW(), 2)=1</formula>
    </cfRule>
  </conditionalFormatting>
  <conditionalFormatting sqref="BB184">
    <cfRule type="expression" dxfId="429" priority="455">
      <formula>MOD(ROW(), 2)=1</formula>
    </cfRule>
  </conditionalFormatting>
  <conditionalFormatting sqref="BB29">
    <cfRule type="expression" dxfId="428" priority="454">
      <formula>MOD(ROW(), 2)=1</formula>
    </cfRule>
  </conditionalFormatting>
  <conditionalFormatting sqref="BB31">
    <cfRule type="expression" dxfId="427" priority="453">
      <formula>MOD(ROW(), 2)=1</formula>
    </cfRule>
  </conditionalFormatting>
  <conditionalFormatting sqref="BB185">
    <cfRule type="expression" dxfId="426" priority="452">
      <formula>MOD(ROW(), 2)=1</formula>
    </cfRule>
  </conditionalFormatting>
  <conditionalFormatting sqref="BB188">
    <cfRule type="expression" dxfId="425" priority="450">
      <formula>MOD(ROW(), 2)=1</formula>
    </cfRule>
  </conditionalFormatting>
  <conditionalFormatting sqref="BB189">
    <cfRule type="expression" dxfId="424" priority="449">
      <formula>MOD(ROW(), 2)=1</formula>
    </cfRule>
  </conditionalFormatting>
  <conditionalFormatting sqref="BB190">
    <cfRule type="expression" dxfId="423" priority="448">
      <formula>MOD(ROW(), 2)=1</formula>
    </cfRule>
  </conditionalFormatting>
  <conditionalFormatting sqref="BB195">
    <cfRule type="expression" dxfId="422" priority="447">
      <formula>MOD(ROW(), 2)=1</formula>
    </cfRule>
  </conditionalFormatting>
  <conditionalFormatting sqref="BB194">
    <cfRule type="expression" dxfId="421" priority="446">
      <formula>MOD(ROW(), 2)=1</formula>
    </cfRule>
  </conditionalFormatting>
  <conditionalFormatting sqref="BB198">
    <cfRule type="expression" dxfId="420" priority="445">
      <formula>MOD(ROW(), 2)=1</formula>
    </cfRule>
  </conditionalFormatting>
  <conditionalFormatting sqref="BB197">
    <cfRule type="expression" dxfId="419" priority="444">
      <formula>MOD(ROW(), 2)=1</formula>
    </cfRule>
  </conditionalFormatting>
  <conditionalFormatting sqref="BB199">
    <cfRule type="expression" dxfId="418" priority="443">
      <formula>MOD(ROW(), 2)=1</formula>
    </cfRule>
  </conditionalFormatting>
  <conditionalFormatting sqref="BB201">
    <cfRule type="expression" dxfId="417" priority="442">
      <formula>MOD(ROW(), 2)=1</formula>
    </cfRule>
  </conditionalFormatting>
  <conditionalFormatting sqref="BB200">
    <cfRule type="expression" dxfId="416" priority="441">
      <formula>MOD(ROW(), 2)=1</formula>
    </cfRule>
  </conditionalFormatting>
  <conditionalFormatting sqref="BB203">
    <cfRule type="expression" dxfId="415" priority="440">
      <formula>MOD(ROW(), 2)=1</formula>
    </cfRule>
  </conditionalFormatting>
  <conditionalFormatting sqref="BB204">
    <cfRule type="expression" dxfId="414" priority="439">
      <formula>MOD(ROW(), 2)=1</formula>
    </cfRule>
  </conditionalFormatting>
  <conditionalFormatting sqref="BB205">
    <cfRule type="expression" dxfId="413" priority="438">
      <formula>MOD(ROW(), 2)=1</formula>
    </cfRule>
  </conditionalFormatting>
  <conditionalFormatting sqref="BB192">
    <cfRule type="expression" dxfId="412" priority="437">
      <formula>MOD(ROW(), 2)=1</formula>
    </cfRule>
  </conditionalFormatting>
  <conditionalFormatting sqref="BB191">
    <cfRule type="expression" dxfId="411" priority="436">
      <formula>MOD(ROW(), 2)=1</formula>
    </cfRule>
  </conditionalFormatting>
  <conditionalFormatting sqref="BB193">
    <cfRule type="expression" dxfId="410" priority="435">
      <formula>MOD(ROW(), 2)=1</formula>
    </cfRule>
  </conditionalFormatting>
  <conditionalFormatting sqref="BB210">
    <cfRule type="expression" dxfId="409" priority="434">
      <formula>MOD(ROW(), 2)=1</formula>
    </cfRule>
  </conditionalFormatting>
  <conditionalFormatting sqref="BB208">
    <cfRule type="expression" dxfId="408" priority="433">
      <formula>MOD(ROW(), 2)=1</formula>
    </cfRule>
  </conditionalFormatting>
  <conditionalFormatting sqref="BB207">
    <cfRule type="expression" dxfId="407" priority="432">
      <formula>MOD(ROW(), 2)=1</formula>
    </cfRule>
  </conditionalFormatting>
  <conditionalFormatting sqref="BB206">
    <cfRule type="expression" dxfId="406" priority="431">
      <formula>MOD(ROW(), 2)=1</formula>
    </cfRule>
  </conditionalFormatting>
  <conditionalFormatting sqref="BB209">
    <cfRule type="expression" dxfId="405" priority="430">
      <formula>MOD(ROW(), 2)=1</formula>
    </cfRule>
  </conditionalFormatting>
  <conditionalFormatting sqref="BB30">
    <cfRule type="expression" dxfId="404" priority="429">
      <formula>MOD(ROW(), 2)=1</formula>
    </cfRule>
  </conditionalFormatting>
  <conditionalFormatting sqref="BB202">
    <cfRule type="expression" dxfId="403" priority="428">
      <formula>MOD(ROW(), 2)=1</formula>
    </cfRule>
  </conditionalFormatting>
  <conditionalFormatting sqref="BB32">
    <cfRule type="expression" dxfId="402" priority="427">
      <formula>MOD(ROW(), 2)=1</formula>
    </cfRule>
  </conditionalFormatting>
  <conditionalFormatting sqref="BB38">
    <cfRule type="expression" dxfId="401" priority="426">
      <formula>MOD(ROW(), 2)=1</formula>
    </cfRule>
  </conditionalFormatting>
  <conditionalFormatting sqref="BB36">
    <cfRule type="expression" dxfId="400" priority="425">
      <formula>MOD(ROW(), 2)=1</formula>
    </cfRule>
  </conditionalFormatting>
  <conditionalFormatting sqref="BB37">
    <cfRule type="expression" dxfId="399" priority="424">
      <formula>MOD(ROW(), 2)=1</formula>
    </cfRule>
  </conditionalFormatting>
  <conditionalFormatting sqref="BB41">
    <cfRule type="expression" dxfId="398" priority="423">
      <formula>MOD(ROW(), 2)=1</formula>
    </cfRule>
  </conditionalFormatting>
  <conditionalFormatting sqref="BB47">
    <cfRule type="expression" dxfId="397" priority="422">
      <formula>MOD(ROW(), 2)=1</formula>
    </cfRule>
  </conditionalFormatting>
  <conditionalFormatting sqref="BB50">
    <cfRule type="expression" dxfId="396" priority="421">
      <formula>MOD(ROW(), 2)=1</formula>
    </cfRule>
  </conditionalFormatting>
  <conditionalFormatting sqref="BB48">
    <cfRule type="expression" dxfId="395" priority="420">
      <formula>MOD(ROW(), 2)=1</formula>
    </cfRule>
  </conditionalFormatting>
  <conditionalFormatting sqref="BB49">
    <cfRule type="expression" dxfId="394" priority="419">
      <formula>MOD(ROW(), 2)=1</formula>
    </cfRule>
  </conditionalFormatting>
  <conditionalFormatting sqref="BB51">
    <cfRule type="expression" dxfId="393" priority="418">
      <formula>MOD(ROW(), 2)=1</formula>
    </cfRule>
  </conditionalFormatting>
  <conditionalFormatting sqref="BB111">
    <cfRule type="expression" dxfId="392" priority="417">
      <formula>MOD(ROW(), 2)=1</formula>
    </cfRule>
  </conditionalFormatting>
  <conditionalFormatting sqref="BB58">
    <cfRule type="expression" dxfId="391" priority="416">
      <formula>MOD(ROW(), 2)=1</formula>
    </cfRule>
  </conditionalFormatting>
  <conditionalFormatting sqref="BB110">
    <cfRule type="expression" dxfId="390" priority="415">
      <formula>MOD(ROW(), 2)=1</formula>
    </cfRule>
  </conditionalFormatting>
  <conditionalFormatting sqref="BB212">
    <cfRule type="expression" dxfId="389" priority="414">
      <formula>MOD(ROW(), 2)=1</formula>
    </cfRule>
  </conditionalFormatting>
  <conditionalFormatting sqref="BB213">
    <cfRule type="expression" dxfId="388" priority="413">
      <formula>MOD(ROW(), 2)=1</formula>
    </cfRule>
  </conditionalFormatting>
  <conditionalFormatting sqref="BB211">
    <cfRule type="expression" dxfId="387" priority="412">
      <formula>MOD(ROW(), 2)=1</formula>
    </cfRule>
  </conditionalFormatting>
  <conditionalFormatting sqref="BB215">
    <cfRule type="expression" dxfId="386" priority="411">
      <formula>MOD(ROW(), 2)=1</formula>
    </cfRule>
  </conditionalFormatting>
  <conditionalFormatting sqref="BB218">
    <cfRule type="expression" dxfId="385" priority="410">
      <formula>MOD(ROW(), 2)=1</formula>
    </cfRule>
  </conditionalFormatting>
  <conditionalFormatting sqref="BB217">
    <cfRule type="expression" dxfId="384" priority="409">
      <formula>MOD(ROW(), 2)=1</formula>
    </cfRule>
  </conditionalFormatting>
  <conditionalFormatting sqref="BB78">
    <cfRule type="expression" dxfId="383" priority="408">
      <formula>MOD(ROW(), 2)=1</formula>
    </cfRule>
  </conditionalFormatting>
  <conditionalFormatting sqref="BB33">
    <cfRule type="expression" dxfId="382" priority="407">
      <formula>MOD(ROW(), 2)=1</formula>
    </cfRule>
  </conditionalFormatting>
  <conditionalFormatting sqref="BB39">
    <cfRule type="expression" dxfId="381" priority="406">
      <formula>MOD(ROW(), 2)=1</formula>
    </cfRule>
  </conditionalFormatting>
  <conditionalFormatting sqref="BB40">
    <cfRule type="expression" dxfId="380" priority="405">
      <formula>MOD(ROW(), 2)=1</formula>
    </cfRule>
  </conditionalFormatting>
  <conditionalFormatting sqref="BB87">
    <cfRule type="expression" dxfId="379" priority="404">
      <formula>MOD(ROW(), 2)=1</formula>
    </cfRule>
  </conditionalFormatting>
  <conditionalFormatting sqref="BB88">
    <cfRule type="expression" dxfId="378" priority="403">
      <formula>MOD(ROW(), 2)=1</formula>
    </cfRule>
  </conditionalFormatting>
  <conditionalFormatting sqref="BB89">
    <cfRule type="expression" dxfId="377" priority="402">
      <formula>MOD(ROW(), 2)=1</formula>
    </cfRule>
  </conditionalFormatting>
  <conditionalFormatting sqref="BB90">
    <cfRule type="expression" dxfId="376" priority="401">
      <formula>MOD(ROW(), 2)=1</formula>
    </cfRule>
  </conditionalFormatting>
  <conditionalFormatting sqref="BB196">
    <cfRule type="expression" dxfId="375" priority="400">
      <formula>MOD(ROW(), 2)=1</formula>
    </cfRule>
  </conditionalFormatting>
  <conditionalFormatting sqref="BB91">
    <cfRule type="expression" dxfId="374" priority="399">
      <formula>MOD(ROW(), 2)=1</formula>
    </cfRule>
  </conditionalFormatting>
  <conditionalFormatting sqref="BB92">
    <cfRule type="expression" dxfId="373" priority="398">
      <formula>MOD(ROW(), 2)=1</formula>
    </cfRule>
  </conditionalFormatting>
  <conditionalFormatting sqref="BB82">
    <cfRule type="expression" dxfId="372" priority="397">
      <formula>MOD(ROW(), 2)=1</formula>
    </cfRule>
  </conditionalFormatting>
  <conditionalFormatting sqref="BB85">
    <cfRule type="expression" dxfId="371" priority="396">
      <formula>MOD(ROW(), 2)=1</formula>
    </cfRule>
  </conditionalFormatting>
  <conditionalFormatting sqref="BB86">
    <cfRule type="expression" dxfId="370" priority="395">
      <formula>MOD(ROW(), 2)=1</formula>
    </cfRule>
  </conditionalFormatting>
  <conditionalFormatting sqref="BB229:BB230 BB237 BB232">
    <cfRule type="expression" dxfId="369" priority="394">
      <formula>MOD(ROW(), 2)=1</formula>
    </cfRule>
  </conditionalFormatting>
  <conditionalFormatting sqref="BB235">
    <cfRule type="expression" dxfId="368" priority="393">
      <formula>MOD(ROW(), 2)=1</formula>
    </cfRule>
  </conditionalFormatting>
  <conditionalFormatting sqref="BB238">
    <cfRule type="expression" dxfId="367" priority="392">
      <formula>MOD(ROW(), 2)=1</formula>
    </cfRule>
  </conditionalFormatting>
  <conditionalFormatting sqref="BB233">
    <cfRule type="expression" dxfId="366" priority="391">
      <formula>MOD(ROW(), 2)=1</formula>
    </cfRule>
  </conditionalFormatting>
  <conditionalFormatting sqref="BB234">
    <cfRule type="expression" dxfId="365" priority="390">
      <formula>MOD(ROW(), 2)=1</formula>
    </cfRule>
  </conditionalFormatting>
  <conditionalFormatting sqref="BB239">
    <cfRule type="expression" dxfId="364" priority="389">
      <formula>MOD(ROW(), 2)=1</formula>
    </cfRule>
  </conditionalFormatting>
  <conditionalFormatting sqref="BB236">
    <cfRule type="expression" dxfId="363" priority="388">
      <formula>MOD(ROW(), 2)=1</formula>
    </cfRule>
  </conditionalFormatting>
  <conditionalFormatting sqref="BB231">
    <cfRule type="expression" dxfId="362" priority="387">
      <formula>MOD(ROW(), 2)=1</formula>
    </cfRule>
  </conditionalFormatting>
  <conditionalFormatting sqref="BB243">
    <cfRule type="expression" dxfId="361" priority="386">
      <formula>MOD(ROW(), 2)=1</formula>
    </cfRule>
  </conditionalFormatting>
  <conditionalFormatting sqref="BB93">
    <cfRule type="expression" dxfId="360" priority="385">
      <formula>MOD(ROW(), 2)=1</formula>
    </cfRule>
  </conditionalFormatting>
  <conditionalFormatting sqref="BB60">
    <cfRule type="expression" dxfId="359" priority="384">
      <formula>MOD(ROW(), 2)=1</formula>
    </cfRule>
  </conditionalFormatting>
  <conditionalFormatting sqref="BB244">
    <cfRule type="expression" dxfId="358" priority="383">
      <formula>MOD(ROW(), 2)=1</formula>
    </cfRule>
  </conditionalFormatting>
  <conditionalFormatting sqref="BB94">
    <cfRule type="expression" dxfId="357" priority="382">
      <formula>MOD(ROW(), 2)=1</formula>
    </cfRule>
  </conditionalFormatting>
  <conditionalFormatting sqref="BB61">
    <cfRule type="expression" dxfId="356" priority="381">
      <formula>MOD(ROW(), 2)=1</formula>
    </cfRule>
  </conditionalFormatting>
  <conditionalFormatting sqref="BB96">
    <cfRule type="expression" dxfId="355" priority="380">
      <formula>MOD(ROW(), 2)=1</formula>
    </cfRule>
  </conditionalFormatting>
  <conditionalFormatting sqref="BB95">
    <cfRule type="expression" dxfId="354" priority="379">
      <formula>MOD(ROW(), 2)=1</formula>
    </cfRule>
  </conditionalFormatting>
  <conditionalFormatting sqref="BB62">
    <cfRule type="expression" dxfId="353" priority="378">
      <formula>MOD(ROW(), 2)=1</formula>
    </cfRule>
  </conditionalFormatting>
  <conditionalFormatting sqref="BB241">
    <cfRule type="expression" dxfId="352" priority="377">
      <formula>MOD(ROW(), 2)=1</formula>
    </cfRule>
  </conditionalFormatting>
  <conditionalFormatting sqref="BB245">
    <cfRule type="expression" dxfId="351" priority="376">
      <formula>MOD(ROW(), 2)=1</formula>
    </cfRule>
  </conditionalFormatting>
  <conditionalFormatting sqref="BB242">
    <cfRule type="expression" dxfId="350" priority="375">
      <formula>MOD(ROW(), 2)=1</formula>
    </cfRule>
  </conditionalFormatting>
  <conditionalFormatting sqref="BB214">
    <cfRule type="expression" dxfId="349" priority="374">
      <formula>MOD(ROW(), 2)=1</formula>
    </cfRule>
  </conditionalFormatting>
  <conditionalFormatting sqref="BB63">
    <cfRule type="expression" dxfId="348" priority="373">
      <formula>MOD(ROW(), 2)=1</formula>
    </cfRule>
  </conditionalFormatting>
  <conditionalFormatting sqref="BB56">
    <cfRule type="expression" dxfId="347" priority="372">
      <formula>MOD(ROW(), 2)=1</formula>
    </cfRule>
  </conditionalFormatting>
  <conditionalFormatting sqref="BB57">
    <cfRule type="expression" dxfId="346" priority="371">
      <formula>MOD(ROW(), 2)=1</formula>
    </cfRule>
  </conditionalFormatting>
  <conditionalFormatting sqref="BB57">
    <cfRule type="expression" dxfId="345" priority="370">
      <formula>MOD(ROW(), 2)=1</formula>
    </cfRule>
  </conditionalFormatting>
  <conditionalFormatting sqref="BB55">
    <cfRule type="expression" dxfId="344" priority="369">
      <formula>MOD(ROW(), 2)=1</formula>
    </cfRule>
  </conditionalFormatting>
  <conditionalFormatting sqref="BB54">
    <cfRule type="expression" dxfId="343" priority="368">
      <formula>MOD(ROW(), 2)=1</formula>
    </cfRule>
  </conditionalFormatting>
  <conditionalFormatting sqref="BB70">
    <cfRule type="expression" dxfId="342" priority="367">
      <formula>MOD(ROW(), 2)=1</formula>
    </cfRule>
  </conditionalFormatting>
  <conditionalFormatting sqref="BB71">
    <cfRule type="expression" dxfId="341" priority="366">
      <formula>MOD(ROW(), 2)=1</formula>
    </cfRule>
  </conditionalFormatting>
  <conditionalFormatting sqref="BB72">
    <cfRule type="expression" dxfId="340" priority="365">
      <formula>MOD(ROW(), 2)=1</formula>
    </cfRule>
  </conditionalFormatting>
  <conditionalFormatting sqref="BB73">
    <cfRule type="expression" dxfId="339" priority="364">
      <formula>MOD(ROW(), 2)=1</formula>
    </cfRule>
  </conditionalFormatting>
  <conditionalFormatting sqref="BB75">
    <cfRule type="expression" dxfId="338" priority="363">
      <formula>MOD(ROW(), 2)=1</formula>
    </cfRule>
  </conditionalFormatting>
  <conditionalFormatting sqref="BB97">
    <cfRule type="expression" dxfId="337" priority="362">
      <formula>MOD(ROW(), 2)=1</formula>
    </cfRule>
  </conditionalFormatting>
  <conditionalFormatting sqref="BB98">
    <cfRule type="expression" dxfId="336" priority="361">
      <formula>MOD(ROW(), 2)=1</formula>
    </cfRule>
  </conditionalFormatting>
  <conditionalFormatting sqref="BB99">
    <cfRule type="expression" dxfId="335" priority="360">
      <formula>MOD(ROW(), 2)=1</formula>
    </cfRule>
  </conditionalFormatting>
  <conditionalFormatting sqref="BB118">
    <cfRule type="expression" dxfId="334" priority="359">
      <formula>MOD(ROW(), 2)=1</formula>
    </cfRule>
  </conditionalFormatting>
  <conditionalFormatting sqref="BB119">
    <cfRule type="expression" dxfId="333" priority="358">
      <formula>MOD(ROW(), 2)=1</formula>
    </cfRule>
  </conditionalFormatting>
  <conditionalFormatting sqref="BB120">
    <cfRule type="expression" dxfId="332" priority="357">
      <formula>MOD(ROW(), 2)=1</formula>
    </cfRule>
  </conditionalFormatting>
  <conditionalFormatting sqref="BB121">
    <cfRule type="expression" dxfId="331" priority="356">
      <formula>MOD(ROW(), 2)=1</formula>
    </cfRule>
  </conditionalFormatting>
  <conditionalFormatting sqref="BB228">
    <cfRule type="expression" dxfId="330" priority="355">
      <formula>MOD(ROW(), 2)=1</formula>
    </cfRule>
  </conditionalFormatting>
  <conditionalFormatting sqref="BB251">
    <cfRule type="expression" dxfId="329" priority="354">
      <formula>MOD(ROW(), 2)=1</formula>
    </cfRule>
  </conditionalFormatting>
  <conditionalFormatting sqref="BB264">
    <cfRule type="expression" dxfId="328" priority="353">
      <formula>MOD(ROW(), 2)=1</formula>
    </cfRule>
  </conditionalFormatting>
  <conditionalFormatting sqref="BB221:BB222">
    <cfRule type="expression" dxfId="327" priority="352">
      <formula>MOD(ROW(), 2)=1</formula>
    </cfRule>
  </conditionalFormatting>
  <conditionalFormatting sqref="BB219">
    <cfRule type="expression" dxfId="326" priority="351">
      <formula>MOD(ROW(), 2)=1</formula>
    </cfRule>
  </conditionalFormatting>
  <conditionalFormatting sqref="BB220">
    <cfRule type="expression" dxfId="325" priority="350">
      <formula>MOD(ROW(), 2)=1</formula>
    </cfRule>
  </conditionalFormatting>
  <conditionalFormatting sqref="BB223:BB225">
    <cfRule type="expression" dxfId="324" priority="349">
      <formula>MOD(ROW(), 2)=1</formula>
    </cfRule>
  </conditionalFormatting>
  <conditionalFormatting sqref="BB226">
    <cfRule type="expression" dxfId="323" priority="348">
      <formula>MOD(ROW(), 2)=1</formula>
    </cfRule>
  </conditionalFormatting>
  <conditionalFormatting sqref="BB227">
    <cfRule type="expression" dxfId="322" priority="347">
      <formula>MOD(ROW(), 2)=1</formula>
    </cfRule>
  </conditionalFormatting>
  <conditionalFormatting sqref="BB305:BB306 BB290:BB293 BB274:BB278 BB280:BB284 BB286:BB288 BB296 BB268:BB271">
    <cfRule type="expression" dxfId="321" priority="346">
      <formula>MOD(ROW(), 2)=1</formula>
    </cfRule>
  </conditionalFormatting>
  <conditionalFormatting sqref="BB320 BB322 BB313:BB314 BB311">
    <cfRule type="expression" dxfId="320" priority="345">
      <formula>MOD(ROW(), 2)=1</formula>
    </cfRule>
  </conditionalFormatting>
  <conditionalFormatting sqref="BB297">
    <cfRule type="expression" dxfId="319" priority="344">
      <formula>MOD(ROW(), 2)=1</formula>
    </cfRule>
  </conditionalFormatting>
  <conditionalFormatting sqref="BB300">
    <cfRule type="expression" dxfId="318" priority="343">
      <formula>MOD(ROW(), 2)=1</formula>
    </cfRule>
  </conditionalFormatting>
  <conditionalFormatting sqref="BB316">
    <cfRule type="expression" dxfId="317" priority="340">
      <formula>MOD(ROW(), 2)=1</formula>
    </cfRule>
  </conditionalFormatting>
  <conditionalFormatting sqref="BB315">
    <cfRule type="expression" dxfId="316" priority="342">
      <formula>MOD(ROW(), 2)=1</formula>
    </cfRule>
  </conditionalFormatting>
  <conditionalFormatting sqref="BB319">
    <cfRule type="expression" dxfId="315" priority="341">
      <formula>MOD(ROW(), 2)=1</formula>
    </cfRule>
  </conditionalFormatting>
  <conditionalFormatting sqref="BB321">
    <cfRule type="expression" dxfId="314" priority="339">
      <formula>MOD(ROW(), 2)=1</formula>
    </cfRule>
  </conditionalFormatting>
  <conditionalFormatting sqref="BB302">
    <cfRule type="expression" dxfId="313" priority="338">
      <formula>MOD(ROW(), 2)=1</formula>
    </cfRule>
  </conditionalFormatting>
  <conditionalFormatting sqref="BB303">
    <cfRule type="expression" dxfId="312" priority="337">
      <formula>MOD(ROW(), 2)=1</formula>
    </cfRule>
  </conditionalFormatting>
  <conditionalFormatting sqref="BB317">
    <cfRule type="expression" dxfId="311" priority="336">
      <formula>MOD(ROW(), 2)=1</formula>
    </cfRule>
  </conditionalFormatting>
  <conditionalFormatting sqref="BB312">
    <cfRule type="expression" dxfId="310" priority="335">
      <formula>MOD(ROW(), 2)=1</formula>
    </cfRule>
  </conditionalFormatting>
  <conditionalFormatting sqref="BB318">
    <cfRule type="expression" dxfId="309" priority="334">
      <formula>MOD(ROW(), 2)=1</formula>
    </cfRule>
  </conditionalFormatting>
  <conditionalFormatting sqref="BB279">
    <cfRule type="expression" dxfId="308" priority="333">
      <formula>MOD(ROW(), 2)=1</formula>
    </cfRule>
  </conditionalFormatting>
  <conditionalFormatting sqref="BB289">
    <cfRule type="expression" dxfId="307" priority="332">
      <formula>MOD(ROW(), 2)=1</formula>
    </cfRule>
  </conditionalFormatting>
  <conditionalFormatting sqref="BB272:BB273">
    <cfRule type="expression" dxfId="306" priority="331">
      <formula>MOD(ROW(), 2)=1</formula>
    </cfRule>
  </conditionalFormatting>
  <conditionalFormatting sqref="BB299">
    <cfRule type="expression" dxfId="305" priority="330">
      <formula>MOD(ROW(), 2)=1</formula>
    </cfRule>
  </conditionalFormatting>
  <conditionalFormatting sqref="BB309">
    <cfRule type="expression" dxfId="304" priority="329">
      <formula>MOD(ROW(), 2)=1</formula>
    </cfRule>
  </conditionalFormatting>
  <conditionalFormatting sqref="BB267">
    <cfRule type="expression" dxfId="303" priority="328">
      <formula>MOD(ROW(), 2)=1</formula>
    </cfRule>
  </conditionalFormatting>
  <conditionalFormatting sqref="BB298">
    <cfRule type="expression" dxfId="302" priority="327">
      <formula>MOD(ROW(), 2)=1</formula>
    </cfRule>
  </conditionalFormatting>
  <conditionalFormatting sqref="BB301">
    <cfRule type="expression" dxfId="301" priority="326">
      <formula>MOD(ROW(), 2)=1</formula>
    </cfRule>
  </conditionalFormatting>
  <conditionalFormatting sqref="BB304">
    <cfRule type="expression" dxfId="300" priority="325">
      <formula>MOD(ROW(), 2)=1</formula>
    </cfRule>
  </conditionalFormatting>
  <conditionalFormatting sqref="BB285">
    <cfRule type="expression" dxfId="299" priority="324">
      <formula>MOD(ROW(), 2)=1</formula>
    </cfRule>
  </conditionalFormatting>
  <conditionalFormatting sqref="BB294">
    <cfRule type="expression" dxfId="298" priority="323">
      <formula>MOD(ROW(), 2)=1</formula>
    </cfRule>
  </conditionalFormatting>
  <conditionalFormatting sqref="BB295">
    <cfRule type="expression" dxfId="297" priority="322">
      <formula>MOD(ROW(), 2)=1</formula>
    </cfRule>
  </conditionalFormatting>
  <conditionalFormatting sqref="BB307">
    <cfRule type="expression" dxfId="296" priority="321">
      <formula>MOD(ROW(), 2)=1</formula>
    </cfRule>
  </conditionalFormatting>
  <conditionalFormatting sqref="BB308">
    <cfRule type="expression" dxfId="295" priority="320">
      <formula>MOD(ROW(), 2)=1</formula>
    </cfRule>
  </conditionalFormatting>
  <conditionalFormatting sqref="BB310">
    <cfRule type="expression" dxfId="294" priority="319">
      <formula>MOD(ROW(), 2)=1</formula>
    </cfRule>
  </conditionalFormatting>
  <conditionalFormatting sqref="AX317:AZ317">
    <cfRule type="expression" dxfId="293" priority="318">
      <formula>MOD(ROW(), 2)=1</formula>
    </cfRule>
  </conditionalFormatting>
  <conditionalFormatting sqref="BA244">
    <cfRule type="expression" dxfId="292" priority="317">
      <formula>MOD(ROW(), 2)=1</formula>
    </cfRule>
  </conditionalFormatting>
  <conditionalFormatting sqref="BA245">
    <cfRule type="expression" dxfId="291" priority="316">
      <formula>MOD(ROW(), 2)=1</formula>
    </cfRule>
  </conditionalFormatting>
  <conditionalFormatting sqref="BA246:BA255">
    <cfRule type="expression" dxfId="290" priority="315">
      <formula>MOD(ROW(), 2)=1</formula>
    </cfRule>
  </conditionalFormatting>
  <conditionalFormatting sqref="BA256">
    <cfRule type="expression" dxfId="289" priority="314">
      <formula>MOD(ROW(), 2)=1</formula>
    </cfRule>
  </conditionalFormatting>
  <conditionalFormatting sqref="AP244:AR244">
    <cfRule type="expression" dxfId="288" priority="313">
      <formula>MOD(ROW(), 2)=1</formula>
    </cfRule>
  </conditionalFormatting>
  <conditionalFormatting sqref="AS244">
    <cfRule type="expression" dxfId="287" priority="312">
      <formula>MOD(ROW(), 2)=1</formula>
    </cfRule>
  </conditionalFormatting>
  <conditionalFormatting sqref="AP245:AS245">
    <cfRule type="expression" dxfId="286" priority="311">
      <formula>MOD(ROW(), 2)=1</formula>
    </cfRule>
  </conditionalFormatting>
  <conditionalFormatting sqref="AP246:AS254">
    <cfRule type="expression" dxfId="285" priority="310">
      <formula>MOD(ROW(), 2)=1</formula>
    </cfRule>
  </conditionalFormatting>
  <conditionalFormatting sqref="AT247:AU247">
    <cfRule type="expression" dxfId="284" priority="309">
      <formula>MOD(ROW(), 2)=1</formula>
    </cfRule>
  </conditionalFormatting>
  <conditionalFormatting sqref="W245 Y244">
    <cfRule type="expression" dxfId="283" priority="308">
      <formula>MOD(ROW(), 2)=1</formula>
    </cfRule>
  </conditionalFormatting>
  <conditionalFormatting sqref="W244">
    <cfRule type="expression" dxfId="282" priority="305">
      <formula>MOD(ROW(), 2)=1</formula>
    </cfRule>
  </conditionalFormatting>
  <conditionalFormatting sqref="Z244:AM244">
    <cfRule type="expression" dxfId="281" priority="304">
      <formula>MOD(ROW(), 2)=1</formula>
    </cfRule>
  </conditionalFormatting>
  <conditionalFormatting sqref="Y245:AC245">
    <cfRule type="expression" dxfId="280" priority="303">
      <formula>MOD(ROW(), 2)=1</formula>
    </cfRule>
  </conditionalFormatting>
  <conditionalFormatting sqref="AL245">
    <cfRule type="expression" dxfId="279" priority="302">
      <formula>MOD(ROW(), 2)=1</formula>
    </cfRule>
  </conditionalFormatting>
  <conditionalFormatting sqref="AM245">
    <cfRule type="expression" dxfId="278" priority="301">
      <formula>MOD(ROW(), 2)=1</formula>
    </cfRule>
  </conditionalFormatting>
  <conditionalFormatting sqref="AD245:AG245 AI245:AK245">
    <cfRule type="expression" dxfId="277" priority="300">
      <formula>MOD(ROW(), 2)=1</formula>
    </cfRule>
  </conditionalFormatting>
  <conditionalFormatting sqref="AH245">
    <cfRule type="expression" dxfId="276" priority="299">
      <formula>MOD(ROW(), 2)=1</formula>
    </cfRule>
  </conditionalFormatting>
  <conditionalFormatting sqref="W249:AM250 W251:W254 Y246:Y247 AC247 AG247 Y251:AM254 W255:AM255 W246:W248 Y248:AM248">
    <cfRule type="expression" dxfId="275" priority="298">
      <formula>MOD(ROW(), 2)=1</formula>
    </cfRule>
  </conditionalFormatting>
  <conditionalFormatting sqref="W251">
    <cfRule type="expression" dxfId="274" priority="297">
      <formula>MOD(ROW(), 2)=1</formula>
    </cfRule>
  </conditionalFormatting>
  <conditionalFormatting sqref="X246">
    <cfRule type="expression" dxfId="273" priority="296">
      <formula>MOD(ROW(), 2)=1</formula>
    </cfRule>
  </conditionalFormatting>
  <conditionalFormatting sqref="X252:X254">
    <cfRule type="expression" dxfId="272" priority="294">
      <formula>MOD(ROW(), 2)=1</formula>
    </cfRule>
  </conditionalFormatting>
  <conditionalFormatting sqref="Z246:AC246">
    <cfRule type="expression" dxfId="271" priority="293">
      <formula>MOD(ROW(), 2)=1</formula>
    </cfRule>
  </conditionalFormatting>
  <conditionalFormatting sqref="AL246">
    <cfRule type="expression" dxfId="270" priority="292">
      <formula>MOD(ROW(), 2)=1</formula>
    </cfRule>
  </conditionalFormatting>
  <conditionalFormatting sqref="AM246">
    <cfRule type="expression" dxfId="269" priority="291">
      <formula>MOD(ROW(), 2)=1</formula>
    </cfRule>
  </conditionalFormatting>
  <conditionalFormatting sqref="AD246:AG246 AI246:AK246">
    <cfRule type="expression" dxfId="268" priority="290">
      <formula>MOD(ROW(), 2)=1</formula>
    </cfRule>
  </conditionalFormatting>
  <conditionalFormatting sqref="AH246">
    <cfRule type="expression" dxfId="267" priority="289">
      <formula>MOD(ROW(), 2)=1</formula>
    </cfRule>
  </conditionalFormatting>
  <conditionalFormatting sqref="Z247:AB247">
    <cfRule type="expression" dxfId="266" priority="288">
      <formula>MOD(ROW(), 2)=1</formula>
    </cfRule>
  </conditionalFormatting>
  <conditionalFormatting sqref="AD247:AF247">
    <cfRule type="expression" dxfId="265" priority="287">
      <formula>MOD(ROW(), 2)=1</formula>
    </cfRule>
  </conditionalFormatting>
  <conditionalFormatting sqref="AL247">
    <cfRule type="expression" dxfId="264" priority="286">
      <formula>MOD(ROW(), 2)=1</formula>
    </cfRule>
  </conditionalFormatting>
  <conditionalFormatting sqref="AM247">
    <cfRule type="expression" dxfId="263" priority="285">
      <formula>MOD(ROW(), 2)=1</formula>
    </cfRule>
  </conditionalFormatting>
  <conditionalFormatting sqref="AI247:AK247">
    <cfRule type="expression" dxfId="262" priority="284">
      <formula>MOD(ROW(), 2)=1</formula>
    </cfRule>
  </conditionalFormatting>
  <conditionalFormatting sqref="AH247">
    <cfRule type="expression" dxfId="261" priority="283">
      <formula>MOD(ROW(), 2)=1</formula>
    </cfRule>
  </conditionalFormatting>
  <conditionalFormatting sqref="X251">
    <cfRule type="expression" dxfId="260" priority="282">
      <formula>MOD(ROW(), 2)=1</formula>
    </cfRule>
  </conditionalFormatting>
  <conditionalFormatting sqref="I249:K254">
    <cfRule type="expression" dxfId="259" priority="275">
      <formula>MOD(ROW(), 2)=1</formula>
    </cfRule>
  </conditionalFormatting>
  <conditionalFormatting sqref="I244">
    <cfRule type="expression" dxfId="258" priority="274">
      <formula>MOD(ROW(), 2)=1</formula>
    </cfRule>
  </conditionalFormatting>
  <conditionalFormatting sqref="I245">
    <cfRule type="expression" dxfId="257" priority="273">
      <formula>MOD(ROW(), 2)=1</formula>
    </cfRule>
  </conditionalFormatting>
  <conditionalFormatting sqref="I246">
    <cfRule type="expression" dxfId="256" priority="272">
      <formula>MOD(ROW(), 2)=1</formula>
    </cfRule>
  </conditionalFormatting>
  <conditionalFormatting sqref="I247">
    <cfRule type="expression" dxfId="255" priority="271">
      <formula>MOD(ROW(), 2)=1</formula>
    </cfRule>
  </conditionalFormatting>
  <conditionalFormatting sqref="I248">
    <cfRule type="expression" dxfId="254" priority="270">
      <formula>MOD(ROW(), 2)=1</formula>
    </cfRule>
  </conditionalFormatting>
  <conditionalFormatting sqref="J244">
    <cfRule type="expression" dxfId="253" priority="269">
      <formula>MOD(ROW(), 2)=1</formula>
    </cfRule>
  </conditionalFormatting>
  <conditionalFormatting sqref="J245">
    <cfRule type="expression" dxfId="252" priority="268">
      <formula>MOD(ROW(), 2)=1</formula>
    </cfRule>
  </conditionalFormatting>
  <conditionalFormatting sqref="J246">
    <cfRule type="expression" dxfId="251" priority="267">
      <formula>MOD(ROW(), 2)=1</formula>
    </cfRule>
  </conditionalFormatting>
  <conditionalFormatting sqref="J247">
    <cfRule type="expression" dxfId="250" priority="266">
      <formula>MOD(ROW(), 2)=1</formula>
    </cfRule>
  </conditionalFormatting>
  <conditionalFormatting sqref="J248">
    <cfRule type="expression" dxfId="249" priority="265">
      <formula>MOD(ROW(), 2)=1</formula>
    </cfRule>
  </conditionalFormatting>
  <conditionalFormatting sqref="K244">
    <cfRule type="expression" dxfId="248" priority="264">
      <formula>MOD(ROW(), 2)=1</formula>
    </cfRule>
  </conditionalFormatting>
  <conditionalFormatting sqref="K245">
    <cfRule type="expression" dxfId="247" priority="263">
      <formula>MOD(ROW(), 2)=1</formula>
    </cfRule>
  </conditionalFormatting>
  <conditionalFormatting sqref="K246">
    <cfRule type="expression" dxfId="246" priority="262">
      <formula>MOD(ROW(), 2)=1</formula>
    </cfRule>
  </conditionalFormatting>
  <conditionalFormatting sqref="K247">
    <cfRule type="expression" dxfId="245" priority="261">
      <formula>MOD(ROW(), 2)=1</formula>
    </cfRule>
  </conditionalFormatting>
  <conditionalFormatting sqref="K248">
    <cfRule type="expression" dxfId="244" priority="260">
      <formula>MOD(ROW(), 2)=1</formula>
    </cfRule>
  </conditionalFormatting>
  <conditionalFormatting sqref="H244:H254">
    <cfRule type="expression" dxfId="243" priority="259">
      <formula>MOD(ROW(), 2)=1</formula>
    </cfRule>
  </conditionalFormatting>
  <conditionalFormatting sqref="H255:H257">
    <cfRule type="expression" dxfId="242" priority="258">
      <formula>MOD(ROW(), 2)=1</formula>
    </cfRule>
  </conditionalFormatting>
  <conditionalFormatting sqref="I257:K257">
    <cfRule type="expression" dxfId="241" priority="257">
      <formula>MOD(ROW(), 2)=1</formula>
    </cfRule>
  </conditionalFormatting>
  <conditionalFormatting sqref="I255:K255">
    <cfRule type="expression" dxfId="240" priority="256">
      <formula>MOD(ROW(), 2)=1</formula>
    </cfRule>
  </conditionalFormatting>
  <conditionalFormatting sqref="I256:K256">
    <cfRule type="expression" dxfId="239" priority="255">
      <formula>MOD(ROW(), 2)=1</formula>
    </cfRule>
  </conditionalFormatting>
  <conditionalFormatting sqref="M244:M257">
    <cfRule type="expression" dxfId="238" priority="254">
      <formula>MOD(ROW(), 2)=1</formula>
    </cfRule>
  </conditionalFormatting>
  <conditionalFormatting sqref="T244:T252 T254">
    <cfRule type="expression" dxfId="237" priority="253">
      <formula>MOD(ROW(), 2)=1</formula>
    </cfRule>
  </conditionalFormatting>
  <conditionalFormatting sqref="T244:T252 T254">
    <cfRule type="expression" dxfId="236" priority="252">
      <formula>"$J5!=$K5"</formula>
    </cfRule>
  </conditionalFormatting>
  <conditionalFormatting sqref="T256:T257">
    <cfRule type="expression" dxfId="235" priority="251">
      <formula>MOD(ROW(), 2)=1</formula>
    </cfRule>
  </conditionalFormatting>
  <conditionalFormatting sqref="T256:T257">
    <cfRule type="expression" dxfId="234" priority="250">
      <formula>"$J5!=$K5"</formula>
    </cfRule>
  </conditionalFormatting>
  <conditionalFormatting sqref="T253">
    <cfRule type="expression" dxfId="233" priority="249">
      <formula>MOD(ROW(), 2)=1</formula>
    </cfRule>
  </conditionalFormatting>
  <conditionalFormatting sqref="T253">
    <cfRule type="expression" dxfId="232" priority="248">
      <formula>"$J5!=$K5"</formula>
    </cfRule>
  </conditionalFormatting>
  <conditionalFormatting sqref="A245">
    <cfRule type="expression" dxfId="231" priority="247">
      <formula>MOD(ROW(), 2)=1</formula>
    </cfRule>
  </conditionalFormatting>
  <conditionalFormatting sqref="A244">
    <cfRule type="expression" dxfId="230" priority="246">
      <formula>MOD(ROW(), 2)=1</formula>
    </cfRule>
  </conditionalFormatting>
  <conditionalFormatting sqref="A251">
    <cfRule type="expression" dxfId="229" priority="245">
      <formula>MOD(ROW(), 2)=1</formula>
    </cfRule>
  </conditionalFormatting>
  <conditionalFormatting sqref="L245:L247">
    <cfRule type="expression" dxfId="228" priority="244">
      <formula>MOD(ROW(), 2)=1</formula>
    </cfRule>
  </conditionalFormatting>
  <conditionalFormatting sqref="X247">
    <cfRule type="expression" dxfId="227" priority="243">
      <formula>MOD(ROW(), 2)=1</formula>
    </cfRule>
  </conditionalFormatting>
  <conditionalFormatting sqref="X245">
    <cfRule type="expression" dxfId="226" priority="242">
      <formula>MOD(ROW(), 2)=1</formula>
    </cfRule>
  </conditionalFormatting>
  <conditionalFormatting sqref="X244">
    <cfRule type="expression" dxfId="225" priority="241">
      <formula>MOD(ROW(), 2)=1</formula>
    </cfRule>
  </conditionalFormatting>
  <conditionalFormatting sqref="X248">
    <cfRule type="expression" dxfId="224" priority="240">
      <formula>MOD(ROW(), 2)=1</formula>
    </cfRule>
  </conditionalFormatting>
  <conditionalFormatting sqref="AS255">
    <cfRule type="expression" dxfId="223" priority="239">
      <formula>MOD(ROW(), 2)=1</formula>
    </cfRule>
  </conditionalFormatting>
  <conditionalFormatting sqref="AT255:AT256">
    <cfRule type="expression" dxfId="222" priority="238">
      <formula>MOD(ROW(), 2)=1</formula>
    </cfRule>
  </conditionalFormatting>
  <conditionalFormatting sqref="A297">
    <cfRule type="expression" dxfId="221" priority="237">
      <formula>MOD(ROW(), 2)=1</formula>
    </cfRule>
  </conditionalFormatting>
  <conditionalFormatting sqref="M290 M288 M280 M276 M286 M292 M282">
    <cfRule type="expression" dxfId="220" priority="236">
      <formula>MOD(ROW(), 2)=1</formula>
    </cfRule>
  </conditionalFormatting>
  <conditionalFormatting sqref="M293">
    <cfRule type="expression" dxfId="219" priority="235">
      <formula>MOD(ROW(), 2)=1</formula>
    </cfRule>
  </conditionalFormatting>
  <conditionalFormatting sqref="M296">
    <cfRule type="expression" dxfId="218" priority="234">
      <formula>MOD(ROW(), 2)=1</formula>
    </cfRule>
  </conditionalFormatting>
  <conditionalFormatting sqref="M300">
    <cfRule type="expression" dxfId="217" priority="233">
      <formula>MOD(ROW(), 2)=1</formula>
    </cfRule>
  </conditionalFormatting>
  <conditionalFormatting sqref="M284">
    <cfRule type="expression" dxfId="216" priority="200">
      <formula>MOD(ROW(), 2)=1</formula>
    </cfRule>
  </conditionalFormatting>
  <conditionalFormatting sqref="M268">
    <cfRule type="expression" dxfId="215" priority="231">
      <formula>MOD(ROW(), 2)=1</formula>
    </cfRule>
  </conditionalFormatting>
  <conditionalFormatting sqref="M271">
    <cfRule type="expression" dxfId="214" priority="230">
      <formula>MOD(ROW(), 2)=1</formula>
    </cfRule>
  </conditionalFormatting>
  <conditionalFormatting sqref="M274">
    <cfRule type="expression" dxfId="213" priority="229">
      <formula>MOD(ROW(), 2)=1</formula>
    </cfRule>
  </conditionalFormatting>
  <conditionalFormatting sqref="M275">
    <cfRule type="expression" dxfId="212" priority="228">
      <formula>MOD(ROW(), 2)=1</formula>
    </cfRule>
  </conditionalFormatting>
  <conditionalFormatting sqref="M302">
    <cfRule type="expression" dxfId="211" priority="227">
      <formula>MOD(ROW(), 2)=1</formula>
    </cfRule>
  </conditionalFormatting>
  <conditionalFormatting sqref="M270">
    <cfRule type="expression" dxfId="210" priority="226">
      <formula>MOD(ROW(), 2)=1</formula>
    </cfRule>
  </conditionalFormatting>
  <conditionalFormatting sqref="M278">
    <cfRule type="expression" dxfId="209" priority="225">
      <formula>MOD(ROW(), 2)=1</formula>
    </cfRule>
  </conditionalFormatting>
  <conditionalFormatting sqref="M303">
    <cfRule type="expression" dxfId="208" priority="224">
      <formula>MOD(ROW(), 2)=1</formula>
    </cfRule>
  </conditionalFormatting>
  <conditionalFormatting sqref="M269">
    <cfRule type="expression" dxfId="207" priority="223">
      <formula>MOD(ROW(), 2)=1</formula>
    </cfRule>
  </conditionalFormatting>
  <conditionalFormatting sqref="M279">
    <cfRule type="expression" dxfId="206" priority="222">
      <formula>MOD(ROW(), 2)=1</formula>
    </cfRule>
  </conditionalFormatting>
  <conditionalFormatting sqref="M289">
    <cfRule type="expression" dxfId="205" priority="221">
      <formula>MOD(ROW(), 2)=1</formula>
    </cfRule>
  </conditionalFormatting>
  <conditionalFormatting sqref="M272">
    <cfRule type="expression" dxfId="204" priority="220">
      <formula>MOD(ROW(), 2)=1</formula>
    </cfRule>
  </conditionalFormatting>
  <conditionalFormatting sqref="M299">
    <cfRule type="expression" dxfId="203" priority="219">
      <formula>MOD(ROW(), 2)=1</formula>
    </cfRule>
  </conditionalFormatting>
  <conditionalFormatting sqref="M267">
    <cfRule type="expression" dxfId="202" priority="218">
      <formula>MOD(ROW(), 2)=1</formula>
    </cfRule>
  </conditionalFormatting>
  <conditionalFormatting sqref="K305">
    <cfRule type="expression" dxfId="201" priority="184">
      <formula>MOD(ROW(), 2)=1</formula>
    </cfRule>
  </conditionalFormatting>
  <conditionalFormatting sqref="M301">
    <cfRule type="expression" dxfId="200" priority="216">
      <formula>MOD(ROW(), 2)=1</formula>
    </cfRule>
  </conditionalFormatting>
  <conditionalFormatting sqref="M298">
    <cfRule type="expression" dxfId="199" priority="215">
      <formula>MOD(ROW(), 2)=1</formula>
    </cfRule>
  </conditionalFormatting>
  <conditionalFormatting sqref="M304">
    <cfRule type="expression" dxfId="198" priority="214">
      <formula>MOD(ROW(), 2)=1</formula>
    </cfRule>
  </conditionalFormatting>
  <conditionalFormatting sqref="M285">
    <cfRule type="expression" dxfId="197" priority="213">
      <formula>MOD(ROW(), 2)=1</formula>
    </cfRule>
  </conditionalFormatting>
  <conditionalFormatting sqref="M295">
    <cfRule type="expression" dxfId="196" priority="212">
      <formula>MOD(ROW(), 2)=1</formula>
    </cfRule>
  </conditionalFormatting>
  <conditionalFormatting sqref="M294">
    <cfRule type="expression" dxfId="195" priority="211">
      <formula>MOD(ROW(), 2)=1</formula>
    </cfRule>
  </conditionalFormatting>
  <conditionalFormatting sqref="M273">
    <cfRule type="expression" dxfId="194" priority="210">
      <formula>MOD(ROW(), 2)=1</formula>
    </cfRule>
  </conditionalFormatting>
  <conditionalFormatting sqref="M291">
    <cfRule type="expression" dxfId="193" priority="209">
      <formula>MOD(ROW(), 2)=1</formula>
    </cfRule>
  </conditionalFormatting>
  <conditionalFormatting sqref="M287">
    <cfRule type="expression" dxfId="192" priority="208">
      <formula>MOD(ROW(), 2)=1</formula>
    </cfRule>
  </conditionalFormatting>
  <conditionalFormatting sqref="M297">
    <cfRule type="expression" dxfId="191" priority="207">
      <formula>MOD(ROW(), 2)=1</formula>
    </cfRule>
  </conditionalFormatting>
  <conditionalFormatting sqref="Y289:Y300">
    <cfRule type="expression" dxfId="190" priority="206">
      <formula>MOD(ROW(), 2)=1</formula>
    </cfRule>
  </conditionalFormatting>
  <conditionalFormatting sqref="Y304">
    <cfRule type="expression" dxfId="189" priority="205">
      <formula>MOD(ROW(), 2)=1</formula>
    </cfRule>
  </conditionalFormatting>
  <conditionalFormatting sqref="Y271:Y276">
    <cfRule type="expression" dxfId="188" priority="204">
      <formula>MOD(ROW(), 2)=1</formula>
    </cfRule>
  </conditionalFormatting>
  <conditionalFormatting sqref="O277:O282">
    <cfRule type="expression" dxfId="187" priority="203">
      <formula>MOD(ROW(), 2)=1</formula>
    </cfRule>
  </conditionalFormatting>
  <conditionalFormatting sqref="A278">
    <cfRule type="expression" dxfId="186" priority="202">
      <formula>MOD(ROW(), 2)=1</formula>
    </cfRule>
  </conditionalFormatting>
  <conditionalFormatting sqref="H278:K278">
    <cfRule type="expression" dxfId="185" priority="201">
      <formula>MOD(ROW(), 2)=1</formula>
    </cfRule>
  </conditionalFormatting>
  <conditionalFormatting sqref="M283">
    <cfRule type="expression" dxfId="184" priority="199">
      <formula>MOD(ROW(), 2)=1</formula>
    </cfRule>
  </conditionalFormatting>
  <conditionalFormatting sqref="B281 F281:H281">
    <cfRule type="expression" dxfId="183" priority="198">
      <formula>MOD(ROW(), 2)=1</formula>
    </cfRule>
  </conditionalFormatting>
  <conditionalFormatting sqref="E281">
    <cfRule type="expression" dxfId="182" priority="197">
      <formula>MOD(ROW(), 2)=1</formula>
    </cfRule>
  </conditionalFormatting>
  <conditionalFormatting sqref="D281">
    <cfRule type="expression" dxfId="181" priority="196">
      <formula>MOD(ROW(), 2)=1</formula>
    </cfRule>
  </conditionalFormatting>
  <conditionalFormatting sqref="C281">
    <cfRule type="expression" dxfId="180" priority="195">
      <formula>MOD(ROW(), 2)=1</formula>
    </cfRule>
  </conditionalFormatting>
  <conditionalFormatting sqref="I281">
    <cfRule type="expression" dxfId="179" priority="194">
      <formula>MOD(ROW(), 2)=1</formula>
    </cfRule>
  </conditionalFormatting>
  <conditionalFormatting sqref="J281">
    <cfRule type="expression" dxfId="178" priority="193">
      <formula>MOD(ROW(), 2)=1</formula>
    </cfRule>
  </conditionalFormatting>
  <conditionalFormatting sqref="K281">
    <cfRule type="expression" dxfId="177" priority="192">
      <formula>MOD(ROW(), 2)=1</formula>
    </cfRule>
  </conditionalFormatting>
  <conditionalFormatting sqref="M281">
    <cfRule type="expression" dxfId="176" priority="191">
      <formula>MOD(ROW(), 2)=1</formula>
    </cfRule>
  </conditionalFormatting>
  <conditionalFormatting sqref="A281">
    <cfRule type="expression" dxfId="175" priority="190">
      <formula>MOD(ROW(), 2)=1</formula>
    </cfRule>
  </conditionalFormatting>
  <conditionalFormatting sqref="Z281:BA281">
    <cfRule type="expression" dxfId="174" priority="189">
      <formula>MOD(ROW(), 2)=1</formula>
    </cfRule>
  </conditionalFormatting>
  <conditionalFormatting sqref="T281">
    <cfRule type="expression" dxfId="173" priority="188">
      <formula>MOD(ROW(), 2)=1</formula>
    </cfRule>
  </conditionalFormatting>
  <conditionalFormatting sqref="T281">
    <cfRule type="expression" dxfId="172" priority="187">
      <formula>"$J5!=$K5"</formula>
    </cfRule>
  </conditionalFormatting>
  <conditionalFormatting sqref="I305">
    <cfRule type="expression" dxfId="171" priority="186">
      <formula>MOD(ROW(), 2)=1</formula>
    </cfRule>
  </conditionalFormatting>
  <conditionalFormatting sqref="J305">
    <cfRule type="expression" dxfId="170" priority="185">
      <formula>MOD(ROW(), 2)=1</formula>
    </cfRule>
  </conditionalFormatting>
  <conditionalFormatting sqref="M305">
    <cfRule type="expression" dxfId="169" priority="183">
      <formula>MOD(ROW(), 2)=1</formula>
    </cfRule>
  </conditionalFormatting>
  <conditionalFormatting sqref="A305">
    <cfRule type="expression" dxfId="168" priority="182">
      <formula>MOD(ROW(), 2)=1</formula>
    </cfRule>
  </conditionalFormatting>
  <conditionalFormatting sqref="T305">
    <cfRule type="expression" dxfId="167" priority="181">
      <formula>MOD(ROW(), 2)=1</formula>
    </cfRule>
  </conditionalFormatting>
  <conditionalFormatting sqref="T305">
    <cfRule type="expression" dxfId="166" priority="180">
      <formula>"$J5!=$K5"</formula>
    </cfRule>
  </conditionalFormatting>
  <conditionalFormatting sqref="X305">
    <cfRule type="expression" dxfId="165" priority="179">
      <formula>MOD(ROW(), 2)=1</formula>
    </cfRule>
  </conditionalFormatting>
  <conditionalFormatting sqref="Z305:AN306">
    <cfRule type="expression" dxfId="164" priority="178">
      <formula>MOD(ROW(), 2)=1</formula>
    </cfRule>
  </conditionalFormatting>
  <conditionalFormatting sqref="W306">
    <cfRule type="expression" dxfId="163" priority="177">
      <formula>MOD(ROW(), 2)=1</formula>
    </cfRule>
  </conditionalFormatting>
  <conditionalFormatting sqref="AQ305:AR306">
    <cfRule type="expression" dxfId="162" priority="176">
      <formula>MOD(ROW(), 2)=1</formula>
    </cfRule>
  </conditionalFormatting>
  <conditionalFormatting sqref="A306">
    <cfRule type="expression" dxfId="161" priority="175">
      <formula>MOD(ROW(), 2)=1</formula>
    </cfRule>
  </conditionalFormatting>
  <conditionalFormatting sqref="H306">
    <cfRule type="expression" dxfId="160" priority="174">
      <formula>MOD(ROW(), 2)=1</formula>
    </cfRule>
  </conditionalFormatting>
  <conditionalFormatting sqref="I306">
    <cfRule type="expression" dxfId="159" priority="173">
      <formula>MOD(ROW(), 2)=1</formula>
    </cfRule>
  </conditionalFormatting>
  <conditionalFormatting sqref="J306">
    <cfRule type="expression" dxfId="158" priority="172">
      <formula>MOD(ROW(), 2)=1</formula>
    </cfRule>
  </conditionalFormatting>
  <conditionalFormatting sqref="K306">
    <cfRule type="expression" dxfId="157" priority="171">
      <formula>MOD(ROW(), 2)=1</formula>
    </cfRule>
  </conditionalFormatting>
  <conditionalFormatting sqref="X306">
    <cfRule type="expression" dxfId="156" priority="170">
      <formula>MOD(ROW(), 2)=1</formula>
    </cfRule>
  </conditionalFormatting>
  <conditionalFormatting sqref="T306">
    <cfRule type="expression" dxfId="155" priority="169">
      <formula>MOD(ROW(), 2)=1</formula>
    </cfRule>
  </conditionalFormatting>
  <conditionalFormatting sqref="T306">
    <cfRule type="expression" dxfId="154" priority="168">
      <formula>"$J5!=$K5"</formula>
    </cfRule>
  </conditionalFormatting>
  <conditionalFormatting sqref="V277">
    <cfRule type="expression" dxfId="153" priority="166">
      <formula>MOD(ROW(), 2)=1</formula>
    </cfRule>
  </conditionalFormatting>
  <conditionalFormatting sqref="U277">
    <cfRule type="expression" dxfId="152" priority="165">
      <formula>MOD(ROW(), 2)=1</formula>
    </cfRule>
  </conditionalFormatting>
  <conditionalFormatting sqref="H265">
    <cfRule type="expression" dxfId="151" priority="164">
      <formula>MOD(ROW(), 2)=1</formula>
    </cfRule>
  </conditionalFormatting>
  <conditionalFormatting sqref="I265:K265">
    <cfRule type="expression" dxfId="150" priority="163">
      <formula>MOD(ROW(), 2)=1</formula>
    </cfRule>
  </conditionalFormatting>
  <conditionalFormatting sqref="I266:K266">
    <cfRule type="expression" dxfId="149" priority="162">
      <formula>MOD(ROW(), 2)=1</formula>
    </cfRule>
  </conditionalFormatting>
  <conditionalFormatting sqref="X265">
    <cfRule type="expression" dxfId="148" priority="161">
      <formula>MOD(ROW(), 2)=1</formula>
    </cfRule>
  </conditionalFormatting>
  <conditionalFormatting sqref="S13">
    <cfRule type="expression" dxfId="147" priority="155">
      <formula>MOD(ROW(), 2)=1</formula>
    </cfRule>
  </conditionalFormatting>
  <conditionalFormatting sqref="S4:S12">
    <cfRule type="expression" dxfId="146" priority="154">
      <formula>MOD(ROW(), 2)=1</formula>
    </cfRule>
  </conditionalFormatting>
  <conditionalFormatting sqref="S14:S17">
    <cfRule type="expression" dxfId="145" priority="153">
      <formula>MOD(ROW(), 2)=1</formula>
    </cfRule>
  </conditionalFormatting>
  <conditionalFormatting sqref="Q15:Q17">
    <cfRule type="expression" dxfId="144" priority="152">
      <formula>MOD(ROW(), 2)=1</formula>
    </cfRule>
  </conditionalFormatting>
  <conditionalFormatting sqref="S18:S22">
    <cfRule type="expression" dxfId="143" priority="151">
      <formula>MOD(ROW(), 2)=1</formula>
    </cfRule>
  </conditionalFormatting>
  <conditionalFormatting sqref="Q18:Q22">
    <cfRule type="expression" dxfId="142" priority="150">
      <formula>MOD(ROW(), 2)=1</formula>
    </cfRule>
  </conditionalFormatting>
  <conditionalFormatting sqref="S23:S28">
    <cfRule type="expression" dxfId="141" priority="149">
      <formula>MOD(ROW(), 2)=1</formula>
    </cfRule>
  </conditionalFormatting>
  <conditionalFormatting sqref="S29:S31">
    <cfRule type="expression" dxfId="140" priority="148">
      <formula>MOD(ROW(), 2)=1</formula>
    </cfRule>
  </conditionalFormatting>
  <conditionalFormatting sqref="S32:S37">
    <cfRule type="expression" dxfId="139" priority="147">
      <formula>MOD(ROW(), 2)=1</formula>
    </cfRule>
  </conditionalFormatting>
  <conditionalFormatting sqref="S38">
    <cfRule type="expression" dxfId="138" priority="146">
      <formula>MOD(ROW(), 2)=1</formula>
    </cfRule>
  </conditionalFormatting>
  <conditionalFormatting sqref="S39">
    <cfRule type="expression" dxfId="137" priority="145">
      <formula>MOD(ROW(), 2)=1</formula>
    </cfRule>
  </conditionalFormatting>
  <conditionalFormatting sqref="S40:S44">
    <cfRule type="expression" dxfId="136" priority="144">
      <formula>MOD(ROW(), 2)=1</formula>
    </cfRule>
  </conditionalFormatting>
  <conditionalFormatting sqref="Q39:Q44">
    <cfRule type="expression" dxfId="135" priority="143">
      <formula>MOD(ROW(), 2)=1</formula>
    </cfRule>
  </conditionalFormatting>
  <conditionalFormatting sqref="S45:S47">
    <cfRule type="expression" dxfId="134" priority="142">
      <formula>MOD(ROW(), 2)=1</formula>
    </cfRule>
  </conditionalFormatting>
  <conditionalFormatting sqref="Q45:Q50">
    <cfRule type="expression" dxfId="133" priority="141">
      <formula>MOD(ROW(), 2)=1</formula>
    </cfRule>
  </conditionalFormatting>
  <conditionalFormatting sqref="S74:S76">
    <cfRule type="expression" dxfId="132" priority="136">
      <formula>MOD(ROW(), 2)=1</formula>
    </cfRule>
  </conditionalFormatting>
  <conditionalFormatting sqref="Q75">
    <cfRule type="expression" dxfId="131" priority="135">
      <formula>MOD(ROW(), 2)=1</formula>
    </cfRule>
  </conditionalFormatting>
  <conditionalFormatting sqref="Q76">
    <cfRule type="expression" dxfId="130" priority="134">
      <formula>MOD(ROW(), 2)=1</formula>
    </cfRule>
  </conditionalFormatting>
  <conditionalFormatting sqref="S72:S73">
    <cfRule type="expression" dxfId="129" priority="133">
      <formula>MOD(ROW(), 2)=1</formula>
    </cfRule>
  </conditionalFormatting>
  <conditionalFormatting sqref="S48:S69">
    <cfRule type="expression" dxfId="128" priority="132">
      <formula>MOD(ROW(), 2)=1</formula>
    </cfRule>
  </conditionalFormatting>
  <conditionalFormatting sqref="S77:S79">
    <cfRule type="expression" dxfId="127" priority="131">
      <formula>MOD(ROW(), 2)=1</formula>
    </cfRule>
  </conditionalFormatting>
  <conditionalFormatting sqref="S80">
    <cfRule type="expression" dxfId="126" priority="130">
      <formula>MOD(ROW(), 2)=1</formula>
    </cfRule>
  </conditionalFormatting>
  <conditionalFormatting sqref="S81">
    <cfRule type="expression" dxfId="125" priority="129">
      <formula>MOD(ROW(), 2)=1</formula>
    </cfRule>
  </conditionalFormatting>
  <conditionalFormatting sqref="S82:S89">
    <cfRule type="expression" dxfId="124" priority="128">
      <formula>MOD(ROW(), 2)=1</formula>
    </cfRule>
  </conditionalFormatting>
  <conditionalFormatting sqref="S91:S96">
    <cfRule type="expression" dxfId="123" priority="127">
      <formula>MOD(ROW(), 2)=1</formula>
    </cfRule>
  </conditionalFormatting>
  <conditionalFormatting sqref="S97:S99">
    <cfRule type="expression" dxfId="122" priority="126">
      <formula>MOD(ROW(), 2)=1</formula>
    </cfRule>
  </conditionalFormatting>
  <conditionalFormatting sqref="S100:S107">
    <cfRule type="expression" dxfId="121" priority="124">
      <formula>MOD(ROW(), 2)=1</formula>
    </cfRule>
  </conditionalFormatting>
  <conditionalFormatting sqref="S108:S118">
    <cfRule type="expression" dxfId="120" priority="123">
      <formula>MOD(ROW(), 2)=1</formula>
    </cfRule>
  </conditionalFormatting>
  <conditionalFormatting sqref="S120:S122">
    <cfRule type="expression" dxfId="119" priority="122">
      <formula>MOD(ROW(), 2)=1</formula>
    </cfRule>
  </conditionalFormatting>
  <conditionalFormatting sqref="S123:S130">
    <cfRule type="expression" dxfId="118" priority="121">
      <formula>MOD(ROW(), 2)=1</formula>
    </cfRule>
  </conditionalFormatting>
  <conditionalFormatting sqref="S131">
    <cfRule type="expression" dxfId="117" priority="120">
      <formula>MOD(ROW(), 2)=1</formula>
    </cfRule>
  </conditionalFormatting>
  <conditionalFormatting sqref="S132:S133">
    <cfRule type="expression" dxfId="116" priority="119">
      <formula>MOD(ROW(), 2)=1</formula>
    </cfRule>
  </conditionalFormatting>
  <conditionalFormatting sqref="S134:S142">
    <cfRule type="expression" dxfId="115" priority="118">
      <formula>MOD(ROW(), 2)=1</formula>
    </cfRule>
  </conditionalFormatting>
  <conditionalFormatting sqref="S143:S144">
    <cfRule type="expression" dxfId="114" priority="117">
      <formula>MOD(ROW(), 2)=1</formula>
    </cfRule>
  </conditionalFormatting>
  <conditionalFormatting sqref="S145:S147">
    <cfRule type="expression" dxfId="113" priority="116">
      <formula>MOD(ROW(), 2)=1</formula>
    </cfRule>
  </conditionalFormatting>
  <conditionalFormatting sqref="S148">
    <cfRule type="expression" dxfId="112" priority="115">
      <formula>MOD(ROW(), 2)=1</formula>
    </cfRule>
  </conditionalFormatting>
  <conditionalFormatting sqref="S150">
    <cfRule type="expression" dxfId="111" priority="114">
      <formula>MOD(ROW(), 2)=1</formula>
    </cfRule>
  </conditionalFormatting>
  <conditionalFormatting sqref="S153">
    <cfRule type="expression" dxfId="110" priority="113">
      <formula>MOD(ROW(), 2)=1</formula>
    </cfRule>
  </conditionalFormatting>
  <conditionalFormatting sqref="S155:S168">
    <cfRule type="expression" dxfId="109" priority="112">
      <formula>MOD(ROW(), 2)=1</formula>
    </cfRule>
  </conditionalFormatting>
  <conditionalFormatting sqref="S170:S178">
    <cfRule type="expression" dxfId="108" priority="111">
      <formula>MOD(ROW(), 2)=1</formula>
    </cfRule>
  </conditionalFormatting>
  <conditionalFormatting sqref="S180 S184 S182">
    <cfRule type="expression" dxfId="107" priority="110">
      <formula>MOD(ROW(), 2)=1</formula>
    </cfRule>
  </conditionalFormatting>
  <conditionalFormatting sqref="S186:S196">
    <cfRule type="expression" dxfId="106" priority="109">
      <formula>MOD(ROW(), 2)=1</formula>
    </cfRule>
  </conditionalFormatting>
  <conditionalFormatting sqref="S197:S204">
    <cfRule type="expression" dxfId="105" priority="108">
      <formula>MOD(ROW(), 2)=1</formula>
    </cfRule>
  </conditionalFormatting>
  <conditionalFormatting sqref="S205:S211">
    <cfRule type="expression" dxfId="104" priority="107">
      <formula>MOD(ROW(), 2)=1</formula>
    </cfRule>
  </conditionalFormatting>
  <conditionalFormatting sqref="S213:S218">
    <cfRule type="expression" dxfId="103" priority="106">
      <formula>MOD(ROW(), 2)=1</formula>
    </cfRule>
  </conditionalFormatting>
  <conditionalFormatting sqref="S219:S233">
    <cfRule type="expression" dxfId="102" priority="105">
      <formula>MOD(ROW(), 2)=1</formula>
    </cfRule>
  </conditionalFormatting>
  <conditionalFormatting sqref="S234">
    <cfRule type="expression" dxfId="101" priority="104">
      <formula>MOD(ROW(), 2)=1</formula>
    </cfRule>
  </conditionalFormatting>
  <conditionalFormatting sqref="S235:S236">
    <cfRule type="expression" dxfId="100" priority="103">
      <formula>MOD(ROW(), 2)=1</formula>
    </cfRule>
  </conditionalFormatting>
  <conditionalFormatting sqref="S237:S245">
    <cfRule type="expression" dxfId="99" priority="102">
      <formula>MOD(ROW(), 2)=1</formula>
    </cfRule>
  </conditionalFormatting>
  <conditionalFormatting sqref="Q238:Q245">
    <cfRule type="expression" dxfId="98" priority="101">
      <formula>MOD(ROW(), 2)=1</formula>
    </cfRule>
  </conditionalFormatting>
  <conditionalFormatting sqref="Q246:Q258">
    <cfRule type="expression" dxfId="97" priority="100">
      <formula>MOD(ROW(), 2)=1</formula>
    </cfRule>
  </conditionalFormatting>
  <conditionalFormatting sqref="S246:S259">
    <cfRule type="expression" dxfId="96" priority="99">
      <formula>MOD(ROW(), 2)=1</formula>
    </cfRule>
  </conditionalFormatting>
  <conditionalFormatting sqref="S260:S263">
    <cfRule type="expression" dxfId="95" priority="98">
      <formula>MOD(ROW(), 2)=1</formula>
    </cfRule>
  </conditionalFormatting>
  <conditionalFormatting sqref="S264:S273">
    <cfRule type="expression" dxfId="94" priority="97">
      <formula>MOD(ROW(), 2)=1</formula>
    </cfRule>
  </conditionalFormatting>
  <conditionalFormatting sqref="Q264:Q272">
    <cfRule type="expression" dxfId="93" priority="96">
      <formula>MOD(ROW(), 2)=1</formula>
    </cfRule>
  </conditionalFormatting>
  <conditionalFormatting sqref="Q273:Q280">
    <cfRule type="expression" dxfId="92" priority="95">
      <formula>MOD(ROW(), 2)=1</formula>
    </cfRule>
  </conditionalFormatting>
  <conditionalFormatting sqref="S275:S290">
    <cfRule type="expression" dxfId="91" priority="93">
      <formula>MOD(ROW(), 2)=1</formula>
    </cfRule>
  </conditionalFormatting>
  <conditionalFormatting sqref="Q281:Q290">
    <cfRule type="expression" dxfId="90" priority="92">
      <formula>MOD(ROW(), 2)=1</formula>
    </cfRule>
  </conditionalFormatting>
  <conditionalFormatting sqref="S292:S295 S297:S303">
    <cfRule type="expression" dxfId="89" priority="91">
      <formula>MOD(ROW(), 2)=1</formula>
    </cfRule>
  </conditionalFormatting>
  <conditionalFormatting sqref="S292:S295 S297:S303">
    <cfRule type="expression" dxfId="88" priority="90">
      <formula>MOD(ROW(), 2)=1</formula>
    </cfRule>
  </conditionalFormatting>
  <conditionalFormatting sqref="Q291:Q303">
    <cfRule type="expression" dxfId="87" priority="89">
      <formula>MOD(ROW(), 2)=1</formula>
    </cfRule>
  </conditionalFormatting>
  <conditionalFormatting sqref="S296">
    <cfRule type="expression" dxfId="86" priority="88">
      <formula>MOD(ROW(), 2)=1</formula>
    </cfRule>
  </conditionalFormatting>
  <conditionalFormatting sqref="S304:S312">
    <cfRule type="expression" dxfId="85" priority="87">
      <formula>MOD(ROW(), 2)=1</formula>
    </cfRule>
  </conditionalFormatting>
  <conditionalFormatting sqref="S304:S312">
    <cfRule type="expression" dxfId="84" priority="86">
      <formula>MOD(ROW(), 2)=1</formula>
    </cfRule>
  </conditionalFormatting>
  <conditionalFormatting sqref="Q304:Q307">
    <cfRule type="expression" dxfId="83" priority="85">
      <formula>MOD(ROW(), 2)=1</formula>
    </cfRule>
  </conditionalFormatting>
  <conditionalFormatting sqref="S313:S321">
    <cfRule type="expression" dxfId="82" priority="84">
      <formula>MOD(ROW(), 2)=1</formula>
    </cfRule>
  </conditionalFormatting>
  <conditionalFormatting sqref="S313:S321">
    <cfRule type="expression" dxfId="81" priority="83">
      <formula>MOD(ROW(), 2)=1</formula>
    </cfRule>
  </conditionalFormatting>
  <conditionalFormatting sqref="Q308:Q322">
    <cfRule type="expression" dxfId="80" priority="82">
      <formula>MOD(ROW(), 2)=1</formula>
    </cfRule>
  </conditionalFormatting>
  <conditionalFormatting sqref="S323:S508">
    <cfRule type="expression" dxfId="79" priority="81">
      <formula>MOD(ROW(), 2)=1</formula>
    </cfRule>
  </conditionalFormatting>
  <conditionalFormatting sqref="Q323:Q508">
    <cfRule type="expression" dxfId="78" priority="80">
      <formula>MOD(ROW(), 2)=1</formula>
    </cfRule>
  </conditionalFormatting>
  <conditionalFormatting sqref="R323:R508">
    <cfRule type="expression" dxfId="77" priority="79">
      <formula>MOD(ROW(), 2)=1</formula>
    </cfRule>
  </conditionalFormatting>
  <conditionalFormatting sqref="C258">
    <cfRule type="expression" dxfId="76" priority="78">
      <formula>MOD(ROW(), 2)=1</formula>
    </cfRule>
  </conditionalFormatting>
  <conditionalFormatting sqref="A277:B277 F277:L277">
    <cfRule type="expression" dxfId="75" priority="77">
      <formula>MOD(ROW(), 2)=1</formula>
    </cfRule>
  </conditionalFormatting>
  <conditionalFormatting sqref="E277">
    <cfRule type="expression" dxfId="74" priority="76">
      <formula>MOD(ROW(), 2)=1</formula>
    </cfRule>
  </conditionalFormatting>
  <conditionalFormatting sqref="D277">
    <cfRule type="expression" dxfId="73" priority="75">
      <formula>MOD(ROW(), 2)=1</formula>
    </cfRule>
  </conditionalFormatting>
  <conditionalFormatting sqref="C277">
    <cfRule type="expression" dxfId="72" priority="74">
      <formula>MOD(ROW(), 2)=1</formula>
    </cfRule>
  </conditionalFormatting>
  <conditionalFormatting sqref="M277">
    <cfRule type="expression" dxfId="71" priority="73">
      <formula>MOD(ROW(), 2)=1</formula>
    </cfRule>
  </conditionalFormatting>
  <conditionalFormatting sqref="W277 Y277:BA277">
    <cfRule type="expression" dxfId="70" priority="72">
      <formula>MOD(ROW(), 2)=1</formula>
    </cfRule>
  </conditionalFormatting>
  <conditionalFormatting sqref="T277">
    <cfRule type="expression" dxfId="69" priority="71">
      <formula>MOD(ROW(), 2)=1</formula>
    </cfRule>
  </conditionalFormatting>
  <conditionalFormatting sqref="X277">
    <cfRule type="expression" dxfId="68" priority="69">
      <formula>MOD(ROW(), 2)=1</formula>
    </cfRule>
  </conditionalFormatting>
  <conditionalFormatting sqref="Q263">
    <cfRule type="expression" dxfId="67" priority="68">
      <formula>MOD(ROW(), 2)=1</formula>
    </cfRule>
  </conditionalFormatting>
  <conditionalFormatting sqref="Q261">
    <cfRule type="expression" dxfId="66" priority="67">
      <formula>MOD(ROW(), 2)=1</formula>
    </cfRule>
  </conditionalFormatting>
  <conditionalFormatting sqref="Q260">
    <cfRule type="expression" dxfId="65" priority="66">
      <formula>MOD(ROW(), 2)=1</formula>
    </cfRule>
  </conditionalFormatting>
  <conditionalFormatting sqref="A274">
    <cfRule type="expression" dxfId="64" priority="65">
      <formula>MOD(ROW(), 2)=1</formula>
    </cfRule>
  </conditionalFormatting>
  <conditionalFormatting sqref="M143">
    <cfRule type="expression" dxfId="63" priority="64">
      <formula>MOD(ROW(), 2)=1</formula>
    </cfRule>
  </conditionalFormatting>
  <conditionalFormatting sqref="M231">
    <cfRule type="expression" dxfId="62" priority="63">
      <formula>MOD(ROW(), 2)=1</formula>
    </cfRule>
  </conditionalFormatting>
  <conditionalFormatting sqref="I313">
    <cfRule type="expression" dxfId="61" priority="62">
      <formula>MOD(ROW(), 2)=1</formula>
    </cfRule>
  </conditionalFormatting>
  <conditionalFormatting sqref="I313">
    <cfRule type="expression" dxfId="60" priority="61">
      <formula>"$J5!=$K5"</formula>
    </cfRule>
  </conditionalFormatting>
  <conditionalFormatting sqref="A314">
    <cfRule type="expression" dxfId="59" priority="60">
      <formula>MOD(ROW(), 2)=1</formula>
    </cfRule>
  </conditionalFormatting>
  <conditionalFormatting sqref="L320">
    <cfRule type="expression" dxfId="58" priority="57">
      <formula>MOD(ROW(), 2)=1</formula>
    </cfRule>
  </conditionalFormatting>
  <conditionalFormatting sqref="S185">
    <cfRule type="expression" dxfId="57" priority="56">
      <formula>MOD(ROW(), 2)=1</formula>
    </cfRule>
  </conditionalFormatting>
  <conditionalFormatting sqref="S183">
    <cfRule type="expression" dxfId="56" priority="55">
      <formula>MOD(ROW(), 2)=1</formula>
    </cfRule>
  </conditionalFormatting>
  <conditionalFormatting sqref="S181">
    <cfRule type="expression" dxfId="55" priority="54">
      <formula>MOD(ROW(), 2)=1</formula>
    </cfRule>
  </conditionalFormatting>
  <conditionalFormatting sqref="L322">
    <cfRule type="expression" dxfId="54" priority="53">
      <formula>MOD(ROW(), 2)=1</formula>
    </cfRule>
  </conditionalFormatting>
  <conditionalFormatting sqref="A322">
    <cfRule type="expression" dxfId="53" priority="52">
      <formula>MOD(ROW(), 2)=1</formula>
    </cfRule>
  </conditionalFormatting>
  <conditionalFormatting sqref="K318">
    <cfRule type="expression" dxfId="52" priority="50">
      <formula>MOD(ROW(), 2)=1</formula>
    </cfRule>
  </conditionalFormatting>
  <conditionalFormatting sqref="A318">
    <cfRule type="expression" dxfId="51" priority="49">
      <formula>MOD(ROW(), 2)=1</formula>
    </cfRule>
  </conditionalFormatting>
  <conditionalFormatting sqref="W112">
    <cfRule type="expression" dxfId="50" priority="47">
      <formula>MOD(ROW(), 2)=1</formula>
    </cfRule>
  </conditionalFormatting>
  <conditionalFormatting sqref="W110">
    <cfRule type="expression" dxfId="49" priority="46">
      <formula>MOD(ROW(), 2)=1</formula>
    </cfRule>
  </conditionalFormatting>
  <conditionalFormatting sqref="W52">
    <cfRule type="expression" dxfId="48" priority="45">
      <formula>MOD(ROW(), 2)=1</formula>
    </cfRule>
  </conditionalFormatting>
  <conditionalFormatting sqref="X110">
    <cfRule type="expression" dxfId="47" priority="44">
      <formula>MOD(ROW(), 2)=1</formula>
    </cfRule>
  </conditionalFormatting>
  <conditionalFormatting sqref="X112">
    <cfRule type="expression" dxfId="46" priority="43">
      <formula>MOD(ROW(), 2)=1</formula>
    </cfRule>
  </conditionalFormatting>
  <conditionalFormatting sqref="Z110:AA112">
    <cfRule type="expression" dxfId="45" priority="42">
      <formula>MOD(ROW(), 2)=1</formula>
    </cfRule>
  </conditionalFormatting>
  <conditionalFormatting sqref="AB110:AB112">
    <cfRule type="expression" dxfId="44" priority="41">
      <formula>MOD(ROW(), 2)=1</formula>
    </cfRule>
  </conditionalFormatting>
  <conditionalFormatting sqref="AD110:AN110">
    <cfRule type="expression" dxfId="43" priority="40">
      <formula>MOD(ROW(), 2)=1</formula>
    </cfRule>
  </conditionalFormatting>
  <conditionalFormatting sqref="AD112:AM112">
    <cfRule type="expression" dxfId="42" priority="39">
      <formula>MOD(ROW(), 2)=1</formula>
    </cfRule>
  </conditionalFormatting>
  <conditionalFormatting sqref="AN112">
    <cfRule type="expression" dxfId="41" priority="38">
      <formula>MOD(ROW(), 2)=1</formula>
    </cfRule>
  </conditionalFormatting>
  <conditionalFormatting sqref="BA110">
    <cfRule type="expression" dxfId="40" priority="37">
      <formula>MOD(ROW(), 2)=1</formula>
    </cfRule>
  </conditionalFormatting>
  <conditionalFormatting sqref="BA112">
    <cfRule type="expression" dxfId="39" priority="36">
      <formula>MOD(ROW(), 2)=1</formula>
    </cfRule>
  </conditionalFormatting>
  <conditionalFormatting sqref="A112">
    <cfRule type="expression" dxfId="38" priority="35">
      <formula>MOD(ROW(), 2)=1</formula>
    </cfRule>
  </conditionalFormatting>
  <conditionalFormatting sqref="A110">
    <cfRule type="expression" dxfId="37" priority="34">
      <formula>MOD(ROW(), 2)=1</formula>
    </cfRule>
  </conditionalFormatting>
  <conditionalFormatting sqref="BA52">
    <cfRule type="expression" dxfId="36" priority="33">
      <formula>MOD(ROW(), 2)=1</formula>
    </cfRule>
  </conditionalFormatting>
  <conditionalFormatting sqref="Z52:AM52">
    <cfRule type="expression" dxfId="35" priority="32">
      <formula>MOD(ROW(), 2)=1</formula>
    </cfRule>
  </conditionalFormatting>
  <conditionalFormatting sqref="T52">
    <cfRule type="expression" dxfId="34" priority="31">
      <formula>MOD(ROW(), 2)=1</formula>
    </cfRule>
  </conditionalFormatting>
  <conditionalFormatting sqref="T52">
    <cfRule type="expression" dxfId="33" priority="30">
      <formula>"$J5!=$K5"</formula>
    </cfRule>
  </conditionalFormatting>
  <conditionalFormatting sqref="T110">
    <cfRule type="expression" dxfId="32" priority="29">
      <formula>MOD(ROW(), 2)=1</formula>
    </cfRule>
  </conditionalFormatting>
  <conditionalFormatting sqref="T110">
    <cfRule type="expression" dxfId="31" priority="28">
      <formula>"$J5!=$K5"</formula>
    </cfRule>
  </conditionalFormatting>
  <conditionalFormatting sqref="T112">
    <cfRule type="expression" dxfId="30" priority="27">
      <formula>MOD(ROW(), 2)=1</formula>
    </cfRule>
  </conditionalFormatting>
  <conditionalFormatting sqref="T112">
    <cfRule type="expression" dxfId="29" priority="26">
      <formula>"$J5!=$K5"</formula>
    </cfRule>
  </conditionalFormatting>
  <conditionalFormatting sqref="H52:J52">
    <cfRule type="expression" dxfId="28" priority="25">
      <formula>MOD(ROW(), 2)=1</formula>
    </cfRule>
  </conditionalFormatting>
  <conditionalFormatting sqref="K52">
    <cfRule type="expression" dxfId="27" priority="24">
      <formula>MOD(ROW(), 2)=1</formula>
    </cfRule>
  </conditionalFormatting>
  <conditionalFormatting sqref="L52">
    <cfRule type="expression" dxfId="26" priority="22">
      <formula>MOD(ROW(), 2)=1</formula>
    </cfRule>
  </conditionalFormatting>
  <conditionalFormatting sqref="L57">
    <cfRule type="expression" dxfId="25" priority="21">
      <formula>MOD(ROW(), 2)=1</formula>
    </cfRule>
  </conditionalFormatting>
  <conditionalFormatting sqref="M57">
    <cfRule type="expression" dxfId="24" priority="20">
      <formula>MOD(ROW(), 2)=1</formula>
    </cfRule>
  </conditionalFormatting>
  <conditionalFormatting sqref="A52">
    <cfRule type="expression" dxfId="23" priority="19">
      <formula>MOD(ROW(), 2)=1</formula>
    </cfRule>
  </conditionalFormatting>
  <conditionalFormatting sqref="AB285">
    <cfRule type="expression" dxfId="22" priority="18">
      <formula>MOD(ROW(), 2)=1</formula>
    </cfRule>
  </conditionalFormatting>
  <conditionalFormatting sqref="AH289">
    <cfRule type="expression" dxfId="21" priority="17">
      <formula>MOD(ROW(), 2)=1</formula>
    </cfRule>
  </conditionalFormatting>
  <conditionalFormatting sqref="AB289">
    <cfRule type="expression" dxfId="20" priority="16">
      <formula>MOD(ROW(), 2)=1</formula>
    </cfRule>
  </conditionalFormatting>
  <conditionalFormatting sqref="AA289">
    <cfRule type="expression" dxfId="19" priority="15">
      <formula>MOD(ROW(), 2)=1</formula>
    </cfRule>
  </conditionalFormatting>
  <conditionalFormatting sqref="AH290">
    <cfRule type="expression" dxfId="18" priority="14">
      <formula>MOD(ROW(), 2)=1</formula>
    </cfRule>
  </conditionalFormatting>
  <conditionalFormatting sqref="AM290">
    <cfRule type="expression" dxfId="17" priority="13">
      <formula>MOD(ROW(), 2)=1</formula>
    </cfRule>
  </conditionalFormatting>
  <conditionalFormatting sqref="O233">
    <cfRule type="expression" dxfId="16" priority="12">
      <formula>MOD(ROW(), 2)=1</formula>
    </cfRule>
  </conditionalFormatting>
  <conditionalFormatting sqref="AS320">
    <cfRule type="expression" dxfId="15" priority="11">
      <formula>MOD(ROW(), 2)=1</formula>
    </cfRule>
  </conditionalFormatting>
  <conditionalFormatting sqref="AY320:AZ322">
    <cfRule type="expression" dxfId="14" priority="10">
      <formula>MOD(ROW(), 2)=1</formula>
    </cfRule>
  </conditionalFormatting>
  <conditionalFormatting sqref="A321">
    <cfRule type="expression" dxfId="13" priority="9">
      <formula>MOD(ROW(), 2)=1</formula>
    </cfRule>
  </conditionalFormatting>
  <conditionalFormatting sqref="AO318:AO319">
    <cfRule type="expression" dxfId="12" priority="8">
      <formula>MOD(ROW(), 2)=1</formula>
    </cfRule>
  </conditionalFormatting>
  <conditionalFormatting sqref="H320:I320">
    <cfRule type="expression" dxfId="11" priority="7">
      <formula>MOD(ROW(), 2)=1</formula>
    </cfRule>
  </conditionalFormatting>
  <conditionalFormatting sqref="E319:E321">
    <cfRule type="expression" dxfId="10" priority="6">
      <formula>MOD(ROW(), 2)=1</formula>
    </cfRule>
  </conditionalFormatting>
  <conditionalFormatting sqref="A320">
    <cfRule type="expression" dxfId="9" priority="5">
      <formula>MOD(ROW(), 2)=1</formula>
    </cfRule>
  </conditionalFormatting>
  <conditionalFormatting sqref="O237">
    <cfRule type="expression" dxfId="8" priority="4">
      <formula>MOD(ROW(), 2)=1</formula>
    </cfRule>
  </conditionalFormatting>
  <conditionalFormatting sqref="O274">
    <cfRule type="expression" dxfId="7" priority="3">
      <formula>MOD(ROW(), 2)=1</formula>
    </cfRule>
  </conditionalFormatting>
  <conditionalFormatting sqref="Y8">
    <cfRule type="expression" dxfId="6" priority="2">
      <formula>MOD(ROW(), 2)=1</formula>
    </cfRule>
  </conditionalFormatting>
  <conditionalFormatting sqref="O229">
    <cfRule type="expression" dxfId="5" priority="1">
      <formula>MOD(ROW(), 2)=1</formula>
    </cfRule>
  </conditionalFormatting>
  <hyperlinks>
    <hyperlink ref="Y317" r:id="rId2" display="Link" xr:uid="{00000000-0004-0000-0000-000000000000}"/>
    <hyperlink ref="Y202" r:id="rId3" display="Link" xr:uid="{00000000-0004-0000-0000-000001000000}"/>
    <hyperlink ref="Y201" r:id="rId4" display="Done" xr:uid="{00000000-0004-0000-0000-000002000000}"/>
    <hyperlink ref="Y200" r:id="rId5" display="Link" xr:uid="{00000000-0004-0000-0000-000003000000}"/>
    <hyperlink ref="G192" r:id="rId6" xr:uid="{00000000-0004-0000-0000-000004000000}"/>
    <hyperlink ref="G145" r:id="rId7" xr:uid="{00000000-0004-0000-0000-000005000000}"/>
    <hyperlink ref="G5:G9" r:id="rId8" display="jergold@stanford.edu" xr:uid="{00000000-0004-0000-0000-000006000000}"/>
    <hyperlink ref="G54" r:id="rId9" xr:uid="{00000000-0004-0000-0000-000007000000}"/>
    <hyperlink ref="G11:G14" r:id="rId10" display="calambokidis@cascadiaresearch.org" xr:uid="{00000000-0004-0000-0000-000008000000}"/>
    <hyperlink ref="G59" r:id="rId11" xr:uid="{00000000-0004-0000-0000-000009000000}"/>
    <hyperlink ref="G148" r:id="rId12" xr:uid="{00000000-0004-0000-0000-00000A000000}"/>
    <hyperlink ref="G17:G19" r:id="rId13" display="jergold@stanford.edu" xr:uid="{00000000-0004-0000-0000-00000B000000}"/>
    <hyperlink ref="G60" r:id="rId14" xr:uid="{00000000-0004-0000-0000-00000C000000}"/>
    <hyperlink ref="G21:G26" r:id="rId15" display="calambokidis@cascadiaresearch.org" xr:uid="{00000000-0004-0000-0000-00000D000000}"/>
    <hyperlink ref="G67" r:id="rId16" xr:uid="{00000000-0004-0000-0000-00000E000000}"/>
    <hyperlink ref="G74" r:id="rId17" xr:uid="{00000000-0004-0000-0000-00000F000000}"/>
    <hyperlink ref="G223" r:id="rId18" xr:uid="{00000000-0004-0000-0000-000010000000}"/>
    <hyperlink ref="G140:G176" r:id="rId19" display="jergold@stanford.edu" xr:uid="{00000000-0004-0000-0000-000011000000}"/>
    <hyperlink ref="G94" r:id="rId20" xr:uid="{00000000-0004-0000-0000-000012000000}"/>
    <hyperlink ref="G39" r:id="rId21" display="mailto:MaSi@natur.gl" xr:uid="{00000000-0004-0000-0000-000013000000}"/>
    <hyperlink ref="G178:G181" r:id="rId22" display="mailto:MaSi@natur.gl" xr:uid="{00000000-0004-0000-0000-000014000000}"/>
    <hyperlink ref="G204" r:id="rId23" xr:uid="{00000000-0004-0000-0000-000015000000}"/>
    <hyperlink ref="G222" r:id="rId24" xr:uid="{00000000-0004-0000-0000-000016000000}"/>
    <hyperlink ref="O225" r:id="rId25" display="Moonstone (MN0500974)" xr:uid="{00000000-0004-0000-0000-000017000000}"/>
    <hyperlink ref="O231" r:id="rId26" xr:uid="{00000000-0004-0000-0000-000018000000}"/>
    <hyperlink ref="O236" r:id="rId27" display="Midnight (MN0500968)" xr:uid="{00000000-0004-0000-0000-000019000000}"/>
    <hyperlink ref="O242" r:id="rId28" display="MN0500323" xr:uid="{00000000-0004-0000-0000-00001A000000}"/>
    <hyperlink ref="O241" r:id="rId29" xr:uid="{00000000-0004-0000-0000-00001B000000}"/>
    <hyperlink ref="G216" r:id="rId30" xr:uid="{00000000-0004-0000-0000-00001C000000}"/>
    <hyperlink ref="G217" r:id="rId31" xr:uid="{00000000-0004-0000-0000-00001D000000}"/>
    <hyperlink ref="G215" r:id="rId32" xr:uid="{00000000-0004-0000-0000-00001E000000}"/>
    <hyperlink ref="G214" r:id="rId33" xr:uid="{00000000-0004-0000-0000-00001F000000}"/>
    <hyperlink ref="G211" r:id="rId34" xr:uid="{00000000-0004-0000-0000-000020000000}"/>
    <hyperlink ref="G212" r:id="rId35" xr:uid="{00000000-0004-0000-0000-000021000000}"/>
    <hyperlink ref="G213" r:id="rId36" xr:uid="{00000000-0004-0000-0000-000022000000}"/>
    <hyperlink ref="O223" r:id="rId37" xr:uid="{00000000-0004-0000-0000-000023000000}"/>
    <hyperlink ref="O228" r:id="rId38" xr:uid="{00000000-0004-0000-0000-000024000000}"/>
    <hyperlink ref="G218" r:id="rId39" xr:uid="{00000000-0004-0000-0000-000025000000}"/>
    <hyperlink ref="G219" r:id="rId40" xr:uid="{00000000-0004-0000-0000-000026000000}"/>
    <hyperlink ref="G220" r:id="rId41" xr:uid="{00000000-0004-0000-0000-000027000000}"/>
    <hyperlink ref="G205" r:id="rId42" xr:uid="{00000000-0004-0000-0000-000028000000}"/>
    <hyperlink ref="G119:G121" r:id="rId43" display="arsfried@ucsc.edu" xr:uid="{00000000-0004-0000-0000-000029000000}"/>
    <hyperlink ref="G77" r:id="rId44" xr:uid="{00000000-0004-0000-0000-00002A000000}"/>
    <hyperlink ref="G221" r:id="rId45" xr:uid="{00000000-0004-0000-0000-00002B000000}"/>
    <hyperlink ref="G79" r:id="rId46" xr:uid="{00000000-0004-0000-0000-00002C000000}"/>
    <hyperlink ref="G78" r:id="rId47" xr:uid="{00000000-0004-0000-0000-00002D000000}"/>
    <hyperlink ref="G253" r:id="rId48" xr:uid="{00000000-0004-0000-0000-00002E000000}"/>
    <hyperlink ref="G4" r:id="rId49" xr:uid="{00000000-0004-0000-0000-00002F000000}"/>
    <hyperlink ref="G131" r:id="rId50" xr:uid="{00000000-0004-0000-0000-000030000000}"/>
    <hyperlink ref="G184:G190" r:id="rId51" display="arsfried@ucsc.edu" xr:uid="{00000000-0004-0000-0000-000031000000}"/>
    <hyperlink ref="G206:G207" r:id="rId52" display="arsfried@ucsc.edu" xr:uid="{00000000-0004-0000-0000-000032000000}"/>
    <hyperlink ref="G263" r:id="rId53" xr:uid="{00000000-0004-0000-0000-000033000000}"/>
    <hyperlink ref="G162" r:id="rId54" xr:uid="{00000000-0004-0000-0000-000034000000}"/>
    <hyperlink ref="G47:G51" r:id="rId55" display="smseakamela@environment.gov.za" xr:uid="{00000000-0004-0000-0000-000035000000}"/>
    <hyperlink ref="G110:G113" r:id="rId56" display="smseakamela@environment.gov.za" xr:uid="{00000000-0004-0000-0000-000036000000}"/>
    <hyperlink ref="G265" r:id="rId57" xr:uid="{00000000-0004-0000-0000-000037000000}"/>
    <hyperlink ref="G266" r:id="rId58" xr:uid="{00000000-0004-0000-0000-000038000000}"/>
    <hyperlink ref="G267" r:id="rId59" xr:uid="{00000000-0004-0000-0000-000039000000}"/>
    <hyperlink ref="G268" r:id="rId60" xr:uid="{00000000-0004-0000-0000-00003A000000}"/>
    <hyperlink ref="G269" r:id="rId61" xr:uid="{00000000-0004-0000-0000-00003B000000}"/>
    <hyperlink ref="G270" r:id="rId62" xr:uid="{00000000-0004-0000-0000-00003C000000}"/>
    <hyperlink ref="G271" r:id="rId63" xr:uid="{00000000-0004-0000-0000-00003D000000}"/>
    <hyperlink ref="O174" r:id="rId64" xr:uid="{00000000-0004-0000-0000-00003E000000}"/>
    <hyperlink ref="O191" r:id="rId65" display="MN0500567" xr:uid="{00000000-0004-0000-0000-00003F000000}"/>
    <hyperlink ref="O192" r:id="rId66" display="MN0501017" xr:uid="{00000000-0004-0000-0000-000040000000}"/>
    <hyperlink ref="G264" r:id="rId67" xr:uid="{00000000-0004-0000-0000-000041000000}"/>
    <hyperlink ref="G190" r:id="rId68" xr:uid="{00000000-0004-0000-0000-000042000000}"/>
    <hyperlink ref="G191" r:id="rId69" xr:uid="{00000000-0004-0000-0000-000043000000}"/>
    <hyperlink ref="G72" r:id="rId70" xr:uid="{00000000-0004-0000-0000-000044000000}"/>
    <hyperlink ref="G73" r:id="rId71" xr:uid="{00000000-0004-0000-0000-000045000000}"/>
    <hyperlink ref="G75" r:id="rId72" xr:uid="{00000000-0004-0000-0000-000046000000}"/>
    <hyperlink ref="G76" r:id="rId73" xr:uid="{00000000-0004-0000-0000-000047000000}"/>
    <hyperlink ref="G38" r:id="rId74" xr:uid="{00000000-0004-0000-0000-000048000000}"/>
    <hyperlink ref="G193" r:id="rId75" xr:uid="{00000000-0004-0000-0000-000049000000}"/>
    <hyperlink ref="G195" r:id="rId76" xr:uid="{00000000-0004-0000-0000-00004A000000}"/>
    <hyperlink ref="G194" r:id="rId77" xr:uid="{00000000-0004-0000-0000-00004B000000}"/>
    <hyperlink ref="G196" r:id="rId78" xr:uid="{00000000-0004-0000-0000-00004C000000}"/>
    <hyperlink ref="G274" r:id="rId79" xr:uid="{00000000-0004-0000-0000-00004D000000}"/>
    <hyperlink ref="G272" r:id="rId80" xr:uid="{00000000-0004-0000-0000-00004E000000}"/>
    <hyperlink ref="G273" r:id="rId81" xr:uid="{00000000-0004-0000-0000-00004F000000}"/>
    <hyperlink ref="G275" r:id="rId82" xr:uid="{00000000-0004-0000-0000-000050000000}"/>
    <hyperlink ref="G276" r:id="rId83" xr:uid="{00000000-0004-0000-0000-000051000000}"/>
    <hyperlink ref="G277" r:id="rId84" xr:uid="{00000000-0004-0000-0000-000052000000}"/>
    <hyperlink ref="O235" r:id="rId85" xr:uid="{00000000-0004-0000-0000-000053000000}"/>
    <hyperlink ref="G292" r:id="rId86" xr:uid="{00000000-0004-0000-0000-000054000000}"/>
    <hyperlink ref="G16" r:id="rId87" xr:uid="{00000000-0004-0000-0000-000055000000}"/>
    <hyperlink ref="G17" r:id="rId88" xr:uid="{00000000-0004-0000-0000-000056000000}"/>
    <hyperlink ref="G18" r:id="rId89" xr:uid="{00000000-0004-0000-0000-000057000000}"/>
    <hyperlink ref="G20" r:id="rId90" xr:uid="{00000000-0004-0000-0000-000058000000}"/>
    <hyperlink ref="G21" r:id="rId91" xr:uid="{00000000-0004-0000-0000-000059000000}"/>
    <hyperlink ref="G22" r:id="rId92" xr:uid="{00000000-0004-0000-0000-00005A000000}"/>
    <hyperlink ref="G14" r:id="rId93" xr:uid="{00000000-0004-0000-0000-00005B000000}"/>
    <hyperlink ref="G15" r:id="rId94" xr:uid="{00000000-0004-0000-0000-00005C000000}"/>
    <hyperlink ref="G19" r:id="rId95" xr:uid="{00000000-0004-0000-0000-00005D000000}"/>
    <hyperlink ref="G294" r:id="rId96" xr:uid="{00000000-0004-0000-0000-00005E000000}"/>
    <hyperlink ref="G293" r:id="rId97" xr:uid="{00000000-0004-0000-0000-00005F000000}"/>
    <hyperlink ref="G101" r:id="rId98" xr:uid="{00000000-0004-0000-0000-000060000000}"/>
    <hyperlink ref="G100" r:id="rId99" xr:uid="{00000000-0004-0000-0000-000061000000}"/>
    <hyperlink ref="G106" r:id="rId100" xr:uid="{00000000-0004-0000-0000-000062000000}"/>
    <hyperlink ref="G51" r:id="rId101" xr:uid="{00000000-0004-0000-0000-000063000000}"/>
    <hyperlink ref="G105" r:id="rId102" xr:uid="{00000000-0004-0000-0000-000064000000}"/>
    <hyperlink ref="G110" r:id="rId103" xr:uid="{00000000-0004-0000-0000-000065000000}"/>
    <hyperlink ref="G108" r:id="rId104" xr:uid="{00000000-0004-0000-0000-000066000000}"/>
    <hyperlink ref="G52" r:id="rId105" xr:uid="{00000000-0004-0000-0000-000067000000}"/>
    <hyperlink ref="G53" r:id="rId106" xr:uid="{00000000-0004-0000-0000-000068000000}"/>
    <hyperlink ref="G113" r:id="rId107" xr:uid="{00000000-0004-0000-0000-000069000000}"/>
    <hyperlink ref="G114" r:id="rId108" xr:uid="{00000000-0004-0000-0000-00006A000000}"/>
    <hyperlink ref="G112" r:id="rId109" xr:uid="{00000000-0004-0000-0000-00006B000000}"/>
    <hyperlink ref="G117" r:id="rId110" xr:uid="{00000000-0004-0000-0000-00006C000000}"/>
    <hyperlink ref="G116" r:id="rId111" xr:uid="{00000000-0004-0000-0000-00006D000000}"/>
    <hyperlink ref="G121" r:id="rId112" xr:uid="{00000000-0004-0000-0000-00006E000000}"/>
    <hyperlink ref="G120" r:id="rId113" xr:uid="{00000000-0004-0000-0000-00006F000000}"/>
    <hyperlink ref="G118" r:id="rId114" xr:uid="{00000000-0004-0000-0000-000070000000}"/>
    <hyperlink ref="G123" r:id="rId115" xr:uid="{00000000-0004-0000-0000-000071000000}"/>
    <hyperlink ref="G300" r:id="rId116" xr:uid="{00000000-0004-0000-0000-000072000000}"/>
    <hyperlink ref="G301" r:id="rId117" xr:uid="{00000000-0004-0000-0000-000073000000}"/>
    <hyperlink ref="G303" r:id="rId118" xr:uid="{00000000-0004-0000-0000-000074000000}"/>
    <hyperlink ref="G304" r:id="rId119" xr:uid="{00000000-0004-0000-0000-000075000000}"/>
    <hyperlink ref="G122" r:id="rId120" xr:uid="{00000000-0004-0000-0000-000076000000}"/>
    <hyperlink ref="G126" r:id="rId121" xr:uid="{00000000-0004-0000-0000-000077000000}"/>
    <hyperlink ref="G104" r:id="rId122" xr:uid="{00000000-0004-0000-0000-000078000000}"/>
    <hyperlink ref="G295" r:id="rId123" xr:uid="{00000000-0004-0000-0000-000079000000}"/>
    <hyperlink ref="I295" r:id="rId124" xr:uid="{00000000-0004-0000-0000-00007A000000}"/>
    <hyperlink ref="J295" r:id="rId125" xr:uid="{00000000-0004-0000-0000-00007B000000}"/>
    <hyperlink ref="X295" r:id="rId126" display="tag_data\mn180831-11 (IOS_Monterey)\mn180831-11 Map.bmp" xr:uid="{00000000-0004-0000-0000-00007C000000}"/>
    <hyperlink ref="G298" r:id="rId127" xr:uid="{00000000-0004-0000-0000-00007D000000}"/>
    <hyperlink ref="G306" r:id="rId128" xr:uid="{00000000-0004-0000-0000-00007E000000}"/>
    <hyperlink ref="G308:G310" r:id="rId129" display="calambokidis@cascadiaresearch.org" xr:uid="{00000000-0004-0000-0000-00007F000000}"/>
    <hyperlink ref="G313:G314" r:id="rId130" display="pponganis@ucsd.edu" xr:uid="{00000000-0004-0000-0000-000080000000}"/>
    <hyperlink ref="G127" r:id="rId131" xr:uid="{00000000-0004-0000-0000-000081000000}"/>
    <hyperlink ref="G128" r:id="rId132" xr:uid="{00000000-0004-0000-0000-000082000000}"/>
    <hyperlink ref="G309" r:id="rId133" xr:uid="{00000000-0004-0000-0000-000083000000}"/>
    <hyperlink ref="G316:G319" r:id="rId134" display="davecade@stanford.edu" xr:uid="{00000000-0004-0000-0000-000084000000}"/>
    <hyperlink ref="G314" r:id="rId135" xr:uid="{00000000-0004-0000-0000-000085000000}"/>
    <hyperlink ref="G315" r:id="rId136" xr:uid="{00000000-0004-0000-0000-000086000000}"/>
    <hyperlink ref="G316" r:id="rId137" xr:uid="{00000000-0004-0000-0000-000087000000}"/>
    <hyperlink ref="G109" r:id="rId138" xr:uid="{00000000-0004-0000-0000-000088000000}"/>
    <hyperlink ref="G119" r:id="rId139" xr:uid="{00000000-0004-0000-0000-000089000000}"/>
    <hyperlink ref="G102" r:id="rId140" xr:uid="{00000000-0004-0000-0000-00008A000000}"/>
    <hyperlink ref="G103" r:id="rId141" xr:uid="{00000000-0004-0000-0000-00008B000000}"/>
    <hyperlink ref="G297" r:id="rId142" xr:uid="{00000000-0004-0000-0000-00008C000000}"/>
    <hyperlink ref="G296" r:id="rId143" xr:uid="{00000000-0004-0000-0000-00008D000000}"/>
    <hyperlink ref="G299" r:id="rId144" xr:uid="{00000000-0004-0000-0000-00008E000000}"/>
    <hyperlink ref="G302" r:id="rId145" xr:uid="{00000000-0004-0000-0000-00008F000000}"/>
    <hyperlink ref="G115" r:id="rId146" xr:uid="{00000000-0004-0000-0000-000090000000}"/>
    <hyperlink ref="G124" r:id="rId147" xr:uid="{00000000-0004-0000-0000-000091000000}"/>
    <hyperlink ref="G125" r:id="rId148" xr:uid="{00000000-0004-0000-0000-000092000000}"/>
    <hyperlink ref="M120" r:id="rId149" display="?? m" xr:uid="{00000000-0004-0000-0000-000093000000}"/>
    <hyperlink ref="M123" r:id="rId150" display="?? m" xr:uid="{00000000-0004-0000-0000-000094000000}"/>
    <hyperlink ref="M126" r:id="rId151" display="?? m" xr:uid="{00000000-0004-0000-0000-000095000000}"/>
    <hyperlink ref="M124" r:id="rId152" display="?? m" xr:uid="{00000000-0004-0000-0000-000096000000}"/>
    <hyperlink ref="M121" r:id="rId153" display="?? m" xr:uid="{00000000-0004-0000-0000-000097000000}"/>
    <hyperlink ref="M122" r:id="rId154" display="?? m" xr:uid="{00000000-0004-0000-0000-000098000000}"/>
    <hyperlink ref="G111" r:id="rId155" xr:uid="{00000000-0004-0000-0000-000099000000}"/>
    <hyperlink ref="G107" r:id="rId156" xr:uid="{00000000-0004-0000-0000-00009A000000}"/>
    <hyperlink ref="O234" r:id="rId157" display="Ace (MN0500947)" xr:uid="{00000000-0004-0000-0000-00009B000000}"/>
    <hyperlink ref="O274" r:id="rId158" display="MN0500323" xr:uid="{00000000-0004-0000-0000-00009C000000}"/>
  </hyperlinks>
  <pageMargins left="0.7" right="0.7" top="0.75" bottom="0.75" header="0.3" footer="0.3"/>
  <pageSetup orientation="portrait" r:id="rId159"/>
  <legacyDrawing r:id="rId1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4"/>
  <sheetViews>
    <sheetView workbookViewId="0">
      <selection activeCell="B3" sqref="B3"/>
    </sheetView>
  </sheetViews>
  <sheetFormatPr baseColWidth="10" defaultColWidth="8.83203125" defaultRowHeight="15"/>
  <cols>
    <col min="20" max="20" width="12.5" customWidth="1"/>
    <col min="21" max="21" width="10.83203125" customWidth="1"/>
  </cols>
  <sheetData>
    <row r="1" spans="1:51">
      <c r="A1" s="1" t="s">
        <v>1048</v>
      </c>
      <c r="B1" s="25" t="s">
        <v>1050</v>
      </c>
      <c r="C1" s="25" t="s">
        <v>1049</v>
      </c>
      <c r="D1" s="37" t="s">
        <v>1051</v>
      </c>
      <c r="E1" s="37" t="s">
        <v>1052</v>
      </c>
      <c r="F1" s="190" t="s">
        <v>1054</v>
      </c>
      <c r="G1" s="25" t="s">
        <v>1055</v>
      </c>
      <c r="H1" s="25" t="s">
        <v>1053</v>
      </c>
      <c r="I1" s="25"/>
      <c r="J1" s="25"/>
      <c r="K1" s="25"/>
      <c r="L1" s="25"/>
      <c r="M1" s="25"/>
      <c r="N1" s="25"/>
      <c r="O1" s="25"/>
      <c r="P1" s="25"/>
      <c r="Q1" s="25"/>
      <c r="T1" s="2" t="s">
        <v>1056</v>
      </c>
      <c r="U1" s="3" t="s">
        <v>1056</v>
      </c>
      <c r="V1" s="50" t="s">
        <v>1056</v>
      </c>
      <c r="W1" s="25"/>
      <c r="X1" s="25"/>
      <c r="Y1" s="25"/>
      <c r="Z1" s="25"/>
      <c r="AA1" s="25"/>
      <c r="AB1" s="25"/>
      <c r="AC1" s="25"/>
      <c r="AD1" s="25"/>
      <c r="AE1" s="25"/>
      <c r="AF1" s="25"/>
      <c r="AG1" s="25"/>
      <c r="AH1" s="25"/>
      <c r="AI1" s="25"/>
      <c r="AJ1" s="25"/>
      <c r="AK1" s="25"/>
      <c r="AL1" s="25"/>
      <c r="AO1" s="167"/>
      <c r="AP1" s="167"/>
      <c r="AQ1" s="167"/>
      <c r="AR1" s="168"/>
      <c r="AS1" s="135"/>
      <c r="AT1" s="135"/>
      <c r="AU1" s="136"/>
      <c r="AV1" s="149"/>
      <c r="AW1" s="169"/>
      <c r="AX1" s="135"/>
      <c r="AY1" s="135"/>
    </row>
    <row r="2" spans="1:51">
      <c r="B2" s="25">
        <f>COUNTIF('Tag Audit'!B4:B405,"mn")</f>
        <v>175</v>
      </c>
      <c r="C2" s="25">
        <f>COUNTIF('Tag Audit'!B4:B405,"bw")</f>
        <v>77</v>
      </c>
      <c r="D2" s="37">
        <f>COUNTIF('Tag Audit'!B4:B405,"bp")</f>
        <v>31</v>
      </c>
      <c r="E2" s="37">
        <f>COUNTIF('Tag Audit'!B4:B405,"bb")</f>
        <v>10</v>
      </c>
      <c r="F2" s="37">
        <f>COUNTIF('Tag Audit'!B4:B405,"be")</f>
        <v>9</v>
      </c>
      <c r="G2" s="25">
        <f>COUNTIF('Tag Audit'!B4:B405,"er")</f>
        <v>11</v>
      </c>
      <c r="H2" s="25">
        <f>COUNTIF('Tag Audit'!B4:B405,"oo")</f>
        <v>6</v>
      </c>
      <c r="I2" s="25"/>
      <c r="J2" s="25"/>
      <c r="K2" s="25"/>
      <c r="L2" s="25"/>
      <c r="M2" s="25"/>
      <c r="N2" s="25"/>
      <c r="O2" s="25"/>
      <c r="P2" s="25"/>
      <c r="Q2" s="25"/>
      <c r="T2" s="3">
        <f>AVERAGEIF('Tag Audit'!U4:U294,"&gt;0")</f>
        <v>0.41110649995926141</v>
      </c>
      <c r="U2" s="3">
        <f>AVERAGEIF('Tag Audit'!V4:V294,"&gt;0")</f>
        <v>0.33826691647721713</v>
      </c>
      <c r="V2" s="3">
        <f>AVERAGEIF('Tag Audit'!W4:W294,"&gt;0")</f>
        <v>0.11991317531372675</v>
      </c>
      <c r="W2" s="25"/>
      <c r="X2" s="25"/>
      <c r="Y2" s="25"/>
      <c r="Z2" s="25"/>
      <c r="AA2" s="25"/>
      <c r="AB2" s="25"/>
      <c r="AC2" s="25"/>
      <c r="AD2" s="25"/>
      <c r="AE2" s="25"/>
      <c r="AF2" s="25"/>
      <c r="AG2" s="25"/>
      <c r="AH2" s="25"/>
      <c r="AI2" s="25"/>
      <c r="AJ2" s="25"/>
      <c r="AK2" s="25"/>
      <c r="AL2" s="25"/>
      <c r="AO2" s="167"/>
      <c r="AP2" s="167"/>
      <c r="AQ2" s="167"/>
      <c r="AR2" s="168"/>
      <c r="AS2" s="135"/>
      <c r="AT2" s="135"/>
      <c r="AU2" s="136"/>
      <c r="AV2" s="149"/>
      <c r="AW2" s="169"/>
      <c r="AX2" s="135"/>
      <c r="AY2" s="135"/>
    </row>
    <row r="3" spans="1:51">
      <c r="B3" s="25"/>
      <c r="D3" s="45"/>
      <c r="E3" s="37"/>
      <c r="F3" s="88"/>
      <c r="G3" s="58"/>
      <c r="H3" s="25"/>
      <c r="I3" s="25"/>
      <c r="J3" s="25"/>
      <c r="K3" s="25"/>
      <c r="L3" s="25"/>
      <c r="M3" s="25"/>
      <c r="N3" s="25"/>
      <c r="O3" s="25"/>
      <c r="P3" s="25"/>
      <c r="Q3" s="25"/>
      <c r="T3" s="2" t="s">
        <v>1057</v>
      </c>
      <c r="U3" s="3" t="s">
        <v>1057</v>
      </c>
      <c r="V3" s="50" t="s">
        <v>1057</v>
      </c>
      <c r="W3" s="25"/>
      <c r="X3" s="25"/>
      <c r="Y3" s="25"/>
      <c r="Z3" s="25"/>
      <c r="AA3" s="25"/>
      <c r="AB3" s="25"/>
      <c r="AC3" s="25"/>
      <c r="AD3" s="25"/>
      <c r="AE3" s="25"/>
      <c r="AF3" s="25"/>
      <c r="AG3" s="25"/>
      <c r="AH3" s="25"/>
      <c r="AI3" s="25"/>
      <c r="AJ3" s="25"/>
      <c r="AK3" s="25"/>
      <c r="AL3" s="25"/>
      <c r="AO3" s="167"/>
      <c r="AP3" s="167"/>
      <c r="AQ3" s="167"/>
      <c r="AR3" s="168"/>
      <c r="AS3" s="135"/>
      <c r="AT3" s="135"/>
      <c r="AU3" s="136"/>
      <c r="AV3" s="149"/>
      <c r="AW3" s="169"/>
      <c r="AX3" s="135"/>
      <c r="AY3" s="135"/>
    </row>
    <row r="4" spans="1:51">
      <c r="B4" s="25"/>
      <c r="D4" s="45"/>
      <c r="E4" s="37"/>
      <c r="F4" s="88"/>
      <c r="G4" s="58"/>
      <c r="H4" s="25"/>
      <c r="I4" s="25"/>
      <c r="J4" s="25"/>
      <c r="K4" s="25"/>
      <c r="L4" s="25"/>
      <c r="M4" s="25"/>
      <c r="N4" s="25"/>
      <c r="O4" s="25"/>
      <c r="P4" s="25"/>
      <c r="Q4" s="25"/>
      <c r="T4" s="191">
        <f>SUMIF('Tag Audit'!U4:U294,"&gt;0")</f>
        <v>117.1653524883895</v>
      </c>
      <c r="U4" s="191">
        <f>SUMIF('Tag Audit'!V4:V294,"&gt;0")</f>
        <v>95.05300353009801</v>
      </c>
      <c r="V4" s="191">
        <f>SUMIF('Tag Audit'!W4:W294,"&gt;0")</f>
        <v>29.018988425921872</v>
      </c>
      <c r="W4" s="25"/>
      <c r="X4" s="25"/>
      <c r="Y4" s="25"/>
      <c r="Z4" s="25"/>
      <c r="AA4" s="25"/>
      <c r="AB4" s="25"/>
      <c r="AC4" s="25"/>
      <c r="AD4" s="25"/>
      <c r="AE4" s="25"/>
      <c r="AF4" s="25"/>
      <c r="AG4" s="25"/>
      <c r="AH4" s="25"/>
      <c r="AI4" s="25"/>
      <c r="AJ4" s="25"/>
      <c r="AK4" s="25"/>
      <c r="AL4" s="25"/>
      <c r="AO4" s="167"/>
      <c r="AP4" s="167"/>
      <c r="AQ4" s="167"/>
      <c r="AR4" s="168"/>
      <c r="AS4" s="135"/>
      <c r="AT4" s="135"/>
      <c r="AU4" s="136"/>
      <c r="AV4" s="149"/>
      <c r="AW4" s="169"/>
      <c r="AX4" s="135"/>
      <c r="AY4" s="13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
  <sheetViews>
    <sheetView workbookViewId="0">
      <selection activeCell="A23" sqref="A23"/>
    </sheetView>
  </sheetViews>
  <sheetFormatPr baseColWidth="10" defaultColWidth="8.83203125" defaultRowHeight="15"/>
  <cols>
    <col min="1" max="1" width="20.33203125" customWidth="1"/>
    <col min="2" max="2" width="22.33203125" customWidth="1"/>
    <col min="3" max="3" width="17.5" customWidth="1"/>
    <col min="4" max="4" width="20.1640625" customWidth="1"/>
    <col min="5" max="5" width="15.1640625" customWidth="1"/>
  </cols>
  <sheetData>
    <row r="1" spans="1:5">
      <c r="A1" t="s">
        <v>765</v>
      </c>
      <c r="B1" t="s">
        <v>766</v>
      </c>
      <c r="C1" t="s">
        <v>767</v>
      </c>
      <c r="D1" t="s">
        <v>768</v>
      </c>
      <c r="E1" t="s">
        <v>769</v>
      </c>
    </row>
    <row r="2" spans="1:5">
      <c r="A2" t="s">
        <v>695</v>
      </c>
      <c r="B2" t="s">
        <v>693</v>
      </c>
      <c r="C2" t="s">
        <v>694</v>
      </c>
      <c r="D2" t="s">
        <v>696</v>
      </c>
    </row>
    <row r="3" spans="1:5">
      <c r="A3" t="s">
        <v>456</v>
      </c>
      <c r="B3" t="s">
        <v>770</v>
      </c>
      <c r="C3" t="s">
        <v>771</v>
      </c>
      <c r="D3" t="s">
        <v>696</v>
      </c>
    </row>
    <row r="4" spans="1:5">
      <c r="A4" s="55" t="s">
        <v>458</v>
      </c>
      <c r="B4" t="s">
        <v>697</v>
      </c>
      <c r="C4" t="s">
        <v>698</v>
      </c>
      <c r="D4" t="s">
        <v>696</v>
      </c>
    </row>
    <row r="5" spans="1:5">
      <c r="A5" t="s">
        <v>459</v>
      </c>
      <c r="B5" t="s">
        <v>772</v>
      </c>
      <c r="C5" t="s">
        <v>773</v>
      </c>
      <c r="D5" t="s">
        <v>696</v>
      </c>
    </row>
    <row r="6" spans="1:5">
      <c r="A6" t="s">
        <v>457</v>
      </c>
      <c r="B6" t="s">
        <v>699</v>
      </c>
      <c r="C6" t="s">
        <v>700</v>
      </c>
      <c r="D6" t="s">
        <v>696</v>
      </c>
      <c r="E6" s="55" t="s">
        <v>774</v>
      </c>
    </row>
    <row r="7" spans="1:5">
      <c r="A7" t="s">
        <v>460</v>
      </c>
      <c r="B7" t="s">
        <v>775</v>
      </c>
      <c r="D7" t="s">
        <v>696</v>
      </c>
    </row>
    <row r="8" spans="1:5">
      <c r="A8" t="s">
        <v>527</v>
      </c>
      <c r="D8" t="s">
        <v>696</v>
      </c>
    </row>
    <row r="9" spans="1:5">
      <c r="A9" t="s">
        <v>525</v>
      </c>
      <c r="D9" t="s">
        <v>696</v>
      </c>
    </row>
    <row r="10" spans="1:5">
      <c r="A10" t="s">
        <v>455</v>
      </c>
      <c r="B10" t="s">
        <v>776</v>
      </c>
      <c r="C10" t="s">
        <v>771</v>
      </c>
      <c r="D10" t="s">
        <v>696</v>
      </c>
    </row>
    <row r="11" spans="1:5">
      <c r="A11" t="s">
        <v>524</v>
      </c>
      <c r="D11" t="s">
        <v>696</v>
      </c>
    </row>
  </sheetData>
  <hyperlinks>
    <hyperlink ref="A10" r:id="rId1" xr:uid="{00000000-0004-0000-0200-000000000000}"/>
    <hyperlink ref="A3" r:id="rId2" xr:uid="{00000000-0004-0000-0200-000001000000}"/>
    <hyperlink ref="A7:A11" r:id="rId3" display="jergold@stanford.edu" xr:uid="{00000000-0004-0000-0200-000002000000}"/>
    <hyperlink ref="A9:A11" r:id="rId4" display="calambokidis@cascadiaresearch.org" xr:uid="{00000000-0004-0000-0200-000003000000}"/>
    <hyperlink ref="A11" r:id="rId5" display="mailto:MaSi@natur.gl" xr:uid="{00000000-0004-0000-0200-000004000000}"/>
    <hyperlink ref="A4" r:id="rId6" xr:uid="{00000000-0004-0000-0200-000005000000}"/>
    <hyperlink ref="E6"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D55"/>
  <sheetViews>
    <sheetView workbookViewId="0">
      <selection activeCell="A4" sqref="A4:XFD4"/>
    </sheetView>
  </sheetViews>
  <sheetFormatPr baseColWidth="10" defaultColWidth="8.83203125" defaultRowHeight="15"/>
  <cols>
    <col min="1" max="1" width="15.33203125" customWidth="1"/>
    <col min="2" max="2" width="98.5" customWidth="1"/>
    <col min="3" max="3" width="119.33203125" customWidth="1"/>
  </cols>
  <sheetData>
    <row r="1" spans="1:4" ht="23">
      <c r="A1" s="9" t="s">
        <v>75</v>
      </c>
      <c r="B1" s="9"/>
    </row>
    <row r="3" spans="1:4">
      <c r="A3" t="s">
        <v>280</v>
      </c>
      <c r="B3" t="s">
        <v>281</v>
      </c>
    </row>
    <row r="5" spans="1:4">
      <c r="A5" s="6" t="s">
        <v>70</v>
      </c>
      <c r="B5" s="6" t="s">
        <v>71</v>
      </c>
      <c r="C5" s="1" t="s">
        <v>137</v>
      </c>
      <c r="D5" t="s">
        <v>100</v>
      </c>
    </row>
    <row r="6" spans="1:4" ht="5" customHeight="1">
      <c r="A6" s="8"/>
      <c r="B6" s="8"/>
    </row>
    <row r="7" spans="1:4">
      <c r="A7" s="12" t="s">
        <v>72</v>
      </c>
      <c r="B7" s="12" t="s">
        <v>74</v>
      </c>
      <c r="C7" t="s">
        <v>141</v>
      </c>
    </row>
    <row r="8" spans="1:4">
      <c r="A8" s="12" t="s">
        <v>76</v>
      </c>
      <c r="B8" s="12" t="s">
        <v>86</v>
      </c>
      <c r="C8" s="16" t="s">
        <v>163</v>
      </c>
    </row>
    <row r="9" spans="1:4">
      <c r="A9" s="12" t="s">
        <v>77</v>
      </c>
      <c r="B9" s="12" t="s">
        <v>85</v>
      </c>
      <c r="C9" t="s">
        <v>142</v>
      </c>
      <c r="D9" t="s">
        <v>164</v>
      </c>
    </row>
    <row r="10" spans="1:4">
      <c r="A10" s="12" t="s">
        <v>83</v>
      </c>
      <c r="B10" s="12" t="s">
        <v>84</v>
      </c>
      <c r="C10" t="s">
        <v>140</v>
      </c>
    </row>
    <row r="11" spans="1:4" ht="16.5" customHeight="1">
      <c r="A11" s="12" t="s">
        <v>87</v>
      </c>
      <c r="B11" s="12" t="s">
        <v>232</v>
      </c>
      <c r="C11" t="s">
        <v>143</v>
      </c>
    </row>
    <row r="12" spans="1:4">
      <c r="A12" s="12" t="s">
        <v>78</v>
      </c>
      <c r="B12" s="12" t="s">
        <v>6</v>
      </c>
      <c r="C12" t="s">
        <v>144</v>
      </c>
    </row>
    <row r="13" spans="1:4">
      <c r="A13" s="12" t="s">
        <v>88</v>
      </c>
      <c r="B13" s="12" t="s">
        <v>138</v>
      </c>
      <c r="C13" t="s">
        <v>156</v>
      </c>
    </row>
    <row r="14" spans="1:4">
      <c r="A14" s="13" t="s">
        <v>136</v>
      </c>
      <c r="B14" s="13" t="s">
        <v>145</v>
      </c>
      <c r="C14" t="s">
        <v>233</v>
      </c>
    </row>
    <row r="15" spans="1:4">
      <c r="A15" s="12" t="s">
        <v>89</v>
      </c>
      <c r="B15" s="12" t="s">
        <v>139</v>
      </c>
      <c r="C15" t="s">
        <v>158</v>
      </c>
    </row>
    <row r="16" spans="1:4" ht="29">
      <c r="A16" s="12" t="s">
        <v>135</v>
      </c>
      <c r="B16" s="12" t="s">
        <v>146</v>
      </c>
      <c r="C16" t="s">
        <v>157</v>
      </c>
    </row>
    <row r="17" spans="1:4">
      <c r="A17" s="14" t="s">
        <v>92</v>
      </c>
      <c r="B17" s="14" t="s">
        <v>147</v>
      </c>
      <c r="C17" t="s">
        <v>159</v>
      </c>
    </row>
    <row r="18" spans="1:4">
      <c r="A18" s="12" t="s">
        <v>93</v>
      </c>
      <c r="B18" s="12" t="s">
        <v>148</v>
      </c>
      <c r="C18" t="s">
        <v>159</v>
      </c>
    </row>
    <row r="19" spans="1:4">
      <c r="A19" s="12" t="s">
        <v>94</v>
      </c>
      <c r="B19" s="12" t="s">
        <v>149</v>
      </c>
      <c r="C19" s="16" t="s">
        <v>163</v>
      </c>
    </row>
    <row r="20" spans="1:4">
      <c r="A20" s="12" t="s">
        <v>95</v>
      </c>
      <c r="B20" s="12" t="s">
        <v>150</v>
      </c>
      <c r="C20" s="16" t="s">
        <v>163</v>
      </c>
    </row>
    <row r="21" spans="1:4">
      <c r="A21" s="12" t="s">
        <v>96</v>
      </c>
      <c r="B21" s="12" t="s">
        <v>151</v>
      </c>
      <c r="C21" s="16" t="s">
        <v>163</v>
      </c>
    </row>
    <row r="22" spans="1:4">
      <c r="A22" s="15" t="s">
        <v>97</v>
      </c>
      <c r="B22" s="15" t="s">
        <v>152</v>
      </c>
      <c r="C22" s="16" t="s">
        <v>163</v>
      </c>
    </row>
    <row r="23" spans="1:4">
      <c r="A23" s="12" t="s">
        <v>98</v>
      </c>
      <c r="B23" s="12" t="s">
        <v>153</v>
      </c>
      <c r="C23" s="16" t="s">
        <v>163</v>
      </c>
    </row>
    <row r="24" spans="1:4">
      <c r="A24" s="12" t="s">
        <v>99</v>
      </c>
      <c r="B24" s="12" t="s">
        <v>154</v>
      </c>
      <c r="C24" s="16" t="s">
        <v>163</v>
      </c>
    </row>
    <row r="25" spans="1:4" s="19" customFormat="1">
      <c r="A25" s="18"/>
      <c r="B25" s="18" t="s">
        <v>13</v>
      </c>
      <c r="D25" s="19" t="s">
        <v>101</v>
      </c>
    </row>
    <row r="26" spans="1:4">
      <c r="A26" s="12" t="s">
        <v>79</v>
      </c>
      <c r="B26" s="12" t="s">
        <v>11</v>
      </c>
      <c r="C26" s="16" t="s">
        <v>166</v>
      </c>
    </row>
    <row r="27" spans="1:4">
      <c r="A27" s="12" t="s">
        <v>102</v>
      </c>
      <c r="B27" s="12" t="s">
        <v>155</v>
      </c>
      <c r="C27" t="s">
        <v>160</v>
      </c>
    </row>
    <row r="28" spans="1:4">
      <c r="A28" s="12" t="s">
        <v>80</v>
      </c>
      <c r="B28" s="12" t="s">
        <v>12</v>
      </c>
      <c r="C28" s="16" t="s">
        <v>165</v>
      </c>
    </row>
    <row r="29" spans="1:4">
      <c r="A29" s="12" t="s">
        <v>103</v>
      </c>
      <c r="B29" s="12" t="s">
        <v>14</v>
      </c>
      <c r="C29" t="s">
        <v>161</v>
      </c>
    </row>
    <row r="30" spans="1:4">
      <c r="A30" s="12" t="s">
        <v>105</v>
      </c>
      <c r="B30" s="12" t="s">
        <v>33</v>
      </c>
      <c r="C30" t="s">
        <v>162</v>
      </c>
    </row>
    <row r="31" spans="1:4">
      <c r="A31" s="12" t="s">
        <v>106</v>
      </c>
      <c r="B31" s="12" t="s">
        <v>108</v>
      </c>
      <c r="C31" t="s">
        <v>162</v>
      </c>
    </row>
    <row r="32" spans="1:4">
      <c r="A32" s="12" t="s">
        <v>109</v>
      </c>
      <c r="B32" s="12" t="s">
        <v>110</v>
      </c>
      <c r="C32" t="s">
        <v>162</v>
      </c>
    </row>
    <row r="33" spans="1:3">
      <c r="A33" s="12" t="s">
        <v>27</v>
      </c>
      <c r="B33" s="12" t="s">
        <v>111</v>
      </c>
      <c r="C33" t="s">
        <v>162</v>
      </c>
    </row>
    <row r="34" spans="1:3">
      <c r="A34" s="12" t="s">
        <v>113</v>
      </c>
      <c r="B34" s="12" t="s">
        <v>112</v>
      </c>
      <c r="C34" t="s">
        <v>162</v>
      </c>
    </row>
    <row r="35" spans="1:3">
      <c r="A35" s="12" t="s">
        <v>81</v>
      </c>
      <c r="B35" s="12" t="s">
        <v>23</v>
      </c>
      <c r="C35" t="s">
        <v>162</v>
      </c>
    </row>
    <row r="36" spans="1:3">
      <c r="A36" s="12" t="s">
        <v>116</v>
      </c>
      <c r="B36" s="12" t="s">
        <v>118</v>
      </c>
      <c r="C36" t="s">
        <v>162</v>
      </c>
    </row>
    <row r="37" spans="1:3">
      <c r="A37" s="12" t="s">
        <v>82</v>
      </c>
      <c r="B37" s="12" t="s">
        <v>119</v>
      </c>
      <c r="C37" t="s">
        <v>162</v>
      </c>
    </row>
    <row r="38" spans="1:3">
      <c r="A38" s="12" t="s">
        <v>107</v>
      </c>
      <c r="B38" s="12" t="s">
        <v>120</v>
      </c>
      <c r="C38" t="s">
        <v>162</v>
      </c>
    </row>
    <row r="39" spans="1:3">
      <c r="A39" s="12" t="s">
        <v>114</v>
      </c>
      <c r="B39" s="12" t="s">
        <v>121</v>
      </c>
      <c r="C39" t="s">
        <v>162</v>
      </c>
    </row>
    <row r="40" spans="1:3">
      <c r="A40" s="12" t="s">
        <v>115</v>
      </c>
      <c r="B40" s="12" t="s">
        <v>122</v>
      </c>
      <c r="C40" t="s">
        <v>162</v>
      </c>
    </row>
    <row r="41" spans="1:3">
      <c r="A41" s="12" t="s">
        <v>124</v>
      </c>
      <c r="B41" s="12" t="s">
        <v>123</v>
      </c>
      <c r="C41" t="s">
        <v>162</v>
      </c>
    </row>
    <row r="42" spans="1:3">
      <c r="A42" s="12" t="s">
        <v>117</v>
      </c>
      <c r="B42" s="12" t="s">
        <v>125</v>
      </c>
      <c r="C42" t="s">
        <v>162</v>
      </c>
    </row>
    <row r="43" spans="1:3">
      <c r="A43" s="12" t="s">
        <v>126</v>
      </c>
      <c r="B43" s="12" t="s">
        <v>127</v>
      </c>
      <c r="C43" t="s">
        <v>162</v>
      </c>
    </row>
    <row r="44" spans="1:3" ht="15.75" customHeight="1">
      <c r="A44" s="12" t="s">
        <v>104</v>
      </c>
      <c r="B44" s="12" t="s">
        <v>215</v>
      </c>
      <c r="C44" t="s">
        <v>225</v>
      </c>
    </row>
    <row r="45" spans="1:3" ht="13.5" customHeight="1">
      <c r="A45" s="12" t="s">
        <v>73</v>
      </c>
      <c r="B45" s="12" t="s">
        <v>216</v>
      </c>
      <c r="C45" t="s">
        <v>226</v>
      </c>
    </row>
    <row r="46" spans="1:3">
      <c r="A46" s="12" t="s">
        <v>213</v>
      </c>
      <c r="B46" s="12" t="s">
        <v>217</v>
      </c>
      <c r="C46" t="s">
        <v>227</v>
      </c>
    </row>
    <row r="47" spans="1:3">
      <c r="A47" s="12" t="s">
        <v>68</v>
      </c>
      <c r="B47" s="12" t="s">
        <v>218</v>
      </c>
      <c r="C47" t="s">
        <v>228</v>
      </c>
    </row>
    <row r="48" spans="1:3">
      <c r="A48" s="12" t="s">
        <v>128</v>
      </c>
      <c r="B48" s="12" t="s">
        <v>219</v>
      </c>
      <c r="C48" t="s">
        <v>229</v>
      </c>
    </row>
    <row r="49" spans="1:3">
      <c r="A49" s="12" t="s">
        <v>69</v>
      </c>
      <c r="B49" s="12" t="s">
        <v>220</v>
      </c>
      <c r="C49" t="s">
        <v>230</v>
      </c>
    </row>
    <row r="50" spans="1:3" ht="16.5" customHeight="1">
      <c r="A50" s="12" t="s">
        <v>214</v>
      </c>
      <c r="B50" s="12" t="s">
        <v>221</v>
      </c>
      <c r="C50" t="s">
        <v>231</v>
      </c>
    </row>
    <row r="51" spans="1:3" ht="3" customHeight="1"/>
    <row r="52" spans="1:3" ht="3.75" customHeight="1"/>
    <row r="54" spans="1:3">
      <c r="A54" s="1" t="s">
        <v>222</v>
      </c>
    </row>
    <row r="55" spans="1:3">
      <c r="A55" s="20" t="s">
        <v>223</v>
      </c>
      <c r="B55" s="21" t="s">
        <v>224</v>
      </c>
    </row>
  </sheetData>
  <customSheetViews>
    <customSheetView guid="{51C2572D-CBA9-42BB-AFB3-00687F2DE6AB}">
      <selection activeCell="A4" sqref="A4:XFD4"/>
      <pageMargins left="0.7" right="0.7" top="0.75" bottom="0.75" header="0.3" footer="0.3"/>
      <pageSetup orientation="portrait" horizontalDpi="0" verticalDpi="0" r:id="rId1"/>
    </customSheetView>
  </customSheetViews>
  <conditionalFormatting sqref="A7:B50">
    <cfRule type="expression" dxfId="4" priority="1">
      <formula>MOD(ROW(), 2)=1</formula>
    </cfRule>
  </conditionalFormatting>
  <pageMargins left="0.7" right="0.7" top="0.75" bottom="0.75" header="0.3" footer="0.3"/>
  <pageSetup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AR40"/>
  <sheetViews>
    <sheetView workbookViewId="0">
      <selection activeCell="E1" sqref="E1:AR1"/>
    </sheetView>
  </sheetViews>
  <sheetFormatPr baseColWidth="10" defaultColWidth="8.83203125" defaultRowHeight="15"/>
  <sheetData>
    <row r="1" spans="1:44">
      <c r="A1" t="s">
        <v>0</v>
      </c>
      <c r="B1" t="s">
        <v>72</v>
      </c>
      <c r="E1" t="s">
        <v>72</v>
      </c>
      <c r="F1" t="s">
        <v>76</v>
      </c>
      <c r="G1" t="s">
        <v>77</v>
      </c>
      <c r="H1" t="s">
        <v>83</v>
      </c>
      <c r="I1" t="s">
        <v>87</v>
      </c>
      <c r="J1" t="s">
        <v>78</v>
      </c>
      <c r="K1" t="s">
        <v>88</v>
      </c>
      <c r="L1" t="s">
        <v>90</v>
      </c>
      <c r="M1" t="s">
        <v>89</v>
      </c>
      <c r="N1" t="s">
        <v>91</v>
      </c>
      <c r="O1" t="s">
        <v>92</v>
      </c>
      <c r="P1" t="s">
        <v>93</v>
      </c>
      <c r="Q1" t="s">
        <v>94</v>
      </c>
      <c r="R1" t="s">
        <v>95</v>
      </c>
      <c r="S1" t="s">
        <v>96</v>
      </c>
      <c r="T1" t="s">
        <v>97</v>
      </c>
      <c r="U1" t="s">
        <v>98</v>
      </c>
      <c r="V1" t="s">
        <v>99</v>
      </c>
      <c r="X1" t="s">
        <v>79</v>
      </c>
      <c r="Y1" t="s">
        <v>102</v>
      </c>
      <c r="Z1" t="s">
        <v>80</v>
      </c>
      <c r="AA1" t="s">
        <v>103</v>
      </c>
      <c r="AE1" t="s">
        <v>105</v>
      </c>
      <c r="AF1" t="s">
        <v>106</v>
      </c>
      <c r="AG1" t="s">
        <v>109</v>
      </c>
      <c r="AH1" t="s">
        <v>27</v>
      </c>
      <c r="AI1" t="s">
        <v>113</v>
      </c>
      <c r="AJ1" t="s">
        <v>81</v>
      </c>
      <c r="AK1" t="s">
        <v>116</v>
      </c>
      <c r="AL1" t="s">
        <v>82</v>
      </c>
      <c r="AM1" t="s">
        <v>107</v>
      </c>
      <c r="AN1" t="s">
        <v>114</v>
      </c>
      <c r="AO1" t="s">
        <v>115</v>
      </c>
      <c r="AP1" t="s">
        <v>124</v>
      </c>
      <c r="AQ1" t="s">
        <v>117</v>
      </c>
      <c r="AR1" t="s">
        <v>126</v>
      </c>
    </row>
    <row r="2" spans="1:44">
      <c r="A2" t="s">
        <v>36</v>
      </c>
      <c r="B2" t="s">
        <v>76</v>
      </c>
    </row>
    <row r="3" spans="1:44">
      <c r="A3" t="s">
        <v>15</v>
      </c>
      <c r="B3" t="s">
        <v>77</v>
      </c>
    </row>
    <row r="4" spans="1:44">
      <c r="A4" t="s">
        <v>16</v>
      </c>
      <c r="B4" t="s">
        <v>83</v>
      </c>
    </row>
    <row r="5" spans="1:44">
      <c r="A5" t="s">
        <v>5</v>
      </c>
      <c r="B5" t="s">
        <v>87</v>
      </c>
    </row>
    <row r="6" spans="1:44">
      <c r="A6" t="s">
        <v>6</v>
      </c>
      <c r="B6" t="s">
        <v>78</v>
      </c>
    </row>
    <row r="7" spans="1:44">
      <c r="A7" t="s">
        <v>3</v>
      </c>
      <c r="B7" t="s">
        <v>88</v>
      </c>
    </row>
    <row r="8" spans="1:44">
      <c r="A8" t="s">
        <v>1</v>
      </c>
      <c r="B8" t="s">
        <v>90</v>
      </c>
    </row>
    <row r="9" spans="1:44">
      <c r="A9" t="s">
        <v>4</v>
      </c>
      <c r="B9" t="s">
        <v>89</v>
      </c>
    </row>
    <row r="10" spans="1:44">
      <c r="A10" t="s">
        <v>2</v>
      </c>
      <c r="B10" t="s">
        <v>91</v>
      </c>
    </row>
    <row r="11" spans="1:44">
      <c r="A11" t="s">
        <v>54</v>
      </c>
      <c r="B11" t="s">
        <v>92</v>
      </c>
    </row>
    <row r="12" spans="1:44">
      <c r="A12" t="s">
        <v>31</v>
      </c>
      <c r="B12" t="s">
        <v>93</v>
      </c>
    </row>
    <row r="13" spans="1:44">
      <c r="A13" t="s">
        <v>7</v>
      </c>
      <c r="B13" t="s">
        <v>94</v>
      </c>
    </row>
    <row r="14" spans="1:44">
      <c r="A14" t="s">
        <v>8</v>
      </c>
      <c r="B14" t="s">
        <v>95</v>
      </c>
    </row>
    <row r="15" spans="1:44">
      <c r="A15" t="s">
        <v>13</v>
      </c>
      <c r="B15" t="s">
        <v>96</v>
      </c>
    </row>
    <row r="16" spans="1:44">
      <c r="A16" t="s">
        <v>35</v>
      </c>
      <c r="B16" t="s">
        <v>97</v>
      </c>
    </row>
    <row r="17" spans="1:2">
      <c r="A17" t="s">
        <v>9</v>
      </c>
      <c r="B17" t="s">
        <v>98</v>
      </c>
    </row>
    <row r="18" spans="1:2">
      <c r="A18" t="s">
        <v>10</v>
      </c>
      <c r="B18" t="s">
        <v>99</v>
      </c>
    </row>
    <row r="19" spans="1:2">
      <c r="A19" t="s">
        <v>13</v>
      </c>
    </row>
    <row r="20" spans="1:2">
      <c r="A20" t="s">
        <v>11</v>
      </c>
      <c r="B20" t="s">
        <v>79</v>
      </c>
    </row>
    <row r="21" spans="1:2">
      <c r="A21" t="s">
        <v>30</v>
      </c>
      <c r="B21" t="s">
        <v>102</v>
      </c>
    </row>
    <row r="22" spans="1:2">
      <c r="A22" t="s">
        <v>12</v>
      </c>
      <c r="B22" t="s">
        <v>80</v>
      </c>
    </row>
    <row r="23" spans="1:2">
      <c r="A23" t="s">
        <v>14</v>
      </c>
      <c r="B23" t="s">
        <v>103</v>
      </c>
    </row>
    <row r="24" spans="1:2">
      <c r="A24" t="s">
        <v>49</v>
      </c>
    </row>
    <row r="25" spans="1:2">
      <c r="A25" t="s">
        <v>28</v>
      </c>
    </row>
    <row r="26" spans="1:2">
      <c r="A26" t="s">
        <v>29</v>
      </c>
    </row>
    <row r="27" spans="1:2">
      <c r="A27" t="s">
        <v>33</v>
      </c>
      <c r="B27" t="s">
        <v>105</v>
      </c>
    </row>
    <row r="28" spans="1:2">
      <c r="A28" t="s">
        <v>22</v>
      </c>
      <c r="B28" t="s">
        <v>106</v>
      </c>
    </row>
    <row r="29" spans="1:2">
      <c r="A29" t="s">
        <v>32</v>
      </c>
      <c r="B29" t="s">
        <v>109</v>
      </c>
    </row>
    <row r="30" spans="1:2">
      <c r="A30" t="s">
        <v>27</v>
      </c>
      <c r="B30" t="s">
        <v>27</v>
      </c>
    </row>
    <row r="31" spans="1:2">
      <c r="A31" t="s">
        <v>42</v>
      </c>
      <c r="B31" t="s">
        <v>113</v>
      </c>
    </row>
    <row r="32" spans="1:2">
      <c r="A32" t="s">
        <v>23</v>
      </c>
      <c r="B32" t="s">
        <v>81</v>
      </c>
    </row>
    <row r="33" spans="1:2">
      <c r="A33" t="s">
        <v>24</v>
      </c>
      <c r="B33" t="s">
        <v>116</v>
      </c>
    </row>
    <row r="34" spans="1:2">
      <c r="A34" t="s">
        <v>17</v>
      </c>
      <c r="B34" t="s">
        <v>82</v>
      </c>
    </row>
    <row r="35" spans="1:2">
      <c r="A35" t="s">
        <v>18</v>
      </c>
      <c r="B35" t="s">
        <v>107</v>
      </c>
    </row>
    <row r="36" spans="1:2">
      <c r="A36" t="s">
        <v>19</v>
      </c>
      <c r="B36" t="s">
        <v>114</v>
      </c>
    </row>
    <row r="37" spans="1:2">
      <c r="A37" t="s">
        <v>20</v>
      </c>
      <c r="B37" t="s">
        <v>115</v>
      </c>
    </row>
    <row r="38" spans="1:2">
      <c r="A38" t="s">
        <v>21</v>
      </c>
      <c r="B38" t="s">
        <v>124</v>
      </c>
    </row>
    <row r="39" spans="1:2">
      <c r="A39" t="s">
        <v>26</v>
      </c>
      <c r="B39" t="s">
        <v>117</v>
      </c>
    </row>
    <row r="40" spans="1:2">
      <c r="A40" t="s">
        <v>25</v>
      </c>
      <c r="B40" t="s">
        <v>126</v>
      </c>
    </row>
  </sheetData>
  <conditionalFormatting sqref="B2:B40">
    <cfRule type="expression" dxfId="3" priority="4">
      <formula>MOD(ROW(), 2)=1</formula>
    </cfRule>
  </conditionalFormatting>
  <conditionalFormatting sqref="A2:A18">
    <cfRule type="expression" dxfId="2" priority="3">
      <formula>MOD(ROW(), 2)=1</formula>
    </cfRule>
  </conditionalFormatting>
  <conditionalFormatting sqref="A19:A40">
    <cfRule type="expression" dxfId="1" priority="2">
      <formula>MOD(ROW(), 2)=1</formula>
    </cfRule>
  </conditionalFormatting>
  <conditionalFormatting sqref="F1:AR1">
    <cfRule type="expression" dxfId="0" priority="1">
      <formula>MOD(ROW(), 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Tag Audit</vt:lpstr>
      <vt:lpstr>Summaries</vt:lpstr>
      <vt:lpstr>DataProviders</vt:lpstr>
      <vt:lpstr>Variable Dictionary</vt:lpstr>
      <vt:lpstr>Audit Data -&gt;</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dc:creator>
  <cp:lastModifiedBy>Microsoft Office User</cp:lastModifiedBy>
  <dcterms:created xsi:type="dcterms:W3CDTF">2016-09-18T08:31:16Z</dcterms:created>
  <dcterms:modified xsi:type="dcterms:W3CDTF">2019-02-18T23:10:02Z</dcterms:modified>
</cp:coreProperties>
</file>