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5" yWindow="-165" windowWidth="14430" windowHeight="12795"/>
  </bookViews>
  <sheets>
    <sheet name="main" sheetId="1" r:id="rId1"/>
    <sheet name="gas phase enthalpy" sheetId="2" r:id="rId2"/>
  </sheets>
  <definedNames>
    <definedName name="deltaT">main!$C$7</definedName>
    <definedName name="H_C">main!$F$32</definedName>
    <definedName name="H_CH">main!$F$33</definedName>
    <definedName name="H_CH2">main!$F$34</definedName>
    <definedName name="H_CH3">main!$F$35</definedName>
    <definedName name="H_CH4">main!$F$37</definedName>
    <definedName name="H_CO">main!$F$30</definedName>
    <definedName name="H_CO2">main!$F$31</definedName>
    <definedName name="H_COOH">main!$F$36</definedName>
    <definedName name="H_H">main!$F$27</definedName>
    <definedName name="H_H2">main!$D$20</definedName>
    <definedName name="H_H2O">main!$F$29</definedName>
    <definedName name="H_O">main!$F$38</definedName>
    <definedName name="H_OH">main!$F$28</definedName>
    <definedName name="MW_CH4">main!$C$19</definedName>
    <definedName name="MW_CO">main!$C$22</definedName>
    <definedName name="MW_CO2">main!$C$23</definedName>
    <definedName name="MW_H2">main!$C$20</definedName>
    <definedName name="MW_H2O">main!$C$21</definedName>
    <definedName name="Q_C">main!$E$32</definedName>
    <definedName name="Q_CH">main!$E$33</definedName>
    <definedName name="Q_CH2">main!$E$34</definedName>
    <definedName name="Q_CH3">main!$E$35</definedName>
    <definedName name="Q_CH4">main!$E$37</definedName>
    <definedName name="Q_CO">main!$E$30</definedName>
    <definedName name="Q_CO2">main!$E$31</definedName>
    <definedName name="Q_COOH">main!$E$36</definedName>
    <definedName name="Q_H">main!$E$27</definedName>
    <definedName name="Q_H2O">main!$E$29</definedName>
    <definedName name="Q_O">main!$E$38</definedName>
    <definedName name="Q_OH">main!$E$28</definedName>
    <definedName name="Rgas">main!$C$3</definedName>
    <definedName name="T">main!$C$5</definedName>
    <definedName name="T0">main!$C$6</definedName>
    <definedName name="ϑCO">main!$C$12</definedName>
    <definedName name="ϑH">main!$C$11</definedName>
    <definedName name="ϑH2O">main!$C$13</definedName>
    <definedName name="ϑO">main!$C$15</definedName>
    <definedName name="ϑOH">main!$C$14</definedName>
  </definedNames>
  <calcPr calcId="145621"/>
</workbook>
</file>

<file path=xl/calcChain.xml><?xml version="1.0" encoding="utf-8"?>
<calcChain xmlns="http://schemas.openxmlformats.org/spreadsheetml/2006/main">
  <c r="AB10" i="2" l="1"/>
  <c r="AC10" i="2" s="1"/>
  <c r="AE10" i="2" s="1"/>
  <c r="AF10" i="2" s="1"/>
  <c r="AF8" i="2"/>
  <c r="AF9" i="2"/>
  <c r="AF11" i="2"/>
  <c r="AF12" i="2"/>
  <c r="AF13" i="2"/>
  <c r="AF14" i="2"/>
  <c r="AF15" i="2"/>
  <c r="AF16" i="2"/>
  <c r="AF17" i="2"/>
  <c r="AF7" i="2"/>
  <c r="AE8" i="2"/>
  <c r="AE9" i="2"/>
  <c r="AE11" i="2"/>
  <c r="AE12" i="2"/>
  <c r="AE13" i="2"/>
  <c r="AE14" i="2"/>
  <c r="AE15" i="2"/>
  <c r="AE16" i="2"/>
  <c r="AE17" i="2"/>
  <c r="AE7" i="2"/>
  <c r="AC8" i="2"/>
  <c r="AC9" i="2"/>
  <c r="AC11" i="2"/>
  <c r="AC12" i="2"/>
  <c r="AC13" i="2"/>
  <c r="AC14" i="2"/>
  <c r="AC15" i="2"/>
  <c r="AC16" i="2"/>
  <c r="AC17" i="2"/>
  <c r="AC7" i="2"/>
  <c r="AB17" i="2"/>
  <c r="AB16" i="2"/>
  <c r="AB15" i="2"/>
  <c r="AB14" i="2"/>
  <c r="AB13" i="2"/>
  <c r="AB12" i="2"/>
  <c r="AB11" i="2"/>
  <c r="AB9" i="2"/>
  <c r="AB8" i="2"/>
  <c r="AB7" i="2"/>
  <c r="AA4" i="2"/>
  <c r="AA3" i="2"/>
  <c r="AA2" i="2"/>
  <c r="AA17" i="2"/>
  <c r="AA16" i="2"/>
  <c r="AA15" i="2"/>
  <c r="AA14" i="2"/>
  <c r="AA13" i="2"/>
  <c r="AA12" i="2"/>
  <c r="AA11" i="2"/>
  <c r="AA10" i="2"/>
  <c r="AA9" i="2"/>
  <c r="AA8" i="2"/>
  <c r="AA7" i="2"/>
  <c r="V7" i="1" l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5" i="1"/>
  <c r="V3" i="1"/>
  <c r="C5" i="1" l="1"/>
  <c r="C9" i="1" l="1"/>
  <c r="C3" i="1" l="1"/>
  <c r="C20" i="1" l="1"/>
  <c r="C19" i="1"/>
  <c r="C21" i="1"/>
  <c r="U4" i="1" l="1"/>
  <c r="C23" i="1"/>
  <c r="C22" i="1"/>
  <c r="U11" i="1" l="1"/>
  <c r="U3" i="1"/>
  <c r="U23" i="1"/>
  <c r="U9" i="1"/>
  <c r="U7" i="1"/>
  <c r="C28" i="1" l="1"/>
  <c r="C38" i="1" l="1"/>
  <c r="U8" i="2" l="1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7" i="2"/>
  <c r="U32" i="1" l="1"/>
  <c r="U26" i="1" l="1"/>
  <c r="U21" i="1"/>
  <c r="U12" i="1"/>
  <c r="U25" i="1"/>
  <c r="U5" i="1"/>
  <c r="U29" i="1"/>
  <c r="U37" i="1"/>
  <c r="U20" i="1"/>
  <c r="U6" i="1"/>
  <c r="U38" i="1"/>
  <c r="U17" i="1"/>
  <c r="U34" i="1"/>
  <c r="U16" i="1"/>
  <c r="U33" i="1"/>
  <c r="U13" i="1"/>
  <c r="U30" i="1"/>
  <c r="U28" i="1"/>
  <c r="U19" i="1"/>
  <c r="U10" i="1"/>
  <c r="U36" i="1"/>
  <c r="U27" i="1"/>
  <c r="U18" i="1"/>
  <c r="U8" i="1"/>
  <c r="U35" i="1"/>
  <c r="U24" i="1"/>
  <c r="U15" i="1"/>
  <c r="U40" i="1"/>
  <c r="U22" i="1"/>
  <c r="U14" i="1"/>
  <c r="U39" i="1"/>
  <c r="U31" i="1"/>
  <c r="C7" i="1"/>
  <c r="C30" i="1"/>
  <c r="C29" i="1"/>
  <c r="C27" i="1"/>
  <c r="S11" i="2" l="1"/>
  <c r="W22" i="2"/>
  <c r="T18" i="2"/>
  <c r="V9" i="2"/>
  <c r="W8" i="2"/>
  <c r="W11" i="2"/>
  <c r="T8" i="2"/>
  <c r="W21" i="2"/>
  <c r="S21" i="2"/>
  <c r="T9" i="2"/>
  <c r="S12" i="2"/>
  <c r="S15" i="2"/>
  <c r="V10" i="2"/>
  <c r="S16" i="2"/>
  <c r="W19" i="2"/>
  <c r="T7" i="2"/>
  <c r="T17" i="2"/>
  <c r="V14" i="2"/>
  <c r="S10" i="2"/>
  <c r="W20" i="2"/>
  <c r="T10" i="2"/>
  <c r="W9" i="2"/>
  <c r="W16" i="2"/>
  <c r="W13" i="2"/>
  <c r="S7" i="2"/>
  <c r="V18" i="2"/>
  <c r="V19" i="2"/>
  <c r="V22" i="2"/>
  <c r="V20" i="2"/>
  <c r="S13" i="2"/>
  <c r="W7" i="2"/>
  <c r="T20" i="2"/>
  <c r="V7" i="2"/>
  <c r="V21" i="2"/>
  <c r="V12" i="2"/>
  <c r="S8" i="2"/>
  <c r="S17" i="2"/>
  <c r="T22" i="2"/>
  <c r="T15" i="2"/>
  <c r="W12" i="2"/>
  <c r="V15" i="2"/>
  <c r="V13" i="2"/>
  <c r="V11" i="2"/>
  <c r="V16" i="2"/>
  <c r="W18" i="2"/>
  <c r="T14" i="2"/>
  <c r="W15" i="2"/>
  <c r="T19" i="2"/>
  <c r="S22" i="2"/>
  <c r="S20" i="2"/>
  <c r="S9" i="2"/>
  <c r="V8" i="2"/>
  <c r="S18" i="2"/>
  <c r="W14" i="2"/>
  <c r="T21" i="2"/>
  <c r="T11" i="2"/>
  <c r="T12" i="2"/>
  <c r="S14" i="2"/>
  <c r="S19" i="2"/>
  <c r="V17" i="2"/>
  <c r="W10" i="2"/>
  <c r="W17" i="2"/>
  <c r="T16" i="2"/>
  <c r="T13" i="2"/>
  <c r="E38" i="1"/>
  <c r="E30" i="1"/>
  <c r="L9" i="1" s="1"/>
  <c r="E27" i="1"/>
  <c r="E28" i="1"/>
  <c r="E29" i="1"/>
  <c r="L7" i="1" s="1"/>
  <c r="E32" i="1"/>
  <c r="E33" i="1"/>
  <c r="E34" i="1"/>
  <c r="E35" i="1"/>
  <c r="E36" i="1"/>
  <c r="E37" i="1"/>
  <c r="E31" i="1"/>
  <c r="L11" i="1" s="1"/>
  <c r="D20" i="1" l="1"/>
  <c r="N8" i="1"/>
  <c r="O7" i="1"/>
  <c r="N12" i="1"/>
  <c r="O11" i="1"/>
  <c r="N10" i="1"/>
  <c r="O9" i="1"/>
  <c r="F29" i="1"/>
  <c r="F30" i="1"/>
  <c r="F32" i="1"/>
  <c r="F33" i="1"/>
  <c r="F36" i="1"/>
  <c r="F37" i="1"/>
  <c r="F38" i="1"/>
  <c r="F31" i="1"/>
  <c r="F27" i="1"/>
  <c r="F35" i="1"/>
  <c r="F28" i="1"/>
  <c r="F34" i="1"/>
  <c r="K17" i="1" l="1"/>
  <c r="L17" i="1" s="1"/>
  <c r="K19" i="1"/>
  <c r="L19" i="1" s="1"/>
  <c r="N19" i="1" s="1"/>
  <c r="K21" i="1"/>
  <c r="L21" i="1" s="1"/>
  <c r="K15" i="1"/>
  <c r="L15" i="1" s="1"/>
  <c r="K13" i="1"/>
  <c r="L13" i="1" s="1"/>
  <c r="K25" i="1"/>
  <c r="L25" i="1" s="1"/>
  <c r="K35" i="1"/>
  <c r="L35" i="1" s="1"/>
  <c r="K31" i="1"/>
  <c r="L31" i="1" s="1"/>
  <c r="K27" i="1"/>
  <c r="L27" i="1" s="1"/>
  <c r="K37" i="1"/>
  <c r="L37" i="1" s="1"/>
  <c r="K33" i="1"/>
  <c r="L33" i="1" s="1"/>
  <c r="K23" i="1"/>
  <c r="L23" i="1" s="1"/>
  <c r="K39" i="1"/>
  <c r="L39" i="1" s="1"/>
  <c r="N39" i="1" s="1"/>
  <c r="K29" i="1"/>
  <c r="L29" i="1" s="1"/>
  <c r="O10" i="1"/>
  <c r="Q10" i="1" s="1"/>
  <c r="Q9" i="1"/>
  <c r="W9" i="1"/>
  <c r="Y9" i="1" s="1"/>
  <c r="O12" i="1"/>
  <c r="Q12" i="1" s="1"/>
  <c r="Q11" i="1"/>
  <c r="W11" i="1"/>
  <c r="Y11" i="1" s="1"/>
  <c r="O8" i="1"/>
  <c r="Q8" i="1" s="1"/>
  <c r="Q7" i="1"/>
  <c r="W7" i="1"/>
  <c r="Y7" i="1" s="1"/>
  <c r="K3" i="1"/>
  <c r="L3" i="1" s="1"/>
  <c r="K5" i="1"/>
  <c r="W10" i="1" l="1"/>
  <c r="Y10" i="1" s="1"/>
  <c r="W8" i="1"/>
  <c r="Y8" i="1" s="1"/>
  <c r="W12" i="1"/>
  <c r="Y12" i="1" s="1"/>
  <c r="N4" i="1"/>
  <c r="O3" i="1"/>
  <c r="O4" i="1" s="1"/>
  <c r="N17" i="1"/>
  <c r="N29" i="1"/>
  <c r="L5" i="1"/>
  <c r="N5" i="1" s="1"/>
  <c r="N20" i="1"/>
  <c r="O39" i="1"/>
  <c r="Q39" i="1" s="1"/>
  <c r="O19" i="1"/>
  <c r="Q19" i="1" s="1"/>
  <c r="N40" i="1"/>
  <c r="N33" i="1"/>
  <c r="N21" i="1"/>
  <c r="N15" i="1"/>
  <c r="N31" i="1"/>
  <c r="N25" i="1"/>
  <c r="N23" i="1"/>
  <c r="N27" i="1"/>
  <c r="N13" i="1"/>
  <c r="N37" i="1"/>
  <c r="N35" i="1"/>
  <c r="Q3" i="1" l="1"/>
  <c r="W3" i="1"/>
  <c r="Y3" i="1" s="1"/>
  <c r="W4" i="1"/>
  <c r="Y4" i="1" s="1"/>
  <c r="Q4" i="1"/>
  <c r="N30" i="1"/>
  <c r="O25" i="1"/>
  <c r="O29" i="1"/>
  <c r="Q29" i="1" s="1"/>
  <c r="N18" i="1"/>
  <c r="O17" i="1"/>
  <c r="Q17" i="1" s="1"/>
  <c r="O40" i="1"/>
  <c r="Q40" i="1" s="1"/>
  <c r="O20" i="1"/>
  <c r="Q20" i="1" s="1"/>
  <c r="W39" i="1"/>
  <c r="N14" i="1"/>
  <c r="N22" i="1"/>
  <c r="N28" i="1"/>
  <c r="N6" i="1"/>
  <c r="N16" i="1"/>
  <c r="N36" i="1"/>
  <c r="N32" i="1"/>
  <c r="N38" i="1"/>
  <c r="N24" i="1"/>
  <c r="N34" i="1"/>
  <c r="N26" i="1"/>
  <c r="O31" i="1"/>
  <c r="Q31" i="1" s="1"/>
  <c r="O27" i="1"/>
  <c r="Q27" i="1" s="1"/>
  <c r="W19" i="1"/>
  <c r="O23" i="1"/>
  <c r="Q23" i="1" s="1"/>
  <c r="O35" i="1"/>
  <c r="Q35" i="1" s="1"/>
  <c r="O37" i="1"/>
  <c r="Q37" i="1" s="1"/>
  <c r="O13" i="1"/>
  <c r="Q13" i="1" s="1"/>
  <c r="O33" i="1"/>
  <c r="Q33" i="1" s="1"/>
  <c r="O15" i="1"/>
  <c r="Q15" i="1" s="1"/>
  <c r="O5" i="1"/>
  <c r="O21" i="1"/>
  <c r="Q21" i="1" l="1"/>
  <c r="W21" i="1"/>
  <c r="O26" i="1"/>
  <c r="Q26" i="1" s="1"/>
  <c r="W25" i="1"/>
  <c r="Q5" i="1"/>
  <c r="W5" i="1"/>
  <c r="Q25" i="1"/>
  <c r="Y39" i="1"/>
  <c r="Y19" i="1"/>
  <c r="W29" i="1"/>
  <c r="W17" i="1"/>
  <c r="O18" i="1"/>
  <c r="Q18" i="1" s="1"/>
  <c r="O30" i="1"/>
  <c r="Q30" i="1" s="1"/>
  <c r="O36" i="1"/>
  <c r="Q36" i="1" s="1"/>
  <c r="O24" i="1"/>
  <c r="Q24" i="1" s="1"/>
  <c r="W20" i="1"/>
  <c r="O34" i="1"/>
  <c r="Q34" i="1" s="1"/>
  <c r="O28" i="1"/>
  <c r="Q28" i="1" s="1"/>
  <c r="O14" i="1"/>
  <c r="Q14" i="1" s="1"/>
  <c r="O32" i="1"/>
  <c r="Q32" i="1" s="1"/>
  <c r="W40" i="1"/>
  <c r="O38" i="1"/>
  <c r="Q38" i="1" s="1"/>
  <c r="O6" i="1"/>
  <c r="Q6" i="1" s="1"/>
  <c r="W23" i="1"/>
  <c r="W31" i="1"/>
  <c r="W27" i="1"/>
  <c r="W37" i="1"/>
  <c r="W35" i="1"/>
  <c r="W13" i="1"/>
  <c r="W33" i="1"/>
  <c r="O16" i="1"/>
  <c r="Q16" i="1" s="1"/>
  <c r="W15" i="1"/>
  <c r="O22" i="1"/>
  <c r="Q22" i="1" s="1"/>
  <c r="W26" i="1" l="1"/>
  <c r="Y26" i="1" s="1"/>
  <c r="Y25" i="1"/>
  <c r="Y20" i="1"/>
  <c r="Y33" i="1"/>
  <c r="Y40" i="1"/>
  <c r="Y35" i="1"/>
  <c r="Y21" i="1"/>
  <c r="Y37" i="1"/>
  <c r="Y27" i="1"/>
  <c r="Y17" i="1"/>
  <c r="Y5" i="1"/>
  <c r="Y31" i="1"/>
  <c r="Y29" i="1"/>
  <c r="Y15" i="1"/>
  <c r="Y23" i="1"/>
  <c r="Y13" i="1"/>
  <c r="W30" i="1"/>
  <c r="W18" i="1"/>
  <c r="W22" i="1"/>
  <c r="W34" i="1"/>
  <c r="W24" i="1"/>
  <c r="W32" i="1"/>
  <c r="W36" i="1"/>
  <c r="W16" i="1"/>
  <c r="W6" i="1"/>
  <c r="W14" i="1"/>
  <c r="W38" i="1"/>
  <c r="W28" i="1"/>
  <c r="Y34" i="1" l="1"/>
  <c r="Y38" i="1"/>
  <c r="Y22" i="1"/>
  <c r="Y14" i="1"/>
  <c r="Y18" i="1"/>
  <c r="Y6" i="1"/>
  <c r="Y30" i="1"/>
  <c r="Y16" i="1"/>
  <c r="Y24" i="1"/>
  <c r="Y28" i="1"/>
  <c r="Y36" i="1"/>
  <c r="Y32" i="1"/>
</calcChain>
</file>

<file path=xl/sharedStrings.xml><?xml version="1.0" encoding="utf-8"?>
<sst xmlns="http://schemas.openxmlformats.org/spreadsheetml/2006/main" count="157" uniqueCount="129">
  <si>
    <t>T [K]</t>
  </si>
  <si>
    <t>H</t>
  </si>
  <si>
    <t>CO</t>
  </si>
  <si>
    <t>H2O</t>
  </si>
  <si>
    <t>ϑH</t>
  </si>
  <si>
    <t>ϑCO</t>
  </si>
  <si>
    <t>ϑH2O</t>
  </si>
  <si>
    <t>ϑOH</t>
  </si>
  <si>
    <t>gas</t>
  </si>
  <si>
    <t>CH4</t>
  </si>
  <si>
    <t>CO2</t>
  </si>
  <si>
    <t>H2</t>
  </si>
  <si>
    <t>surface</t>
  </si>
  <si>
    <t>H*</t>
  </si>
  <si>
    <t>H2O*</t>
  </si>
  <si>
    <t>OH*</t>
  </si>
  <si>
    <t>CH3*</t>
  </si>
  <si>
    <t>CH2*</t>
  </si>
  <si>
    <t>CH*</t>
  </si>
  <si>
    <t>C*</t>
  </si>
  <si>
    <t>CO*</t>
  </si>
  <si>
    <t>CO2*</t>
  </si>
  <si>
    <t>Name</t>
  </si>
  <si>
    <t>R</t>
  </si>
  <si>
    <r>
      <rPr>
        <sz val="11"/>
        <color theme="1"/>
        <rFont val="Times New Roman"/>
        <family val="1"/>
      </rPr>
      <t>∆</t>
    </r>
    <r>
      <rPr>
        <sz val="11"/>
        <color theme="1"/>
        <rFont val="Calibri"/>
        <family val="2"/>
      </rPr>
      <t>Hrxn</t>
    </r>
  </si>
  <si>
    <t>ϑO</t>
  </si>
  <si>
    <t>T0 [K]</t>
  </si>
  <si>
    <t>Q(T0) [kcal/mol]</t>
  </si>
  <si>
    <t>∆T</t>
  </si>
  <si>
    <t>COOH*</t>
  </si>
  <si>
    <t>PreExpon</t>
  </si>
  <si>
    <t>Dab</t>
  </si>
  <si>
    <t xml:space="preserve">Bond index Φ </t>
  </si>
  <si>
    <t>f(t)</t>
  </si>
  <si>
    <t>Q(T)</t>
  </si>
  <si>
    <t>O*</t>
  </si>
  <si>
    <t>β</t>
  </si>
  <si>
    <t>n</t>
  </si>
  <si>
    <t>H2 + 2* → 2H*</t>
  </si>
  <si>
    <t>2H* → H2 + 2*</t>
  </si>
  <si>
    <t>H2O* + * → H* + OH*</t>
  </si>
  <si>
    <t>H* + OH* → H2O* + *</t>
  </si>
  <si>
    <t>H2O + * → H2O*</t>
  </si>
  <si>
    <t>H2O* → H2O + *</t>
  </si>
  <si>
    <t>CO + * → CO*</t>
  </si>
  <si>
    <t>CO* → CO + *</t>
  </si>
  <si>
    <t>CO2 + * → CO2*</t>
  </si>
  <si>
    <t>CO2* → CO2 + *</t>
  </si>
  <si>
    <t>CO2* + H* → CO* + OH*</t>
  </si>
  <si>
    <t>CO* + OH* → CO2* + H*</t>
  </si>
  <si>
    <t>COOH* + * → CO* + OH*</t>
  </si>
  <si>
    <t xml:space="preserve">CO* + OH* → COOH* + * </t>
  </si>
  <si>
    <t>COOH* + * → CO2* + H*</t>
  </si>
  <si>
    <t>CO2* + H* → COOH* + *</t>
  </si>
  <si>
    <t>CO* + H2O* → COOH* + H*</t>
  </si>
  <si>
    <t>COOH* + OH* → CO* + H2O*</t>
  </si>
  <si>
    <t>CO2* + H2O* → COOH* + OH*</t>
  </si>
  <si>
    <t>COOH* + OH* → CO2* + H2O*</t>
  </si>
  <si>
    <t>CH4 + 2* → CH3* + H*</t>
  </si>
  <si>
    <t>CH3* + H* → CH4 + 2*</t>
  </si>
  <si>
    <t>CH3* + * → CH2* + H*</t>
  </si>
  <si>
    <t>CH2* + H* → CH3* + *</t>
  </si>
  <si>
    <t>CH2* + * → CH* + H*</t>
  </si>
  <si>
    <t>CH* + H* → CH2* + *</t>
  </si>
  <si>
    <t>CH* + * → C* + H*</t>
  </si>
  <si>
    <t>C* + H* → CH* + *</t>
  </si>
  <si>
    <t>CH3* + O* → CH2* + OH*</t>
  </si>
  <si>
    <t>CH2* + OH* → CH3* + O*</t>
  </si>
  <si>
    <t>CH2* + H2O* → CH3* + OH*</t>
  </si>
  <si>
    <t>CH3* + OH* → CH2* + H2O*</t>
  </si>
  <si>
    <t>CH* + H2O* → CH2* + OH*</t>
  </si>
  <si>
    <t>CH2* + OH* → CH* + H2O*</t>
  </si>
  <si>
    <t>C* + H2O* → CH* + OH*</t>
  </si>
  <si>
    <t>CH* + OH* → C* + H2O*</t>
  </si>
  <si>
    <t>CO* + H* → C* + OH*</t>
  </si>
  <si>
    <t>C* + OH* → CO* + H*</t>
  </si>
  <si>
    <t>O2</t>
  </si>
  <si>
    <t>O</t>
  </si>
  <si>
    <t>OH</t>
  </si>
  <si>
    <t>CH</t>
  </si>
  <si>
    <t>CH2</t>
  </si>
  <si>
    <t>CH3</t>
  </si>
  <si>
    <t>C</t>
  </si>
  <si>
    <t>N2</t>
  </si>
  <si>
    <t>COOH</t>
  </si>
  <si>
    <t>HCOO</t>
  </si>
  <si>
    <t>Species</t>
  </si>
  <si>
    <t>H(298K)[J/kmol]</t>
  </si>
  <si>
    <t>H(1000K)[J/kmol]</t>
  </si>
  <si>
    <t>LT-HT</t>
  </si>
  <si>
    <t>A(LT)</t>
  </si>
  <si>
    <t>B(LT)</t>
  </si>
  <si>
    <t>C(LT)</t>
  </si>
  <si>
    <t>D(LT)</t>
  </si>
  <si>
    <t>E(LT)</t>
  </si>
  <si>
    <t>F(LT)</t>
  </si>
  <si>
    <t>A(HT)</t>
  </si>
  <si>
    <t>B(HT)</t>
  </si>
  <si>
    <t>C(HT)</t>
  </si>
  <si>
    <t>D(HT)</t>
  </si>
  <si>
    <t>E(HT)</t>
  </si>
  <si>
    <t>F(HT)</t>
  </si>
  <si>
    <t>H/(RT) = A + B*T + C*T^2 + D*T^3 + E*T^4 + F/T  [-]</t>
  </si>
  <si>
    <t>H [-] LT</t>
  </si>
  <si>
    <t>H [-] HT</t>
  </si>
  <si>
    <t>H [J/kmol] HT</t>
  </si>
  <si>
    <t>H [J/kmol] LT</t>
  </si>
  <si>
    <t>H [kcal/mol] LT</t>
  </si>
  <si>
    <t>H [kcal/mol] HT</t>
  </si>
  <si>
    <t>MW [kg/mol]</t>
  </si>
  <si>
    <t>H [kcal/mol]</t>
  </si>
  <si>
    <t xml:space="preserve">k </t>
  </si>
  <si>
    <t>Eact [kcal/mol]</t>
  </si>
  <si>
    <t>Eact_eff [kcal/mol]</t>
  </si>
  <si>
    <t>(insert values here)</t>
  </si>
  <si>
    <t>From Maestri</t>
  </si>
  <si>
    <t>Rgas [kcal/mol/K]</t>
  </si>
  <si>
    <t>error %</t>
  </si>
  <si>
    <t>From Maestri GIUSTI</t>
  </si>
  <si>
    <r>
      <t xml:space="preserve">A [-1] or </t>
    </r>
    <r>
      <rPr>
        <sz val="11"/>
        <color rgb="FF00B050"/>
        <rFont val="Calibri"/>
        <family val="2"/>
      </rPr>
      <t>s [-]</t>
    </r>
  </si>
  <si>
    <t>ΓRh [kmol/m2]</t>
  </si>
  <si>
    <t>UBI-QEP class</t>
  </si>
  <si>
    <t>Pe_Ratio</t>
  </si>
  <si>
    <t>rif</t>
  </si>
  <si>
    <t>H_RIF</t>
  </si>
  <si>
    <t>tot</t>
  </si>
  <si>
    <t>Q</t>
  </si>
  <si>
    <t>energetics [eV]</t>
  </si>
  <si>
    <t>energetics [kacl/mol]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</si>
</sst>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0" fillId="0" borderId="1" xfId="0" applyBorder="1"/>
    <xf numFmtId="11" fontId="5" fillId="0" borderId="1" xfId="0" applyNumberFormat="1" applyFont="1" applyBorder="1"/>
    <xf numFmtId="0" fontId="5" fillId="0" borderId="1" xfId="0" applyFont="1" applyBorder="1"/>
    <xf numFmtId="11" fontId="0" fillId="0" borderId="1" xfId="0" applyNumberFormat="1" applyBorder="1"/>
    <xf numFmtId="11" fontId="0" fillId="0" borderId="0" xfId="0" applyNumberFormat="1"/>
    <xf numFmtId="0" fontId="1" fillId="0" borderId="1" xfId="0" applyFont="1" applyBorder="1"/>
    <xf numFmtId="0" fontId="7" fillId="0" borderId="1" xfId="0" applyFont="1" applyBorder="1"/>
    <xf numFmtId="0" fontId="0" fillId="0" borderId="1" xfId="0" applyFill="1" applyBorder="1"/>
    <xf numFmtId="11" fontId="0" fillId="0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11" fontId="5" fillId="4" borderId="1" xfId="0" applyNumberFormat="1" applyFont="1" applyFill="1" applyBorder="1"/>
    <xf numFmtId="0" fontId="5" fillId="4" borderId="1" xfId="0" applyFont="1" applyFill="1" applyBorder="1"/>
    <xf numFmtId="11" fontId="0" fillId="4" borderId="1" xfId="0" applyNumberFormat="1" applyFill="1" applyBorder="1"/>
    <xf numFmtId="0" fontId="0" fillId="0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1" xfId="0" applyNumberFormat="1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/>
    <xf numFmtId="11" fontId="0" fillId="2" borderId="1" xfId="0" applyNumberFormat="1" applyFill="1" applyBorder="1"/>
    <xf numFmtId="0" fontId="6" fillId="2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2" fontId="0" fillId="6" borderId="1" xfId="0" applyNumberFormat="1" applyFill="1" applyBorder="1"/>
    <xf numFmtId="2" fontId="0" fillId="7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1" fontId="0" fillId="9" borderId="1" xfId="0" applyNumberFormat="1" applyFill="1" applyBorder="1"/>
    <xf numFmtId="1" fontId="0" fillId="8" borderId="1" xfId="0" applyNumberFormat="1" applyFill="1" applyBorder="1"/>
    <xf numFmtId="1" fontId="0" fillId="7" borderId="1" xfId="0" applyNumberFormat="1" applyFill="1" applyBorder="1"/>
    <xf numFmtId="0" fontId="1" fillId="0" borderId="0" xfId="0" applyFont="1"/>
    <xf numFmtId="0" fontId="6" fillId="4" borderId="1" xfId="0" applyFont="1" applyFill="1" applyBorder="1"/>
    <xf numFmtId="0" fontId="6" fillId="0" borderId="1" xfId="0" applyFont="1" applyFill="1" applyBorder="1"/>
    <xf numFmtId="0" fontId="6" fillId="0" borderId="1" xfId="0" applyFont="1" applyBorder="1"/>
    <xf numFmtId="2" fontId="0" fillId="0" borderId="0" xfId="0" applyNumberFormat="1"/>
    <xf numFmtId="0" fontId="0" fillId="6" borderId="1" xfId="0" applyFill="1" applyBorder="1"/>
    <xf numFmtId="2" fontId="0" fillId="10" borderId="1" xfId="0" applyNumberFormat="1" applyFill="1" applyBorder="1"/>
    <xf numFmtId="2" fontId="6" fillId="10" borderId="1" xfId="0" applyNumberFormat="1" applyFont="1" applyFill="1" applyBorder="1"/>
    <xf numFmtId="0" fontId="0" fillId="10" borderId="1" xfId="0" applyFill="1" applyBorder="1"/>
    <xf numFmtId="1" fontId="0" fillId="10" borderId="1" xfId="0" applyNumberFormat="1" applyFill="1" applyBorder="1"/>
    <xf numFmtId="1" fontId="0" fillId="6" borderId="1" xfId="0" applyNumberFormat="1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164" fontId="0" fillId="0" borderId="1" xfId="0" applyNumberFormat="1" applyFill="1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11" fontId="6" fillId="0" borderId="2" xfId="0" applyNumberFormat="1" applyFont="1" applyFill="1" applyBorder="1" applyAlignment="1">
      <alignment horizontal="center" vertical="center"/>
    </xf>
    <xf numFmtId="11" fontId="6" fillId="0" borderId="3" xfId="0" applyNumberFormat="1" applyFont="1" applyFill="1" applyBorder="1" applyAlignment="1">
      <alignment horizontal="center" vertical="center"/>
    </xf>
    <xf numFmtId="11" fontId="6" fillId="4" borderId="2" xfId="0" applyNumberFormat="1" applyFont="1" applyFill="1" applyBorder="1" applyAlignment="1">
      <alignment horizontal="center" vertical="center"/>
    </xf>
    <xf numFmtId="11" fontId="6" fillId="4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6"/>
  <sheetViews>
    <sheetView tabSelected="1" topLeftCell="B1" zoomScale="85" zoomScaleNormal="85" workbookViewId="0">
      <selection activeCell="I3" sqref="I3"/>
    </sheetView>
  </sheetViews>
  <sheetFormatPr defaultRowHeight="15" x14ac:dyDescent="0.25"/>
  <cols>
    <col min="2" max="2" width="17.5703125" bestFit="1" customWidth="1"/>
    <col min="3" max="3" width="15.5703125" bestFit="1" customWidth="1"/>
    <col min="4" max="4" width="18.5703125" bestFit="1" customWidth="1"/>
    <col min="5" max="5" width="13.5703125" bestFit="1" customWidth="1"/>
    <col min="6" max="6" width="12.42578125" bestFit="1" customWidth="1"/>
    <col min="7" max="7" width="17.85546875" bestFit="1" customWidth="1"/>
    <col min="9" max="9" width="27.42578125" customWidth="1"/>
    <col min="10" max="10" width="8.7109375" customWidth="1"/>
    <col min="11" max="12" width="12" customWidth="1"/>
    <col min="13" max="14" width="10.5703125" customWidth="1"/>
    <col min="15" max="15" width="10.5703125" bestFit="1" customWidth="1"/>
    <col min="16" max="18" width="9.140625" customWidth="1"/>
    <col min="19" max="19" width="5.42578125" customWidth="1"/>
    <col min="20" max="20" width="7.5703125" customWidth="1"/>
    <col min="21" max="22" width="9.140625" customWidth="1"/>
    <col min="23" max="23" width="8.7109375" bestFit="1" customWidth="1"/>
    <col min="24" max="24" width="9.42578125" bestFit="1" customWidth="1"/>
    <col min="25" max="25" width="9.140625" customWidth="1"/>
    <col min="26" max="26" width="10.140625" bestFit="1" customWidth="1"/>
  </cols>
  <sheetData>
    <row r="2" spans="2:27" ht="45" x14ac:dyDescent="0.25">
      <c r="H2" s="21" t="s">
        <v>23</v>
      </c>
      <c r="I2" s="21" t="s">
        <v>22</v>
      </c>
      <c r="J2" s="21" t="s">
        <v>121</v>
      </c>
      <c r="K2" s="21" t="s">
        <v>31</v>
      </c>
      <c r="L2" s="20" t="s">
        <v>24</v>
      </c>
      <c r="M2" s="20" t="s">
        <v>32</v>
      </c>
      <c r="N2" s="20" t="s">
        <v>112</v>
      </c>
      <c r="O2" s="20" t="s">
        <v>113</v>
      </c>
      <c r="P2" s="20" t="s">
        <v>115</v>
      </c>
      <c r="Q2" s="20" t="s">
        <v>117</v>
      </c>
      <c r="R2" s="20" t="s">
        <v>119</v>
      </c>
      <c r="S2" s="20" t="s">
        <v>36</v>
      </c>
      <c r="T2" s="20" t="s">
        <v>37</v>
      </c>
      <c r="U2" s="20" t="s">
        <v>30</v>
      </c>
      <c r="V2" s="20" t="s">
        <v>122</v>
      </c>
      <c r="W2" s="20" t="s">
        <v>111</v>
      </c>
      <c r="X2" s="20" t="s">
        <v>118</v>
      </c>
      <c r="Y2" s="20" t="s">
        <v>117</v>
      </c>
    </row>
    <row r="3" spans="2:27" x14ac:dyDescent="0.25">
      <c r="B3" t="s">
        <v>116</v>
      </c>
      <c r="C3">
        <f>8.314/4.184/1000</f>
        <v>1.9870936902485659E-3</v>
      </c>
      <c r="G3" s="57"/>
      <c r="H3" s="11">
        <v>1</v>
      </c>
      <c r="I3" s="12" t="s">
        <v>38</v>
      </c>
      <c r="J3" s="43">
        <v>2</v>
      </c>
      <c r="K3" s="18">
        <f>H_H+H_H-H_H2</f>
        <v>105.59445793081788</v>
      </c>
      <c r="L3" s="18">
        <f>K3-2*Q_H</f>
        <v>-16.184961930558785</v>
      </c>
      <c r="M3" s="11">
        <v>0.5</v>
      </c>
      <c r="N3" s="15">
        <v>0</v>
      </c>
      <c r="O3" s="46">
        <f>MAX(0,L3,N3)</f>
        <v>0</v>
      </c>
      <c r="P3" s="15">
        <v>0</v>
      </c>
      <c r="Q3" s="40">
        <f>((ABS(P3)-ABS(O3))/(ABS(P3)+0.000000000001))*100</f>
        <v>0</v>
      </c>
      <c r="R3" s="13">
        <v>0.77300000000000002</v>
      </c>
      <c r="S3" s="11">
        <v>0.93869999999999998</v>
      </c>
      <c r="T3" s="35">
        <v>2</v>
      </c>
      <c r="U3" s="14">
        <f>R3/$C$9^(T3)*((Rgas*1000*4.184)*T/(2*PI()*MW_H2))^0.5*(T/T0)^S3</f>
        <v>2.1599061825239194E+18</v>
      </c>
      <c r="V3" s="53">
        <f>U3/U4</f>
        <v>0.14597654828369858</v>
      </c>
      <c r="W3" s="15">
        <f t="shared" ref="W3:W40" si="0">U3*EXP(-O3/Rgas/T)</f>
        <v>2.1599061825239194E+18</v>
      </c>
      <c r="X3" s="15">
        <v>2.159902E+18</v>
      </c>
      <c r="Y3" s="40">
        <f t="shared" ref="Y3:Y40" si="1">(ABS(X3)-ABS(W3))/ABS(X3)*100</f>
        <v>-1.9364415234394896E-4</v>
      </c>
      <c r="AA3" s="39">
        <v>1</v>
      </c>
    </row>
    <row r="4" spans="2:27" x14ac:dyDescent="0.25">
      <c r="H4" s="11">
        <v>2</v>
      </c>
      <c r="I4" s="11" t="s">
        <v>39</v>
      </c>
      <c r="J4" s="43">
        <v>2</v>
      </c>
      <c r="K4" s="11"/>
      <c r="L4" s="11"/>
      <c r="M4" s="11">
        <v>0.5</v>
      </c>
      <c r="N4" s="15">
        <f>N3-L3</f>
        <v>16.184961930558785</v>
      </c>
      <c r="O4" s="46">
        <f>O3-L3</f>
        <v>16.184961930558785</v>
      </c>
      <c r="P4" s="15">
        <v>16.190079999999998</v>
      </c>
      <c r="Q4" s="41">
        <f t="shared" ref="Q4:Q40" si="2">((ABS(P4)-ABS(O4))/(ABS(P4)+0.000000000001))*100</f>
        <v>3.1612378945705427E-2</v>
      </c>
      <c r="R4" s="15">
        <v>556000000000</v>
      </c>
      <c r="S4" s="11">
        <v>-0.43469999999999998</v>
      </c>
      <c r="T4" s="35">
        <v>2</v>
      </c>
      <c r="U4" s="11">
        <f>R4/$C$9^(T4-1)*(T/T0)^S4</f>
        <v>1.4796254658154013E+19</v>
      </c>
      <c r="V4" s="54"/>
      <c r="W4" s="15">
        <f t="shared" si="0"/>
        <v>393470074583181.25</v>
      </c>
      <c r="X4" s="15">
        <v>391967000000000</v>
      </c>
      <c r="Y4" s="40">
        <f t="shared" si="1"/>
        <v>-0.38346967555463851</v>
      </c>
      <c r="AA4" s="42">
        <v>2</v>
      </c>
    </row>
    <row r="5" spans="2:27" x14ac:dyDescent="0.25">
      <c r="B5" s="25" t="s">
        <v>0</v>
      </c>
      <c r="C5" s="25">
        <f>500+273.15</f>
        <v>773.15</v>
      </c>
      <c r="D5" t="s">
        <v>114</v>
      </c>
      <c r="H5" s="9">
        <v>7</v>
      </c>
      <c r="I5" s="9" t="s">
        <v>40</v>
      </c>
      <c r="J5" s="32">
        <v>5</v>
      </c>
      <c r="K5" s="19">
        <f>H_H+H_OH-H_H2O</f>
        <v>120.96325409488925</v>
      </c>
      <c r="L5" s="19">
        <f>K5-Q_H-Q_OH+Q_H2O</f>
        <v>0.40344747443035978</v>
      </c>
      <c r="M5" s="9">
        <v>0.55000000000000004</v>
      </c>
      <c r="N5" s="10">
        <f>M5*(L5+(Q_H*Q_OH)/(Q_H+Q_OH))</f>
        <v>17.904966325343334</v>
      </c>
      <c r="O5" s="47">
        <f>MAX(0,L5,N5)</f>
        <v>17.904966325343334</v>
      </c>
      <c r="P5" s="10">
        <v>17.901820000000001</v>
      </c>
      <c r="Q5" s="29">
        <f t="shared" si="2"/>
        <v>-1.7575449553919795E-2</v>
      </c>
      <c r="R5" s="10">
        <v>115000000000</v>
      </c>
      <c r="S5" s="9">
        <v>2.81E-2</v>
      </c>
      <c r="T5" s="36">
        <v>2</v>
      </c>
      <c r="U5" s="9">
        <f>R5/$C$9^(T5-1)*(T/T0)^S5</f>
        <v>4.7429833235322122E+18</v>
      </c>
      <c r="V5" s="51">
        <f>U5/U6</f>
        <v>96.075883276423824</v>
      </c>
      <c r="W5" s="10">
        <f t="shared" si="0"/>
        <v>41171120787226.508</v>
      </c>
      <c r="X5" s="10">
        <v>41232850000000</v>
      </c>
      <c r="Y5" s="29">
        <f t="shared" si="1"/>
        <v>0.14970881899624253</v>
      </c>
      <c r="AA5" s="31">
        <v>4</v>
      </c>
    </row>
    <row r="6" spans="2:27" x14ac:dyDescent="0.25">
      <c r="B6" t="s">
        <v>26</v>
      </c>
      <c r="C6">
        <v>300</v>
      </c>
      <c r="H6" s="9">
        <v>8</v>
      </c>
      <c r="I6" s="9" t="s">
        <v>41</v>
      </c>
      <c r="J6" s="32">
        <v>5</v>
      </c>
      <c r="K6" s="9"/>
      <c r="L6" s="9"/>
      <c r="M6" s="9">
        <v>0.55000000000000004</v>
      </c>
      <c r="N6" s="10">
        <f>N5-L5</f>
        <v>17.501518850912973</v>
      </c>
      <c r="O6" s="47">
        <f>O5-L5</f>
        <v>17.501518850912973</v>
      </c>
      <c r="P6" s="10">
        <v>17.50413</v>
      </c>
      <c r="Q6" s="29">
        <f t="shared" si="2"/>
        <v>1.4917331435649404E-2</v>
      </c>
      <c r="R6" s="10">
        <v>360000000</v>
      </c>
      <c r="S6" s="9">
        <v>1.2971999999999999</v>
      </c>
      <c r="T6" s="36">
        <v>2</v>
      </c>
      <c r="U6" s="9">
        <f>R6/$C$9^(T6-1)*(T/T0)^S6</f>
        <v>4.9367054059612256E+16</v>
      </c>
      <c r="V6" s="52"/>
      <c r="W6" s="10">
        <f t="shared" si="0"/>
        <v>557220014007.96118</v>
      </c>
      <c r="X6" s="10">
        <v>555974200000</v>
      </c>
      <c r="Y6" s="29">
        <f t="shared" si="1"/>
        <v>-0.22407766546742305</v>
      </c>
      <c r="AA6" s="32">
        <v>5</v>
      </c>
    </row>
    <row r="7" spans="2:27" x14ac:dyDescent="0.25">
      <c r="B7" t="s">
        <v>28</v>
      </c>
      <c r="C7">
        <f>T-T0</f>
        <v>473.15</v>
      </c>
      <c r="G7" s="56"/>
      <c r="H7" s="11">
        <v>13</v>
      </c>
      <c r="I7" s="11" t="s">
        <v>42</v>
      </c>
      <c r="J7" s="44">
        <v>1</v>
      </c>
      <c r="K7" s="11">
        <v>0</v>
      </c>
      <c r="L7" s="11">
        <f>-Q_H2O</f>
        <v>-8.4495165511472283</v>
      </c>
      <c r="M7" s="11">
        <v>0.5</v>
      </c>
      <c r="N7" s="15">
        <v>0</v>
      </c>
      <c r="O7" s="46">
        <f>MAX(0,L7,N7)</f>
        <v>0</v>
      </c>
      <c r="P7" s="15">
        <v>0</v>
      </c>
      <c r="Q7" s="27">
        <f t="shared" si="2"/>
        <v>0</v>
      </c>
      <c r="R7" s="13">
        <v>7.7200000000000005E-2</v>
      </c>
      <c r="S7" s="11">
        <v>1.4067000000000001</v>
      </c>
      <c r="T7" s="35">
        <v>1</v>
      </c>
      <c r="U7" s="14">
        <f>R7/$C$9^(T7)*((Rgas*1000*4.184)*T/(2*PI()*MW_H2O))^0.5*(T/T0)^S7</f>
        <v>2798327648.6857262</v>
      </c>
      <c r="V7" s="53">
        <f t="shared" ref="V7" si="3">U7/U8</f>
        <v>7.9120839864510776E-4</v>
      </c>
      <c r="W7" s="15">
        <f t="shared" si="0"/>
        <v>2798327648.6857262</v>
      </c>
      <c r="X7" s="15">
        <v>2798427000</v>
      </c>
      <c r="Y7" s="27">
        <f t="shared" si="1"/>
        <v>3.5502557070037641E-3</v>
      </c>
      <c r="AA7" s="33">
        <v>6</v>
      </c>
    </row>
    <row r="8" spans="2:27" x14ac:dyDescent="0.25">
      <c r="H8" s="11">
        <v>14</v>
      </c>
      <c r="I8" s="11" t="s">
        <v>43</v>
      </c>
      <c r="J8" s="44">
        <v>1</v>
      </c>
      <c r="K8" s="11"/>
      <c r="L8" s="11"/>
      <c r="M8" s="11">
        <v>0.5</v>
      </c>
      <c r="N8" s="15">
        <f>N7-L7</f>
        <v>8.4495165511472283</v>
      </c>
      <c r="O8" s="46">
        <f>O7-L7</f>
        <v>8.4495165511472283</v>
      </c>
      <c r="P8" s="15">
        <v>8.4496269999999996</v>
      </c>
      <c r="Q8" s="27">
        <f t="shared" si="2"/>
        <v>1.3071447150414411E-3</v>
      </c>
      <c r="R8" s="15">
        <v>20600000000000</v>
      </c>
      <c r="S8" s="11">
        <v>-1.8613</v>
      </c>
      <c r="T8" s="35">
        <v>1</v>
      </c>
      <c r="U8" s="11">
        <f>R8/$C$9^(T8-1)*(T/T0)^S8</f>
        <v>3536776977440.6816</v>
      </c>
      <c r="V8" s="54"/>
      <c r="W8" s="15">
        <f t="shared" si="0"/>
        <v>14456366666.686098</v>
      </c>
      <c r="X8" s="15">
        <v>14451570000</v>
      </c>
      <c r="Y8" s="27">
        <f t="shared" si="1"/>
        <v>-3.3191318909281821E-2</v>
      </c>
    </row>
    <row r="9" spans="2:27" x14ac:dyDescent="0.25">
      <c r="B9" s="1" t="s">
        <v>120</v>
      </c>
      <c r="C9" s="34">
        <f>0.0000000249</f>
        <v>2.4900000000000001E-8</v>
      </c>
      <c r="G9" s="56"/>
      <c r="H9" s="2">
        <v>19</v>
      </c>
      <c r="I9" s="2" t="s">
        <v>44</v>
      </c>
      <c r="J9" s="44">
        <v>1</v>
      </c>
      <c r="K9" s="2">
        <v>0</v>
      </c>
      <c r="L9" s="2">
        <f>-Q_CO</f>
        <v>-36.619613240917779</v>
      </c>
      <c r="M9" s="2">
        <v>0.5</v>
      </c>
      <c r="N9" s="5">
        <v>0</v>
      </c>
      <c r="O9" s="45">
        <f>MAX(0,L9,N9)</f>
        <v>0</v>
      </c>
      <c r="P9" s="5">
        <v>0</v>
      </c>
      <c r="Q9" s="27">
        <f t="shared" si="2"/>
        <v>0</v>
      </c>
      <c r="R9" s="3">
        <v>0.5</v>
      </c>
      <c r="S9" s="2">
        <v>-2</v>
      </c>
      <c r="T9" s="37">
        <v>1</v>
      </c>
      <c r="U9" s="4">
        <f>R9/$C$9^(T9)*((Rgas*1000*4.184)*T/(2*PI()*MW_CO))^0.5*(T/T0)^S9</f>
        <v>577796986.68937802</v>
      </c>
      <c r="V9" s="51">
        <f t="shared" ref="V9" si="4">U9/U10</f>
        <v>1.5574590551451487E-5</v>
      </c>
      <c r="W9" s="5">
        <f t="shared" si="0"/>
        <v>577796986.68937802</v>
      </c>
      <c r="X9" s="5">
        <v>577814100</v>
      </c>
      <c r="Y9" s="27">
        <f t="shared" si="1"/>
        <v>2.9617329556299943E-3</v>
      </c>
    </row>
    <row r="10" spans="2:27" x14ac:dyDescent="0.25">
      <c r="C10" s="6"/>
      <c r="H10" s="2">
        <v>20</v>
      </c>
      <c r="I10" s="2" t="s">
        <v>45</v>
      </c>
      <c r="J10" s="44">
        <v>1</v>
      </c>
      <c r="K10" s="2"/>
      <c r="L10" s="2"/>
      <c r="M10" s="2">
        <v>0.5</v>
      </c>
      <c r="N10" s="5">
        <f>N9-L9</f>
        <v>36.619613240917779</v>
      </c>
      <c r="O10" s="45">
        <f>O9-L9</f>
        <v>36.619613240917779</v>
      </c>
      <c r="P10" s="5">
        <v>36.619700000000002</v>
      </c>
      <c r="Q10" s="27">
        <f t="shared" si="2"/>
        <v>2.3691915068239366E-4</v>
      </c>
      <c r="R10" s="5">
        <v>5650000000000</v>
      </c>
      <c r="S10" s="2">
        <v>1.9879</v>
      </c>
      <c r="T10" s="37">
        <v>1</v>
      </c>
      <c r="U10" s="2">
        <f>R10/$C$9^(T10-1)*(T/T0)^S10</f>
        <v>37098695132985.68</v>
      </c>
      <c r="V10" s="52"/>
      <c r="W10" s="5">
        <f t="shared" si="0"/>
        <v>1650.2758906548002</v>
      </c>
      <c r="X10" s="5">
        <v>1648.326</v>
      </c>
      <c r="Y10" s="27">
        <f t="shared" si="1"/>
        <v>-0.11829520706462973</v>
      </c>
    </row>
    <row r="11" spans="2:27" x14ac:dyDescent="0.25">
      <c r="B11" s="25" t="s">
        <v>4</v>
      </c>
      <c r="C11" s="26">
        <v>0</v>
      </c>
      <c r="D11" t="s">
        <v>114</v>
      </c>
      <c r="G11" s="56"/>
      <c r="H11" s="11">
        <v>21</v>
      </c>
      <c r="I11" s="11" t="s">
        <v>46</v>
      </c>
      <c r="J11" s="44">
        <v>1</v>
      </c>
      <c r="K11" s="11">
        <v>0</v>
      </c>
      <c r="L11" s="11">
        <f>-Q_CO2</f>
        <v>-3.3196132409177821</v>
      </c>
      <c r="M11" s="11">
        <v>0.5</v>
      </c>
      <c r="N11" s="15">
        <v>0</v>
      </c>
      <c r="O11" s="46">
        <f>MAX(0,L11,N11)</f>
        <v>0</v>
      </c>
      <c r="P11" s="15">
        <v>0</v>
      </c>
      <c r="Q11" s="27">
        <f t="shared" si="2"/>
        <v>0</v>
      </c>
      <c r="R11" s="13">
        <v>0.36699999999999999</v>
      </c>
      <c r="S11" s="11">
        <v>-2.3294000000000001</v>
      </c>
      <c r="T11" s="35">
        <v>1</v>
      </c>
      <c r="U11" s="14">
        <f>R11/$C$9^(T11)*((Rgas*1000*4.184)*T/(2*PI()*MW_CO2))^0.5*(T/T0)^S11</f>
        <v>247699484.98849353</v>
      </c>
      <c r="V11" s="53">
        <f t="shared" ref="V11" si="5">U11/U12</f>
        <v>4.158996491330339E-4</v>
      </c>
      <c r="W11" s="15">
        <f t="shared" si="0"/>
        <v>247699484.98849353</v>
      </c>
      <c r="X11" s="15">
        <v>247707800</v>
      </c>
      <c r="Y11" s="27">
        <f t="shared" si="1"/>
        <v>3.3567822678446367E-3</v>
      </c>
    </row>
    <row r="12" spans="2:27" x14ac:dyDescent="0.25">
      <c r="B12" s="25" t="s">
        <v>5</v>
      </c>
      <c r="C12" s="25">
        <v>0</v>
      </c>
      <c r="D12" t="s">
        <v>114</v>
      </c>
      <c r="H12" s="11">
        <v>22</v>
      </c>
      <c r="I12" s="11" t="s">
        <v>47</v>
      </c>
      <c r="J12" s="44">
        <v>1</v>
      </c>
      <c r="K12" s="11"/>
      <c r="L12" s="11"/>
      <c r="M12" s="11">
        <v>0.5</v>
      </c>
      <c r="N12" s="15">
        <f>N11-L11</f>
        <v>3.3196132409177821</v>
      </c>
      <c r="O12" s="46">
        <f>O11-L11</f>
        <v>3.3196132409177821</v>
      </c>
      <c r="P12" s="15">
        <v>3.3197019999999999</v>
      </c>
      <c r="Q12" s="27">
        <f t="shared" si="2"/>
        <v>2.6737063211640898E-3</v>
      </c>
      <c r="R12" s="15">
        <v>75400000000</v>
      </c>
      <c r="S12" s="11">
        <v>2.1831</v>
      </c>
      <c r="T12" s="35">
        <v>1</v>
      </c>
      <c r="U12" s="11">
        <f t="shared" ref="U12:U22" si="6">R12/$C$9^(T12-1)*(T/T0)^S12</f>
        <v>595575123722.36182</v>
      </c>
      <c r="V12" s="54"/>
      <c r="W12" s="15">
        <f t="shared" si="0"/>
        <v>68632984621.338882</v>
      </c>
      <c r="X12" s="15">
        <v>68622020000</v>
      </c>
      <c r="Y12" s="27">
        <f t="shared" si="1"/>
        <v>-1.5978284140983384E-2</v>
      </c>
    </row>
    <row r="13" spans="2:27" x14ac:dyDescent="0.25">
      <c r="B13" s="25" t="s">
        <v>6</v>
      </c>
      <c r="C13" s="25">
        <v>0</v>
      </c>
      <c r="D13" t="s">
        <v>114</v>
      </c>
      <c r="H13" s="2">
        <v>29</v>
      </c>
      <c r="I13" s="2" t="s">
        <v>48</v>
      </c>
      <c r="J13" s="33">
        <v>6</v>
      </c>
      <c r="K13" s="17">
        <f>H_CO+H_OH-H_CO2-H_H</f>
        <v>24.235027138068503</v>
      </c>
      <c r="L13" s="17">
        <f>K13+Q_CO2+Q_H-Q_CO-Q_OH</f>
        <v>-16.294876172160947</v>
      </c>
      <c r="M13" s="2">
        <v>0.7</v>
      </c>
      <c r="N13" s="5">
        <f>M13*(L13+(Q_CO*Q_OH)/(Q_CO+Q_OH))</f>
        <v>5.2650839050768905</v>
      </c>
      <c r="O13" s="47">
        <f>MAX(0,L13,N13)</f>
        <v>5.2650839050768905</v>
      </c>
      <c r="P13" s="5">
        <v>5.2643079999999998</v>
      </c>
      <c r="Q13" s="28">
        <f t="shared" si="2"/>
        <v>-1.4738975699951253E-2</v>
      </c>
      <c r="R13" s="5">
        <v>0.64200000000000002</v>
      </c>
      <c r="S13" s="2">
        <v>0.03</v>
      </c>
      <c r="T13" s="37">
        <v>2</v>
      </c>
      <c r="U13" s="5">
        <f t="shared" si="6"/>
        <v>26525889.500211328</v>
      </c>
      <c r="V13" s="51">
        <f t="shared" ref="V13" si="7">U13/U14</f>
        <v>1.1382332172226586</v>
      </c>
      <c r="W13" s="5">
        <f t="shared" si="0"/>
        <v>861611.77035165252</v>
      </c>
      <c r="X13" s="5">
        <v>861907.9</v>
      </c>
      <c r="Y13" s="28">
        <f t="shared" si="1"/>
        <v>3.4357458418411251E-2</v>
      </c>
    </row>
    <row r="14" spans="2:27" x14ac:dyDescent="0.25">
      <c r="B14" s="25" t="s">
        <v>7</v>
      </c>
      <c r="C14" s="25">
        <v>0</v>
      </c>
      <c r="D14" t="s">
        <v>114</v>
      </c>
      <c r="H14" s="2">
        <v>30</v>
      </c>
      <c r="I14" s="2" t="s">
        <v>49</v>
      </c>
      <c r="J14" s="33">
        <v>6</v>
      </c>
      <c r="K14" s="2"/>
      <c r="L14" s="17"/>
      <c r="M14" s="2">
        <v>0.7</v>
      </c>
      <c r="N14" s="5">
        <f>N13-L13</f>
        <v>21.559960077237839</v>
      </c>
      <c r="O14" s="47">
        <f>O13-L13</f>
        <v>21.559960077237839</v>
      </c>
      <c r="P14" s="5">
        <v>21.56034</v>
      </c>
      <c r="Q14" s="28">
        <f t="shared" si="2"/>
        <v>1.7621371562812635E-3</v>
      </c>
      <c r="R14" s="5">
        <v>0.56399999999999995</v>
      </c>
      <c r="S14" s="2">
        <v>3.006E-2</v>
      </c>
      <c r="T14" s="37">
        <v>2</v>
      </c>
      <c r="U14" s="5">
        <f t="shared" si="6"/>
        <v>23304441.566848416</v>
      </c>
      <c r="V14" s="52"/>
      <c r="W14" s="5">
        <f t="shared" si="0"/>
        <v>18.739983769483654</v>
      </c>
      <c r="X14" s="5">
        <v>18.722930000000002</v>
      </c>
      <c r="Y14" s="28">
        <f t="shared" si="1"/>
        <v>-9.1084939609626048E-2</v>
      </c>
    </row>
    <row r="15" spans="2:27" x14ac:dyDescent="0.25">
      <c r="B15" s="25" t="s">
        <v>25</v>
      </c>
      <c r="C15" s="25">
        <v>0</v>
      </c>
      <c r="D15" t="s">
        <v>114</v>
      </c>
      <c r="H15" s="11">
        <v>31</v>
      </c>
      <c r="I15" s="11" t="s">
        <v>50</v>
      </c>
      <c r="J15" s="32">
        <v>5</v>
      </c>
      <c r="K15" s="18">
        <f>H_CO+H_OH-H_COOH</f>
        <v>34.414633866978448</v>
      </c>
      <c r="L15" s="18">
        <f>K15-Q_CO-Q_OH+Q_COOH</f>
        <v>-10.475076063709892</v>
      </c>
      <c r="M15" s="11">
        <v>0.5</v>
      </c>
      <c r="N15" s="15">
        <f>M15*(L15+(Q_CO*Q_OH)/(Q_CO+Q_OH))</f>
        <v>6.6706742721375925</v>
      </c>
      <c r="O15" s="46">
        <f>MAX(0,L15,N15)</f>
        <v>6.6706742721375925</v>
      </c>
      <c r="P15" s="15">
        <v>6.6698570000000004</v>
      </c>
      <c r="Q15" s="29">
        <f t="shared" si="2"/>
        <v>-1.2253218286268531E-2</v>
      </c>
      <c r="R15" s="15">
        <v>1070000000000</v>
      </c>
      <c r="S15" s="11">
        <v>-0.4123</v>
      </c>
      <c r="T15" s="35">
        <v>2</v>
      </c>
      <c r="U15" s="11">
        <f t="shared" si="6"/>
        <v>2.908508756005915E+19</v>
      </c>
      <c r="V15" s="53">
        <f t="shared" ref="V15" si="8">U15/U16</f>
        <v>0.52313776999221462</v>
      </c>
      <c r="W15" s="15">
        <f t="shared" si="0"/>
        <v>3.7841926668115603E+17</v>
      </c>
      <c r="X15" s="15">
        <v>3.785431E+17</v>
      </c>
      <c r="Y15" s="29">
        <f t="shared" si="1"/>
        <v>3.2713135926653529E-2</v>
      </c>
    </row>
    <row r="16" spans="2:27" x14ac:dyDescent="0.25">
      <c r="H16" s="11">
        <v>32</v>
      </c>
      <c r="I16" s="11" t="s">
        <v>51</v>
      </c>
      <c r="J16" s="32">
        <v>5</v>
      </c>
      <c r="K16" s="11"/>
      <c r="L16" s="18"/>
      <c r="M16" s="11">
        <v>0.5</v>
      </c>
      <c r="N16" s="15">
        <f>N15-L15</f>
        <v>17.145750335847485</v>
      </c>
      <c r="O16" s="46">
        <f>O15-L15</f>
        <v>17.145750335847485</v>
      </c>
      <c r="P16" s="15">
        <v>17.146619999999999</v>
      </c>
      <c r="Q16" s="29">
        <f t="shared" si="2"/>
        <v>5.0719276015567744E-3</v>
      </c>
      <c r="R16" s="15">
        <v>937000000000</v>
      </c>
      <c r="S16" s="11">
        <v>0.4123</v>
      </c>
      <c r="T16" s="35">
        <v>2</v>
      </c>
      <c r="U16" s="11">
        <f t="shared" si="6"/>
        <v>5.5597376500825006E+19</v>
      </c>
      <c r="V16" s="54"/>
      <c r="W16" s="15">
        <f t="shared" si="0"/>
        <v>791068492677206.75</v>
      </c>
      <c r="X16" s="15">
        <v>790206500000000</v>
      </c>
      <c r="Y16" s="29">
        <f t="shared" si="1"/>
        <v>-0.10908448325934424</v>
      </c>
    </row>
    <row r="17" spans="1:25" x14ac:dyDescent="0.25">
      <c r="H17" s="2">
        <v>33</v>
      </c>
      <c r="I17" s="2" t="s">
        <v>52</v>
      </c>
      <c r="J17" s="32">
        <v>5</v>
      </c>
      <c r="K17" s="17">
        <f>H_CO2+H_H-H_COOH</f>
        <v>10.179606728909938</v>
      </c>
      <c r="L17" s="17">
        <f>K17-Q_CO2-Q_H+Q_COOH</f>
        <v>5.8198001084510551</v>
      </c>
      <c r="M17" s="2">
        <v>2.2000000000000002</v>
      </c>
      <c r="N17" s="5">
        <f>M17*(L17+(Q_CO2*Q_H)/(Q_CO2+Q_H))</f>
        <v>19.729137555751574</v>
      </c>
      <c r="O17" s="47">
        <f>MAX(0,L17,N17)</f>
        <v>19.729137555751574</v>
      </c>
      <c r="P17" s="5">
        <v>19.728159999999999</v>
      </c>
      <c r="Q17" s="29">
        <f t="shared" si="2"/>
        <v>-4.9551288694696331E-3</v>
      </c>
      <c r="R17" s="5">
        <v>10000000000</v>
      </c>
      <c r="S17" s="2">
        <v>-0.44240000000000002</v>
      </c>
      <c r="T17" s="37">
        <v>2</v>
      </c>
      <c r="U17" s="2">
        <f t="shared" si="6"/>
        <v>2.6418685719338134E+17</v>
      </c>
      <c r="V17" s="51">
        <f t="shared" ref="V17" si="9">U17/U18</f>
        <v>0.43316725891350455</v>
      </c>
      <c r="W17" s="5">
        <f t="shared" si="0"/>
        <v>699499032836.47412</v>
      </c>
      <c r="X17" s="5">
        <v>699522000000</v>
      </c>
      <c r="Y17" s="29">
        <f t="shared" si="1"/>
        <v>3.2832653620442111E-3</v>
      </c>
    </row>
    <row r="18" spans="1:25" x14ac:dyDescent="0.25">
      <c r="B18" s="22" t="s">
        <v>8</v>
      </c>
      <c r="C18" s="22" t="s">
        <v>109</v>
      </c>
      <c r="D18" s="22" t="s">
        <v>110</v>
      </c>
      <c r="H18" s="2">
        <v>34</v>
      </c>
      <c r="I18" s="2" t="s">
        <v>53</v>
      </c>
      <c r="J18" s="32">
        <v>5</v>
      </c>
      <c r="K18" s="17"/>
      <c r="L18" s="17"/>
      <c r="M18" s="2">
        <v>2.2000000000000002</v>
      </c>
      <c r="N18" s="5">
        <f>N17-L17</f>
        <v>13.909337447300519</v>
      </c>
      <c r="O18" s="47">
        <f>O17-L17</f>
        <v>13.909337447300519</v>
      </c>
      <c r="P18" s="5">
        <v>13.90888</v>
      </c>
      <c r="Q18" s="29">
        <f t="shared" si="2"/>
        <v>-3.2888866718182013E-3</v>
      </c>
      <c r="R18" s="5">
        <v>9990000000</v>
      </c>
      <c r="S18" s="2">
        <v>0.44240000000000002</v>
      </c>
      <c r="T18" s="37">
        <v>2</v>
      </c>
      <c r="U18" s="2">
        <f t="shared" si="6"/>
        <v>6.0989571985664448E+17</v>
      </c>
      <c r="V18" s="52"/>
      <c r="W18" s="5">
        <f t="shared" si="0"/>
        <v>71334492697509.469</v>
      </c>
      <c r="X18" s="5">
        <v>71325160000000</v>
      </c>
      <c r="Y18" s="29">
        <f t="shared" si="1"/>
        <v>-1.3084720047552295E-2</v>
      </c>
    </row>
    <row r="19" spans="1:25" x14ac:dyDescent="0.25">
      <c r="B19" s="22" t="s">
        <v>9</v>
      </c>
      <c r="C19" s="22">
        <f>(12.0107+4*1.00794)/1000</f>
        <v>1.6042459999999998E-2</v>
      </c>
      <c r="D19" s="22"/>
      <c r="H19" s="11">
        <v>35</v>
      </c>
      <c r="I19" s="11" t="s">
        <v>54</v>
      </c>
      <c r="J19" s="33">
        <v>6</v>
      </c>
      <c r="K19" s="18">
        <f>H_COOH+H_H-H_CO-H_H2O</f>
        <v>86.548620227910803</v>
      </c>
      <c r="L19" s="18">
        <f>K19+Q_CO+Q_H2O-Q_COOH-Q_H</f>
        <v>10.878523538140264</v>
      </c>
      <c r="M19" s="11">
        <v>0.9</v>
      </c>
      <c r="N19" s="15">
        <f>M19*(L19+(Q_COOH*Q_H)/(Q_COOH+Q_H))</f>
        <v>36.954980809546349</v>
      </c>
      <c r="O19" s="46">
        <f>MAX(0,L19,N19)</f>
        <v>36.954980809546349</v>
      </c>
      <c r="P19" s="15">
        <v>36.951349999999998</v>
      </c>
      <c r="Q19" s="28">
        <f t="shared" si="2"/>
        <v>-9.8259185289603489E-3</v>
      </c>
      <c r="R19" s="15">
        <v>3340000000</v>
      </c>
      <c r="S19" s="11">
        <v>-0.22220000000000001</v>
      </c>
      <c r="T19" s="35">
        <v>2</v>
      </c>
      <c r="U19" s="11">
        <f t="shared" si="6"/>
        <v>1.0869041700707672E+17</v>
      </c>
      <c r="V19" s="53">
        <f t="shared" ref="V19" si="10">U19/U20</f>
        <v>182.73106149450714</v>
      </c>
      <c r="W19" s="15">
        <f t="shared" si="0"/>
        <v>3886743.8141154968</v>
      </c>
      <c r="X19" s="15">
        <v>3891513</v>
      </c>
      <c r="Y19" s="28">
        <f t="shared" si="1"/>
        <v>0.12255351284971121</v>
      </c>
    </row>
    <row r="20" spans="1:25" x14ac:dyDescent="0.25">
      <c r="B20" s="22" t="s">
        <v>11</v>
      </c>
      <c r="C20" s="22">
        <f>(2*1.00794)/1000</f>
        <v>2.0158800000000003E-3</v>
      </c>
      <c r="D20" s="23">
        <f>IF(T&lt;1000,'gas phase enthalpy'!T7,'gas phase enthalpy'!W7)</f>
        <v>3.3242476095640106</v>
      </c>
      <c r="H20" s="11">
        <v>36</v>
      </c>
      <c r="I20" s="11" t="s">
        <v>55</v>
      </c>
      <c r="J20" s="33">
        <v>6</v>
      </c>
      <c r="K20" s="11"/>
      <c r="L20" s="18"/>
      <c r="M20" s="11">
        <v>0.9</v>
      </c>
      <c r="N20" s="15">
        <f>N19-L19</f>
        <v>26.076457271406085</v>
      </c>
      <c r="O20" s="46">
        <f>O19-L19</f>
        <v>26.076457271406085</v>
      </c>
      <c r="P20" s="15">
        <v>26.076899999999998</v>
      </c>
      <c r="Q20" s="28">
        <f t="shared" si="2"/>
        <v>1.6977807711563966E-3</v>
      </c>
      <c r="R20" s="15">
        <v>12000000</v>
      </c>
      <c r="S20" s="11">
        <v>0.2223</v>
      </c>
      <c r="T20" s="35">
        <v>2</v>
      </c>
      <c r="U20" s="11">
        <f t="shared" si="6"/>
        <v>594810844517224.75</v>
      </c>
      <c r="V20" s="54"/>
      <c r="W20" s="15">
        <f t="shared" si="0"/>
        <v>25290942.690451734</v>
      </c>
      <c r="X20" s="15">
        <v>25263330</v>
      </c>
      <c r="Y20" s="28">
        <f t="shared" si="1"/>
        <v>-0.10929948843534786</v>
      </c>
    </row>
    <row r="21" spans="1:25" x14ac:dyDescent="0.25">
      <c r="B21" s="22" t="s">
        <v>3</v>
      </c>
      <c r="C21" s="22">
        <f>(2*1.00794+15.9994)/1000</f>
        <v>1.8015280000000002E-2</v>
      </c>
      <c r="D21" s="22"/>
      <c r="H21" s="2">
        <v>39</v>
      </c>
      <c r="I21" s="2" t="s">
        <v>56</v>
      </c>
      <c r="J21" s="33">
        <v>6</v>
      </c>
      <c r="K21" s="17">
        <f>H_COOH+H_OH-H_CO2-H_H2O</f>
        <v>110.78364736597931</v>
      </c>
      <c r="L21" s="17">
        <f>K21+Q_CO2+Q_H2O-Q_COOH-Q_OH</f>
        <v>-5.4163526340206971</v>
      </c>
      <c r="M21" s="2">
        <v>0.01</v>
      </c>
      <c r="N21" s="5">
        <f>M21*(L21+(Q_COOH*Q_OH)/(Q_COOH+Q_OH))</f>
        <v>0.26442314583179172</v>
      </c>
      <c r="O21" s="47">
        <f>MAX(0,L21,N21)</f>
        <v>0.26442314583179172</v>
      </c>
      <c r="P21" s="5">
        <v>0.26437129999999998</v>
      </c>
      <c r="Q21" s="28">
        <f t="shared" si="2"/>
        <v>-1.9610990978046902E-2</v>
      </c>
      <c r="R21" s="5">
        <v>19000000000000</v>
      </c>
      <c r="S21" s="2">
        <v>-0.19220000000000001</v>
      </c>
      <c r="T21" s="37">
        <v>2</v>
      </c>
      <c r="U21" s="2">
        <f t="shared" si="6"/>
        <v>6.3611064640152719E+20</v>
      </c>
      <c r="V21" s="51">
        <f t="shared" ref="V21" si="11">U21/U22</f>
        <v>235.78837794743731</v>
      </c>
      <c r="W21" s="5">
        <f>U21*EXP(-O21/Rgas/T)</f>
        <v>5.3553061479056186E+20</v>
      </c>
      <c r="X21" s="5">
        <v>5.3554430000000002E+20</v>
      </c>
      <c r="Y21" s="28">
        <f t="shared" si="1"/>
        <v>2.5553832686033345E-3</v>
      </c>
    </row>
    <row r="22" spans="1:25" x14ac:dyDescent="0.25">
      <c r="B22" s="22" t="s">
        <v>2</v>
      </c>
      <c r="C22" s="22">
        <f>(12.0107+15.9994)/1000</f>
        <v>2.8010100000000003E-2</v>
      </c>
      <c r="D22" s="22"/>
      <c r="H22" s="2">
        <v>40</v>
      </c>
      <c r="I22" s="2" t="s">
        <v>57</v>
      </c>
      <c r="J22" s="33">
        <v>6</v>
      </c>
      <c r="K22" s="2"/>
      <c r="L22" s="17"/>
      <c r="M22" s="2">
        <v>0.01</v>
      </c>
      <c r="N22" s="5">
        <f>N21-L21</f>
        <v>5.6807757798524889</v>
      </c>
      <c r="O22" s="47">
        <f>O21-L21</f>
        <v>5.6807757798524889</v>
      </c>
      <c r="P22" s="5">
        <v>5.6859570000000001</v>
      </c>
      <c r="Q22" s="28">
        <f t="shared" si="2"/>
        <v>9.1123097615938717E-2</v>
      </c>
      <c r="R22" s="5">
        <v>56000000000</v>
      </c>
      <c r="S22" s="2">
        <v>0.19220000000000001</v>
      </c>
      <c r="T22" s="37">
        <v>2</v>
      </c>
      <c r="U22" s="2">
        <f t="shared" si="6"/>
        <v>2.6978032248193802E+18</v>
      </c>
      <c r="V22" s="52"/>
      <c r="W22" s="5">
        <f t="shared" si="0"/>
        <v>6.6856283341004888E+16</v>
      </c>
      <c r="X22" s="5">
        <v>6.661956E+16</v>
      </c>
      <c r="Y22" s="28">
        <f t="shared" si="1"/>
        <v>-0.3553360919899321</v>
      </c>
    </row>
    <row r="23" spans="1:25" x14ac:dyDescent="0.25">
      <c r="B23" s="22" t="s">
        <v>10</v>
      </c>
      <c r="C23" s="22">
        <f>(12.0107+2*15.9994)/1000</f>
        <v>4.40095E-2</v>
      </c>
      <c r="D23" s="22"/>
      <c r="G23" s="56"/>
      <c r="H23" s="11">
        <v>55</v>
      </c>
      <c r="I23" s="11" t="s">
        <v>58</v>
      </c>
      <c r="J23" s="31">
        <v>4</v>
      </c>
      <c r="K23" s="18">
        <f>H_CH3+H_H-H_CH4</f>
        <v>107.07686022038624</v>
      </c>
      <c r="L23" s="18">
        <f>K23-Q_CH3-Q_H</f>
        <v>6.1376337385506687</v>
      </c>
      <c r="M23" s="11">
        <v>0.5</v>
      </c>
      <c r="N23" s="15">
        <f>M23*(L23-Q_CH4+(Q_CH3*Q_H)/(Q_CH3+Q_H))</f>
        <v>13.088573024654107</v>
      </c>
      <c r="O23" s="46">
        <f>MAX(0,L23,N23)</f>
        <v>13.088573024654107</v>
      </c>
      <c r="P23" s="15">
        <v>13.085929999999999</v>
      </c>
      <c r="Q23" s="30">
        <f t="shared" si="2"/>
        <v>-2.0197453708731054E-2</v>
      </c>
      <c r="R23" s="13">
        <v>0.57199999999999995</v>
      </c>
      <c r="S23" s="11">
        <v>0.7883</v>
      </c>
      <c r="T23" s="35">
        <v>2</v>
      </c>
      <c r="U23" s="14">
        <f>R23/$C$9^(T23)*((Rgas*1000*4.184)*T/(2*PI()*MW_CH4))^0.5*(T/T0)^S23</f>
        <v>4.913743079331207E+17</v>
      </c>
      <c r="V23" s="53">
        <f t="shared" ref="V23" si="12">U23/U24</f>
        <v>0.33427056005300726</v>
      </c>
      <c r="W23" s="15">
        <f t="shared" si="0"/>
        <v>98055945025626.953</v>
      </c>
      <c r="X23" s="15">
        <v>98186210000000</v>
      </c>
      <c r="Y23" s="30">
        <f t="shared" si="1"/>
        <v>0.13267135412706824</v>
      </c>
    </row>
    <row r="24" spans="1:25" x14ac:dyDescent="0.25">
      <c r="H24" s="11">
        <v>56</v>
      </c>
      <c r="I24" s="11" t="s">
        <v>59</v>
      </c>
      <c r="J24" s="31">
        <v>4</v>
      </c>
      <c r="K24" s="11"/>
      <c r="L24" s="18"/>
      <c r="M24" s="11">
        <v>0.5</v>
      </c>
      <c r="N24" s="15">
        <f>N23-L23</f>
        <v>6.9509392861034378</v>
      </c>
      <c r="O24" s="46">
        <f>O23-L23</f>
        <v>6.9509392861034378</v>
      </c>
      <c r="P24" s="15">
        <v>6.9535419999999997</v>
      </c>
      <c r="Q24" s="30">
        <f t="shared" si="2"/>
        <v>3.7430044954952238E-2</v>
      </c>
      <c r="R24" s="15">
        <v>77200000000</v>
      </c>
      <c r="S24" s="11">
        <v>-0.7883</v>
      </c>
      <c r="T24" s="35">
        <v>2</v>
      </c>
      <c r="U24" s="11">
        <f t="shared" ref="U24:U40" si="13">R24/$C$9^(T24-1)*(T/T0)^S24</f>
        <v>1.4699897826933983E+18</v>
      </c>
      <c r="V24" s="54"/>
      <c r="W24" s="15">
        <f t="shared" si="0"/>
        <v>1.593641264842411E+16</v>
      </c>
      <c r="X24" s="15">
        <v>1.590604E+16</v>
      </c>
      <c r="Y24" s="30">
        <f t="shared" si="1"/>
        <v>-0.19095040892711196</v>
      </c>
    </row>
    <row r="25" spans="1:25" x14ac:dyDescent="0.25">
      <c r="H25" s="2">
        <v>57</v>
      </c>
      <c r="I25" s="2" t="s">
        <v>60</v>
      </c>
      <c r="J25" s="32">
        <v>5</v>
      </c>
      <c r="K25" s="17">
        <f>H_CH2+H_H-H_CH3</f>
        <v>112.25744167431225</v>
      </c>
      <c r="L25" s="17">
        <f>K25-Q_CH2-Q_H+Q_CH3</f>
        <v>-15.532268256376085</v>
      </c>
      <c r="M25" s="2">
        <v>0.5</v>
      </c>
      <c r="N25" s="5">
        <f>M25*(L25+(Q_CH2*Q_H)/(Q_CH2+Q_H))</f>
        <v>11.633755803774559</v>
      </c>
      <c r="O25" s="47">
        <f>MAX(0,L25,N25)</f>
        <v>11.633755803774559</v>
      </c>
      <c r="P25" s="5">
        <v>11.6311</v>
      </c>
      <c r="Q25" s="29">
        <f t="shared" si="2"/>
        <v>-2.2833642343016002E-2</v>
      </c>
      <c r="R25" s="5">
        <v>24900000000</v>
      </c>
      <c r="S25" s="2">
        <v>8.6199999999999999E-2</v>
      </c>
      <c r="T25" s="37">
        <v>2</v>
      </c>
      <c r="U25" s="2">
        <f t="shared" si="13"/>
        <v>1.0850268465904686E+18</v>
      </c>
      <c r="V25" s="51">
        <f t="shared" ref="V25" si="14">U25/U26</f>
        <v>11.40636308162226</v>
      </c>
      <c r="W25" s="5">
        <f t="shared" si="0"/>
        <v>558157091030536.87</v>
      </c>
      <c r="X25" s="5">
        <v>558924700000000</v>
      </c>
      <c r="Y25" s="29">
        <f t="shared" si="1"/>
        <v>0.13733674132904217</v>
      </c>
    </row>
    <row r="26" spans="1:25" x14ac:dyDescent="0.25">
      <c r="B26" s="22" t="s">
        <v>12</v>
      </c>
      <c r="C26" s="22" t="s">
        <v>27</v>
      </c>
      <c r="D26" s="22" t="s">
        <v>33</v>
      </c>
      <c r="E26" s="22" t="s">
        <v>34</v>
      </c>
      <c r="F26" s="22" t="s">
        <v>110</v>
      </c>
      <c r="H26" s="2">
        <v>58</v>
      </c>
      <c r="I26" s="2" t="s">
        <v>61</v>
      </c>
      <c r="J26" s="32">
        <v>5</v>
      </c>
      <c r="K26" s="17"/>
      <c r="L26" s="17"/>
      <c r="M26" s="2">
        <v>0.5</v>
      </c>
      <c r="N26" s="5">
        <f>N25-L25</f>
        <v>27.166024060150644</v>
      </c>
      <c r="O26" s="47">
        <f>O25-L25</f>
        <v>27.166024060150644</v>
      </c>
      <c r="P26" s="5">
        <v>27.16873</v>
      </c>
      <c r="Q26" s="29">
        <f t="shared" si="2"/>
        <v>9.95975833009566E-3</v>
      </c>
      <c r="R26" s="5">
        <v>2570000000</v>
      </c>
      <c r="S26" s="2">
        <v>-8.6199999999999999E-2</v>
      </c>
      <c r="T26" s="37">
        <v>2</v>
      </c>
      <c r="U26" s="2">
        <f t="shared" si="13"/>
        <v>9.5124698278160688E+16</v>
      </c>
      <c r="V26" s="52"/>
      <c r="W26" s="5">
        <f t="shared" si="0"/>
        <v>1990103390.1965632</v>
      </c>
      <c r="X26" s="5">
        <v>1984949000</v>
      </c>
      <c r="Y26" s="29">
        <f t="shared" si="1"/>
        <v>-0.25967368413814379</v>
      </c>
    </row>
    <row r="27" spans="1:25" x14ac:dyDescent="0.25">
      <c r="A27">
        <v>1</v>
      </c>
      <c r="B27" s="22" t="s">
        <v>13</v>
      </c>
      <c r="C27" s="22">
        <f>62.3-2.5*ϑH-3.7*ϑCO</f>
        <v>62.3</v>
      </c>
      <c r="D27" s="22">
        <v>1.5</v>
      </c>
      <c r="E27" s="22">
        <f t="shared" ref="E27:E38" si="15">C27-D27*Rgas*deltaT</f>
        <v>60.889709930688333</v>
      </c>
      <c r="F27" s="23">
        <f>IF(T&lt;1000,'gas phase enthalpy'!T11,'gas phase enthalpy'!W11)</f>
        <v>54.459352770190947</v>
      </c>
      <c r="H27" s="11">
        <v>59</v>
      </c>
      <c r="I27" s="11" t="s">
        <v>62</v>
      </c>
      <c r="J27" s="32">
        <v>5</v>
      </c>
      <c r="K27" s="18">
        <f>H_CH+H_H-H_CH2</f>
        <v>102.4561986359804</v>
      </c>
      <c r="L27" s="18">
        <f>K27-Q_CH-Q_H+Q_CH2</f>
        <v>-0.80360798447846093</v>
      </c>
      <c r="M27" s="11">
        <v>0.5</v>
      </c>
      <c r="N27" s="15">
        <f>M27*(L27+(Q_CH*Q_H)/(Q_CH+Q_H))</f>
        <v>21.224325144239888</v>
      </c>
      <c r="O27" s="46">
        <f>MAX(0,L27,N27)</f>
        <v>21.224325144239888</v>
      </c>
      <c r="P27" s="15">
        <v>21.221910000000001</v>
      </c>
      <c r="Q27" s="29">
        <f t="shared" si="2"/>
        <v>-1.1380428245556802E-2</v>
      </c>
      <c r="R27" s="15">
        <v>55000000000</v>
      </c>
      <c r="S27" s="11">
        <v>-0.13120000000000001</v>
      </c>
      <c r="T27" s="35">
        <v>2</v>
      </c>
      <c r="U27" s="11">
        <f t="shared" si="13"/>
        <v>1.950839074190498E+18</v>
      </c>
      <c r="V27" s="53">
        <f t="shared" ref="V27" si="16">U27/U28</f>
        <v>5.9012564102332545</v>
      </c>
      <c r="W27" s="15">
        <f t="shared" si="0"/>
        <v>1951779691116.3884</v>
      </c>
      <c r="X27" s="15">
        <v>1953577000000</v>
      </c>
      <c r="Y27" s="29">
        <f t="shared" si="1"/>
        <v>9.2000923619164857E-2</v>
      </c>
    </row>
    <row r="28" spans="1:25" x14ac:dyDescent="0.25">
      <c r="A28">
        <v>2</v>
      </c>
      <c r="B28" s="22" t="s">
        <v>15</v>
      </c>
      <c r="C28" s="22">
        <f>70-33*ϑO+25*ϑH2O-25*ϑOH</f>
        <v>70</v>
      </c>
      <c r="D28" s="22">
        <v>2</v>
      </c>
      <c r="E28" s="22">
        <f t="shared" si="15"/>
        <v>68.119613240917786</v>
      </c>
      <c r="F28" s="23">
        <f>IF(T&lt;1000,'gas phase enthalpy'!T12,'gas phase enthalpy'!W12)</f>
        <v>12.764847221770795</v>
      </c>
      <c r="H28" s="11">
        <v>60</v>
      </c>
      <c r="I28" s="11" t="s">
        <v>63</v>
      </c>
      <c r="J28" s="32">
        <v>5</v>
      </c>
      <c r="K28" s="18"/>
      <c r="L28" s="18"/>
      <c r="M28" s="11">
        <v>0.5</v>
      </c>
      <c r="N28" s="15">
        <f>N27-L27</f>
        <v>22.027933128718349</v>
      </c>
      <c r="O28" s="46">
        <f>O27-L27</f>
        <v>22.027933128718349</v>
      </c>
      <c r="P28" s="15">
        <v>22.030390000000001</v>
      </c>
      <c r="Q28" s="29">
        <f t="shared" si="2"/>
        <v>1.1152191502972111E-2</v>
      </c>
      <c r="R28" s="15">
        <v>7270000000</v>
      </c>
      <c r="S28" s="11">
        <v>0.13120000000000001</v>
      </c>
      <c r="T28" s="35">
        <v>2</v>
      </c>
      <c r="U28" s="11">
        <f t="shared" si="13"/>
        <v>3.305802931741088E+17</v>
      </c>
      <c r="V28" s="54"/>
      <c r="W28" s="15">
        <f t="shared" si="0"/>
        <v>196028256863.89966</v>
      </c>
      <c r="X28" s="15">
        <v>195582600000</v>
      </c>
      <c r="Y28" s="29">
        <f t="shared" si="1"/>
        <v>-0.22786120232559451</v>
      </c>
    </row>
    <row r="29" spans="1:25" x14ac:dyDescent="0.25">
      <c r="A29">
        <v>3</v>
      </c>
      <c r="B29" s="22" t="s">
        <v>14</v>
      </c>
      <c r="C29" s="22">
        <f>10.8-4.5*ϑH2O+25*ϑOH</f>
        <v>10.8</v>
      </c>
      <c r="D29" s="22">
        <v>2.5</v>
      </c>
      <c r="E29" s="22">
        <f t="shared" si="15"/>
        <v>8.4495165511472283</v>
      </c>
      <c r="F29" s="23">
        <f>IF(T&lt;1000,'gas phase enthalpy'!T9,'gas phase enthalpy'!W9)</f>
        <v>-53.739054102927511</v>
      </c>
      <c r="H29" s="2">
        <v>61</v>
      </c>
      <c r="I29" s="2" t="s">
        <v>64</v>
      </c>
      <c r="J29" s="32">
        <v>5</v>
      </c>
      <c r="K29" s="17">
        <f>H_C+H_H-H_CH</f>
        <v>81.976875949349647</v>
      </c>
      <c r="L29" s="17">
        <f>K29-Q_C-Q_H+Q_CH</f>
        <v>12.817069328890739</v>
      </c>
      <c r="M29" s="2">
        <v>0.5</v>
      </c>
      <c r="N29" s="5">
        <f>M29*(L29+(Q_C*Q_H)/(Q_C+Q_H))</f>
        <v>28.368478836370691</v>
      </c>
      <c r="O29" s="47">
        <f>MAX(0,L29,N29)</f>
        <v>28.368478836370691</v>
      </c>
      <c r="P29" s="5">
        <v>28.366540000000001</v>
      </c>
      <c r="Q29" s="29">
        <f t="shared" si="2"/>
        <v>-6.8349413452992629E-3</v>
      </c>
      <c r="R29" s="5">
        <v>4580000000000</v>
      </c>
      <c r="S29" s="2">
        <v>-0.24640000000000001</v>
      </c>
      <c r="T29" s="37">
        <v>2</v>
      </c>
      <c r="U29" s="2">
        <f t="shared" si="13"/>
        <v>1.4566681267122695E+20</v>
      </c>
      <c r="V29" s="51">
        <f t="shared" ref="V29" si="17">U29/U30</f>
        <v>13.176436022951423</v>
      </c>
      <c r="W29" s="5">
        <f t="shared" si="0"/>
        <v>1393244934660.1694</v>
      </c>
      <c r="X29" s="5">
        <v>1393787000000</v>
      </c>
      <c r="Y29" s="29">
        <f t="shared" si="1"/>
        <v>3.8891547979035997E-2</v>
      </c>
    </row>
    <row r="30" spans="1:25" x14ac:dyDescent="0.25">
      <c r="A30">
        <v>4</v>
      </c>
      <c r="B30" s="22" t="s">
        <v>20</v>
      </c>
      <c r="C30" s="22">
        <f>38.5-15*ϑCO-3.7*ϑH</f>
        <v>38.5</v>
      </c>
      <c r="D30" s="22">
        <v>2</v>
      </c>
      <c r="E30" s="22">
        <f t="shared" si="15"/>
        <v>36.619613240917779</v>
      </c>
      <c r="F30" s="23">
        <f>IF(T&lt;1000,'gas phase enthalpy'!T13,'gas phase enthalpy'!W13)</f>
        <v>-22.993262216654838</v>
      </c>
      <c r="H30" s="2">
        <v>62</v>
      </c>
      <c r="I30" s="2" t="s">
        <v>65</v>
      </c>
      <c r="J30" s="32">
        <v>5</v>
      </c>
      <c r="K30" s="17"/>
      <c r="L30" s="17"/>
      <c r="M30" s="2">
        <v>0.5</v>
      </c>
      <c r="N30" s="5">
        <f>N29-L29</f>
        <v>15.551409507479953</v>
      </c>
      <c r="O30" s="47">
        <f>O29-L29</f>
        <v>15.551409507479953</v>
      </c>
      <c r="P30" s="5">
        <v>15.55339</v>
      </c>
      <c r="Q30" s="29">
        <f t="shared" si="2"/>
        <v>1.2733510315419199E-2</v>
      </c>
      <c r="R30" s="5">
        <v>218000000000</v>
      </c>
      <c r="S30" s="2">
        <v>0.24640000000000001</v>
      </c>
      <c r="T30" s="37">
        <v>2</v>
      </c>
      <c r="U30" s="2">
        <f t="shared" si="13"/>
        <v>1.1055099604892908E+19</v>
      </c>
      <c r="V30" s="52"/>
      <c r="W30" s="5">
        <f t="shared" si="0"/>
        <v>444035923515434.69</v>
      </c>
      <c r="X30" s="5">
        <v>443253200000000</v>
      </c>
      <c r="Y30" s="29">
        <f t="shared" si="1"/>
        <v>-0.17658609468238187</v>
      </c>
    </row>
    <row r="31" spans="1:25" x14ac:dyDescent="0.25">
      <c r="A31">
        <v>5</v>
      </c>
      <c r="B31" s="22" t="s">
        <v>21</v>
      </c>
      <c r="C31" s="22">
        <v>5.2</v>
      </c>
      <c r="D31" s="22">
        <v>2</v>
      </c>
      <c r="E31" s="22">
        <f t="shared" si="15"/>
        <v>3.3196132409177821</v>
      </c>
      <c r="F31" s="23">
        <f>IF(T&lt;1000,'gas phase enthalpy'!T14,'gas phase enthalpy'!W14)</f>
        <v>-88.922794903143497</v>
      </c>
      <c r="H31" s="11">
        <v>63</v>
      </c>
      <c r="I31" s="11" t="s">
        <v>66</v>
      </c>
      <c r="J31" s="33">
        <v>6</v>
      </c>
      <c r="K31" s="18">
        <f>H_CH2+H_OH-H_CH3-H_O</f>
        <v>8.5966578079807476</v>
      </c>
      <c r="L31" s="18">
        <f>K31+Q_CH3+Q_O-Q_CH2-Q_OH</f>
        <v>-27.833245502248701</v>
      </c>
      <c r="M31" s="11">
        <v>0.5</v>
      </c>
      <c r="N31" s="15">
        <f>M31*(L31+(Q_CH2*Q_OH)/(Q_CH2+Q_OH))</f>
        <v>6.8904713162887035</v>
      </c>
      <c r="O31" s="46">
        <f>MAX(0,L31,N31)</f>
        <v>6.8904713162887035</v>
      </c>
      <c r="P31" s="15">
        <v>6.8902840000000003</v>
      </c>
      <c r="Q31" s="28">
        <f t="shared" si="2"/>
        <v>-2.7185568650455946E-3</v>
      </c>
      <c r="R31" s="15">
        <v>296000000000</v>
      </c>
      <c r="S31" s="11">
        <v>-0.19059999999999999</v>
      </c>
      <c r="T31" s="35">
        <v>2</v>
      </c>
      <c r="U31" s="11">
        <f t="shared" si="13"/>
        <v>9.924956281535146E+18</v>
      </c>
      <c r="V31" s="53">
        <f t="shared" ref="V31" si="18">U31/U32</f>
        <v>6.1044633081730737</v>
      </c>
      <c r="W31" s="15">
        <f t="shared" si="0"/>
        <v>1.1191755633102914E+17</v>
      </c>
      <c r="X31" s="15">
        <v>1.119075E+17</v>
      </c>
      <c r="Y31" s="28">
        <f t="shared" si="1"/>
        <v>-8.9862887019511641E-3</v>
      </c>
    </row>
    <row r="32" spans="1:25" x14ac:dyDescent="0.25">
      <c r="A32">
        <v>6</v>
      </c>
      <c r="B32" s="22" t="s">
        <v>19</v>
      </c>
      <c r="C32" s="22">
        <v>159</v>
      </c>
      <c r="D32" s="22">
        <v>1.5</v>
      </c>
      <c r="E32" s="22">
        <f t="shared" si="15"/>
        <v>157.58970993068834</v>
      </c>
      <c r="F32" s="23">
        <f>IF(T&lt;1000,'gas phase enthalpy'!T19,'gas phase enthalpy'!W19)</f>
        <v>173.64207844444326</v>
      </c>
      <c r="H32" s="11">
        <v>64</v>
      </c>
      <c r="I32" s="11" t="s">
        <v>67</v>
      </c>
      <c r="J32" s="33">
        <v>6</v>
      </c>
      <c r="K32" s="11"/>
      <c r="L32" s="18"/>
      <c r="M32" s="11">
        <v>0.5</v>
      </c>
      <c r="N32" s="15">
        <f>N31-L31</f>
        <v>34.723716818537405</v>
      </c>
      <c r="O32" s="46">
        <f>O31-L31</f>
        <v>34.723716818537405</v>
      </c>
      <c r="P32" s="15">
        <v>34.723950000000002</v>
      </c>
      <c r="Q32" s="28">
        <f t="shared" si="2"/>
        <v>6.7152919698806109E-4</v>
      </c>
      <c r="R32" s="15">
        <v>33800000000</v>
      </c>
      <c r="S32" s="11">
        <v>0.19059999999999999</v>
      </c>
      <c r="T32" s="35">
        <v>2</v>
      </c>
      <c r="U32" s="11">
        <f t="shared" si="13"/>
        <v>1.6258523936489116E+18</v>
      </c>
      <c r="V32" s="54"/>
      <c r="W32" s="15">
        <f t="shared" si="0"/>
        <v>248439031.37872487</v>
      </c>
      <c r="X32" s="15">
        <v>248135900</v>
      </c>
      <c r="Y32" s="28">
        <f t="shared" si="1"/>
        <v>-0.12216345104633108</v>
      </c>
    </row>
    <row r="33" spans="1:25" x14ac:dyDescent="0.25">
      <c r="A33">
        <v>7</v>
      </c>
      <c r="B33" s="22" t="s">
        <v>18</v>
      </c>
      <c r="C33" s="22">
        <v>151.19999999999999</v>
      </c>
      <c r="D33" s="22">
        <v>2</v>
      </c>
      <c r="E33" s="22">
        <f t="shared" si="15"/>
        <v>149.31961324091776</v>
      </c>
      <c r="F33" s="23">
        <f>IF(T&lt;1000,'gas phase enthalpy'!T16,'gas phase enthalpy'!W16)</f>
        <v>146.12455526528456</v>
      </c>
      <c r="H33" s="2">
        <v>69</v>
      </c>
      <c r="I33" s="2" t="s">
        <v>68</v>
      </c>
      <c r="J33" s="33">
        <v>6</v>
      </c>
      <c r="K33" s="17">
        <f>H_CH3+H_OH-H_CH2-H_H2O</f>
        <v>8.7058124205770042</v>
      </c>
      <c r="L33" s="17">
        <f>K33+Q_CH2+Q_H2O-Q_CH3-Q_OH</f>
        <v>15.93571573080645</v>
      </c>
      <c r="M33" s="2">
        <v>0.5</v>
      </c>
      <c r="N33" s="5">
        <f>M33*(L33+(Q_CH3*Q_OH)/(Q_CH3+Q_OH))</f>
        <v>20.57846859692274</v>
      </c>
      <c r="O33" s="47">
        <f>MAX(0,L33,N33)</f>
        <v>20.57846859692274</v>
      </c>
      <c r="P33" s="5">
        <v>20.578299999999999</v>
      </c>
      <c r="Q33" s="28">
        <f t="shared" si="2"/>
        <v>-8.1929470724477677E-4</v>
      </c>
      <c r="R33" s="5">
        <v>57300000000</v>
      </c>
      <c r="S33" s="2">
        <v>-0.7208</v>
      </c>
      <c r="T33" s="37">
        <v>2</v>
      </c>
      <c r="U33" s="2">
        <f t="shared" si="13"/>
        <v>1.1630643844841764E+18</v>
      </c>
      <c r="V33" s="51">
        <f t="shared" ref="V33" si="19">U33/U34</f>
        <v>8.4120595365195232</v>
      </c>
      <c r="W33" s="5">
        <f t="shared" si="0"/>
        <v>1771686311191.3979</v>
      </c>
      <c r="X33" s="5">
        <v>1770763000000</v>
      </c>
      <c r="Y33" s="28">
        <f t="shared" si="1"/>
        <v>-5.2141997059908601E-2</v>
      </c>
    </row>
    <row r="34" spans="1:25" x14ac:dyDescent="0.25">
      <c r="A34">
        <v>8</v>
      </c>
      <c r="B34" s="22" t="s">
        <v>17</v>
      </c>
      <c r="C34" s="22">
        <v>109.3</v>
      </c>
      <c r="D34" s="22">
        <v>2.5</v>
      </c>
      <c r="E34" s="22">
        <f t="shared" si="15"/>
        <v>106.94951655114723</v>
      </c>
      <c r="F34" s="23">
        <f>IF(T&lt;1000,'gas phase enthalpy'!T17,'gas phase enthalpy'!W17)</f>
        <v>98.127709399495103</v>
      </c>
      <c r="H34" s="2">
        <v>70</v>
      </c>
      <c r="I34" s="2" t="s">
        <v>69</v>
      </c>
      <c r="J34" s="33">
        <v>6</v>
      </c>
      <c r="K34" s="2"/>
      <c r="L34" s="17"/>
      <c r="M34" s="2">
        <v>0.5</v>
      </c>
      <c r="N34" s="5">
        <f>N33-L33</f>
        <v>4.6427528661162896</v>
      </c>
      <c r="O34" s="47">
        <f>O33-L33</f>
        <v>4.6427528661162896</v>
      </c>
      <c r="P34" s="5">
        <v>4.6429790000000004</v>
      </c>
      <c r="Q34" s="28">
        <f t="shared" si="2"/>
        <v>4.8704481263170743E-3</v>
      </c>
      <c r="R34" s="5">
        <v>1740000000</v>
      </c>
      <c r="S34" s="2">
        <v>0.7208</v>
      </c>
      <c r="T34" s="37">
        <v>2</v>
      </c>
      <c r="U34" s="2">
        <f t="shared" si="13"/>
        <v>1.3826154931915669E+17</v>
      </c>
      <c r="V34" s="52"/>
      <c r="W34" s="5">
        <f t="shared" si="0"/>
        <v>6733897633168181</v>
      </c>
      <c r="X34" s="5">
        <v>6731945000000000</v>
      </c>
      <c r="Y34" s="28">
        <f t="shared" si="1"/>
        <v>-2.900548308372989E-2</v>
      </c>
    </row>
    <row r="35" spans="1:25" x14ac:dyDescent="0.25">
      <c r="A35">
        <v>9</v>
      </c>
      <c r="B35" s="22" t="s">
        <v>16</v>
      </c>
      <c r="C35" s="22">
        <v>42.4</v>
      </c>
      <c r="D35" s="22">
        <v>2.5</v>
      </c>
      <c r="E35" s="22">
        <f t="shared" si="15"/>
        <v>40.049516551147228</v>
      </c>
      <c r="F35" s="23">
        <f>IF(T&lt;1000,'gas phase enthalpy'!T18,'gas phase enthalpy'!W18)</f>
        <v>40.329620495373803</v>
      </c>
      <c r="H35" s="11">
        <v>71</v>
      </c>
      <c r="I35" s="11" t="s">
        <v>70</v>
      </c>
      <c r="J35" s="33">
        <v>6</v>
      </c>
      <c r="K35" s="18">
        <f>H_CH2+H_OH-H_CH-H_H2O</f>
        <v>18.507055458908852</v>
      </c>
      <c r="L35" s="18">
        <f>K35+Q_CH+Q_H2O-Q_CH2-Q_OH</f>
        <v>1.207055458908826</v>
      </c>
      <c r="M35" s="11">
        <v>0.5</v>
      </c>
      <c r="N35" s="15">
        <f>M35*(L35+(Q_CH2*Q_OH)/(Q_CH2+Q_OH))</f>
        <v>21.410621796867467</v>
      </c>
      <c r="O35" s="46">
        <f>MAX(0,L35,N35)</f>
        <v>21.410621796867467</v>
      </c>
      <c r="P35" s="15">
        <v>21.4102</v>
      </c>
      <c r="Q35" s="28">
        <f t="shared" si="2"/>
        <v>-1.9700743919595816E-3</v>
      </c>
      <c r="R35" s="15">
        <v>649000000000</v>
      </c>
      <c r="S35" s="11">
        <v>-0.50329999999999997</v>
      </c>
      <c r="T35" s="35">
        <v>2</v>
      </c>
      <c r="U35" s="11">
        <f t="shared" si="13"/>
        <v>1.6185172285848158E+19</v>
      </c>
      <c r="V35" s="53">
        <f t="shared" ref="V35" si="20">U35/U36</f>
        <v>16.250544973287912</v>
      </c>
      <c r="W35" s="15">
        <f t="shared" si="0"/>
        <v>14343775327962.777</v>
      </c>
      <c r="X35" s="15">
        <v>14338250000000</v>
      </c>
      <c r="Y35" s="28">
        <f t="shared" si="1"/>
        <v>-3.8535581139799796E-2</v>
      </c>
    </row>
    <row r="36" spans="1:25" x14ac:dyDescent="0.25">
      <c r="A36">
        <v>10</v>
      </c>
      <c r="B36" s="24" t="s">
        <v>29</v>
      </c>
      <c r="C36" s="24">
        <v>62.2</v>
      </c>
      <c r="D36" s="24">
        <v>2.5</v>
      </c>
      <c r="E36" s="22">
        <f t="shared" si="15"/>
        <v>59.849516551147232</v>
      </c>
      <c r="F36" s="23">
        <f>IF(T&lt;1000,'gas phase enthalpy'!T21,'gas phase enthalpy'!W21)</f>
        <v>-44.643048861862489</v>
      </c>
      <c r="H36" s="11">
        <v>72</v>
      </c>
      <c r="I36" s="11" t="s">
        <v>71</v>
      </c>
      <c r="J36" s="33">
        <v>6</v>
      </c>
      <c r="K36" s="11"/>
      <c r="L36" s="18"/>
      <c r="M36" s="11">
        <v>0.5</v>
      </c>
      <c r="N36" s="15">
        <f>N35-L35</f>
        <v>20.203566337958641</v>
      </c>
      <c r="O36" s="46">
        <f>O35-L35</f>
        <v>20.203566337958641</v>
      </c>
      <c r="P36" s="15">
        <v>20.204029999999999</v>
      </c>
      <c r="Q36" s="28">
        <f t="shared" si="2"/>
        <v>2.2948987967176876E-3</v>
      </c>
      <c r="R36" s="15">
        <v>15400000000</v>
      </c>
      <c r="S36" s="11">
        <v>0.50329999999999997</v>
      </c>
      <c r="T36" s="35">
        <v>2</v>
      </c>
      <c r="U36" s="11">
        <f t="shared" si="13"/>
        <v>9.959772003002231E+17</v>
      </c>
      <c r="V36" s="54"/>
      <c r="W36" s="15">
        <f t="shared" si="0"/>
        <v>1936473590643.5566</v>
      </c>
      <c r="X36" s="15">
        <v>1934683000000</v>
      </c>
      <c r="Y36" s="28">
        <f t="shared" si="1"/>
        <v>-9.2552146452759484E-2</v>
      </c>
    </row>
    <row r="37" spans="1:25" x14ac:dyDescent="0.25">
      <c r="A37">
        <v>11</v>
      </c>
      <c r="B37" s="24" t="s">
        <v>9</v>
      </c>
      <c r="C37" s="22">
        <v>6</v>
      </c>
      <c r="D37" s="22">
        <v>2</v>
      </c>
      <c r="E37" s="22">
        <f t="shared" si="15"/>
        <v>4.1196132409177819</v>
      </c>
      <c r="F37" s="23">
        <f>IF(T&lt;1000,'gas phase enthalpy'!T15,'gas phase enthalpy'!W15)</f>
        <v>-12.287886954821483</v>
      </c>
      <c r="H37" s="2">
        <v>73</v>
      </c>
      <c r="I37" s="2" t="s">
        <v>72</v>
      </c>
      <c r="J37" s="33">
        <v>6</v>
      </c>
      <c r="K37" s="17">
        <f>H_CH+H_OH-H_C-H_H2O</f>
        <v>38.986378145539604</v>
      </c>
      <c r="L37" s="17">
        <f>K37+Q_C+Q_H2O-Q_CH-Q_OH</f>
        <v>-12.413621854460345</v>
      </c>
      <c r="M37" s="2">
        <v>0.5</v>
      </c>
      <c r="N37" s="5">
        <f>M37*(L37+(Q_CH*Q_OH)/(Q_CH+Q_OH))</f>
        <v>17.182699943993562</v>
      </c>
      <c r="O37" s="47">
        <f>MAX(0,L37,N37)</f>
        <v>17.182699943993562</v>
      </c>
      <c r="P37" s="5">
        <v>17.181799999999999</v>
      </c>
      <c r="Q37" s="28">
        <f t="shared" si="2"/>
        <v>-5.2377748173230102E-3</v>
      </c>
      <c r="R37" s="5">
        <v>974000000000</v>
      </c>
      <c r="S37" s="2">
        <v>-0.38819999999999999</v>
      </c>
      <c r="T37" s="37">
        <v>2</v>
      </c>
      <c r="U37" s="2">
        <f t="shared" si="13"/>
        <v>2.7086574726675624E+19</v>
      </c>
      <c r="V37" s="51">
        <f t="shared" ref="V37" si="21">U37/U38</f>
        <v>7.2860120654657541</v>
      </c>
      <c r="W37" s="5">
        <f t="shared" si="0"/>
        <v>376243314096700.75</v>
      </c>
      <c r="X37" s="5">
        <v>376264600000000</v>
      </c>
      <c r="Y37" s="28">
        <f t="shared" si="1"/>
        <v>5.6571634161837175E-3</v>
      </c>
    </row>
    <row r="38" spans="1:25" x14ac:dyDescent="0.25">
      <c r="A38">
        <v>12</v>
      </c>
      <c r="B38" s="24" t="s">
        <v>35</v>
      </c>
      <c r="C38" s="24">
        <f>100-26*ϑO</f>
        <v>100</v>
      </c>
      <c r="D38" s="24">
        <v>1.5</v>
      </c>
      <c r="E38" s="22">
        <f t="shared" si="15"/>
        <v>98.589709930688343</v>
      </c>
      <c r="F38" s="23">
        <f>IF(T&lt;1000,'gas phase enthalpy'!T10,'gas phase enthalpy'!W10)</f>
        <v>61.966278317911346</v>
      </c>
      <c r="H38" s="2">
        <v>74</v>
      </c>
      <c r="I38" s="2" t="s">
        <v>73</v>
      </c>
      <c r="J38" s="33">
        <v>6</v>
      </c>
      <c r="K38" s="17"/>
      <c r="L38" s="17"/>
      <c r="M38" s="2">
        <v>0.5</v>
      </c>
      <c r="N38" s="5">
        <f>N37-L37</f>
        <v>29.596321798453907</v>
      </c>
      <c r="O38" s="47">
        <f>O37-L37</f>
        <v>29.596321798453907</v>
      </c>
      <c r="P38" s="5">
        <v>29.597270000000002</v>
      </c>
      <c r="Q38" s="28">
        <f t="shared" si="2"/>
        <v>3.2036790761263432E-3</v>
      </c>
      <c r="R38" s="5">
        <v>64100000000</v>
      </c>
      <c r="S38" s="2">
        <v>0.38819999999999999</v>
      </c>
      <c r="T38" s="37">
        <v>2</v>
      </c>
      <c r="U38" s="2">
        <f t="shared" si="13"/>
        <v>3.7176132132776161E+18</v>
      </c>
      <c r="V38" s="52"/>
      <c r="W38" s="5">
        <f t="shared" si="0"/>
        <v>15989641113.89776</v>
      </c>
      <c r="X38" s="5">
        <v>15965260000</v>
      </c>
      <c r="Y38" s="28">
        <f t="shared" si="1"/>
        <v>-0.15271354113719657</v>
      </c>
    </row>
    <row r="39" spans="1:25" x14ac:dyDescent="0.25">
      <c r="H39" s="11">
        <v>79</v>
      </c>
      <c r="I39" s="11" t="s">
        <v>74</v>
      </c>
      <c r="J39" s="33">
        <v>6</v>
      </c>
      <c r="K39" s="18">
        <f>H_C+H_OH-H_CO-H_H</f>
        <v>154.94083511267795</v>
      </c>
      <c r="L39" s="18">
        <f>K39+Q_CO+Q_H-Q_C-Q_OH</f>
        <v>26.740835112677914</v>
      </c>
      <c r="M39" s="11">
        <v>0.45</v>
      </c>
      <c r="N39" s="15">
        <f>M39*(L39+(Q_C*Q_OH)/(Q_C+Q_OH))</f>
        <v>33.4358038137443</v>
      </c>
      <c r="O39" s="46">
        <f>MAX(0,L39,N39)</f>
        <v>33.4358038137443</v>
      </c>
      <c r="P39" s="15">
        <v>33.43253</v>
      </c>
      <c r="Q39" s="28">
        <f t="shared" si="2"/>
        <v>-9.7923003263598977E-3</v>
      </c>
      <c r="R39" s="15">
        <v>1180000000000</v>
      </c>
      <c r="S39" s="11">
        <v>0.2944</v>
      </c>
      <c r="T39" s="35">
        <v>2</v>
      </c>
      <c r="U39" s="11">
        <f t="shared" si="13"/>
        <v>6.2621434765029663E+19</v>
      </c>
      <c r="V39" s="53">
        <f t="shared" ref="V39" si="22">U39/U40</f>
        <v>0.27111223812444885</v>
      </c>
      <c r="W39" s="15">
        <f t="shared" si="0"/>
        <v>22127632338.301205</v>
      </c>
      <c r="X39" s="15">
        <v>22152010000</v>
      </c>
      <c r="Y39" s="28">
        <f t="shared" si="1"/>
        <v>0.11004717720331164</v>
      </c>
    </row>
    <row r="40" spans="1:25" x14ac:dyDescent="0.25">
      <c r="H40" s="11">
        <v>80</v>
      </c>
      <c r="I40" s="11" t="s">
        <v>75</v>
      </c>
      <c r="J40" s="33">
        <v>6</v>
      </c>
      <c r="K40" s="11"/>
      <c r="L40" s="18"/>
      <c r="M40" s="11">
        <v>0.45</v>
      </c>
      <c r="N40" s="15">
        <f>N39-L39</f>
        <v>6.6949687010663865</v>
      </c>
      <c r="O40" s="46">
        <f>O39-L39</f>
        <v>6.6949687010663865</v>
      </c>
      <c r="P40" s="15">
        <v>6.699014</v>
      </c>
      <c r="Q40" s="28">
        <f t="shared" si="2"/>
        <v>6.0386482751236092E-2</v>
      </c>
      <c r="R40" s="15">
        <v>7600000000000</v>
      </c>
      <c r="S40" s="11">
        <v>-0.2944</v>
      </c>
      <c r="T40" s="35">
        <v>2</v>
      </c>
      <c r="U40" s="11">
        <f t="shared" si="13"/>
        <v>2.3097974181558157E+20</v>
      </c>
      <c r="V40" s="54"/>
      <c r="W40" s="15">
        <f t="shared" si="0"/>
        <v>2.9580744067821614E+18</v>
      </c>
      <c r="X40" s="15">
        <v>2.94969E+18</v>
      </c>
      <c r="Y40" s="28">
        <f t="shared" si="1"/>
        <v>-0.28424704908520582</v>
      </c>
    </row>
    <row r="42" spans="1:25" x14ac:dyDescent="0.25">
      <c r="P42" s="38"/>
      <c r="X42" s="38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</sheetData>
  <mergeCells count="19">
    <mergeCell ref="V39:V40"/>
    <mergeCell ref="V27:V28"/>
    <mergeCell ref="V29:V30"/>
    <mergeCell ref="V31:V32"/>
    <mergeCell ref="V33:V34"/>
    <mergeCell ref="V35:V36"/>
    <mergeCell ref="V37:V38"/>
    <mergeCell ref="V25:V26"/>
    <mergeCell ref="V3:V4"/>
    <mergeCell ref="V5:V6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5"/>
  <sheetViews>
    <sheetView topLeftCell="R1" zoomScale="115" zoomScaleNormal="115" workbookViewId="0">
      <selection activeCell="AF7" sqref="AF7"/>
    </sheetView>
  </sheetViews>
  <sheetFormatPr defaultRowHeight="15" x14ac:dyDescent="0.25"/>
  <cols>
    <col min="2" max="2" width="7.7109375" bestFit="1" customWidth="1"/>
    <col min="3" max="3" width="15.42578125" hidden="1" customWidth="1"/>
    <col min="4" max="4" width="16.42578125" hidden="1" customWidth="1"/>
    <col min="5" max="5" width="8.5703125" hidden="1" customWidth="1"/>
    <col min="6" max="6" width="9.28515625" hidden="1" customWidth="1"/>
    <col min="7" max="10" width="9" hidden="1" customWidth="1"/>
    <col min="11" max="11" width="9.28515625" hidden="1" customWidth="1"/>
    <col min="12" max="12" width="8.5703125" hidden="1" customWidth="1"/>
    <col min="13" max="16" width="9" hidden="1" customWidth="1"/>
    <col min="17" max="17" width="9.28515625" hidden="1" customWidth="1"/>
    <col min="18" max="18" width="10.140625" customWidth="1"/>
    <col min="19" max="19" width="12.42578125" bestFit="1" customWidth="1"/>
    <col min="20" max="20" width="14.28515625" bestFit="1" customWidth="1"/>
    <col min="21" max="21" width="9.140625" customWidth="1"/>
    <col min="22" max="22" width="12.85546875" bestFit="1" customWidth="1"/>
    <col min="23" max="23" width="14.7109375" bestFit="1" customWidth="1"/>
    <col min="27" max="28" width="9.85546875" bestFit="1" customWidth="1"/>
    <col min="31" max="31" width="20.140625" bestFit="1" customWidth="1"/>
    <col min="32" max="32" width="14.7109375" bestFit="1" customWidth="1"/>
  </cols>
  <sheetData>
    <row r="1" spans="2:32" x14ac:dyDescent="0.25">
      <c r="AA1" t="s">
        <v>124</v>
      </c>
    </row>
    <row r="2" spans="2:32" x14ac:dyDescent="0.25">
      <c r="Z2" t="s">
        <v>9</v>
      </c>
      <c r="AA2" s="6">
        <f>T15</f>
        <v>-12.287886954821483</v>
      </c>
    </row>
    <row r="3" spans="2:32" x14ac:dyDescent="0.25">
      <c r="Z3" t="s">
        <v>11</v>
      </c>
      <c r="AA3" s="6">
        <f>T7</f>
        <v>3.3242476095640106</v>
      </c>
    </row>
    <row r="4" spans="2:32" x14ac:dyDescent="0.3">
      <c r="B4" s="55" t="s">
        <v>102</v>
      </c>
      <c r="C4" s="55"/>
      <c r="D4" s="55"/>
      <c r="E4" s="55"/>
      <c r="Z4" t="s">
        <v>3</v>
      </c>
      <c r="AA4" s="6">
        <f>T9</f>
        <v>-53.739054102927511</v>
      </c>
    </row>
    <row r="6" spans="2:32" x14ac:dyDescent="0.25">
      <c r="B6" s="8" t="s">
        <v>86</v>
      </c>
      <c r="C6" s="8" t="s">
        <v>87</v>
      </c>
      <c r="D6" s="8" t="s">
        <v>88</v>
      </c>
      <c r="E6" s="8" t="s">
        <v>89</v>
      </c>
      <c r="F6" s="8" t="s">
        <v>90</v>
      </c>
      <c r="G6" s="8" t="s">
        <v>91</v>
      </c>
      <c r="H6" s="8" t="s">
        <v>92</v>
      </c>
      <c r="I6" s="8" t="s">
        <v>93</v>
      </c>
      <c r="J6" s="8" t="s">
        <v>94</v>
      </c>
      <c r="K6" s="8" t="s">
        <v>95</v>
      </c>
      <c r="L6" s="8" t="s">
        <v>96</v>
      </c>
      <c r="M6" s="8" t="s">
        <v>97</v>
      </c>
      <c r="N6" s="8" t="s">
        <v>98</v>
      </c>
      <c r="O6" s="8" t="s">
        <v>99</v>
      </c>
      <c r="P6" s="8" t="s">
        <v>100</v>
      </c>
      <c r="Q6" s="8" t="s">
        <v>101</v>
      </c>
      <c r="R6" s="8" t="s">
        <v>103</v>
      </c>
      <c r="S6" s="8" t="s">
        <v>106</v>
      </c>
      <c r="T6" s="7" t="s">
        <v>107</v>
      </c>
      <c r="U6" s="8" t="s">
        <v>104</v>
      </c>
      <c r="V6" s="8" t="s">
        <v>105</v>
      </c>
      <c r="W6" s="7" t="s">
        <v>108</v>
      </c>
      <c r="AA6" t="s">
        <v>1</v>
      </c>
      <c r="AB6" t="s">
        <v>123</v>
      </c>
      <c r="AC6" t="s">
        <v>125</v>
      </c>
      <c r="AD6" t="s">
        <v>126</v>
      </c>
      <c r="AE6" t="s">
        <v>128</v>
      </c>
      <c r="AF6" s="34" t="s">
        <v>127</v>
      </c>
    </row>
    <row r="7" spans="2:32" x14ac:dyDescent="0.25">
      <c r="B7" s="4" t="s">
        <v>11</v>
      </c>
      <c r="C7" s="5">
        <v>-1882.8920000000001</v>
      </c>
      <c r="D7" s="5">
        <v>20666840</v>
      </c>
      <c r="E7" s="5">
        <v>1000</v>
      </c>
      <c r="F7" s="5">
        <v>3.2981240000000001</v>
      </c>
      <c r="G7" s="5">
        <v>4.1247210000000002E-4</v>
      </c>
      <c r="H7" s="5">
        <v>-2.7143380000000001E-7</v>
      </c>
      <c r="I7" s="5">
        <v>-2.3688590000000001E-11</v>
      </c>
      <c r="J7" s="5">
        <v>8.2697439999999997E-14</v>
      </c>
      <c r="K7" s="5">
        <v>-1012.521</v>
      </c>
      <c r="L7" s="5">
        <v>2.991422</v>
      </c>
      <c r="M7" s="5">
        <v>3.5003220000000003E-4</v>
      </c>
      <c r="N7" s="5">
        <v>-1.877943E-8</v>
      </c>
      <c r="O7" s="5">
        <v>-2.3078949999999998E-12</v>
      </c>
      <c r="P7" s="5">
        <v>3.1655040000000001E-16</v>
      </c>
      <c r="Q7" s="5">
        <v>-835.0335</v>
      </c>
      <c r="R7" s="45">
        <f t="shared" ref="R7:R22" si="0">F7+G7*T+H7*T^2+I7*T^3+J7*T^4+K7/T</f>
        <v>2.1637708243519436</v>
      </c>
      <c r="S7" s="5">
        <f t="shared" ref="S7:S22" si="1">R7*Rgas*4.186*10^6*T</f>
        <v>13915300.493634949</v>
      </c>
      <c r="T7" s="5">
        <f t="shared" ref="T7:T22" si="2">R7*Rgas*T</f>
        <v>3.3242476095640106</v>
      </c>
      <c r="U7" s="45">
        <f t="shared" ref="U7:U22" si="3">L7+M7*T+N7*T^2+O7*T^3+P7*T^4+Q7/T</f>
        <v>2.1698295386899451</v>
      </c>
      <c r="V7" s="5">
        <f t="shared" ref="V7:V22" si="4">U7*Rgas*4.186*10^6*T</f>
        <v>13954264.338451385</v>
      </c>
      <c r="W7" s="5">
        <f t="shared" ref="W7:W22" si="5">+U7*Rgas*T</f>
        <v>3.3335557425827491</v>
      </c>
      <c r="Y7">
        <v>1</v>
      </c>
      <c r="Z7" s="50" t="s">
        <v>1</v>
      </c>
      <c r="AA7" s="48">
        <f>T11</f>
        <v>54.459352770190947</v>
      </c>
      <c r="AB7" s="48">
        <f>0.5*AA3</f>
        <v>1.6621238047820053</v>
      </c>
      <c r="AC7" s="48">
        <f>+AA7-AB7</f>
        <v>52.797228965408941</v>
      </c>
      <c r="AD7">
        <v>60.889699999999998</v>
      </c>
      <c r="AE7" s="48">
        <f>+AC7-AD7</f>
        <v>-8.0924710345910569</v>
      </c>
      <c r="AF7" s="49">
        <f>+AE7*0.0433634</f>
        <v>-0.35091705846138588</v>
      </c>
    </row>
    <row r="8" spans="2:32" x14ac:dyDescent="0.25">
      <c r="B8" s="4" t="s">
        <v>76</v>
      </c>
      <c r="C8" s="5">
        <v>-5244.9660000000003</v>
      </c>
      <c r="D8" s="5">
        <v>22720570</v>
      </c>
      <c r="E8" s="5">
        <v>1000</v>
      </c>
      <c r="F8" s="5">
        <v>3.212936</v>
      </c>
      <c r="G8" s="5">
        <v>5.6374310000000005E-4</v>
      </c>
      <c r="H8" s="5">
        <v>-1.9187170000000001E-7</v>
      </c>
      <c r="I8" s="5">
        <v>3.2846929999999999E-10</v>
      </c>
      <c r="J8" s="5">
        <v>-1.7537109999999999E-13</v>
      </c>
      <c r="K8" s="5">
        <v>-1005.249</v>
      </c>
      <c r="L8" s="5">
        <v>3.6975769999999999</v>
      </c>
      <c r="M8" s="5">
        <v>3.0675979999999998E-4</v>
      </c>
      <c r="N8" s="5">
        <v>-4.1961400000000003E-8</v>
      </c>
      <c r="O8" s="5">
        <v>4.4382030000000003E-12</v>
      </c>
      <c r="P8" s="5">
        <v>-2.2728699999999999E-16</v>
      </c>
      <c r="Q8" s="5">
        <v>-1233.93</v>
      </c>
      <c r="R8" s="45">
        <f t="shared" si="0"/>
        <v>2.3230431127067153</v>
      </c>
      <c r="S8" s="5">
        <f t="shared" si="1"/>
        <v>14939587.228543354</v>
      </c>
      <c r="T8" s="5">
        <f t="shared" si="2"/>
        <v>3.5689410483858945</v>
      </c>
      <c r="U8" s="45">
        <f t="shared" si="3"/>
        <v>2.3156579005949167</v>
      </c>
      <c r="V8" s="5">
        <f t="shared" si="4"/>
        <v>14892092.621171664</v>
      </c>
      <c r="W8" s="5">
        <f t="shared" si="5"/>
        <v>3.5575949883353237</v>
      </c>
      <c r="Y8">
        <v>2</v>
      </c>
      <c r="Z8" s="50" t="s">
        <v>78</v>
      </c>
      <c r="AA8" s="48">
        <f>T12</f>
        <v>12.764847221770795</v>
      </c>
      <c r="AB8" s="48">
        <f>AA4-0.5*AA3</f>
        <v>-55.401177907709517</v>
      </c>
      <c r="AC8" s="48">
        <f t="shared" ref="AC8:AC17" si="6">+AA8-AB8</f>
        <v>68.166025129480317</v>
      </c>
      <c r="AD8">
        <v>68.119600000000005</v>
      </c>
      <c r="AE8" s="48">
        <f t="shared" ref="AE8:AE17" si="7">+AC8-AD8</f>
        <v>4.6425129480311966E-2</v>
      </c>
      <c r="AF8" s="49">
        <f t="shared" ref="AF8:AF17" si="8">+AE8*0.0433634</f>
        <v>2.0131514597065601E-3</v>
      </c>
    </row>
    <row r="9" spans="2:32" x14ac:dyDescent="0.25">
      <c r="B9" s="4" t="s">
        <v>3</v>
      </c>
      <c r="C9" s="5">
        <v>-241829600</v>
      </c>
      <c r="D9" s="5">
        <v>-215822100</v>
      </c>
      <c r="E9" s="5">
        <v>1000</v>
      </c>
      <c r="F9" s="5">
        <v>4.1986410000000003</v>
      </c>
      <c r="G9" s="5">
        <v>-1.0182170000000001E-3</v>
      </c>
      <c r="H9" s="5">
        <v>2.1734670000000002E-6</v>
      </c>
      <c r="I9" s="5">
        <v>-1.3719930000000001E-9</v>
      </c>
      <c r="J9" s="5">
        <v>3.5439560000000002E-13</v>
      </c>
      <c r="K9" s="5">
        <v>-30293.73</v>
      </c>
      <c r="L9" s="5">
        <v>3.033992</v>
      </c>
      <c r="M9" s="5">
        <v>1.088459E-3</v>
      </c>
      <c r="N9" s="5">
        <v>-5.4690839999999998E-8</v>
      </c>
      <c r="O9" s="5">
        <v>-2.42605E-11</v>
      </c>
      <c r="P9" s="5">
        <v>3.3640200000000002E-15</v>
      </c>
      <c r="Q9" s="5">
        <v>-30004.3</v>
      </c>
      <c r="R9" s="45">
        <f t="shared" si="0"/>
        <v>-34.979042193380913</v>
      </c>
      <c r="S9" s="5">
        <f t="shared" si="1"/>
        <v>-224951680.47485453</v>
      </c>
      <c r="T9" s="5">
        <f t="shared" si="2"/>
        <v>-53.739054102927511</v>
      </c>
      <c r="U9" s="45">
        <f t="shared" si="3"/>
        <v>-34.975032084032968</v>
      </c>
      <c r="V9" s="5">
        <f t="shared" si="4"/>
        <v>-224925891.29424405</v>
      </c>
      <c r="W9" s="5">
        <f t="shared" si="5"/>
        <v>-53.732893285772583</v>
      </c>
      <c r="Y9">
        <v>3</v>
      </c>
      <c r="Z9" s="50" t="s">
        <v>3</v>
      </c>
      <c r="AA9" s="48">
        <f>T9</f>
        <v>-53.739054102927511</v>
      </c>
      <c r="AB9" s="48">
        <f>AA4</f>
        <v>-53.739054102927511</v>
      </c>
      <c r="AC9" s="48">
        <f t="shared" si="6"/>
        <v>0</v>
      </c>
      <c r="AD9">
        <v>8.4495000000000005</v>
      </c>
      <c r="AE9" s="48">
        <f t="shared" si="7"/>
        <v>-8.4495000000000005</v>
      </c>
      <c r="AF9" s="49">
        <f t="shared" si="8"/>
        <v>-0.36639904830000003</v>
      </c>
    </row>
    <row r="10" spans="2:32" x14ac:dyDescent="0.25">
      <c r="B10" s="4" t="s">
        <v>77</v>
      </c>
      <c r="C10" s="5">
        <v>249170300</v>
      </c>
      <c r="D10" s="5">
        <v>264031900</v>
      </c>
      <c r="E10" s="5">
        <v>1000</v>
      </c>
      <c r="F10" s="5">
        <v>3.1682670000000002</v>
      </c>
      <c r="G10" s="5">
        <v>-1.6396589999999999E-3</v>
      </c>
      <c r="H10" s="5">
        <v>2.2143550000000002E-6</v>
      </c>
      <c r="I10" s="5">
        <v>-1.5320169999999999E-9</v>
      </c>
      <c r="J10" s="5">
        <v>4.225319E-13</v>
      </c>
      <c r="K10" s="5">
        <v>29122.26</v>
      </c>
      <c r="L10" s="5">
        <v>2.5694210000000002</v>
      </c>
      <c r="M10" s="5">
        <v>-4.2987059999999998E-5</v>
      </c>
      <c r="N10" s="5">
        <v>1.3982820000000001E-8</v>
      </c>
      <c r="O10" s="5">
        <v>-2.5044449999999998E-12</v>
      </c>
      <c r="P10" s="5">
        <v>2.4566739999999998E-16</v>
      </c>
      <c r="Q10" s="5">
        <v>29217.58</v>
      </c>
      <c r="R10" s="45">
        <f t="shared" si="0"/>
        <v>40.334187120180943</v>
      </c>
      <c r="S10" s="5">
        <f t="shared" si="1"/>
        <v>259390841.0387769</v>
      </c>
      <c r="T10" s="5">
        <f t="shared" si="2"/>
        <v>61.966278317911346</v>
      </c>
      <c r="U10" s="45">
        <f t="shared" si="3"/>
        <v>40.333786626451058</v>
      </c>
      <c r="V10" s="5">
        <f t="shared" si="4"/>
        <v>259388265.44688216</v>
      </c>
      <c r="W10" s="5">
        <f t="shared" si="5"/>
        <v>61.965663030788868</v>
      </c>
      <c r="Y10">
        <v>4</v>
      </c>
      <c r="Z10" s="50" t="s">
        <v>2</v>
      </c>
      <c r="AA10" s="48">
        <f>T13</f>
        <v>-22.993262216654838</v>
      </c>
      <c r="AB10" s="48">
        <f>AA2+AA4-3*AA3</f>
        <v>-75.999683886441034</v>
      </c>
      <c r="AC10" s="48">
        <f t="shared" si="6"/>
        <v>53.006421669786192</v>
      </c>
      <c r="AD10">
        <v>36.619599999999998</v>
      </c>
      <c r="AE10" s="48">
        <f t="shared" si="7"/>
        <v>16.386821669786194</v>
      </c>
      <c r="AF10" s="49">
        <f t="shared" si="8"/>
        <v>0.7105883027956067</v>
      </c>
    </row>
    <row r="11" spans="2:32" x14ac:dyDescent="0.25">
      <c r="B11" s="4" t="s">
        <v>1</v>
      </c>
      <c r="C11" s="5">
        <v>217994100</v>
      </c>
      <c r="D11" s="5">
        <v>232585900</v>
      </c>
      <c r="E11" s="5">
        <v>1000</v>
      </c>
      <c r="F11" s="5">
        <v>2.5</v>
      </c>
      <c r="G11" s="5">
        <v>3.5266639999999999E-13</v>
      </c>
      <c r="H11" s="5">
        <v>-6.653065E-16</v>
      </c>
      <c r="I11" s="5">
        <v>5.7520410000000003E-19</v>
      </c>
      <c r="J11" s="5">
        <v>-1.8554650000000001E-22</v>
      </c>
      <c r="K11" s="5">
        <v>25473.66</v>
      </c>
      <c r="L11" s="5">
        <v>2.5</v>
      </c>
      <c r="M11" s="5">
        <v>-1.154215E-11</v>
      </c>
      <c r="N11" s="5">
        <v>5.3853979999999999E-15</v>
      </c>
      <c r="O11" s="5">
        <v>-1.1837880000000001E-18</v>
      </c>
      <c r="P11" s="5">
        <v>9.9639469999999999E-23</v>
      </c>
      <c r="Q11" s="5">
        <v>25473.66</v>
      </c>
      <c r="R11" s="45">
        <f t="shared" si="0"/>
        <v>35.447888508125985</v>
      </c>
      <c r="S11" s="5">
        <f t="shared" si="1"/>
        <v>227966850.69601926</v>
      </c>
      <c r="T11" s="5">
        <f t="shared" si="2"/>
        <v>54.459352770190947</v>
      </c>
      <c r="U11" s="45">
        <f t="shared" si="3"/>
        <v>35.447888501835351</v>
      </c>
      <c r="V11" s="5">
        <f t="shared" si="4"/>
        <v>227966850.65556395</v>
      </c>
      <c r="W11" s="5">
        <f t="shared" si="5"/>
        <v>54.459352760526507</v>
      </c>
      <c r="Y11">
        <v>5</v>
      </c>
      <c r="Z11" s="50" t="s">
        <v>10</v>
      </c>
      <c r="AA11" s="48">
        <f>T14</f>
        <v>-88.922794903143497</v>
      </c>
      <c r="AB11" s="48">
        <f>AA2+2*AA4-4*AA3</f>
        <v>-133.06298559893256</v>
      </c>
      <c r="AC11" s="48">
        <f t="shared" si="6"/>
        <v>44.140190695789059</v>
      </c>
      <c r="AD11">
        <v>3.3195999999999999</v>
      </c>
      <c r="AE11" s="48">
        <f t="shared" si="7"/>
        <v>40.820590695789058</v>
      </c>
      <c r="AF11" s="49">
        <f t="shared" si="8"/>
        <v>1.7701196025777794</v>
      </c>
    </row>
    <row r="12" spans="2:32" x14ac:dyDescent="0.25">
      <c r="B12" s="4" t="s">
        <v>78</v>
      </c>
      <c r="C12" s="5">
        <v>39342400</v>
      </c>
      <c r="D12" s="5">
        <v>60265630</v>
      </c>
      <c r="E12" s="5">
        <v>1000</v>
      </c>
      <c r="F12" s="5">
        <v>3.9920149999999999</v>
      </c>
      <c r="G12" s="5">
        <v>-1.200659E-3</v>
      </c>
      <c r="H12" s="5">
        <v>1.539313E-6</v>
      </c>
      <c r="I12" s="5">
        <v>-9.702832999999999E-10</v>
      </c>
      <c r="J12" s="5">
        <v>2.728229E-13</v>
      </c>
      <c r="K12" s="5">
        <v>3615.0810000000001</v>
      </c>
      <c r="L12" s="5">
        <v>3.0928879999999999</v>
      </c>
      <c r="M12" s="5">
        <v>2.7421489999999998E-4</v>
      </c>
      <c r="N12" s="5">
        <v>4.2168410000000002E-8</v>
      </c>
      <c r="O12" s="5">
        <v>-2.1986539999999999E-11</v>
      </c>
      <c r="P12" s="5">
        <v>2.3482479999999998E-15</v>
      </c>
      <c r="Q12" s="5">
        <v>3858.6570000000002</v>
      </c>
      <c r="R12" s="45">
        <f t="shared" si="0"/>
        <v>8.3087083875199426</v>
      </c>
      <c r="S12" s="5">
        <f t="shared" si="1"/>
        <v>53433650.470332555</v>
      </c>
      <c r="T12" s="5">
        <f t="shared" si="2"/>
        <v>12.764847221770795</v>
      </c>
      <c r="U12" s="45">
        <f t="shared" si="3"/>
        <v>8.3116075172911632</v>
      </c>
      <c r="V12" s="5">
        <f t="shared" si="4"/>
        <v>53452294.894909561</v>
      </c>
      <c r="W12" s="5">
        <f t="shared" si="5"/>
        <v>12.76930121713081</v>
      </c>
      <c r="Y12">
        <v>6</v>
      </c>
      <c r="Z12" s="50" t="s">
        <v>82</v>
      </c>
      <c r="AA12" s="48">
        <f>T19</f>
        <v>173.64207844444326</v>
      </c>
      <c r="AB12" s="48">
        <f>AA2-2*AA3</f>
        <v>-18.936382173949504</v>
      </c>
      <c r="AC12" s="48">
        <f t="shared" si="6"/>
        <v>192.57846061839277</v>
      </c>
      <c r="AD12">
        <v>157.58969999999999</v>
      </c>
      <c r="AE12" s="48">
        <f t="shared" si="7"/>
        <v>34.988760618392774</v>
      </c>
      <c r="AF12" s="49">
        <f t="shared" si="8"/>
        <v>1.5172316221996134</v>
      </c>
    </row>
    <row r="13" spans="2:32" x14ac:dyDescent="0.25">
      <c r="B13" s="4" t="s">
        <v>2</v>
      </c>
      <c r="C13" s="5">
        <v>-110533700</v>
      </c>
      <c r="D13" s="5">
        <v>-88839400</v>
      </c>
      <c r="E13" s="5">
        <v>1000</v>
      </c>
      <c r="F13" s="5">
        <v>3.5795330000000001</v>
      </c>
      <c r="G13" s="5">
        <v>-3.051768E-4</v>
      </c>
      <c r="H13" s="5">
        <v>3.3893809999999998E-7</v>
      </c>
      <c r="I13" s="5">
        <v>2.2675150000000001E-10</v>
      </c>
      <c r="J13" s="5">
        <v>-1.8088490000000001E-13</v>
      </c>
      <c r="K13" s="5">
        <v>-14344.09</v>
      </c>
      <c r="L13" s="5">
        <v>2.7151860000000001</v>
      </c>
      <c r="M13" s="5">
        <v>1.0312640000000001E-3</v>
      </c>
      <c r="N13" s="5">
        <v>-3.3294190000000003E-7</v>
      </c>
      <c r="O13" s="5">
        <v>5.7513249999999999E-11</v>
      </c>
      <c r="P13" s="5">
        <v>-4.0729540000000001E-15</v>
      </c>
      <c r="Q13" s="5">
        <v>-14151.87</v>
      </c>
      <c r="R13" s="45">
        <f t="shared" si="0"/>
        <v>-14.966439262205515</v>
      </c>
      <c r="S13" s="5">
        <f t="shared" si="1"/>
        <v>-96249795.638917148</v>
      </c>
      <c r="T13" s="5">
        <f t="shared" si="2"/>
        <v>-22.993262216654838</v>
      </c>
      <c r="U13" s="45">
        <f t="shared" si="3"/>
        <v>-14.965558225549319</v>
      </c>
      <c r="V13" s="5">
        <f t="shared" si="4"/>
        <v>-96244129.655404061</v>
      </c>
      <c r="W13" s="5">
        <f t="shared" si="5"/>
        <v>-22.991908661109427</v>
      </c>
      <c r="Y13">
        <v>7</v>
      </c>
      <c r="Z13" s="50" t="s">
        <v>79</v>
      </c>
      <c r="AA13" s="48">
        <f>T16</f>
        <v>146.12455526528456</v>
      </c>
      <c r="AB13" s="48">
        <f>AA2-3/2*AA3</f>
        <v>-17.274258369167498</v>
      </c>
      <c r="AC13" s="48">
        <f t="shared" si="6"/>
        <v>163.39881363445204</v>
      </c>
      <c r="AD13">
        <v>149.31960000000001</v>
      </c>
      <c r="AE13" s="48">
        <f t="shared" si="7"/>
        <v>14.079213634452032</v>
      </c>
      <c r="AF13" s="49">
        <f t="shared" si="8"/>
        <v>0.61052257251619724</v>
      </c>
    </row>
    <row r="14" spans="2:32" x14ac:dyDescent="0.25">
      <c r="B14" s="4" t="s">
        <v>10</v>
      </c>
      <c r="C14" s="5">
        <v>-393513300</v>
      </c>
      <c r="D14" s="5">
        <v>-360110700</v>
      </c>
      <c r="E14" s="5">
        <v>1000</v>
      </c>
      <c r="F14" s="5">
        <v>2.3567740000000001</v>
      </c>
      <c r="G14" s="5">
        <v>4.4922979999999996E-3</v>
      </c>
      <c r="H14" s="5">
        <v>-2.3745209999999998E-6</v>
      </c>
      <c r="I14" s="5">
        <v>6.1479760000000005E-10</v>
      </c>
      <c r="J14" s="5">
        <v>-2.8739910000000003E-14</v>
      </c>
      <c r="K14" s="5">
        <v>-48371.97</v>
      </c>
      <c r="L14" s="5">
        <v>3.8574600000000001</v>
      </c>
      <c r="M14" s="5">
        <v>2.207185E-3</v>
      </c>
      <c r="N14" s="5">
        <v>-7.3827129999999996E-7</v>
      </c>
      <c r="O14" s="5">
        <v>1.308725E-10</v>
      </c>
      <c r="P14" s="5">
        <v>-9.4416830000000003E-15</v>
      </c>
      <c r="Q14" s="5">
        <v>-48759.17</v>
      </c>
      <c r="R14" s="45">
        <f t="shared" si="0"/>
        <v>-57.880330176875376</v>
      </c>
      <c r="S14" s="5">
        <f t="shared" si="1"/>
        <v>-372230819.46455872</v>
      </c>
      <c r="T14" s="5">
        <f t="shared" si="2"/>
        <v>-88.922794903143497</v>
      </c>
      <c r="U14" s="45">
        <f t="shared" si="3"/>
        <v>-57.885856209011649</v>
      </c>
      <c r="V14" s="5">
        <f t="shared" si="4"/>
        <v>-372266357.60790008</v>
      </c>
      <c r="W14" s="5">
        <f t="shared" si="5"/>
        <v>-88.931284665050185</v>
      </c>
      <c r="Y14">
        <v>8</v>
      </c>
      <c r="Z14" s="50" t="s">
        <v>80</v>
      </c>
      <c r="AA14" s="48">
        <f>T17</f>
        <v>98.127709399495103</v>
      </c>
      <c r="AB14" s="48">
        <f>AA2-AA3</f>
        <v>-15.612134564385492</v>
      </c>
      <c r="AC14" s="48">
        <f t="shared" si="6"/>
        <v>113.73984396388059</v>
      </c>
      <c r="AD14">
        <v>106.9495</v>
      </c>
      <c r="AE14" s="48">
        <f t="shared" si="7"/>
        <v>6.7903439638805878</v>
      </c>
      <c r="AF14" s="49">
        <f t="shared" si="8"/>
        <v>0.29445240144333951</v>
      </c>
    </row>
    <row r="15" spans="2:32" x14ac:dyDescent="0.25">
      <c r="B15" s="4" t="s">
        <v>9</v>
      </c>
      <c r="C15" s="5">
        <v>-74604920</v>
      </c>
      <c r="D15" s="5">
        <v>-35948440</v>
      </c>
      <c r="E15" s="5">
        <v>1000</v>
      </c>
      <c r="F15" s="5">
        <v>5.1498759999999999</v>
      </c>
      <c r="G15" s="5">
        <v>-6.8354890000000001E-3</v>
      </c>
      <c r="H15" s="5">
        <v>1.6393350000000001E-5</v>
      </c>
      <c r="I15" s="5">
        <v>-1.2118579999999999E-8</v>
      </c>
      <c r="J15" s="5">
        <v>3.3338790000000002E-12</v>
      </c>
      <c r="K15" s="5">
        <v>-10246.65</v>
      </c>
      <c r="L15" s="5">
        <v>7.4851500000000001E-2</v>
      </c>
      <c r="M15" s="5">
        <v>6.6954730000000004E-3</v>
      </c>
      <c r="N15" s="5">
        <v>-1.9109530000000002E-6</v>
      </c>
      <c r="O15" s="5">
        <v>3.0573129999999999E-10</v>
      </c>
      <c r="P15" s="5">
        <v>-2.0363050000000001E-14</v>
      </c>
      <c r="Q15" s="5">
        <v>-9468.3449999999993</v>
      </c>
      <c r="R15" s="45">
        <f t="shared" si="0"/>
        <v>-7.9982523592051944</v>
      </c>
      <c r="S15" s="5">
        <f t="shared" si="1"/>
        <v>-51437094.792882733</v>
      </c>
      <c r="T15" s="5">
        <f t="shared" si="2"/>
        <v>-12.287886954821483</v>
      </c>
      <c r="U15" s="45">
        <f t="shared" si="3"/>
        <v>-8.0032690595769189</v>
      </c>
      <c r="V15" s="5">
        <f t="shared" si="4"/>
        <v>-51469357.40238528</v>
      </c>
      <c r="W15" s="5">
        <f t="shared" si="5"/>
        <v>-12.295594219394475</v>
      </c>
      <c r="Y15">
        <v>9</v>
      </c>
      <c r="Z15" s="50" t="s">
        <v>81</v>
      </c>
      <c r="AA15" s="48">
        <f>T18</f>
        <v>40.329620495373803</v>
      </c>
      <c r="AB15" s="48">
        <f>AA2-0.5*AA3</f>
        <v>-13.950010759603488</v>
      </c>
      <c r="AC15" s="48">
        <f t="shared" si="6"/>
        <v>54.279631254977289</v>
      </c>
      <c r="AD15">
        <v>40.049500000000002</v>
      </c>
      <c r="AE15" s="48">
        <f t="shared" si="7"/>
        <v>14.230131254977287</v>
      </c>
      <c r="AF15" s="49">
        <f t="shared" si="8"/>
        <v>0.61706687366208213</v>
      </c>
    </row>
    <row r="16" spans="2:32" x14ac:dyDescent="0.25">
      <c r="B16" s="4" t="s">
        <v>79</v>
      </c>
      <c r="C16" s="5">
        <v>597330200</v>
      </c>
      <c r="D16" s="5">
        <v>618557400</v>
      </c>
      <c r="E16" s="5">
        <v>1000</v>
      </c>
      <c r="F16" s="5">
        <v>3.4898169999999999</v>
      </c>
      <c r="G16" s="5">
        <v>1.619178E-4</v>
      </c>
      <c r="H16" s="5">
        <v>-5.6299690000000003E-7</v>
      </c>
      <c r="I16" s="5">
        <v>7.9054329999999996E-10</v>
      </c>
      <c r="J16" s="5">
        <v>-2.812181E-13</v>
      </c>
      <c r="K16" s="5">
        <v>70797.289999999994</v>
      </c>
      <c r="L16" s="5">
        <v>2.8784649999999998</v>
      </c>
      <c r="M16" s="5">
        <v>4.854568E-4</v>
      </c>
      <c r="N16" s="5">
        <v>4.8148549999999999E-8</v>
      </c>
      <c r="O16" s="5">
        <v>-3.2671960000000002E-11</v>
      </c>
      <c r="P16" s="5">
        <v>3.5215880000000001E-15</v>
      </c>
      <c r="Q16" s="5">
        <v>71012.44</v>
      </c>
      <c r="R16" s="45">
        <f t="shared" si="0"/>
        <v>95.113266681688089</v>
      </c>
      <c r="S16" s="5">
        <f t="shared" si="1"/>
        <v>611677388.34048104</v>
      </c>
      <c r="T16" s="5">
        <f t="shared" si="2"/>
        <v>146.12455526528456</v>
      </c>
      <c r="U16" s="45">
        <f t="shared" si="3"/>
        <v>95.116941331613191</v>
      </c>
      <c r="V16" s="5">
        <f t="shared" si="4"/>
        <v>611701020.16754031</v>
      </c>
      <c r="W16" s="5">
        <f t="shared" si="5"/>
        <v>146.13020070892026</v>
      </c>
      <c r="Y16">
        <v>10</v>
      </c>
      <c r="Z16" s="50" t="s">
        <v>84</v>
      </c>
      <c r="AA16" s="48">
        <f>T21</f>
        <v>-44.643048861862489</v>
      </c>
      <c r="AB16" s="48">
        <f>AA2+2*AA4-7/2*AA3</f>
        <v>-131.40086179415056</v>
      </c>
      <c r="AC16" s="48">
        <f t="shared" si="6"/>
        <v>86.757812932288061</v>
      </c>
      <c r="AD16">
        <v>59.849499999999999</v>
      </c>
      <c r="AE16" s="48">
        <f t="shared" si="7"/>
        <v>26.908312932288062</v>
      </c>
      <c r="AF16" s="49">
        <f t="shared" si="8"/>
        <v>1.1668359370079802</v>
      </c>
    </row>
    <row r="17" spans="2:32" x14ac:dyDescent="0.25">
      <c r="B17" s="4" t="s">
        <v>80</v>
      </c>
      <c r="C17" s="5">
        <v>392327800</v>
      </c>
      <c r="D17" s="5">
        <v>420358800</v>
      </c>
      <c r="E17" s="5">
        <v>1000</v>
      </c>
      <c r="F17" s="5">
        <v>3.7626789999999999</v>
      </c>
      <c r="G17" s="5">
        <v>4.8443610000000002E-4</v>
      </c>
      <c r="H17" s="5">
        <v>9.3163279999999998E-7</v>
      </c>
      <c r="I17" s="5">
        <v>-9.627279E-10</v>
      </c>
      <c r="J17" s="5">
        <v>3.3748339999999999E-13</v>
      </c>
      <c r="K17" s="5">
        <v>46004.04</v>
      </c>
      <c r="L17" s="5">
        <v>2.874101</v>
      </c>
      <c r="M17" s="5">
        <v>1.828196E-3</v>
      </c>
      <c r="N17" s="5">
        <v>-4.6964870000000002E-7</v>
      </c>
      <c r="O17" s="5">
        <v>6.5044889999999995E-11</v>
      </c>
      <c r="P17" s="5">
        <v>-3.7545510000000001E-15</v>
      </c>
      <c r="Q17" s="5">
        <v>46263.6</v>
      </c>
      <c r="R17" s="45">
        <f t="shared" si="0"/>
        <v>63.871859018035344</v>
      </c>
      <c r="S17" s="5">
        <f t="shared" si="1"/>
        <v>410762591.54628652</v>
      </c>
      <c r="T17" s="5">
        <f t="shared" si="2"/>
        <v>98.127709399495103</v>
      </c>
      <c r="U17" s="45">
        <f t="shared" si="3"/>
        <v>63.87335897667333</v>
      </c>
      <c r="V17" s="5">
        <f t="shared" si="4"/>
        <v>410772237.8429001</v>
      </c>
      <c r="W17" s="5">
        <f t="shared" si="5"/>
        <v>98.130013818179663</v>
      </c>
      <c r="Y17">
        <v>11</v>
      </c>
      <c r="Z17" s="50" t="s">
        <v>77</v>
      </c>
      <c r="AA17" s="48">
        <f>T10</f>
        <v>61.966278317911346</v>
      </c>
      <c r="AB17" s="48">
        <f>AA4-AA3</f>
        <v>-57.063301712491523</v>
      </c>
      <c r="AC17" s="48">
        <f t="shared" si="6"/>
        <v>119.02958003040287</v>
      </c>
      <c r="AD17">
        <v>98.589699999999993</v>
      </c>
      <c r="AE17" s="48">
        <f t="shared" si="7"/>
        <v>20.439880030402875</v>
      </c>
      <c r="AF17" s="49">
        <f t="shared" si="8"/>
        <v>0.88634269371037211</v>
      </c>
    </row>
    <row r="18" spans="2:32" x14ac:dyDescent="0.25">
      <c r="B18" s="4" t="s">
        <v>81</v>
      </c>
      <c r="C18" s="5">
        <v>146893400</v>
      </c>
      <c r="D18" s="5">
        <v>181464100</v>
      </c>
      <c r="E18" s="5">
        <v>1000</v>
      </c>
      <c r="F18" s="5">
        <v>3.6735899999999999</v>
      </c>
      <c r="G18" s="5">
        <v>1.0054759999999999E-3</v>
      </c>
      <c r="H18" s="5">
        <v>1.910073E-6</v>
      </c>
      <c r="I18" s="5">
        <v>-1.717794E-9</v>
      </c>
      <c r="J18" s="5">
        <v>5.0877150000000002E-13</v>
      </c>
      <c r="K18" s="5">
        <v>16445</v>
      </c>
      <c r="L18" s="5">
        <v>2.2857180000000001</v>
      </c>
      <c r="M18" s="5">
        <v>3.6199499999999998E-3</v>
      </c>
      <c r="N18" s="5">
        <v>-9.9571449999999993E-7</v>
      </c>
      <c r="O18" s="5">
        <v>1.4892120000000001E-10</v>
      </c>
      <c r="P18" s="5">
        <v>-9.3430880000000005E-15</v>
      </c>
      <c r="Q18" s="5">
        <v>16775.580000000002</v>
      </c>
      <c r="R18" s="45">
        <f t="shared" si="0"/>
        <v>26.250769026354529</v>
      </c>
      <c r="S18" s="5">
        <f t="shared" si="1"/>
        <v>168819791.39363474</v>
      </c>
      <c r="T18" s="5">
        <f t="shared" si="2"/>
        <v>40.329620495373803</v>
      </c>
      <c r="U18" s="45">
        <f t="shared" si="3"/>
        <v>26.252474118514996</v>
      </c>
      <c r="V18" s="5">
        <f t="shared" si="4"/>
        <v>168830756.91249433</v>
      </c>
      <c r="W18" s="5">
        <f t="shared" si="5"/>
        <v>40.332240065096585</v>
      </c>
    </row>
    <row r="19" spans="2:32" x14ac:dyDescent="0.3">
      <c r="B19" s="4" t="s">
        <v>82</v>
      </c>
      <c r="C19" s="5">
        <v>716672700</v>
      </c>
      <c r="D19" s="5">
        <v>731275200</v>
      </c>
      <c r="E19" s="5">
        <v>1000</v>
      </c>
      <c r="F19" s="5">
        <v>2.5542400000000001</v>
      </c>
      <c r="G19" s="5">
        <v>-1.607689E-4</v>
      </c>
      <c r="H19" s="5">
        <v>2.445974E-7</v>
      </c>
      <c r="I19" s="5">
        <v>-1.8305870000000001E-10</v>
      </c>
      <c r="J19" s="5">
        <v>5.3304290000000001E-14</v>
      </c>
      <c r="K19" s="5">
        <v>85443.88</v>
      </c>
      <c r="L19" s="5">
        <v>2.4926689999999998</v>
      </c>
      <c r="M19" s="5">
        <v>2.3994459999999999E-5</v>
      </c>
      <c r="N19" s="5">
        <v>-2.4144500000000002E-8</v>
      </c>
      <c r="O19" s="5">
        <v>9.357276E-12</v>
      </c>
      <c r="P19" s="5">
        <v>-9.7455579999999997E-16</v>
      </c>
      <c r="Q19" s="5">
        <v>85451.3</v>
      </c>
      <c r="R19" s="45">
        <f t="shared" si="0"/>
        <v>113.02457197741518</v>
      </c>
      <c r="S19" s="5">
        <f t="shared" si="1"/>
        <v>726865740.36843944</v>
      </c>
      <c r="T19" s="5">
        <f t="shared" si="2"/>
        <v>173.64207844444326</v>
      </c>
      <c r="U19" s="45">
        <f t="shared" si="3"/>
        <v>113.02433639832088</v>
      </c>
      <c r="V19" s="5">
        <f t="shared" si="4"/>
        <v>726864225.34945035</v>
      </c>
      <c r="W19" s="5">
        <f t="shared" si="5"/>
        <v>173.6417165192189</v>
      </c>
    </row>
    <row r="20" spans="2:32" x14ac:dyDescent="0.3">
      <c r="B20" s="4" t="s">
        <v>83</v>
      </c>
      <c r="C20" s="5">
        <v>-2931.7289999999998</v>
      </c>
      <c r="D20" s="5">
        <v>21469860</v>
      </c>
      <c r="E20" s="5">
        <v>1000</v>
      </c>
      <c r="F20" s="5">
        <v>3.2986770000000001</v>
      </c>
      <c r="G20" s="5">
        <v>7.0412000000000003E-4</v>
      </c>
      <c r="H20" s="5">
        <v>-1.3210740000000001E-6</v>
      </c>
      <c r="I20" s="5">
        <v>1.4103789999999999E-9</v>
      </c>
      <c r="J20" s="5">
        <v>-4.8897080000000004E-13</v>
      </c>
      <c r="K20" s="5">
        <v>-1020.9</v>
      </c>
      <c r="L20" s="5">
        <v>2.9266380000000001</v>
      </c>
      <c r="M20" s="5">
        <v>7.4398849999999996E-4</v>
      </c>
      <c r="N20" s="5">
        <v>-1.8949199999999999E-7</v>
      </c>
      <c r="O20" s="5">
        <v>2.52426E-11</v>
      </c>
      <c r="P20" s="5">
        <v>-1.3506699999999999E-15</v>
      </c>
      <c r="Q20" s="5">
        <v>-922.79539999999997</v>
      </c>
      <c r="R20" s="45">
        <f t="shared" si="0"/>
        <v>2.2100396385060228</v>
      </c>
      <c r="S20" s="5">
        <f t="shared" si="1"/>
        <v>14212857.168857701</v>
      </c>
      <c r="T20" s="5">
        <f t="shared" si="2"/>
        <v>3.3953313829091503</v>
      </c>
      <c r="U20" s="45">
        <f t="shared" si="3"/>
        <v>2.2062124002155503</v>
      </c>
      <c r="V20" s="5">
        <f t="shared" si="4"/>
        <v>14188244.03965137</v>
      </c>
      <c r="W20" s="5">
        <f t="shared" si="5"/>
        <v>3.3894515144890986</v>
      </c>
    </row>
    <row r="21" spans="2:32" x14ac:dyDescent="0.3">
      <c r="B21" s="4" t="s">
        <v>84</v>
      </c>
      <c r="C21" s="5">
        <v>-213005300</v>
      </c>
      <c r="D21" s="5">
        <v>-171773500</v>
      </c>
      <c r="E21" s="5">
        <v>1000</v>
      </c>
      <c r="F21" s="5">
        <v>2.9220830000000002</v>
      </c>
      <c r="G21" s="5">
        <v>3.8122590000000001E-3</v>
      </c>
      <c r="H21" s="5">
        <v>1.099621E-6</v>
      </c>
      <c r="I21" s="5">
        <v>-2.6783809999999999E-9</v>
      </c>
      <c r="J21" s="5">
        <v>1.0231730000000001E-12</v>
      </c>
      <c r="K21" s="5">
        <v>-26838.36</v>
      </c>
      <c r="L21" s="5">
        <v>5.3920260000000004</v>
      </c>
      <c r="M21" s="5">
        <v>2.0561310000000001E-3</v>
      </c>
      <c r="N21" s="5">
        <v>-4.9399089999999997E-7</v>
      </c>
      <c r="O21" s="5">
        <v>5.9970039999999998E-11</v>
      </c>
      <c r="P21" s="5">
        <v>-2.8781269999999998E-15</v>
      </c>
      <c r="Q21" s="5">
        <v>-27670.86</v>
      </c>
      <c r="R21" s="45">
        <f t="shared" si="0"/>
        <v>-29.058402978015664</v>
      </c>
      <c r="S21" s="5">
        <f t="shared" si="1"/>
        <v>-186875802.53575638</v>
      </c>
      <c r="T21" s="5">
        <f t="shared" si="2"/>
        <v>-44.643048861862489</v>
      </c>
      <c r="U21" s="45">
        <f t="shared" si="3"/>
        <v>-29.076646621517718</v>
      </c>
      <c r="V21" s="5">
        <f t="shared" si="4"/>
        <v>-186993128.16866198</v>
      </c>
      <c r="W21" s="5">
        <f t="shared" si="5"/>
        <v>-44.671076963368847</v>
      </c>
    </row>
    <row r="22" spans="2:32" x14ac:dyDescent="0.3">
      <c r="B22" s="4" t="s">
        <v>85</v>
      </c>
      <c r="C22" s="5">
        <v>-150629100</v>
      </c>
      <c r="D22" s="5">
        <v>-110682200</v>
      </c>
      <c r="E22" s="5">
        <v>1000</v>
      </c>
      <c r="F22" s="5">
        <v>-30.193660000000001</v>
      </c>
      <c r="G22" s="5">
        <v>0.12730369999999999</v>
      </c>
      <c r="H22" s="5">
        <v>-2.1449490000000001E-4</v>
      </c>
      <c r="I22" s="5">
        <v>1.7323590000000001E-7</v>
      </c>
      <c r="J22" s="5">
        <v>-5.3174330000000001E-11</v>
      </c>
      <c r="K22" s="5">
        <v>-15988.78</v>
      </c>
      <c r="L22" s="5">
        <v>5.9779179999999998</v>
      </c>
      <c r="M22" s="5">
        <v>1.621239E-3</v>
      </c>
      <c r="N22" s="5">
        <v>-4.8888760000000001E-7</v>
      </c>
      <c r="O22" s="5">
        <v>7.2952229999999999E-11</v>
      </c>
      <c r="P22" s="5">
        <v>-4.2140989999999998E-15</v>
      </c>
      <c r="Q22" s="5">
        <v>-20491.02</v>
      </c>
      <c r="R22" s="45">
        <f t="shared" si="0"/>
        <v>-19.603168867513887</v>
      </c>
      <c r="S22" s="5">
        <f t="shared" si="1"/>
        <v>-126068797.28153509</v>
      </c>
      <c r="T22" s="5">
        <f t="shared" si="2"/>
        <v>-30.116769536917126</v>
      </c>
      <c r="U22" s="45">
        <f t="shared" si="3"/>
        <v>-19.531940953252281</v>
      </c>
      <c r="V22" s="5">
        <f t="shared" si="4"/>
        <v>-125610727.59165379</v>
      </c>
      <c r="W22" s="5">
        <f t="shared" si="5"/>
        <v>-30.007340561790201</v>
      </c>
    </row>
    <row r="25" spans="2:32" x14ac:dyDescent="0.3">
      <c r="T25" s="6"/>
    </row>
    <row r="26" spans="2:32" x14ac:dyDescent="0.3">
      <c r="T26" s="6"/>
    </row>
    <row r="27" spans="2:32" x14ac:dyDescent="0.3">
      <c r="T27" s="6"/>
    </row>
    <row r="28" spans="2:32" x14ac:dyDescent="0.3">
      <c r="T28" s="6"/>
    </row>
    <row r="29" spans="2:32" x14ac:dyDescent="0.3">
      <c r="T29" s="6"/>
    </row>
    <row r="30" spans="2:32" x14ac:dyDescent="0.3">
      <c r="T30" s="6"/>
    </row>
    <row r="31" spans="2:32" x14ac:dyDescent="0.3">
      <c r="T31" s="6"/>
    </row>
    <row r="32" spans="2:32" x14ac:dyDescent="0.3">
      <c r="T32" s="6"/>
    </row>
    <row r="33" spans="20:20" x14ac:dyDescent="0.3">
      <c r="T33" s="6"/>
    </row>
    <row r="34" spans="20:20" x14ac:dyDescent="0.3">
      <c r="T34" s="6"/>
    </row>
    <row r="35" spans="20:20" x14ac:dyDescent="0.25">
      <c r="T35" s="6"/>
    </row>
  </sheetData>
  <mergeCells count="1">
    <mergeCell ref="B4:E4"/>
  </mergeCells>
  <pageMargins left="0.7" right="0.7" top="0.75" bottom="0.75" header="0.3" footer="0.3"/>
  <pageSetup paperSize="9" orientation="portrait" r:id="rId1"/>
  <ignoredErrors>
    <ignoredError sqref="U7:U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main</vt:lpstr>
      <vt:lpstr>gas phase enthalpy</vt:lpstr>
      <vt:lpstr>deltaT</vt:lpstr>
      <vt:lpstr>H_C</vt:lpstr>
      <vt:lpstr>H_CH</vt:lpstr>
      <vt:lpstr>H_CH2</vt:lpstr>
      <vt:lpstr>H_CH3</vt:lpstr>
      <vt:lpstr>H_CH4</vt:lpstr>
      <vt:lpstr>H_CO</vt:lpstr>
      <vt:lpstr>H_CO2</vt:lpstr>
      <vt:lpstr>H_COOH</vt:lpstr>
      <vt:lpstr>H_H</vt:lpstr>
      <vt:lpstr>H_H2</vt:lpstr>
      <vt:lpstr>H_H2O</vt:lpstr>
      <vt:lpstr>H_O</vt:lpstr>
      <vt:lpstr>H_OH</vt:lpstr>
      <vt:lpstr>MW_CH4</vt:lpstr>
      <vt:lpstr>MW_CO</vt:lpstr>
      <vt:lpstr>MW_CO2</vt:lpstr>
      <vt:lpstr>MW_H2</vt:lpstr>
      <vt:lpstr>MW_H2O</vt:lpstr>
      <vt:lpstr>Q_C</vt:lpstr>
      <vt:lpstr>Q_CH</vt:lpstr>
      <vt:lpstr>Q_CH2</vt:lpstr>
      <vt:lpstr>Q_CH3</vt:lpstr>
      <vt:lpstr>Q_CH4</vt:lpstr>
      <vt:lpstr>Q_CO</vt:lpstr>
      <vt:lpstr>Q_CO2</vt:lpstr>
      <vt:lpstr>Q_COOH</vt:lpstr>
      <vt:lpstr>Q_H</vt:lpstr>
      <vt:lpstr>Q_H2O</vt:lpstr>
      <vt:lpstr>Q_O</vt:lpstr>
      <vt:lpstr>Q_OH</vt:lpstr>
      <vt:lpstr>Rgas</vt:lpstr>
      <vt:lpstr>T</vt:lpstr>
      <vt:lpstr>T0</vt:lpstr>
      <vt:lpstr>ϑCO</vt:lpstr>
      <vt:lpstr>ϑH</vt:lpstr>
      <vt:lpstr>ϑH2O</vt:lpstr>
      <vt:lpstr>ϑO</vt:lpstr>
      <vt:lpstr>ϑOH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2016-04-15T09:21:15Z</dcterms:created>
  <dcterms:modified xsi:type="dcterms:W3CDTF">2016-06-01T12:03:12Z</dcterms:modified>
</cp:coreProperties>
</file>