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ichael Stanford\Desktop\"/>
    </mc:Choice>
  </mc:AlternateContent>
  <xr:revisionPtr revIDLastSave="0" documentId="13_ncr:1_{2C61F8F9-15BC-4B60-A7ED-6F0E11582CEA}" xr6:coauthVersionLast="47" xr6:coauthVersionMax="47" xr10:uidLastSave="{00000000-0000-0000-0000-000000000000}"/>
  <bookViews>
    <workbookView xWindow="-38510" yWindow="-110" windowWidth="38620" windowHeight="21220" xr2:uid="{42E6855F-9D59-4ADE-891D-C68D923368A5}"/>
  </bookViews>
  <sheets>
    <sheet name="Master Datasheet" sheetId="24" r:id="rId1"/>
    <sheet name="To be deleted" sheetId="26" r:id="rId2"/>
    <sheet name="Ongoing orders" sheetId="19" r:id="rId3"/>
    <sheet name="Inventory" sheetId="2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713" i="24" l="1"/>
  <c r="AB713" i="24"/>
  <c r="U713" i="24"/>
  <c r="T713" i="24"/>
  <c r="S713" i="24"/>
  <c r="R713" i="24"/>
  <c r="AD712" i="24"/>
  <c r="AB712" i="24"/>
  <c r="U712" i="24"/>
  <c r="T712" i="24"/>
  <c r="S712" i="24"/>
  <c r="R712" i="24"/>
  <c r="R711" i="24"/>
  <c r="AB710" i="24"/>
  <c r="U710" i="24"/>
  <c r="T710" i="24"/>
  <c r="S710" i="24"/>
  <c r="R710" i="24"/>
  <c r="AB709" i="24"/>
  <c r="U709" i="24"/>
  <c r="T709" i="24"/>
  <c r="S709" i="24"/>
  <c r="R709" i="24"/>
  <c r="AB708" i="24"/>
  <c r="U708" i="24"/>
  <c r="T708" i="24"/>
  <c r="S708" i="24"/>
  <c r="R708" i="24"/>
  <c r="AB707" i="24"/>
  <c r="U707" i="24"/>
  <c r="T707" i="24"/>
  <c r="S707" i="24"/>
  <c r="R707" i="24"/>
  <c r="AB706" i="24"/>
  <c r="U706" i="24"/>
  <c r="T706" i="24"/>
  <c r="S706" i="24"/>
  <c r="R706" i="24"/>
  <c r="R704" i="24"/>
  <c r="R703" i="24"/>
  <c r="AB702" i="24"/>
  <c r="R702" i="24"/>
  <c r="AD700" i="24"/>
  <c r="AB700" i="24"/>
  <c r="R700" i="24"/>
  <c r="AD699" i="24"/>
  <c r="AB699" i="24"/>
  <c r="R699" i="24"/>
  <c r="R697" i="24"/>
  <c r="R696" i="24"/>
  <c r="R695" i="24"/>
  <c r="R694" i="24"/>
  <c r="R12" i="25" l="1"/>
  <c r="K60" i="25"/>
  <c r="K59" i="25"/>
  <c r="N56" i="25"/>
  <c r="N57" i="25"/>
  <c r="N58" i="25"/>
  <c r="AB690" i="24"/>
  <c r="R690" i="24"/>
  <c r="AB689" i="24"/>
  <c r="R689" i="24"/>
  <c r="AB688" i="24"/>
  <c r="AB687" i="24"/>
  <c r="AB686" i="24"/>
  <c r="AB685" i="24"/>
  <c r="AB684" i="24"/>
  <c r="AB683" i="24"/>
  <c r="AB681" i="24"/>
  <c r="R681" i="24"/>
  <c r="AB680" i="24"/>
  <c r="R680" i="24"/>
  <c r="AB679" i="24"/>
  <c r="R679" i="24"/>
  <c r="AB678" i="24"/>
  <c r="R678" i="24"/>
  <c r="AB677" i="24"/>
  <c r="R677" i="24"/>
  <c r="AB676" i="24"/>
  <c r="R676" i="24"/>
  <c r="AB675" i="24"/>
  <c r="R675" i="24"/>
  <c r="AB674" i="24"/>
  <c r="R674" i="24"/>
  <c r="AB673" i="24"/>
  <c r="R673" i="24"/>
  <c r="R672" i="24"/>
  <c r="R671" i="24"/>
  <c r="R670" i="24"/>
  <c r="R669" i="24"/>
  <c r="R668" i="24"/>
  <c r="AB666" i="24"/>
  <c r="AB665" i="24"/>
  <c r="AB664" i="24"/>
  <c r="AB663" i="24"/>
  <c r="AB662" i="24"/>
  <c r="AB661" i="24"/>
  <c r="AD660" i="24"/>
  <c r="AB660" i="24"/>
  <c r="AB659" i="24"/>
  <c r="U659" i="24"/>
  <c r="T659" i="24"/>
  <c r="S659" i="24"/>
  <c r="R659" i="24"/>
  <c r="AB658" i="24"/>
  <c r="U658" i="24"/>
  <c r="T658" i="24"/>
  <c r="S658" i="24"/>
  <c r="R658" i="24"/>
  <c r="AB657" i="24"/>
  <c r="U657" i="24"/>
  <c r="T657" i="24"/>
  <c r="S657" i="24"/>
  <c r="R657" i="24"/>
  <c r="AB656" i="24"/>
  <c r="U656" i="24"/>
  <c r="T656" i="24"/>
  <c r="S656" i="24"/>
  <c r="R656" i="24"/>
  <c r="AD654" i="24"/>
  <c r="AB654" i="24"/>
  <c r="U654" i="24"/>
  <c r="T654" i="24"/>
  <c r="S654" i="24"/>
  <c r="R654" i="24"/>
  <c r="AB653" i="24"/>
  <c r="U653" i="24"/>
  <c r="T653" i="24"/>
  <c r="S653" i="24"/>
  <c r="R653" i="24"/>
  <c r="AB652" i="24"/>
  <c r="U652" i="24"/>
  <c r="T652" i="24"/>
  <c r="S652" i="24"/>
  <c r="R652" i="24"/>
  <c r="R651" i="24"/>
  <c r="R650" i="24"/>
  <c r="AB649" i="24"/>
  <c r="U649" i="24"/>
  <c r="T649" i="24"/>
  <c r="S649" i="24"/>
  <c r="R649" i="24"/>
  <c r="AB648" i="24"/>
  <c r="U648" i="24"/>
  <c r="T648" i="24"/>
  <c r="S648" i="24"/>
  <c r="R648" i="24"/>
  <c r="K57" i="25"/>
  <c r="K56" i="25"/>
  <c r="M109" i="19"/>
  <c r="M91" i="19"/>
  <c r="M99" i="19"/>
  <c r="M86" i="19"/>
  <c r="O97" i="19"/>
  <c r="O98" i="19"/>
  <c r="O51" i="19"/>
  <c r="O52" i="19"/>
  <c r="M72" i="19"/>
  <c r="AM16" i="26"/>
  <c r="S16" i="26"/>
  <c r="T16" i="26"/>
  <c r="AB30" i="26"/>
  <c r="S30" i="26"/>
  <c r="T30" i="26"/>
  <c r="U30" i="26"/>
  <c r="V30" i="26"/>
  <c r="AB29" i="26"/>
  <c r="S29" i="26"/>
  <c r="T29" i="26"/>
  <c r="AB26" i="26"/>
  <c r="S26" i="26"/>
  <c r="T26" i="26"/>
  <c r="U26" i="26"/>
  <c r="V26" i="26"/>
  <c r="AB25" i="26"/>
  <c r="S25" i="26"/>
  <c r="T25" i="26"/>
  <c r="U25" i="26"/>
  <c r="V25" i="26"/>
  <c r="AB24" i="26"/>
  <c r="S24" i="26"/>
  <c r="T24" i="26"/>
  <c r="U24" i="26"/>
  <c r="V24" i="26"/>
  <c r="AB23" i="26"/>
  <c r="AD23" i="26"/>
  <c r="S23" i="26"/>
  <c r="T23" i="26"/>
  <c r="U23" i="26"/>
  <c r="V23" i="26"/>
  <c r="AO22" i="26"/>
  <c r="AI22" i="26"/>
  <c r="AB22" i="26"/>
  <c r="AD22" i="26"/>
  <c r="S22" i="26"/>
  <c r="T22" i="26"/>
  <c r="U22" i="26"/>
  <c r="V22" i="26"/>
  <c r="S21" i="26"/>
  <c r="T21" i="26"/>
  <c r="U21" i="26"/>
  <c r="V21" i="26"/>
  <c r="S17" i="26"/>
  <c r="T17" i="26"/>
  <c r="U17" i="26"/>
  <c r="S18" i="26"/>
  <c r="T18" i="26"/>
  <c r="U18" i="26"/>
  <c r="S19" i="26"/>
  <c r="T19" i="26"/>
  <c r="U19" i="26"/>
  <c r="V19" i="26"/>
  <c r="S20" i="26"/>
  <c r="T20" i="26"/>
  <c r="U20" i="26"/>
  <c r="V20" i="26"/>
  <c r="M77" i="19"/>
  <c r="T14" i="26"/>
  <c r="S14" i="26"/>
  <c r="T13" i="26"/>
  <c r="S13" i="26"/>
  <c r="AD12" i="26"/>
  <c r="AB12" i="26"/>
  <c r="S12" i="26"/>
  <c r="AD11" i="26"/>
  <c r="AB11" i="26"/>
  <c r="S11" i="26"/>
  <c r="AD10" i="26"/>
  <c r="AB10" i="26"/>
  <c r="T10" i="26"/>
  <c r="S10" i="26"/>
  <c r="AD9" i="26"/>
  <c r="AB9" i="26"/>
  <c r="T9" i="26"/>
  <c r="S9" i="26"/>
  <c r="AD8" i="26"/>
  <c r="AB8" i="26"/>
  <c r="T8" i="26"/>
  <c r="S8" i="26"/>
  <c r="AD7" i="26"/>
  <c r="AB7" i="26"/>
  <c r="T7" i="26"/>
  <c r="S7" i="26"/>
  <c r="AD6" i="26"/>
  <c r="AB6" i="26"/>
  <c r="T6" i="26"/>
  <c r="S6" i="26"/>
  <c r="AD5" i="26"/>
  <c r="AB5" i="26"/>
  <c r="T5" i="26"/>
  <c r="S5" i="26"/>
  <c r="AD4" i="26"/>
  <c r="AB4" i="26"/>
  <c r="T4" i="26"/>
  <c r="S4" i="26"/>
  <c r="AD3" i="26"/>
  <c r="AB3" i="26"/>
  <c r="T3" i="26"/>
  <c r="S3" i="26"/>
  <c r="AD2" i="26"/>
  <c r="AB2" i="26"/>
  <c r="T2" i="26"/>
  <c r="S2" i="26"/>
  <c r="AD1" i="26"/>
  <c r="AB1" i="26"/>
  <c r="T1" i="26"/>
  <c r="S1" i="26"/>
  <c r="BC2" i="24" a="1"/>
  <c r="BC2" i="24" s="1"/>
  <c r="BD2" i="24" a="1"/>
  <c r="BD2" i="24" s="1"/>
  <c r="R641" i="24"/>
  <c r="S641" i="24"/>
  <c r="T641" i="24"/>
  <c r="U641" i="24"/>
  <c r="AB641" i="24"/>
  <c r="R642" i="24"/>
  <c r="S642" i="24"/>
  <c r="T642" i="24"/>
  <c r="U642" i="24"/>
  <c r="AB642" i="24"/>
  <c r="R643" i="24"/>
  <c r="S643" i="24"/>
  <c r="AB643" i="24"/>
  <c r="R644" i="24"/>
  <c r="S644" i="24"/>
  <c r="AB644" i="24"/>
  <c r="R631" i="24"/>
  <c r="S631" i="24"/>
  <c r="AB631" i="24"/>
  <c r="R632" i="24"/>
  <c r="S632" i="24"/>
  <c r="AB632" i="24"/>
  <c r="R633" i="24"/>
  <c r="S633" i="24"/>
  <c r="AB633" i="24"/>
  <c r="R634" i="24"/>
  <c r="S634" i="24"/>
  <c r="T634" i="24"/>
  <c r="U634" i="24"/>
  <c r="AB634" i="24"/>
  <c r="R635" i="24"/>
  <c r="S635" i="24"/>
  <c r="T635" i="24"/>
  <c r="U635" i="24"/>
  <c r="AB635" i="24"/>
  <c r="R636" i="24"/>
  <c r="S636" i="24"/>
  <c r="T636" i="24"/>
  <c r="U636" i="24"/>
  <c r="AB636" i="24"/>
  <c r="R637" i="24"/>
  <c r="S637" i="24"/>
  <c r="AB637" i="24"/>
  <c r="R638" i="24"/>
  <c r="S638" i="24"/>
  <c r="T638" i="24"/>
  <c r="U638" i="24"/>
  <c r="AB638" i="24"/>
  <c r="R639" i="24"/>
  <c r="R611" i="24"/>
  <c r="S611" i="24"/>
  <c r="AB611" i="24"/>
  <c r="R612" i="24"/>
  <c r="S612" i="24"/>
  <c r="AB612" i="24"/>
  <c r="R613" i="24"/>
  <c r="S613" i="24"/>
  <c r="AB613" i="24"/>
  <c r="R614" i="24"/>
  <c r="S614" i="24"/>
  <c r="T614" i="24"/>
  <c r="U614" i="24"/>
  <c r="AB614" i="24"/>
  <c r="R615" i="24"/>
  <c r="S615" i="24"/>
  <c r="T615" i="24"/>
  <c r="U615" i="24"/>
  <c r="AB615" i="24"/>
  <c r="R616" i="24"/>
  <c r="S616" i="24"/>
  <c r="T616" i="24"/>
  <c r="U616" i="24"/>
  <c r="AB616" i="24"/>
  <c r="R617" i="24"/>
  <c r="R618" i="24"/>
  <c r="R619" i="24"/>
  <c r="R620" i="24"/>
  <c r="R621" i="24"/>
  <c r="R622" i="24"/>
  <c r="R623" i="24"/>
  <c r="S623" i="24"/>
  <c r="T623" i="24"/>
  <c r="U623" i="24"/>
  <c r="AB623" i="24"/>
  <c r="R624" i="24"/>
  <c r="S624" i="24"/>
  <c r="T624" i="24"/>
  <c r="U624" i="24"/>
  <c r="AB624" i="24"/>
  <c r="R625" i="24"/>
  <c r="S625" i="24"/>
  <c r="T625" i="24"/>
  <c r="U625" i="24"/>
  <c r="AB625" i="24"/>
  <c r="R626" i="24"/>
  <c r="S626" i="24"/>
  <c r="T626" i="24"/>
  <c r="U626" i="24"/>
  <c r="AB626" i="24"/>
  <c r="R627" i="24"/>
  <c r="S627" i="24"/>
  <c r="T627" i="24"/>
  <c r="U627" i="24"/>
  <c r="AB627" i="24"/>
  <c r="R628" i="24"/>
  <c r="S628" i="24"/>
  <c r="T628" i="24"/>
  <c r="U628" i="24"/>
  <c r="AB628" i="24"/>
  <c r="R629" i="24"/>
  <c r="S629" i="24"/>
  <c r="AB629" i="24"/>
  <c r="R598" i="24"/>
  <c r="S598" i="24"/>
  <c r="T598" i="24"/>
  <c r="U598" i="24"/>
  <c r="AB598" i="24"/>
  <c r="R599" i="24"/>
  <c r="S599" i="24"/>
  <c r="T599" i="24"/>
  <c r="U599" i="24"/>
  <c r="AB599" i="24"/>
  <c r="R600" i="24"/>
  <c r="R601" i="24"/>
  <c r="R602" i="24"/>
  <c r="S602" i="24"/>
  <c r="T602" i="24"/>
  <c r="U602" i="24"/>
  <c r="AB602" i="24"/>
  <c r="R603" i="24"/>
  <c r="S603" i="24"/>
  <c r="T603" i="24"/>
  <c r="U603" i="24"/>
  <c r="AB603" i="24"/>
  <c r="R604" i="24"/>
  <c r="S604" i="24"/>
  <c r="T604" i="24"/>
  <c r="U604" i="24"/>
  <c r="AB604" i="24"/>
  <c r="R605" i="24"/>
  <c r="S605" i="24"/>
  <c r="T605" i="24"/>
  <c r="U605" i="24"/>
  <c r="AB605" i="24"/>
  <c r="R606" i="24"/>
  <c r="R607" i="24"/>
  <c r="R608" i="24"/>
  <c r="S608" i="24"/>
  <c r="T608" i="24"/>
  <c r="U608" i="24"/>
  <c r="AB608" i="24"/>
  <c r="R609" i="24"/>
  <c r="S609" i="24"/>
  <c r="T609" i="24"/>
  <c r="U609" i="24"/>
  <c r="AB609" i="24"/>
  <c r="N52" i="25"/>
  <c r="N53" i="25"/>
  <c r="N54" i="25"/>
  <c r="N55" i="25"/>
  <c r="K55" i="25"/>
  <c r="K52" i="25"/>
  <c r="K53" i="25"/>
  <c r="K54" i="25"/>
  <c r="N51" i="25"/>
  <c r="K2" i="25"/>
  <c r="K3" i="25"/>
  <c r="K4" i="25"/>
  <c r="N4" i="25"/>
  <c r="K5" i="25"/>
  <c r="K6" i="25"/>
  <c r="K7" i="25"/>
  <c r="K8" i="25"/>
  <c r="K9" i="25"/>
  <c r="K10" i="25"/>
  <c r="K11" i="25"/>
  <c r="K12" i="25"/>
  <c r="K13" i="25"/>
  <c r="K14" i="25"/>
  <c r="K15" i="25"/>
  <c r="K16" i="25"/>
  <c r="K17" i="25"/>
  <c r="K18" i="25"/>
  <c r="K19" i="25"/>
  <c r="K20" i="25"/>
  <c r="K21" i="25"/>
  <c r="K22" i="25"/>
  <c r="K23" i="25"/>
  <c r="K24" i="25"/>
  <c r="K25" i="25"/>
  <c r="K26" i="25"/>
  <c r="K27" i="25"/>
  <c r="K28" i="25"/>
  <c r="K29" i="25"/>
  <c r="K30" i="25"/>
  <c r="K31" i="25"/>
  <c r="K32" i="25"/>
  <c r="K33" i="25"/>
  <c r="K34" i="25"/>
  <c r="K35" i="25"/>
  <c r="K36" i="25"/>
  <c r="K37" i="25"/>
  <c r="K38" i="25"/>
  <c r="K39" i="25"/>
  <c r="K40" i="25"/>
  <c r="K41" i="25"/>
  <c r="K42" i="25"/>
  <c r="K43" i="25"/>
  <c r="K44" i="25"/>
  <c r="K45" i="25"/>
  <c r="K46" i="25"/>
  <c r="K47" i="25"/>
  <c r="K48" i="25"/>
  <c r="K49" i="25"/>
  <c r="K50" i="25"/>
  <c r="K51" i="25"/>
  <c r="N2" i="25"/>
  <c r="N3" i="25"/>
  <c r="N5" i="25"/>
  <c r="N6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3" i="25"/>
  <c r="N25" i="25"/>
  <c r="N26" i="25"/>
  <c r="N27" i="25"/>
  <c r="N28" i="25"/>
  <c r="N29" i="25"/>
  <c r="N31" i="25"/>
  <c r="N32" i="25"/>
  <c r="N33" i="25"/>
  <c r="N34" i="25"/>
  <c r="N36" i="25"/>
  <c r="N37" i="25"/>
  <c r="N38" i="25"/>
  <c r="N40" i="25"/>
  <c r="N41" i="25"/>
  <c r="N42" i="25"/>
  <c r="N43" i="25"/>
  <c r="N44" i="25"/>
  <c r="N45" i="25"/>
  <c r="N46" i="25"/>
  <c r="N47" i="25"/>
  <c r="N48" i="25"/>
  <c r="N49" i="25"/>
  <c r="N50" i="25"/>
  <c r="M10" i="19"/>
  <c r="M104" i="19"/>
  <c r="M40" i="19"/>
  <c r="AI483" i="24"/>
  <c r="AO482" i="24"/>
  <c r="AI482" i="24"/>
  <c r="AD482" i="24"/>
  <c r="AB482" i="24"/>
  <c r="U482" i="24"/>
  <c r="T482" i="24"/>
  <c r="S482" i="24"/>
  <c r="R482" i="24"/>
  <c r="AO481" i="24"/>
  <c r="AI481" i="24"/>
  <c r="U481" i="24"/>
  <c r="T481" i="24"/>
  <c r="S481" i="24"/>
  <c r="R481" i="24"/>
  <c r="AO480" i="24"/>
  <c r="AI480" i="24"/>
  <c r="AB480" i="24"/>
  <c r="U480" i="24"/>
  <c r="T480" i="24"/>
  <c r="S480" i="24"/>
  <c r="R480" i="24"/>
  <c r="AO479" i="24"/>
  <c r="AI479" i="24"/>
  <c r="AB479" i="24"/>
  <c r="U479" i="24"/>
  <c r="T479" i="24"/>
  <c r="S479" i="24"/>
  <c r="R479" i="24"/>
  <c r="AO478" i="24"/>
  <c r="AI478" i="24"/>
  <c r="U478" i="24"/>
  <c r="T478" i="24"/>
  <c r="S478" i="24"/>
  <c r="R478" i="24"/>
  <c r="AO477" i="24"/>
  <c r="AI477" i="24"/>
  <c r="AD477" i="24"/>
  <c r="AB477" i="24"/>
  <c r="U477" i="24"/>
  <c r="T477" i="24"/>
  <c r="S477" i="24"/>
  <c r="R477" i="24"/>
  <c r="AO476" i="24"/>
  <c r="AI476" i="24"/>
  <c r="AB476" i="24"/>
  <c r="U476" i="24"/>
  <c r="T476" i="24"/>
  <c r="S476" i="24"/>
  <c r="R476" i="24"/>
  <c r="AO475" i="24"/>
  <c r="AI475" i="24"/>
  <c r="AB475" i="24"/>
  <c r="U475" i="24"/>
  <c r="T475" i="24"/>
  <c r="S475" i="24"/>
  <c r="R475" i="24"/>
  <c r="AO474" i="24"/>
  <c r="AI474" i="24"/>
  <c r="AB474" i="24"/>
  <c r="U474" i="24"/>
  <c r="T474" i="24"/>
  <c r="S474" i="24"/>
  <c r="R474" i="24"/>
  <c r="AO473" i="24"/>
  <c r="AI473" i="24"/>
  <c r="AB473" i="24"/>
  <c r="U473" i="24"/>
  <c r="T473" i="24"/>
  <c r="S473" i="24"/>
  <c r="R473" i="24"/>
  <c r="AN472" i="24"/>
  <c r="AO472" i="24" s="1"/>
  <c r="AI472" i="24"/>
  <c r="AB472" i="24"/>
  <c r="U472" i="24"/>
  <c r="T472" i="24"/>
  <c r="S472" i="24"/>
  <c r="R472" i="24"/>
  <c r="AO471" i="24"/>
  <c r="AI471" i="24"/>
  <c r="AO470" i="24"/>
  <c r="AI470" i="24"/>
  <c r="AD470" i="24"/>
  <c r="AB470" i="24"/>
  <c r="U470" i="24"/>
  <c r="T470" i="24"/>
  <c r="S470" i="24"/>
  <c r="R470" i="24"/>
  <c r="AN469" i="24"/>
  <c r="AO469" i="24" s="1"/>
  <c r="AI469" i="24"/>
  <c r="AD469" i="24"/>
  <c r="AB469" i="24"/>
  <c r="U469" i="24"/>
  <c r="T469" i="24"/>
  <c r="S469" i="24"/>
  <c r="R469" i="24"/>
  <c r="AN468" i="24"/>
  <c r="AI468" i="24"/>
  <c r="AB468" i="24"/>
  <c r="R468" i="24"/>
  <c r="AO467" i="24"/>
  <c r="AI467" i="24"/>
  <c r="AB467" i="24"/>
  <c r="U467" i="24"/>
  <c r="T467" i="24"/>
  <c r="S467" i="24"/>
  <c r="R467" i="24"/>
  <c r="AO466" i="24"/>
  <c r="AI466" i="24"/>
  <c r="AB466" i="24"/>
  <c r="U466" i="24"/>
  <c r="T466" i="24"/>
  <c r="S466" i="24"/>
  <c r="R466" i="24"/>
  <c r="AO465" i="24"/>
  <c r="AI465" i="24"/>
  <c r="AB465" i="24"/>
  <c r="U465" i="24"/>
  <c r="T465" i="24"/>
  <c r="S465" i="24"/>
  <c r="R465" i="24"/>
  <c r="AO464" i="24"/>
  <c r="AI464" i="24"/>
  <c r="AB464" i="24"/>
  <c r="U464" i="24"/>
  <c r="T464" i="24"/>
  <c r="S464" i="24"/>
  <c r="R464" i="24"/>
  <c r="AO463" i="24"/>
  <c r="AI463" i="24"/>
  <c r="AB463" i="24"/>
  <c r="U463" i="24"/>
  <c r="T463" i="24"/>
  <c r="S463" i="24"/>
  <c r="R463" i="24"/>
  <c r="AO462" i="24"/>
  <c r="AI462" i="24"/>
  <c r="AB462" i="24"/>
  <c r="U462" i="24"/>
  <c r="T462" i="24"/>
  <c r="S462" i="24"/>
  <c r="R462" i="24"/>
  <c r="AO461" i="24"/>
  <c r="AI461" i="24"/>
  <c r="AB461" i="24"/>
  <c r="U461" i="24"/>
  <c r="T461" i="24"/>
  <c r="S461" i="24"/>
  <c r="R461" i="24"/>
  <c r="AO460" i="24"/>
  <c r="AI460" i="24"/>
  <c r="AB460" i="24"/>
  <c r="U460" i="24"/>
  <c r="T460" i="24"/>
  <c r="S460" i="24"/>
  <c r="R460" i="24"/>
  <c r="AN459" i="24"/>
  <c r="AO459" i="24" s="1"/>
  <c r="AI459" i="24"/>
  <c r="AB459" i="24"/>
  <c r="U459" i="24"/>
  <c r="T459" i="24"/>
  <c r="S459" i="24"/>
  <c r="R459" i="24"/>
  <c r="AO458" i="24"/>
  <c r="AI458" i="24"/>
  <c r="AO457" i="24"/>
  <c r="AI457" i="24"/>
  <c r="AB457" i="24"/>
  <c r="U457" i="24"/>
  <c r="T457" i="24"/>
  <c r="S457" i="24"/>
  <c r="R457" i="24"/>
  <c r="AO456" i="24"/>
  <c r="AI456" i="24"/>
  <c r="AB456" i="24"/>
  <c r="U456" i="24"/>
  <c r="T456" i="24"/>
  <c r="S456" i="24"/>
  <c r="R456" i="24"/>
  <c r="AN455" i="24"/>
  <c r="AI455" i="24"/>
  <c r="AB455" i="24"/>
  <c r="R455" i="24"/>
  <c r="AN454" i="24"/>
  <c r="AI454" i="24"/>
  <c r="AB454" i="24"/>
  <c r="R454" i="24"/>
  <c r="AO453" i="24"/>
  <c r="AI453" i="24"/>
  <c r="U453" i="24"/>
  <c r="T453" i="24"/>
  <c r="S453" i="24"/>
  <c r="R453" i="24"/>
  <c r="AO452" i="24"/>
  <c r="AI452" i="24"/>
  <c r="AB452" i="24"/>
  <c r="U452" i="24"/>
  <c r="T452" i="24"/>
  <c r="S452" i="24"/>
  <c r="R452" i="24"/>
  <c r="AO451" i="24"/>
  <c r="AI451" i="24"/>
  <c r="AB451" i="24"/>
  <c r="U451" i="24"/>
  <c r="T451" i="24"/>
  <c r="S451" i="24"/>
  <c r="R451" i="24"/>
  <c r="AO450" i="24"/>
  <c r="AI450" i="24"/>
  <c r="AB450" i="24"/>
  <c r="U450" i="24"/>
  <c r="T450" i="24"/>
  <c r="S450" i="24"/>
  <c r="R450" i="24"/>
  <c r="AO449" i="24"/>
  <c r="AI449" i="24"/>
  <c r="AB449" i="24"/>
  <c r="U449" i="24"/>
  <c r="T449" i="24"/>
  <c r="S449" i="24"/>
  <c r="R449" i="24"/>
  <c r="AN448" i="24"/>
  <c r="AO448" i="24" s="1"/>
  <c r="AI448" i="24"/>
  <c r="U448" i="24"/>
  <c r="T448" i="24"/>
  <c r="S448" i="24"/>
  <c r="R448" i="24"/>
  <c r="AN447" i="24"/>
  <c r="AO447" i="24" s="1"/>
  <c r="AI447" i="24"/>
  <c r="AB447" i="24"/>
  <c r="U447" i="24"/>
  <c r="T447" i="24"/>
  <c r="S447" i="24"/>
  <c r="R447" i="24"/>
  <c r="AN446" i="24"/>
  <c r="AO446" i="24" s="1"/>
  <c r="AI446" i="24"/>
  <c r="AB446" i="24"/>
  <c r="U446" i="24"/>
  <c r="T446" i="24"/>
  <c r="S446" i="24"/>
  <c r="R446" i="24"/>
  <c r="AO445" i="24"/>
  <c r="AI445" i="24"/>
  <c r="AB445" i="24"/>
  <c r="U445" i="24"/>
  <c r="T445" i="24"/>
  <c r="S445" i="24"/>
  <c r="R445" i="24"/>
  <c r="AO444" i="24"/>
  <c r="AI444" i="24"/>
  <c r="AB444" i="24"/>
  <c r="U444" i="24"/>
  <c r="T444" i="24"/>
  <c r="S444" i="24"/>
  <c r="R444" i="24"/>
  <c r="AO443" i="24"/>
  <c r="AI443" i="24"/>
  <c r="AB443" i="24"/>
  <c r="U443" i="24"/>
  <c r="T443" i="24"/>
  <c r="S443" i="24"/>
  <c r="R443" i="24"/>
  <c r="AN442" i="24"/>
  <c r="AO442" i="24" s="1"/>
  <c r="AI442" i="24"/>
  <c r="AB442" i="24"/>
  <c r="U442" i="24"/>
  <c r="T442" i="24"/>
  <c r="S442" i="24"/>
  <c r="R442" i="24"/>
  <c r="AO441" i="24"/>
  <c r="AI441" i="24"/>
  <c r="AB441" i="24"/>
  <c r="U441" i="24"/>
  <c r="T441" i="24"/>
  <c r="S441" i="24"/>
  <c r="R441" i="24"/>
  <c r="AN440" i="24"/>
  <c r="AO440" i="24" s="1"/>
  <c r="AI440" i="24"/>
  <c r="AB440" i="24"/>
  <c r="U440" i="24"/>
  <c r="T440" i="24"/>
  <c r="S440" i="24"/>
  <c r="R440" i="24"/>
  <c r="AO439" i="24"/>
  <c r="AI439" i="24"/>
  <c r="AB439" i="24"/>
  <c r="U439" i="24"/>
  <c r="T439" i="24"/>
  <c r="S439" i="24"/>
  <c r="R439" i="24"/>
  <c r="AO438" i="24"/>
  <c r="AI438" i="24"/>
  <c r="AB438" i="24"/>
  <c r="U438" i="24"/>
  <c r="T438" i="24"/>
  <c r="S438" i="24"/>
  <c r="R438" i="24"/>
  <c r="AI433" i="24"/>
  <c r="AI432" i="24"/>
  <c r="AI431" i="24"/>
  <c r="AI430" i="24"/>
  <c r="AI429" i="24"/>
  <c r="AI428" i="24"/>
  <c r="AI427" i="24"/>
  <c r="AI426" i="24"/>
  <c r="AI425" i="24"/>
  <c r="AI424" i="24"/>
  <c r="AI423" i="24"/>
  <c r="AI422" i="24"/>
  <c r="AI420" i="24"/>
  <c r="AI419" i="24"/>
  <c r="AI418" i="24"/>
  <c r="AI417" i="24"/>
  <c r="AI416" i="24"/>
  <c r="AI415" i="24"/>
  <c r="AI414" i="24"/>
  <c r="AI413" i="24"/>
  <c r="AN433" i="24"/>
  <c r="AB433" i="24"/>
  <c r="U433" i="24"/>
  <c r="T433" i="24"/>
  <c r="S433" i="24"/>
  <c r="R433" i="24"/>
  <c r="AO432" i="24"/>
  <c r="AB432" i="24"/>
  <c r="U432" i="24"/>
  <c r="T432" i="24"/>
  <c r="S432" i="24"/>
  <c r="R432" i="24"/>
  <c r="AN431" i="24"/>
  <c r="AB431" i="24"/>
  <c r="U431" i="24"/>
  <c r="T431" i="24"/>
  <c r="S431" i="24"/>
  <c r="R431" i="24"/>
  <c r="AN430" i="24"/>
  <c r="AB430" i="24"/>
  <c r="U430" i="24"/>
  <c r="T430" i="24"/>
  <c r="S430" i="24"/>
  <c r="R430" i="24"/>
  <c r="AN429" i="24"/>
  <c r="AB429" i="24"/>
  <c r="U429" i="24"/>
  <c r="T429" i="24"/>
  <c r="S429" i="24"/>
  <c r="R429" i="24"/>
  <c r="AN428" i="24"/>
  <c r="AO428" i="24" s="1"/>
  <c r="AB428" i="24"/>
  <c r="U428" i="24"/>
  <c r="T428" i="24"/>
  <c r="S428" i="24"/>
  <c r="R428" i="24"/>
  <c r="AN427" i="24"/>
  <c r="AB427" i="24"/>
  <c r="U427" i="24"/>
  <c r="T427" i="24"/>
  <c r="S427" i="24"/>
  <c r="R427" i="24"/>
  <c r="AN426" i="24"/>
  <c r="AB426" i="24"/>
  <c r="U426" i="24"/>
  <c r="T426" i="24"/>
  <c r="S426" i="24"/>
  <c r="R426" i="24"/>
  <c r="AN425" i="24"/>
  <c r="AB425" i="24"/>
  <c r="U425" i="24"/>
  <c r="T425" i="24"/>
  <c r="S425" i="24"/>
  <c r="R425" i="24"/>
  <c r="AN424" i="24"/>
  <c r="AB424" i="24"/>
  <c r="U424" i="24"/>
  <c r="T424" i="24"/>
  <c r="S424" i="24"/>
  <c r="R424" i="24"/>
  <c r="AN423" i="24"/>
  <c r="AB423" i="24"/>
  <c r="U423" i="24"/>
  <c r="T423" i="24"/>
  <c r="S423" i="24"/>
  <c r="R423" i="24"/>
  <c r="AO422" i="24"/>
  <c r="AB422" i="24"/>
  <c r="U422" i="24"/>
  <c r="T422" i="24"/>
  <c r="S422" i="24"/>
  <c r="R422" i="24"/>
  <c r="AO421" i="24"/>
  <c r="AB421" i="24"/>
  <c r="U421" i="24"/>
  <c r="T421" i="24"/>
  <c r="S421" i="24"/>
  <c r="R421" i="24"/>
  <c r="AO420" i="24"/>
  <c r="AB420" i="24"/>
  <c r="U420" i="24"/>
  <c r="T420" i="24"/>
  <c r="S420" i="24"/>
  <c r="R420" i="24"/>
  <c r="AO419" i="24"/>
  <c r="AB419" i="24"/>
  <c r="U419" i="24"/>
  <c r="T419" i="24"/>
  <c r="S419" i="24"/>
  <c r="R419" i="24"/>
  <c r="AO418" i="24"/>
  <c r="AB418" i="24"/>
  <c r="U418" i="24"/>
  <c r="T418" i="24"/>
  <c r="S418" i="24"/>
  <c r="R418" i="24"/>
  <c r="AO417" i="24"/>
  <c r="AB417" i="24"/>
  <c r="U417" i="24"/>
  <c r="T417" i="24"/>
  <c r="S417" i="24"/>
  <c r="R417" i="24"/>
  <c r="AO416" i="24"/>
  <c r="AO415" i="24"/>
  <c r="AB415" i="24"/>
  <c r="U415" i="24"/>
  <c r="T415" i="24"/>
  <c r="S415" i="24"/>
  <c r="R415" i="24"/>
  <c r="AN414" i="24"/>
  <c r="AO414" i="24" s="1"/>
  <c r="AB414" i="24"/>
  <c r="U414" i="24"/>
  <c r="T414" i="24"/>
  <c r="S414" i="24"/>
  <c r="R414" i="24"/>
  <c r="AO413" i="24"/>
  <c r="AB413" i="24"/>
  <c r="U413" i="24"/>
  <c r="T413" i="24"/>
  <c r="S413" i="24"/>
  <c r="R413" i="24"/>
  <c r="AN412" i="24"/>
  <c r="AB412" i="24"/>
  <c r="U412" i="24"/>
  <c r="S412" i="24"/>
  <c r="R412" i="24"/>
  <c r="AN411" i="24"/>
  <c r="AB411" i="24"/>
  <c r="U411" i="24"/>
  <c r="S411" i="24"/>
  <c r="R411" i="24"/>
  <c r="AN410" i="24"/>
  <c r="AB410" i="24"/>
  <c r="U410" i="24"/>
  <c r="S410" i="24"/>
  <c r="R410" i="24"/>
  <c r="AN409" i="24"/>
  <c r="AB409" i="24"/>
  <c r="U409" i="24"/>
  <c r="S409" i="24"/>
  <c r="R409" i="24"/>
  <c r="AN408" i="24"/>
  <c r="AB408" i="24"/>
  <c r="U408" i="24"/>
  <c r="S408" i="24"/>
  <c r="R408" i="24"/>
  <c r="AN407" i="24"/>
  <c r="AB407" i="24"/>
  <c r="U407" i="24"/>
  <c r="S407" i="24"/>
  <c r="R407" i="24"/>
  <c r="AN406" i="24"/>
  <c r="AB406" i="24"/>
  <c r="U406" i="24"/>
  <c r="S406" i="24"/>
  <c r="R406" i="24"/>
  <c r="AN405" i="24"/>
  <c r="AB405" i="24"/>
  <c r="U405" i="24"/>
  <c r="S405" i="24"/>
  <c r="R405" i="24"/>
  <c r="AN404" i="24"/>
  <c r="AB404" i="24"/>
  <c r="U404" i="24"/>
  <c r="S404" i="24"/>
  <c r="R404" i="24"/>
  <c r="AO403" i="24"/>
  <c r="AB403" i="24"/>
  <c r="U403" i="24"/>
  <c r="S403" i="24"/>
  <c r="R403" i="24"/>
  <c r="AO402" i="24"/>
  <c r="AB402" i="24"/>
  <c r="U402" i="24"/>
  <c r="S402" i="24"/>
  <c r="R402" i="24"/>
  <c r="AN401" i="24"/>
  <c r="AO401" i="24" s="1"/>
  <c r="AB401" i="24"/>
  <c r="U401" i="24"/>
  <c r="S401" i="24"/>
  <c r="R401" i="24"/>
  <c r="AO400" i="24"/>
  <c r="AB400" i="24"/>
  <c r="U400" i="24"/>
  <c r="S400" i="24"/>
  <c r="R400" i="24"/>
  <c r="AO399" i="24"/>
  <c r="AB399" i="24"/>
  <c r="U399" i="24"/>
  <c r="S399" i="24"/>
  <c r="R399" i="24"/>
  <c r="AO398" i="24"/>
  <c r="AB398" i="24"/>
  <c r="U398" i="24"/>
  <c r="S398" i="24"/>
  <c r="R398" i="24"/>
  <c r="AN397" i="24"/>
  <c r="AB397" i="24"/>
  <c r="U397" i="24"/>
  <c r="T397" i="24"/>
  <c r="S397" i="24"/>
  <c r="R397" i="24"/>
  <c r="AO396" i="24"/>
  <c r="AB396" i="24"/>
  <c r="U396" i="24"/>
  <c r="T396" i="24"/>
  <c r="S396" i="24"/>
  <c r="R396" i="24"/>
  <c r="AO395" i="24"/>
  <c r="AB395" i="24"/>
  <c r="U395" i="24"/>
  <c r="T395" i="24"/>
  <c r="S395" i="24"/>
  <c r="R395" i="24"/>
  <c r="AO394" i="24"/>
  <c r="AB394" i="24"/>
  <c r="U394" i="24"/>
  <c r="T394" i="24"/>
  <c r="S394" i="24"/>
  <c r="R394" i="24"/>
  <c r="AO393" i="24"/>
  <c r="AB393" i="24"/>
  <c r="U393" i="24"/>
  <c r="T393" i="24"/>
  <c r="S393" i="24"/>
  <c r="R393" i="24"/>
  <c r="AO392" i="24"/>
  <c r="AB392" i="24"/>
  <c r="U392" i="24"/>
  <c r="T392" i="24"/>
  <c r="S392" i="24"/>
  <c r="R392" i="24"/>
  <c r="AO391" i="24"/>
  <c r="AN390" i="24"/>
  <c r="AB390" i="24"/>
  <c r="U390" i="24"/>
  <c r="S390" i="24"/>
  <c r="R390" i="24"/>
  <c r="AN389" i="24"/>
  <c r="AB389" i="24"/>
  <c r="U389" i="24"/>
  <c r="S389" i="24"/>
  <c r="R389" i="24"/>
  <c r="AN388" i="24"/>
  <c r="AO388" i="24" s="1"/>
  <c r="AB388" i="24"/>
  <c r="U388" i="24"/>
  <c r="S388" i="24"/>
  <c r="R388" i="24"/>
  <c r="AN387" i="24"/>
  <c r="AB387" i="24"/>
  <c r="U387" i="24"/>
  <c r="T387" i="24"/>
  <c r="S387" i="24"/>
  <c r="R387" i="24"/>
  <c r="AN386" i="24"/>
  <c r="AB386" i="24"/>
  <c r="U386" i="24"/>
  <c r="T386" i="24"/>
  <c r="S386" i="24"/>
  <c r="R386" i="24"/>
  <c r="AN385" i="24"/>
  <c r="AD385" i="24"/>
  <c r="AB385" i="24"/>
  <c r="U385" i="24"/>
  <c r="T385" i="24"/>
  <c r="S385" i="24"/>
  <c r="R385" i="24"/>
  <c r="AN384" i="24"/>
  <c r="AB384" i="24"/>
  <c r="U384" i="24"/>
  <c r="T384" i="24"/>
  <c r="S384" i="24"/>
  <c r="R384" i="24"/>
  <c r="AN383" i="24"/>
  <c r="AB383" i="24"/>
  <c r="U383" i="24"/>
  <c r="T383" i="24"/>
  <c r="S383" i="24"/>
  <c r="R383" i="24"/>
  <c r="AN382" i="24"/>
  <c r="AB382" i="24"/>
  <c r="U382" i="24"/>
  <c r="T382" i="24"/>
  <c r="S382" i="24"/>
  <c r="R382" i="24"/>
  <c r="AN381" i="24"/>
  <c r="AB381" i="24"/>
  <c r="U381" i="24"/>
  <c r="T381" i="24"/>
  <c r="S381" i="24"/>
  <c r="R381" i="24"/>
  <c r="AO380" i="24"/>
  <c r="AB380" i="24"/>
  <c r="U380" i="24"/>
  <c r="T380" i="24"/>
  <c r="S380" i="24"/>
  <c r="R380" i="24"/>
  <c r="AO379" i="24"/>
  <c r="AB379" i="24"/>
  <c r="U379" i="24"/>
  <c r="T379" i="24"/>
  <c r="S379" i="24"/>
  <c r="R379" i="24"/>
  <c r="AN378" i="24"/>
  <c r="AO378" i="24" s="1"/>
  <c r="AB378" i="24"/>
  <c r="U378" i="24"/>
  <c r="T378" i="24"/>
  <c r="S378" i="24"/>
  <c r="R378" i="24"/>
  <c r="AN377" i="24"/>
  <c r="AB377" i="24"/>
  <c r="U377" i="24"/>
  <c r="T377" i="24"/>
  <c r="S377" i="24"/>
  <c r="R377" i="24"/>
  <c r="AO376" i="24"/>
  <c r="AB376" i="24"/>
  <c r="U376" i="24"/>
  <c r="T376" i="24"/>
  <c r="S376" i="24"/>
  <c r="R376" i="24"/>
  <c r="AO375" i="24"/>
  <c r="AB375" i="24"/>
  <c r="U375" i="24"/>
  <c r="T375" i="24"/>
  <c r="S375" i="24"/>
  <c r="R375" i="24"/>
  <c r="AO374" i="24"/>
  <c r="AB374" i="24"/>
  <c r="U374" i="24"/>
  <c r="T374" i="24"/>
  <c r="S374" i="24"/>
  <c r="R374" i="24"/>
  <c r="AO373" i="24"/>
  <c r="AB373" i="24"/>
  <c r="U373" i="24"/>
  <c r="T373" i="24"/>
  <c r="S373" i="24"/>
  <c r="R373" i="24"/>
  <c r="AO372" i="24"/>
  <c r="AB372" i="24"/>
  <c r="U372" i="24"/>
  <c r="T372" i="24"/>
  <c r="S372" i="24"/>
  <c r="R372" i="24"/>
  <c r="AO371" i="24"/>
  <c r="AB371" i="24"/>
  <c r="U371" i="24"/>
  <c r="T371" i="24"/>
  <c r="S371" i="24"/>
  <c r="R371" i="24"/>
  <c r="AO370" i="24"/>
  <c r="AB370" i="24"/>
  <c r="U370" i="24"/>
  <c r="T370" i="24"/>
  <c r="S370" i="24"/>
  <c r="R370" i="24"/>
  <c r="AN369" i="24"/>
  <c r="AO369" i="24"/>
  <c r="AB369" i="24"/>
  <c r="U369" i="24"/>
  <c r="T369" i="24"/>
  <c r="S369" i="24"/>
  <c r="R369" i="24"/>
  <c r="AN368" i="24"/>
  <c r="AO368" i="24" s="1"/>
  <c r="AB368" i="24"/>
  <c r="U368" i="24"/>
  <c r="T368" i="24"/>
  <c r="S368" i="24"/>
  <c r="R368" i="24"/>
  <c r="AO367" i="24"/>
  <c r="AB367" i="24"/>
  <c r="U367" i="24"/>
  <c r="T367" i="24"/>
  <c r="S367" i="24"/>
  <c r="R367" i="24"/>
  <c r="AO366" i="24"/>
  <c r="AB366" i="24"/>
  <c r="U366" i="24"/>
  <c r="T366" i="24"/>
  <c r="S366" i="24"/>
  <c r="R366" i="24"/>
  <c r="AN365" i="24"/>
  <c r="AO365" i="24" s="1"/>
  <c r="AB365" i="24"/>
  <c r="U365" i="24"/>
  <c r="T365" i="24"/>
  <c r="S365" i="24"/>
  <c r="R365" i="24"/>
  <c r="AN364" i="24"/>
  <c r="AO364" i="24" s="1"/>
  <c r="AB364" i="24"/>
  <c r="U364" i="24"/>
  <c r="T364" i="24"/>
  <c r="S364" i="24"/>
  <c r="R364" i="24"/>
  <c r="R541" i="24"/>
  <c r="S541" i="24"/>
  <c r="T541" i="24"/>
  <c r="U541" i="24"/>
  <c r="AB541" i="24"/>
  <c r="R542" i="24"/>
  <c r="S542" i="24"/>
  <c r="T542" i="24"/>
  <c r="U542" i="24"/>
  <c r="AB542" i="24"/>
  <c r="R543" i="24"/>
  <c r="S543" i="24"/>
  <c r="T543" i="24"/>
  <c r="U543" i="24"/>
  <c r="AB543" i="24"/>
  <c r="R544" i="24"/>
  <c r="S544" i="24"/>
  <c r="T544" i="24"/>
  <c r="U544" i="24"/>
  <c r="AB544" i="24"/>
  <c r="R545" i="24"/>
  <c r="R546" i="24"/>
  <c r="R547" i="24"/>
  <c r="S547" i="24"/>
  <c r="T547" i="24"/>
  <c r="U547" i="24"/>
  <c r="AB547" i="24"/>
  <c r="R548" i="24"/>
  <c r="S548" i="24"/>
  <c r="T548" i="24"/>
  <c r="U548" i="24"/>
  <c r="AB548" i="24"/>
  <c r="R549" i="24"/>
  <c r="S549" i="24"/>
  <c r="T549" i="24"/>
  <c r="U549" i="24"/>
  <c r="AB549" i="24"/>
  <c r="R519" i="24"/>
  <c r="S519" i="24"/>
  <c r="T519" i="24"/>
  <c r="U519" i="24"/>
  <c r="AB519" i="24"/>
  <c r="R520" i="24"/>
  <c r="S520" i="24"/>
  <c r="T520" i="24"/>
  <c r="U520" i="24"/>
  <c r="AB520" i="24"/>
  <c r="R521" i="24"/>
  <c r="S521" i="24"/>
  <c r="T521" i="24"/>
  <c r="U521" i="24"/>
  <c r="AB521" i="24"/>
  <c r="R522" i="24"/>
  <c r="S522" i="24"/>
  <c r="T522" i="24"/>
  <c r="U522" i="24"/>
  <c r="AB522" i="24"/>
  <c r="R523" i="24"/>
  <c r="S523" i="24"/>
  <c r="T523" i="24"/>
  <c r="U523" i="24"/>
  <c r="AB523" i="24"/>
  <c r="R524" i="24"/>
  <c r="S524" i="24"/>
  <c r="T524" i="24"/>
  <c r="U524" i="24"/>
  <c r="AB524" i="24"/>
  <c r="R525" i="24"/>
  <c r="R526" i="24"/>
  <c r="R527" i="24"/>
  <c r="S527" i="24"/>
  <c r="T527" i="24"/>
  <c r="U527" i="24"/>
  <c r="AB527" i="24"/>
  <c r="R528" i="24"/>
  <c r="S528" i="24"/>
  <c r="T528" i="24"/>
  <c r="U528" i="24"/>
  <c r="AB528" i="24"/>
  <c r="R529" i="24"/>
  <c r="S529" i="24"/>
  <c r="T529" i="24"/>
  <c r="U529" i="24"/>
  <c r="AB529" i="24"/>
  <c r="R530" i="24"/>
  <c r="R531" i="24"/>
  <c r="R532" i="24"/>
  <c r="S532" i="24"/>
  <c r="T532" i="24"/>
  <c r="U532" i="24"/>
  <c r="AB532" i="24"/>
  <c r="R533" i="24"/>
  <c r="S533" i="24"/>
  <c r="T533" i="24"/>
  <c r="U533" i="24"/>
  <c r="AB533" i="24"/>
  <c r="R534" i="24"/>
  <c r="R535" i="24"/>
  <c r="R536" i="24"/>
  <c r="R537" i="24"/>
  <c r="S537" i="24"/>
  <c r="T537" i="24"/>
  <c r="U537" i="24"/>
  <c r="AB537" i="24"/>
  <c r="R538" i="24"/>
  <c r="S538" i="24"/>
  <c r="T538" i="24"/>
  <c r="U538" i="24"/>
  <c r="AB538" i="24"/>
  <c r="R539" i="24"/>
  <c r="S539" i="24"/>
  <c r="T539" i="24"/>
  <c r="U539" i="24"/>
  <c r="AB539" i="24"/>
  <c r="R506" i="24"/>
  <c r="S506" i="24"/>
  <c r="T506" i="24"/>
  <c r="U506" i="24"/>
  <c r="AB506" i="24"/>
  <c r="R507" i="24"/>
  <c r="S507" i="24"/>
  <c r="T507" i="24"/>
  <c r="U507" i="24"/>
  <c r="AB507" i="24"/>
  <c r="R508" i="24"/>
  <c r="S508" i="24"/>
  <c r="T508" i="24"/>
  <c r="U508" i="24"/>
  <c r="AB508" i="24"/>
  <c r="R509" i="24"/>
  <c r="S509" i="24"/>
  <c r="T509" i="24"/>
  <c r="U509" i="24"/>
  <c r="AB509" i="24"/>
  <c r="R510" i="24"/>
  <c r="S510" i="24"/>
  <c r="T510" i="24"/>
  <c r="U510" i="24"/>
  <c r="AB510" i="24"/>
  <c r="R511" i="24"/>
  <c r="S511" i="24"/>
  <c r="T511" i="24"/>
  <c r="U511" i="24"/>
  <c r="AB511" i="24"/>
  <c r="R512" i="24"/>
  <c r="S512" i="24"/>
  <c r="T512" i="24"/>
  <c r="U512" i="24"/>
  <c r="AB512" i="24"/>
  <c r="R513" i="24"/>
  <c r="S513" i="24"/>
  <c r="T513" i="24"/>
  <c r="U513" i="24"/>
  <c r="AB513" i="24"/>
  <c r="R514" i="24"/>
  <c r="R515" i="24"/>
  <c r="S515" i="24"/>
  <c r="T515" i="24"/>
  <c r="U515" i="24"/>
  <c r="AB515" i="24"/>
  <c r="R516" i="24"/>
  <c r="R517" i="24"/>
  <c r="S517" i="24"/>
  <c r="T517" i="24"/>
  <c r="U517" i="24"/>
  <c r="AB517" i="24"/>
  <c r="R494" i="24"/>
  <c r="S494" i="24"/>
  <c r="T494" i="24"/>
  <c r="U494" i="24"/>
  <c r="AB494" i="24"/>
  <c r="R495" i="24"/>
  <c r="S495" i="24"/>
  <c r="T495" i="24"/>
  <c r="U495" i="24"/>
  <c r="AB495" i="24"/>
  <c r="R496" i="24"/>
  <c r="R497" i="24"/>
  <c r="S497" i="24"/>
  <c r="T497" i="24"/>
  <c r="U497" i="24"/>
  <c r="AB497" i="24"/>
  <c r="AD497" i="24"/>
  <c r="R498" i="24"/>
  <c r="S498" i="24"/>
  <c r="T498" i="24"/>
  <c r="U498" i="24"/>
  <c r="AB498" i="24"/>
  <c r="R499" i="24"/>
  <c r="S499" i="24"/>
  <c r="T499" i="24"/>
  <c r="U499" i="24"/>
  <c r="AB499" i="24"/>
  <c r="R500" i="24"/>
  <c r="S500" i="24"/>
  <c r="T500" i="24"/>
  <c r="U500" i="24"/>
  <c r="AB500" i="24"/>
  <c r="R501" i="24"/>
  <c r="S501" i="24"/>
  <c r="T501" i="24"/>
  <c r="U501" i="24"/>
  <c r="AB501" i="24"/>
  <c r="R502" i="24"/>
  <c r="S502" i="24"/>
  <c r="T502" i="24"/>
  <c r="U502" i="24"/>
  <c r="AB502" i="24"/>
  <c r="R503" i="24"/>
  <c r="R504" i="24"/>
  <c r="S504" i="24"/>
  <c r="T504" i="24"/>
  <c r="U504" i="24"/>
  <c r="AB504" i="24"/>
  <c r="R486" i="24"/>
  <c r="S486" i="24"/>
  <c r="T486" i="24"/>
  <c r="U486" i="24"/>
  <c r="AB486" i="24"/>
  <c r="R487" i="24"/>
  <c r="S487" i="24"/>
  <c r="T487" i="24"/>
  <c r="U487" i="24"/>
  <c r="AB487" i="24"/>
  <c r="R488" i="24"/>
  <c r="S488" i="24"/>
  <c r="T488" i="24"/>
  <c r="U488" i="24"/>
  <c r="AB488" i="24"/>
  <c r="R489" i="24"/>
  <c r="S489" i="24"/>
  <c r="T489" i="24"/>
  <c r="U489" i="24"/>
  <c r="AB489" i="24"/>
  <c r="R490" i="24"/>
  <c r="S490" i="24"/>
  <c r="T490" i="24"/>
  <c r="U490" i="24"/>
  <c r="AB490" i="24"/>
  <c r="AD490" i="24"/>
  <c r="R491" i="24"/>
  <c r="R492" i="24"/>
  <c r="S492" i="24"/>
  <c r="T492" i="24"/>
  <c r="U492" i="24"/>
  <c r="AB492" i="24"/>
  <c r="AD492" i="24"/>
  <c r="M64" i="19"/>
  <c r="M39" i="19"/>
  <c r="M6" i="19"/>
  <c r="M7" i="19"/>
  <c r="M5" i="19"/>
  <c r="M65" i="19"/>
  <c r="AM275" i="24"/>
  <c r="AM274" i="24"/>
  <c r="AM273" i="24"/>
  <c r="AM272" i="24"/>
  <c r="AM271" i="24"/>
  <c r="AM270" i="24"/>
  <c r="AM269" i="24"/>
  <c r="AM268" i="24"/>
  <c r="AM267" i="24"/>
  <c r="AM266" i="24"/>
  <c r="AM265" i="24"/>
  <c r="AM264" i="24"/>
  <c r="AM263" i="24"/>
  <c r="AM262" i="24"/>
  <c r="AM261" i="24"/>
  <c r="AM260" i="24"/>
  <c r="AM259" i="24"/>
  <c r="AM258" i="24"/>
  <c r="AM257" i="24"/>
  <c r="AM256" i="24"/>
  <c r="AM255" i="24"/>
  <c r="AM254" i="24"/>
  <c r="AM253" i="24"/>
  <c r="AM252" i="24"/>
  <c r="AM251" i="24"/>
  <c r="AM250" i="24"/>
  <c r="AM249" i="24"/>
  <c r="AM248" i="24"/>
  <c r="AM247" i="24"/>
  <c r="AM246" i="24"/>
  <c r="AM245" i="24"/>
  <c r="AM244" i="24"/>
  <c r="AM243" i="24"/>
  <c r="AM242" i="24"/>
  <c r="AM241" i="24"/>
  <c r="AM240" i="24"/>
  <c r="AM239" i="24"/>
  <c r="AM238" i="24"/>
  <c r="AM237" i="24"/>
  <c r="AM236" i="24"/>
  <c r="AM235" i="24"/>
  <c r="AM234" i="24"/>
  <c r="AM233" i="24"/>
  <c r="AM232" i="24"/>
  <c r="AM231" i="24"/>
  <c r="AM230" i="24"/>
  <c r="AM229" i="24"/>
  <c r="AM228" i="24"/>
  <c r="AM227" i="24"/>
  <c r="AM226" i="24"/>
  <c r="AM225" i="24"/>
  <c r="M66" i="19"/>
  <c r="M63" i="19"/>
  <c r="T83" i="24"/>
  <c r="U83" i="24"/>
  <c r="T82" i="24"/>
  <c r="U82" i="24"/>
  <c r="P82" i="24"/>
  <c r="Q82" i="24"/>
  <c r="O82" i="24"/>
  <c r="R81" i="24"/>
  <c r="S81" i="24"/>
  <c r="T81" i="24"/>
  <c r="U81" i="24"/>
  <c r="U80" i="24"/>
  <c r="T80" i="24"/>
  <c r="R59" i="24"/>
  <c r="S59" i="24"/>
  <c r="T59" i="24"/>
  <c r="U59" i="24"/>
  <c r="U58" i="24"/>
  <c r="T58" i="24"/>
  <c r="R64" i="24"/>
  <c r="S64" i="24"/>
  <c r="T64" i="24"/>
  <c r="U64" i="24"/>
  <c r="R63" i="24"/>
  <c r="S63" i="24"/>
  <c r="T63" i="24"/>
  <c r="U63" i="24"/>
  <c r="R62" i="24"/>
  <c r="S62" i="24"/>
  <c r="T62" i="24"/>
  <c r="U62" i="24"/>
  <c r="R61" i="24"/>
  <c r="S61" i="24"/>
  <c r="T61" i="24"/>
  <c r="U61" i="24"/>
  <c r="R60" i="24"/>
  <c r="S60" i="24"/>
  <c r="T60" i="24"/>
  <c r="U60" i="24"/>
  <c r="R57" i="24"/>
  <c r="S57" i="24"/>
  <c r="T57" i="24"/>
  <c r="U57" i="24"/>
  <c r="U56" i="24"/>
  <c r="T56" i="24"/>
  <c r="T55" i="24"/>
  <c r="U55" i="24"/>
  <c r="T54" i="24"/>
  <c r="U54" i="24"/>
  <c r="T53" i="24"/>
  <c r="U53" i="24"/>
  <c r="T52" i="24"/>
  <c r="U52" i="24"/>
  <c r="T51" i="24"/>
  <c r="U51" i="24"/>
  <c r="U49" i="24"/>
  <c r="T49" i="24"/>
  <c r="T48" i="24"/>
  <c r="U48" i="24"/>
  <c r="T38" i="24"/>
  <c r="U38" i="24"/>
  <c r="T39" i="24"/>
  <c r="U39" i="24"/>
  <c r="T40" i="24"/>
  <c r="U40" i="24"/>
  <c r="T41" i="24"/>
  <c r="U41" i="24"/>
  <c r="T42" i="24"/>
  <c r="U42" i="24"/>
  <c r="T43" i="24"/>
  <c r="U43" i="24"/>
  <c r="T37" i="24"/>
  <c r="U37" i="24"/>
  <c r="T36" i="24"/>
  <c r="U36" i="24"/>
  <c r="T95" i="24"/>
  <c r="U95" i="24"/>
  <c r="T96" i="24"/>
  <c r="U96" i="24"/>
  <c r="T94" i="24"/>
  <c r="U94" i="24"/>
  <c r="T93" i="24"/>
  <c r="U93" i="24"/>
  <c r="T92" i="24"/>
  <c r="U92" i="24"/>
  <c r="T89" i="24"/>
  <c r="U89" i="24"/>
  <c r="T88" i="24"/>
  <c r="U88" i="24"/>
  <c r="T68" i="24"/>
  <c r="U68" i="24"/>
  <c r="T67" i="24"/>
  <c r="U67" i="24"/>
  <c r="T50" i="24"/>
  <c r="U50" i="24"/>
  <c r="T47" i="24"/>
  <c r="U47" i="24"/>
  <c r="T46" i="24"/>
  <c r="U46" i="24"/>
  <c r="T33" i="24"/>
  <c r="U33" i="24"/>
  <c r="T32" i="24"/>
  <c r="U32" i="24"/>
  <c r="T29" i="24"/>
  <c r="U29" i="24"/>
  <c r="T28" i="24"/>
  <c r="U28" i="24"/>
  <c r="T91" i="24"/>
  <c r="U91" i="24"/>
  <c r="T97" i="24"/>
  <c r="U97" i="24"/>
  <c r="T98" i="24"/>
  <c r="U98" i="24"/>
  <c r="T99" i="24"/>
  <c r="U99" i="24"/>
  <c r="T100" i="24"/>
  <c r="U100" i="24"/>
  <c r="T101" i="24"/>
  <c r="U101" i="24"/>
  <c r="T90" i="24"/>
  <c r="U90" i="24"/>
  <c r="T87" i="24"/>
  <c r="U87" i="24"/>
  <c r="T86" i="24"/>
  <c r="U86" i="24"/>
  <c r="T85" i="24"/>
  <c r="U85" i="24"/>
  <c r="T84" i="24"/>
  <c r="U84" i="24"/>
  <c r="T70" i="24"/>
  <c r="U70" i="24"/>
  <c r="T71" i="24"/>
  <c r="U71" i="24"/>
  <c r="T72" i="24"/>
  <c r="U72" i="24"/>
  <c r="T73" i="24"/>
  <c r="U73" i="24"/>
  <c r="T74" i="24"/>
  <c r="U74" i="24"/>
  <c r="T75" i="24"/>
  <c r="U75" i="24"/>
  <c r="T76" i="24"/>
  <c r="U76" i="24"/>
  <c r="T77" i="24"/>
  <c r="U77" i="24"/>
  <c r="T78" i="24"/>
  <c r="U78" i="24"/>
  <c r="T79" i="24"/>
  <c r="U79" i="24"/>
  <c r="T69" i="24"/>
  <c r="U69" i="24"/>
  <c r="T66" i="24"/>
  <c r="U66" i="24"/>
  <c r="T65" i="24"/>
  <c r="U65" i="24"/>
  <c r="T45" i="24"/>
  <c r="U45" i="24"/>
  <c r="T44" i="24"/>
  <c r="U44" i="24"/>
  <c r="T35" i="24"/>
  <c r="U35" i="24"/>
  <c r="T34" i="24"/>
  <c r="U34" i="24"/>
  <c r="T31" i="24"/>
  <c r="U31" i="24"/>
  <c r="T30" i="24"/>
  <c r="U30" i="24"/>
  <c r="T10" i="24"/>
  <c r="U10" i="24"/>
  <c r="T11" i="24"/>
  <c r="U11" i="24"/>
  <c r="U9" i="24"/>
  <c r="T9" i="24"/>
  <c r="T14" i="24"/>
  <c r="U14" i="24"/>
  <c r="T15" i="24"/>
  <c r="U15" i="24"/>
  <c r="T16" i="24"/>
  <c r="U16" i="24"/>
  <c r="T17" i="24"/>
  <c r="U17" i="24"/>
  <c r="T18" i="24"/>
  <c r="U18" i="24"/>
  <c r="T19" i="24"/>
  <c r="U19" i="24"/>
  <c r="T20" i="24"/>
  <c r="U20" i="24"/>
  <c r="T21" i="24"/>
  <c r="U21" i="24"/>
  <c r="T22" i="24"/>
  <c r="U22" i="24"/>
  <c r="T23" i="24"/>
  <c r="U23" i="24"/>
  <c r="T24" i="24"/>
  <c r="U24" i="24"/>
  <c r="T25" i="24"/>
  <c r="U25" i="24"/>
  <c r="T26" i="24"/>
  <c r="U26" i="24"/>
  <c r="T27" i="24"/>
  <c r="U27" i="24"/>
  <c r="T8" i="24"/>
  <c r="U8" i="24"/>
  <c r="T13" i="24"/>
  <c r="U13" i="24"/>
  <c r="T6" i="24"/>
  <c r="U6" i="24"/>
  <c r="T7" i="24"/>
  <c r="U7" i="24"/>
  <c r="U5" i="24"/>
  <c r="T5" i="24"/>
  <c r="S5" i="24"/>
  <c r="S6" i="24"/>
  <c r="S7" i="24"/>
  <c r="S8" i="24"/>
  <c r="S9" i="24"/>
  <c r="S10" i="24"/>
  <c r="S11" i="24"/>
  <c r="S12" i="24"/>
  <c r="S13" i="24"/>
  <c r="S14" i="24"/>
  <c r="S15" i="24"/>
  <c r="S16" i="24"/>
  <c r="S17" i="24"/>
  <c r="S18" i="24"/>
  <c r="S19" i="24"/>
  <c r="S20" i="24"/>
  <c r="S21" i="24"/>
  <c r="S22" i="24"/>
  <c r="S23" i="24"/>
  <c r="S24" i="24"/>
  <c r="S25" i="24"/>
  <c r="S26" i="24"/>
  <c r="S27" i="24"/>
  <c r="S28" i="24"/>
  <c r="S29" i="24"/>
  <c r="S30" i="24"/>
  <c r="S31" i="24"/>
  <c r="S32" i="24"/>
  <c r="S33" i="24"/>
  <c r="S34" i="24"/>
  <c r="S35" i="24"/>
  <c r="S36" i="24"/>
  <c r="S37" i="24"/>
  <c r="S38" i="24"/>
  <c r="S39" i="24"/>
  <c r="S40" i="24"/>
  <c r="S41" i="24"/>
  <c r="S42" i="24"/>
  <c r="S43" i="24"/>
  <c r="S44" i="24"/>
  <c r="S45" i="24"/>
  <c r="S46" i="24"/>
  <c r="S47" i="24"/>
  <c r="S48" i="24"/>
  <c r="S49" i="24"/>
  <c r="S50" i="24"/>
  <c r="S51" i="24"/>
  <c r="S52" i="24"/>
  <c r="S53" i="24"/>
  <c r="S54" i="24"/>
  <c r="S55" i="24"/>
  <c r="S56" i="24"/>
  <c r="S58" i="24"/>
  <c r="S65" i="24"/>
  <c r="S66" i="24"/>
  <c r="S67" i="24"/>
  <c r="S68" i="24"/>
  <c r="S69" i="24"/>
  <c r="S70" i="24"/>
  <c r="S71" i="24"/>
  <c r="S72" i="24"/>
  <c r="S73" i="24"/>
  <c r="S74" i="24"/>
  <c r="S75" i="24"/>
  <c r="S76" i="24"/>
  <c r="S77" i="24"/>
  <c r="S78" i="24"/>
  <c r="S79" i="24"/>
  <c r="S80" i="24"/>
  <c r="S83" i="24"/>
  <c r="S84" i="24"/>
  <c r="S85" i="24"/>
  <c r="S86" i="24"/>
  <c r="S87" i="24"/>
  <c r="S88" i="24"/>
  <c r="S89" i="24"/>
  <c r="S90" i="24"/>
  <c r="S91" i="24"/>
  <c r="S92" i="24"/>
  <c r="S93" i="24"/>
  <c r="S94" i="24"/>
  <c r="S95" i="24"/>
  <c r="S96" i="24"/>
  <c r="S97" i="24"/>
  <c r="S98" i="24"/>
  <c r="S99" i="24"/>
  <c r="S100" i="24"/>
  <c r="S101" i="24"/>
  <c r="R5" i="24"/>
  <c r="R6" i="24"/>
  <c r="R7" i="24"/>
  <c r="R8" i="24"/>
  <c r="R9" i="24"/>
  <c r="R10" i="24"/>
  <c r="R11" i="24"/>
  <c r="R12" i="24"/>
  <c r="R13" i="24"/>
  <c r="R14" i="24"/>
  <c r="R15" i="24"/>
  <c r="R16" i="24"/>
  <c r="R17" i="24"/>
  <c r="R18" i="24"/>
  <c r="R19" i="24"/>
  <c r="R20" i="24"/>
  <c r="R21" i="24"/>
  <c r="R22" i="24"/>
  <c r="R23" i="24"/>
  <c r="R24" i="24"/>
  <c r="R25" i="24"/>
  <c r="R26" i="24"/>
  <c r="R27" i="24"/>
  <c r="R28" i="24"/>
  <c r="R29" i="24"/>
  <c r="R30" i="24"/>
  <c r="R31" i="24"/>
  <c r="R32" i="24"/>
  <c r="R33" i="24"/>
  <c r="R34" i="24"/>
  <c r="R35" i="24"/>
  <c r="R36" i="24"/>
  <c r="R37" i="24"/>
  <c r="R38" i="24"/>
  <c r="R39" i="24"/>
  <c r="R40" i="24"/>
  <c r="R41" i="24"/>
  <c r="R42" i="24"/>
  <c r="R43" i="24"/>
  <c r="R44" i="24"/>
  <c r="R45" i="24"/>
  <c r="R46" i="24"/>
  <c r="R47" i="24"/>
  <c r="R48" i="24"/>
  <c r="R49" i="24"/>
  <c r="R50" i="24"/>
  <c r="R51" i="24"/>
  <c r="R52" i="24"/>
  <c r="R53" i="24"/>
  <c r="R54" i="24"/>
  <c r="R55" i="24"/>
  <c r="R56" i="24"/>
  <c r="R58" i="24"/>
  <c r="R65" i="24"/>
  <c r="R66" i="24"/>
  <c r="R67" i="24"/>
  <c r="R68" i="24"/>
  <c r="R69" i="24"/>
  <c r="R70" i="24"/>
  <c r="R71" i="24"/>
  <c r="R72" i="24"/>
  <c r="R73" i="24"/>
  <c r="R74" i="24"/>
  <c r="R75" i="24"/>
  <c r="R76" i="24"/>
  <c r="R77" i="24"/>
  <c r="R78" i="24"/>
  <c r="R79" i="24"/>
  <c r="R80" i="24"/>
  <c r="R83" i="24"/>
  <c r="R84" i="24"/>
  <c r="R85" i="24"/>
  <c r="R86" i="24"/>
  <c r="R87" i="24"/>
  <c r="R88" i="24"/>
  <c r="R89" i="24"/>
  <c r="R90" i="24"/>
  <c r="R91" i="24"/>
  <c r="R92" i="24"/>
  <c r="R93" i="24"/>
  <c r="R94" i="24"/>
  <c r="R95" i="24"/>
  <c r="R96" i="24"/>
  <c r="R97" i="24"/>
  <c r="R98" i="24"/>
  <c r="R99" i="24"/>
  <c r="R100" i="24"/>
  <c r="R101" i="24"/>
  <c r="R4" i="24"/>
  <c r="S4" i="24"/>
  <c r="T4" i="24"/>
  <c r="U4" i="24"/>
  <c r="R3" i="24"/>
  <c r="S3" i="24"/>
  <c r="T3" i="24"/>
  <c r="U3" i="24"/>
  <c r="U2" i="24"/>
  <c r="T2" i="24"/>
  <c r="S2" i="24"/>
  <c r="R2" i="24"/>
  <c r="R106" i="24"/>
  <c r="R107" i="24"/>
  <c r="R108" i="24"/>
  <c r="R109" i="24"/>
  <c r="R110" i="24"/>
  <c r="R111" i="24"/>
  <c r="R112" i="24"/>
  <c r="R113" i="24"/>
  <c r="R114" i="24"/>
  <c r="R115" i="24"/>
  <c r="R116" i="24"/>
  <c r="R117" i="24"/>
  <c r="R118" i="24"/>
  <c r="R119" i="24"/>
  <c r="R120" i="24"/>
  <c r="R121" i="24"/>
  <c r="R122" i="24"/>
  <c r="R123" i="24"/>
  <c r="R124" i="24"/>
  <c r="R125" i="24"/>
  <c r="R126" i="24"/>
  <c r="R127" i="24"/>
  <c r="R128" i="24"/>
  <c r="R129" i="24"/>
  <c r="R130" i="24"/>
  <c r="R131" i="24"/>
  <c r="R132" i="24"/>
  <c r="R133" i="24"/>
  <c r="R134" i="24"/>
  <c r="R135" i="24"/>
  <c r="R136" i="24"/>
  <c r="R137" i="24"/>
  <c r="R138" i="24"/>
  <c r="R139" i="24"/>
  <c r="R140" i="24"/>
  <c r="R141" i="24"/>
  <c r="R142" i="24"/>
  <c r="R143" i="24"/>
  <c r="R145" i="24"/>
  <c r="R146" i="24"/>
  <c r="R147" i="24"/>
  <c r="R148" i="24"/>
  <c r="R149" i="24"/>
  <c r="R150" i="24"/>
  <c r="R151" i="24"/>
  <c r="R152" i="24"/>
  <c r="R153" i="24"/>
  <c r="R155" i="24"/>
  <c r="R156" i="24"/>
  <c r="R157" i="24"/>
  <c r="R158" i="24"/>
  <c r="R159" i="24"/>
  <c r="R105" i="24"/>
  <c r="AB106" i="24"/>
  <c r="AB107" i="24"/>
  <c r="AB108" i="24"/>
  <c r="AB109" i="24"/>
  <c r="AB110" i="24"/>
  <c r="AB111" i="24"/>
  <c r="AB112" i="24"/>
  <c r="AB113" i="24"/>
  <c r="AB114" i="24"/>
  <c r="AB115" i="24"/>
  <c r="AB116" i="24"/>
  <c r="AB117" i="24"/>
  <c r="AB118" i="24"/>
  <c r="AB119" i="24"/>
  <c r="AB120" i="24"/>
  <c r="AB121" i="24"/>
  <c r="AB122" i="24"/>
  <c r="AB123" i="24"/>
  <c r="AB124" i="24"/>
  <c r="AB125" i="24"/>
  <c r="AB126" i="24"/>
  <c r="AB127" i="24"/>
  <c r="AB128" i="24"/>
  <c r="AB129" i="24"/>
  <c r="AB130" i="24"/>
  <c r="AB131" i="24"/>
  <c r="AB132" i="24"/>
  <c r="AB133" i="24"/>
  <c r="AB134" i="24"/>
  <c r="AB135" i="24"/>
  <c r="AB136" i="24"/>
  <c r="AB137" i="24"/>
  <c r="AB138" i="24"/>
  <c r="AB139" i="24"/>
  <c r="AB140" i="24"/>
  <c r="AB141" i="24"/>
  <c r="AB142" i="24"/>
  <c r="AB143" i="24"/>
  <c r="AB144" i="24"/>
  <c r="AB145" i="24"/>
  <c r="AB146" i="24"/>
  <c r="AB147" i="24"/>
  <c r="AB148" i="24"/>
  <c r="AB149" i="24"/>
  <c r="AB150" i="24"/>
  <c r="AB151" i="24"/>
  <c r="AB152" i="24"/>
  <c r="AB153" i="24"/>
  <c r="AB154" i="24"/>
  <c r="AB155" i="24"/>
  <c r="AB156" i="24"/>
  <c r="AB157" i="24"/>
  <c r="AB158" i="24"/>
  <c r="AB159" i="24"/>
  <c r="AB105" i="24"/>
  <c r="AD109" i="24"/>
  <c r="AD110" i="24"/>
  <c r="AB2" i="24"/>
  <c r="AB3" i="24"/>
  <c r="AB5" i="24"/>
  <c r="AB6" i="24"/>
  <c r="AB8" i="24"/>
  <c r="AD8" i="24"/>
  <c r="AB9" i="24"/>
  <c r="AB11" i="24"/>
  <c r="AB13" i="24"/>
  <c r="AB14" i="24"/>
  <c r="AB15" i="24"/>
  <c r="AB16" i="24"/>
  <c r="AB17" i="24"/>
  <c r="AB18" i="24"/>
  <c r="AB20" i="24"/>
  <c r="AB21" i="24"/>
  <c r="AD21" i="24"/>
  <c r="AB22" i="24"/>
  <c r="AB23" i="24"/>
  <c r="AB24" i="24"/>
  <c r="AB25" i="24"/>
  <c r="AB26" i="24"/>
  <c r="AB27" i="24"/>
  <c r="AB28" i="24"/>
  <c r="AB29" i="24"/>
  <c r="AB30" i="24"/>
  <c r="AB31" i="24"/>
  <c r="AB32" i="24"/>
  <c r="AB33" i="24"/>
  <c r="AB34" i="24"/>
  <c r="AB35" i="24"/>
  <c r="AB36" i="24"/>
  <c r="AB37" i="24"/>
  <c r="AB38" i="24"/>
  <c r="AB39" i="24"/>
  <c r="AB40" i="24"/>
  <c r="AB41" i="24"/>
  <c r="AB42" i="24"/>
  <c r="AB43" i="24"/>
  <c r="AB44" i="24"/>
  <c r="AB45" i="24"/>
  <c r="AB46" i="24"/>
  <c r="AB47" i="24"/>
  <c r="AB48" i="24"/>
  <c r="AB49" i="24"/>
  <c r="AB50" i="24"/>
  <c r="AB51" i="24"/>
  <c r="AB52" i="24"/>
  <c r="AB53" i="24"/>
  <c r="AB54" i="24"/>
  <c r="AB55" i="24"/>
  <c r="AB56" i="24"/>
  <c r="AB57" i="24"/>
  <c r="AB58" i="24"/>
  <c r="AB59" i="24"/>
  <c r="AB60" i="24"/>
  <c r="AB61" i="24"/>
  <c r="AB62" i="24"/>
  <c r="AB63" i="24"/>
  <c r="AB64" i="24"/>
  <c r="AB65" i="24"/>
  <c r="AB66" i="24"/>
  <c r="AB67" i="24"/>
  <c r="AB68" i="24"/>
  <c r="AB69" i="24"/>
  <c r="AB70" i="24"/>
  <c r="AB71" i="24"/>
  <c r="AB72" i="24"/>
  <c r="AB73" i="24"/>
  <c r="AB74" i="24"/>
  <c r="AB75" i="24"/>
  <c r="AB76" i="24"/>
  <c r="AB77" i="24"/>
  <c r="AB78" i="24"/>
  <c r="AB79" i="24"/>
  <c r="AB80" i="24"/>
  <c r="AB81" i="24"/>
  <c r="AB82" i="24"/>
  <c r="AB83" i="24"/>
  <c r="AB84" i="24"/>
  <c r="AB85" i="24"/>
  <c r="AB86" i="24"/>
  <c r="AB87" i="24"/>
  <c r="AB88" i="24"/>
  <c r="AB89" i="24"/>
  <c r="AB90" i="24"/>
  <c r="AB91" i="24"/>
  <c r="AB92" i="24"/>
  <c r="AD92" i="24"/>
  <c r="AB93" i="24"/>
  <c r="AB94" i="24"/>
  <c r="AD94" i="24"/>
  <c r="AB95" i="24"/>
  <c r="AD95" i="24"/>
  <c r="AB96" i="24"/>
  <c r="AD96" i="24"/>
  <c r="AB97" i="24"/>
  <c r="AB98" i="24"/>
  <c r="AB99" i="24"/>
  <c r="AB100" i="24"/>
  <c r="AB101" i="24"/>
  <c r="S105" i="24"/>
  <c r="AD105" i="24"/>
  <c r="S106" i="24"/>
  <c r="AD106" i="24"/>
  <c r="S107" i="24"/>
  <c r="AD107" i="24"/>
  <c r="S108" i="24"/>
  <c r="AD108" i="24"/>
  <c r="S109" i="24"/>
  <c r="S110" i="24"/>
  <c r="S111" i="24"/>
  <c r="AD111" i="24"/>
  <c r="S112" i="24"/>
  <c r="AD112" i="24"/>
  <c r="S113" i="24"/>
  <c r="AD113" i="24"/>
  <c r="S114" i="24"/>
  <c r="AD114" i="24"/>
  <c r="S115" i="24"/>
  <c r="AD115" i="24"/>
  <c r="S116" i="24"/>
  <c r="AD116" i="24"/>
  <c r="S117" i="24"/>
  <c r="AD117" i="24"/>
  <c r="S118" i="24"/>
  <c r="AD118" i="24"/>
  <c r="S119" i="24"/>
  <c r="S120" i="24"/>
  <c r="AD120" i="24"/>
  <c r="S121" i="24"/>
  <c r="AD121" i="24"/>
  <c r="S122" i="24"/>
  <c r="AD122" i="24"/>
  <c r="S123" i="24"/>
  <c r="AD123" i="24"/>
  <c r="S124" i="24"/>
  <c r="AD124" i="24"/>
  <c r="S126" i="24"/>
  <c r="AD126" i="24"/>
  <c r="S127" i="24"/>
  <c r="AD127" i="24"/>
  <c r="S128" i="24"/>
  <c r="AD128" i="24"/>
  <c r="S129" i="24"/>
  <c r="AD129" i="24"/>
  <c r="S130" i="24"/>
  <c r="AD130" i="24"/>
  <c r="S131" i="24"/>
  <c r="AD131" i="24"/>
  <c r="S132" i="24"/>
  <c r="AD132" i="24"/>
  <c r="S133" i="24"/>
  <c r="AD133" i="24"/>
  <c r="S134" i="24"/>
  <c r="AD134" i="24"/>
  <c r="S135" i="24"/>
  <c r="AD135" i="24"/>
  <c r="S136" i="24"/>
  <c r="AD136" i="24"/>
  <c r="S138" i="24"/>
  <c r="AD138" i="24"/>
  <c r="S139" i="24"/>
  <c r="AD139" i="24"/>
  <c r="S140" i="24"/>
  <c r="AD140" i="24"/>
  <c r="S141" i="24"/>
  <c r="AD141" i="24"/>
  <c r="S142" i="24"/>
  <c r="AD142" i="24"/>
  <c r="S143" i="24"/>
  <c r="AD143" i="24"/>
  <c r="S145" i="24"/>
  <c r="AD145" i="24"/>
  <c r="S146" i="24"/>
  <c r="AD146" i="24"/>
  <c r="S147" i="24"/>
  <c r="AD147" i="24"/>
  <c r="S148" i="24"/>
  <c r="AD148" i="24"/>
  <c r="S149" i="24"/>
  <c r="AD149" i="24"/>
  <c r="S150" i="24"/>
  <c r="AD150" i="24"/>
  <c r="S151" i="24"/>
  <c r="AD151" i="24"/>
  <c r="S152" i="24"/>
  <c r="AD152" i="24"/>
  <c r="S153" i="24"/>
  <c r="AD155" i="24"/>
  <c r="AD156" i="24"/>
  <c r="AD157" i="24"/>
  <c r="AD158" i="24"/>
  <c r="S159" i="24"/>
  <c r="AD159" i="24"/>
  <c r="R163" i="24"/>
  <c r="S163" i="24"/>
  <c r="R164" i="24"/>
  <c r="S164" i="24"/>
  <c r="R165" i="24"/>
  <c r="S165" i="24"/>
  <c r="T165" i="24"/>
  <c r="U165" i="24"/>
  <c r="R166" i="24"/>
  <c r="S166" i="24"/>
  <c r="T166" i="24"/>
  <c r="U166" i="24"/>
  <c r="R167" i="24"/>
  <c r="S167" i="24"/>
  <c r="R168" i="24"/>
  <c r="S168" i="24"/>
  <c r="R169" i="24"/>
  <c r="S169" i="24"/>
  <c r="T169" i="24"/>
  <c r="U169" i="24"/>
  <c r="R170" i="24"/>
  <c r="S170" i="24"/>
  <c r="T170" i="24"/>
  <c r="U170" i="24"/>
  <c r="R171" i="24"/>
  <c r="S171" i="24"/>
  <c r="R172" i="24"/>
  <c r="S172" i="24"/>
  <c r="R173" i="24"/>
  <c r="S173" i="24"/>
  <c r="R175" i="24"/>
  <c r="S175" i="24"/>
  <c r="R176" i="24"/>
  <c r="S176" i="24"/>
  <c r="R177" i="24"/>
  <c r="S177" i="24"/>
  <c r="R178" i="24"/>
  <c r="R179" i="24"/>
  <c r="R180" i="24"/>
  <c r="R181" i="24"/>
  <c r="R182" i="24"/>
  <c r="R183" i="24"/>
  <c r="R184" i="24"/>
  <c r="R185" i="24"/>
  <c r="R186" i="24"/>
  <c r="R188" i="24"/>
  <c r="R189" i="24"/>
  <c r="R190" i="24"/>
  <c r="R191" i="24"/>
  <c r="R192" i="24"/>
  <c r="S192" i="24"/>
  <c r="R193" i="24"/>
  <c r="S193" i="24"/>
  <c r="R194" i="24"/>
  <c r="R195" i="24"/>
  <c r="R196" i="24"/>
  <c r="R197" i="24"/>
  <c r="R198" i="24"/>
  <c r="R199" i="24"/>
  <c r="R200" i="24"/>
  <c r="R201" i="24"/>
  <c r="R203" i="24"/>
  <c r="R204" i="24"/>
  <c r="R205" i="24"/>
  <c r="S205" i="24"/>
  <c r="R206" i="24"/>
  <c r="S206" i="24"/>
  <c r="R207" i="24"/>
  <c r="S207" i="24"/>
  <c r="R208" i="24"/>
  <c r="S208" i="24"/>
  <c r="R209" i="24"/>
  <c r="R210" i="24"/>
  <c r="R211" i="24"/>
  <c r="S211" i="24"/>
  <c r="R212" i="24"/>
  <c r="S212" i="24"/>
  <c r="R214" i="24"/>
  <c r="R215" i="24"/>
  <c r="R216" i="24"/>
  <c r="S216" i="24"/>
  <c r="R217" i="24"/>
  <c r="S217" i="24"/>
  <c r="R218" i="24"/>
  <c r="S218" i="24"/>
  <c r="T218" i="24"/>
  <c r="U218" i="24"/>
  <c r="R219" i="24"/>
  <c r="S219" i="24"/>
  <c r="T219" i="24"/>
  <c r="U219" i="24"/>
  <c r="R220" i="24"/>
  <c r="S220" i="24"/>
  <c r="R221" i="24"/>
  <c r="S221" i="24"/>
  <c r="R225" i="24"/>
  <c r="S225" i="24"/>
  <c r="R226" i="24"/>
  <c r="S226" i="24"/>
  <c r="R227" i="24"/>
  <c r="S227" i="24"/>
  <c r="R228" i="24"/>
  <c r="S228" i="24"/>
  <c r="R229" i="24"/>
  <c r="S229" i="24"/>
  <c r="R230" i="24"/>
  <c r="S230" i="24"/>
  <c r="R231" i="24"/>
  <c r="S231" i="24"/>
  <c r="R232" i="24"/>
  <c r="S232" i="24"/>
  <c r="R233" i="24"/>
  <c r="S233" i="24"/>
  <c r="R234" i="24"/>
  <c r="S234" i="24"/>
  <c r="R235" i="24"/>
  <c r="S235" i="24"/>
  <c r="R236" i="24"/>
  <c r="S236" i="24"/>
  <c r="R238" i="24"/>
  <c r="S238" i="24"/>
  <c r="R239" i="24"/>
  <c r="S239" i="24"/>
  <c r="R240" i="24"/>
  <c r="S240" i="24"/>
  <c r="R241" i="24"/>
  <c r="S241" i="24"/>
  <c r="R242" i="24"/>
  <c r="S242" i="24"/>
  <c r="R243" i="24"/>
  <c r="S243" i="24"/>
  <c r="R244" i="24"/>
  <c r="S244" i="24"/>
  <c r="R245" i="24"/>
  <c r="S245" i="24"/>
  <c r="R246" i="24"/>
  <c r="S246" i="24"/>
  <c r="R247" i="24"/>
  <c r="S247" i="24"/>
  <c r="R248" i="24"/>
  <c r="R251" i="24"/>
  <c r="S251" i="24"/>
  <c r="R252" i="24"/>
  <c r="S252" i="24"/>
  <c r="R253" i="24"/>
  <c r="S253" i="24"/>
  <c r="R254" i="24"/>
  <c r="S254" i="24"/>
  <c r="R259" i="24"/>
  <c r="S259" i="24"/>
  <c r="R260" i="24"/>
  <c r="S260" i="24"/>
  <c r="R261" i="24"/>
  <c r="R262" i="24"/>
  <c r="R263" i="24"/>
  <c r="R264" i="24"/>
  <c r="R265" i="24"/>
  <c r="R266" i="24"/>
  <c r="R267" i="24"/>
  <c r="R268" i="24"/>
  <c r="R269" i="24"/>
  <c r="S269" i="24"/>
  <c r="R270" i="24"/>
  <c r="S270" i="24"/>
  <c r="R271" i="24"/>
  <c r="S271" i="24"/>
  <c r="R272" i="24"/>
  <c r="S272" i="24"/>
  <c r="R273" i="24"/>
  <c r="S273" i="24"/>
  <c r="R274" i="24"/>
  <c r="S274" i="24"/>
  <c r="R278" i="24"/>
  <c r="S278" i="24"/>
  <c r="T278" i="24"/>
  <c r="U278" i="24"/>
  <c r="R279" i="24"/>
  <c r="S279" i="24"/>
  <c r="T279" i="24"/>
  <c r="U279" i="24"/>
  <c r="R280" i="24"/>
  <c r="S280" i="24"/>
  <c r="T280" i="24"/>
  <c r="U280" i="24"/>
  <c r="R281" i="24"/>
  <c r="S281" i="24"/>
  <c r="T281" i="24"/>
  <c r="U281" i="24"/>
  <c r="R282" i="24"/>
  <c r="S282" i="24"/>
  <c r="T282" i="24"/>
  <c r="U282" i="24"/>
  <c r="R283" i="24"/>
  <c r="S283" i="24"/>
  <c r="T283" i="24"/>
  <c r="U283" i="24"/>
  <c r="R284" i="24"/>
  <c r="S284" i="24"/>
  <c r="T284" i="24"/>
  <c r="U284" i="24"/>
  <c r="R285" i="24"/>
  <c r="S285" i="24"/>
  <c r="T285" i="24"/>
  <c r="U285" i="24"/>
  <c r="R286" i="24"/>
  <c r="S286" i="24"/>
  <c r="T286" i="24"/>
  <c r="U286" i="24"/>
  <c r="AD286" i="24"/>
  <c r="R288" i="24"/>
  <c r="S288" i="24"/>
  <c r="T288" i="24"/>
  <c r="U288" i="24"/>
  <c r="AD288" i="24"/>
  <c r="R289" i="24"/>
  <c r="S289" i="24"/>
  <c r="T289" i="24"/>
  <c r="U289" i="24"/>
  <c r="R290" i="24"/>
  <c r="S290" i="24"/>
  <c r="T290" i="24"/>
  <c r="U290" i="24"/>
  <c r="R291" i="24"/>
  <c r="S291" i="24"/>
  <c r="T291" i="24"/>
  <c r="R292" i="24"/>
  <c r="S292" i="24"/>
  <c r="T292" i="24"/>
  <c r="R293" i="24"/>
  <c r="S293" i="24"/>
  <c r="T293" i="24"/>
  <c r="U293" i="24"/>
  <c r="R294" i="24"/>
  <c r="S294" i="24"/>
  <c r="T294" i="24"/>
  <c r="U294" i="24"/>
  <c r="R298" i="24"/>
  <c r="S298" i="24"/>
  <c r="T298" i="24"/>
  <c r="U298" i="24"/>
  <c r="R299" i="24"/>
  <c r="S299" i="24"/>
  <c r="T299" i="24"/>
  <c r="U299" i="24"/>
  <c r="R300" i="24"/>
  <c r="S300" i="24"/>
  <c r="T300" i="24"/>
  <c r="U300" i="24"/>
  <c r="R301" i="24"/>
  <c r="S301" i="24"/>
  <c r="T301" i="24"/>
  <c r="U301" i="24"/>
  <c r="R302" i="24"/>
  <c r="S302" i="24"/>
  <c r="T302" i="24"/>
  <c r="U302" i="24"/>
  <c r="R303" i="24"/>
  <c r="S303" i="24"/>
  <c r="T303" i="24"/>
  <c r="U303" i="24"/>
  <c r="R304" i="24"/>
  <c r="S304" i="24"/>
  <c r="T304" i="24"/>
  <c r="U304" i="24"/>
  <c r="R305" i="24"/>
  <c r="S305" i="24"/>
  <c r="T305" i="24"/>
  <c r="U305" i="24"/>
  <c r="R306" i="24"/>
  <c r="S306" i="24"/>
  <c r="T306" i="24"/>
  <c r="U306" i="24"/>
  <c r="R307" i="24"/>
  <c r="S307" i="24"/>
  <c r="T307" i="24"/>
  <c r="U307" i="24"/>
  <c r="R308" i="24"/>
  <c r="S308" i="24"/>
  <c r="T308" i="24"/>
  <c r="U308" i="24"/>
  <c r="R309" i="24"/>
  <c r="S309" i="24"/>
  <c r="T309" i="24"/>
  <c r="U309" i="24"/>
  <c r="R310" i="24"/>
  <c r="S310" i="24"/>
  <c r="T310" i="24"/>
  <c r="U310" i="24"/>
  <c r="R311" i="24"/>
  <c r="S311" i="24"/>
  <c r="T311" i="24"/>
  <c r="U311" i="24"/>
  <c r="R312" i="24"/>
  <c r="S312" i="24"/>
  <c r="T312" i="24"/>
  <c r="U312" i="24"/>
  <c r="AD312" i="24"/>
  <c r="R313" i="24"/>
  <c r="S313" i="24"/>
  <c r="T313" i="24"/>
  <c r="U313" i="24"/>
  <c r="AD313" i="24"/>
  <c r="R315" i="24"/>
  <c r="S315" i="24"/>
  <c r="T315" i="24"/>
  <c r="U315" i="24"/>
  <c r="R316" i="24"/>
  <c r="S316" i="24"/>
  <c r="T316" i="24"/>
  <c r="U316" i="24"/>
  <c r="R317" i="24"/>
  <c r="S317" i="24"/>
  <c r="T317" i="24"/>
  <c r="U317" i="24"/>
  <c r="R318" i="24"/>
  <c r="S318" i="24"/>
  <c r="T318" i="24"/>
  <c r="U318" i="24"/>
  <c r="R319" i="24"/>
  <c r="S319" i="24"/>
  <c r="T319" i="24"/>
  <c r="U319" i="24"/>
  <c r="R320" i="24"/>
  <c r="S320" i="24"/>
  <c r="T320" i="24"/>
  <c r="U320" i="24"/>
  <c r="R321" i="24"/>
  <c r="S321" i="24"/>
  <c r="T321" i="24"/>
  <c r="U321" i="24"/>
  <c r="R322" i="24"/>
  <c r="S322" i="24"/>
  <c r="T322" i="24"/>
  <c r="U322" i="24"/>
  <c r="R323" i="24"/>
  <c r="S323" i="24"/>
  <c r="T323" i="24"/>
  <c r="U323" i="24"/>
  <c r="R324" i="24"/>
  <c r="S324" i="24"/>
  <c r="T324" i="24"/>
  <c r="U324" i="24"/>
  <c r="R325" i="24"/>
  <c r="S325" i="24"/>
  <c r="T325" i="24"/>
  <c r="U325" i="24"/>
  <c r="R326" i="24"/>
  <c r="S326" i="24"/>
  <c r="T326" i="24"/>
  <c r="U326" i="24"/>
  <c r="AD326" i="24"/>
  <c r="R327" i="24"/>
  <c r="S327" i="24"/>
  <c r="T327" i="24"/>
  <c r="U327" i="24"/>
  <c r="R328" i="24"/>
  <c r="S328" i="24"/>
  <c r="T328" i="24"/>
  <c r="U328" i="24"/>
  <c r="R329" i="24"/>
  <c r="S329" i="24"/>
  <c r="T329" i="24"/>
  <c r="U329" i="24"/>
  <c r="R330" i="24"/>
  <c r="S330" i="24"/>
  <c r="T330" i="24"/>
  <c r="U330" i="24"/>
  <c r="R331" i="24"/>
  <c r="S331" i="24"/>
  <c r="T331" i="24"/>
  <c r="U331" i="24"/>
  <c r="R332" i="24"/>
  <c r="S332" i="24"/>
  <c r="T332" i="24"/>
  <c r="U332" i="24"/>
  <c r="R333" i="24"/>
  <c r="S333" i="24"/>
  <c r="T333" i="24"/>
  <c r="U333" i="24"/>
  <c r="R334" i="24"/>
  <c r="S334" i="24"/>
  <c r="T334" i="24"/>
  <c r="U334" i="24"/>
  <c r="R335" i="24"/>
  <c r="S335" i="24"/>
  <c r="T335" i="24"/>
  <c r="U335" i="24"/>
  <c r="R336" i="24"/>
  <c r="S336" i="24"/>
  <c r="T336" i="24"/>
  <c r="U336" i="24"/>
  <c r="R337" i="24"/>
  <c r="S337" i="24"/>
  <c r="T337" i="24"/>
  <c r="U337" i="24"/>
  <c r="R338" i="24"/>
  <c r="S338" i="24"/>
  <c r="T338" i="24"/>
  <c r="U338" i="24"/>
  <c r="R340" i="24"/>
  <c r="S340" i="24"/>
  <c r="T340" i="24"/>
  <c r="U340" i="24"/>
  <c r="R341" i="24"/>
  <c r="S341" i="24"/>
  <c r="T341" i="24"/>
  <c r="U341" i="24"/>
  <c r="R342" i="24"/>
  <c r="S342" i="24"/>
  <c r="T342" i="24"/>
  <c r="U342" i="24"/>
  <c r="R343" i="24"/>
  <c r="S343" i="24"/>
  <c r="T343" i="24"/>
  <c r="U343" i="24"/>
  <c r="R344" i="24"/>
  <c r="S344" i="24"/>
  <c r="T344" i="24"/>
  <c r="U344" i="24"/>
  <c r="R345" i="24"/>
  <c r="S345" i="24"/>
  <c r="T345" i="24"/>
  <c r="U345" i="24"/>
  <c r="R346" i="24"/>
  <c r="S346" i="24"/>
  <c r="T346" i="24"/>
  <c r="U346" i="24"/>
  <c r="R347" i="24"/>
  <c r="S347" i="24"/>
  <c r="T347" i="24"/>
  <c r="U347" i="24"/>
  <c r="R348" i="24"/>
  <c r="S348" i="24"/>
  <c r="T348" i="24"/>
  <c r="U348" i="24"/>
  <c r="R349" i="24"/>
  <c r="S349" i="24"/>
  <c r="T349" i="24"/>
  <c r="U349" i="24"/>
  <c r="R350" i="24"/>
  <c r="S350" i="24"/>
  <c r="T350" i="24"/>
  <c r="U350" i="24"/>
  <c r="R351" i="24"/>
  <c r="S351" i="24"/>
  <c r="T351" i="24"/>
  <c r="U351" i="24"/>
  <c r="AD351" i="24"/>
  <c r="R352" i="24"/>
  <c r="S352" i="24"/>
  <c r="T352" i="24"/>
  <c r="U352" i="24"/>
  <c r="R353" i="24"/>
  <c r="S353" i="24"/>
  <c r="T353" i="24"/>
  <c r="U353" i="24"/>
  <c r="R354" i="24"/>
  <c r="S354" i="24"/>
  <c r="T354" i="24"/>
  <c r="U354" i="24"/>
  <c r="R355" i="24"/>
  <c r="S355" i="24"/>
  <c r="T355" i="24"/>
  <c r="U355" i="24"/>
  <c r="R356" i="24"/>
  <c r="S356" i="24"/>
  <c r="T356" i="24"/>
  <c r="U356" i="24"/>
  <c r="R357" i="24"/>
  <c r="S357" i="24"/>
  <c r="T357" i="24"/>
  <c r="U357" i="24"/>
  <c r="R358" i="24"/>
  <c r="S358" i="24"/>
  <c r="T358" i="24"/>
  <c r="U358" i="24"/>
  <c r="R359" i="24"/>
  <c r="S359" i="24"/>
  <c r="T359" i="24"/>
  <c r="U359" i="24"/>
  <c r="M101" i="19"/>
  <c r="M100" i="19"/>
  <c r="M44" i="19"/>
  <c r="M57" i="19"/>
  <c r="M58" i="19"/>
  <c r="M59" i="19"/>
  <c r="M60" i="19"/>
  <c r="M61" i="19"/>
  <c r="M62" i="19"/>
  <c r="M56" i="19"/>
  <c r="M11" i="19"/>
  <c r="M12" i="19"/>
  <c r="M13" i="19"/>
  <c r="M14" i="19"/>
  <c r="M15" i="19"/>
  <c r="M16" i="19"/>
  <c r="M27" i="19"/>
  <c r="M28" i="19"/>
  <c r="M34" i="19"/>
  <c r="M35" i="19"/>
  <c r="M36" i="19"/>
  <c r="M37" i="19"/>
  <c r="M38" i="19"/>
  <c r="M43" i="19"/>
  <c r="M46" i="19"/>
  <c r="M47" i="19"/>
  <c r="M48" i="19"/>
  <c r="M49" i="19"/>
  <c r="M88" i="19"/>
  <c r="M89" i="19"/>
  <c r="M90" i="19"/>
  <c r="M102" i="19"/>
  <c r="M103" i="19"/>
  <c r="M105" i="19"/>
  <c r="M106" i="19"/>
  <c r="M107" i="19"/>
  <c r="M4" i="19"/>
  <c r="U8" i="25" l="1"/>
  <c r="U16" i="25"/>
  <c r="U12" i="25"/>
  <c r="AD314" i="24"/>
  <c r="R8" i="25"/>
  <c r="S82" i="24"/>
  <c r="R82" i="24"/>
  <c r="R24" i="25" l="1"/>
  <c r="U24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tc={C00C056F-6A80-444E-A3F6-B8C9CF1001BB}</author>
    <author>tc={CE3974EE-2223-461A-8A43-93E6093C2A16}</author>
  </authors>
  <commentList>
    <comment ref="AG229" authorId="0" shapeId="0" xr:uid="{C00C056F-6A80-444E-A3F6-B8C9CF1001BB}">
      <text>
        <t>[Threaded comment]
Your version of Excel allows you to read this threaded comment; however, any edits to it will get removed if the file is opened in a newer version of Excel. Learn more: https://go.microsoft.com/fwlink/?linkid=870924
Comment:
    @Mira Baraket it has a few splits but if I put Yes it automatically puts the overall quality to be FAIL but it's not too many splits, should I just put a No?
Reply:
    Thanks for letting me know - Just put it as it should be - I will figure out the graphene type issue.
Reply:
    Sounds good! I can start putting None Low Medium High so you can categorize Low as Type A again?
Reply:
    yes - sounds good</t>
      </text>
    </comment>
    <comment ref="G469" authorId="1" shapeId="0" xr:uid="{CE3974EE-2223-461A-8A43-93E6093C2A16}">
      <text>
        <t>[Threaded comment]
Your version of Excel allows you to read this threaded comment; however, any edits to it will get removed if the file is opened in a newer version of Excel. Learn more: https://go.microsoft.com/fwlink/?linkid=870924
Comment:
    @Shagun Kapur @Samantha Solis Kalkach On a couple of these R32 recipes (Run 6, Run 11, Run 16), didnt we increase the speed to 200 mm/min with the annealed Cu? Or were they still 100 mm/min
Reply:
    For annealing we ran it at 200 mm/min and for the growth we ran it at 100 mm/min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tc={E2F240DC-2499-4E97-A6BC-F2CF88167139}</author>
    <author>tc={941C596D-9E5C-44D0-B65E-95FFB8357E33}</author>
    <author>tc={872FFDF9-DFE9-4B92-88FD-C7D3D8CC2500}</author>
    <author>tc={26F05CA0-C922-450D-9ED7-367F30841382}</author>
    <author>tc={A942800C-8D49-402E-8974-FE6F2A3337F7}</author>
    <author>tc={3EA22AA1-01AC-4C8C-BE3A-517A15A3574B}</author>
  </authors>
  <commentList>
    <comment ref="L11" authorId="0" shapeId="0" xr:uid="{E2F240DC-2499-4E97-A6BC-F2CF88167139}">
      <text>
        <t>[Threaded comment]
Your version of Excel allows you to read this threaded comment; however, any edits to it will get removed if the file is opened in a newer version of Excel. Learn more: https://go.microsoft.com/fwlink/?linkid=870924
Comment:
    @Sean Barton when you have a chance could you please add the information about the graphene used for this transfer?</t>
      </text>
    </comment>
    <comment ref="A72" authorId="1" shapeId="0" xr:uid="{941C596D-9E5C-44D0-B65E-95FFB8357E33}">
      <text>
        <t>[Threaded comment]
Your version of Excel allows you to read this threaded comment; however, any edits to it will get removed if the file is opened in a newer version of Excel. Learn more: https://go.microsoft.com/fwlink/?linkid=870924
Comment:
    @Samantha Solis Kalkach could you please information about new Hememics PO here?</t>
      </text>
    </comment>
    <comment ref="A74" authorId="2" shapeId="0" xr:uid="{872FFDF9-DFE9-4B92-88FD-C7D3D8CC2500}">
      <text>
        <t>[Threaded comment]
Your version of Excel allows you to read this threaded comment; however, any edits to it will get removed if the file is opened in a newer version of Excel. Learn more: https://go.microsoft.com/fwlink/?linkid=870924
Comment:
    @Samantha Solis Kalkach could you please information about new Hememics PO here?</t>
      </text>
    </comment>
    <comment ref="A75" authorId="3" shapeId="0" xr:uid="{26F05CA0-C922-450D-9ED7-367F30841382}">
      <text>
        <t>[Threaded comment]
Your version of Excel allows you to read this threaded comment; however, any edits to it will get removed if the file is opened in a newer version of Excel. Learn more: https://go.microsoft.com/fwlink/?linkid=870924
Comment:
    @Samantha Solis Kalkach could you please information about new Hememics PO here?</t>
      </text>
    </comment>
    <comment ref="A98" authorId="4" shapeId="0" xr:uid="{A942800C-8D49-402E-8974-FE6F2A3337F7}">
      <text>
        <t>[Threaded comment]
Your version of Excel allows you to read this threaded comment; however, any edits to it will get removed if the file is opened in a newer version of Excel. Learn more: https://go.microsoft.com/fwlink/?linkid=870924
Comment:
    @Shagun Kapur could you please add the shipping and product numbers for the latest new skin shipment.</t>
      </text>
    </comment>
    <comment ref="K109" authorId="5" shapeId="0" xr:uid="{3EA22AA1-01AC-4C8C-BE3A-517A15A3574B}">
      <text>
        <t>[Threaded comment]
Your version of Excel allows you to read this threaded comment; however, any edits to it will get removed if the file is opened in a newer version of Excel. Learn more: https://go.microsoft.com/fwlink/?linkid=870924
Comment:
    @Samantha Solis Kalkach is this what we shipped recently? If so could you please update it - thanks.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415F1A-4355-416F-ADC4-FB9E36228FFE}" odcFile="C:\Users\Alec\Downloads\query (10).iqy" keepAlive="1" name="query (10)1" type="5" refreshedVersion="8" background="1" saveData="1">
    <dbPr connection="Provider=Microsoft.Office.List.OLEDB.2.0;Data Source=&quot;&quot;;ApplicationName=Excel;Version=12.0.0.0" command="&lt;LIST&gt;&lt;VIEWGUID&gt;A7646B22-B2F9-49D1-A85B-AEC459BFC74B&lt;/VIEWGUID&gt;&lt;LISTNAME&gt;{4B097233-4C6A-44F1-90BD-DC3CC43E94C9}&lt;/LISTNAME&gt;&lt;LISTWEB&gt;https://generalgraphenecorp.sharepoint.com/_vti_bin&lt;/LISTWEB&gt;&lt;LISTSUBWEB&gt;&lt;/LISTSUBWEB&gt;&lt;ROOTFOLDER&gt;&lt;/ROOTFOLDER&gt;&lt;/LIST&gt;" commandType="5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<sst xmlns="http://schemas.openxmlformats.org/spreadsheetml/2006/main" count="6894" uniqueCount="776">
  <si>
    <t>Date</t>
  </si>
  <si>
    <t>RunNum</t>
  </si>
  <si>
    <t>RecipeNum</t>
  </si>
  <si>
    <t>TestProd</t>
  </si>
  <si>
    <t>Batch</t>
  </si>
  <si>
    <t>Temp</t>
  </si>
  <si>
    <t>Speed</t>
  </si>
  <si>
    <t>RecipeHighlights</t>
  </si>
  <si>
    <t>Airknives</t>
  </si>
  <si>
    <t>Oxygen</t>
  </si>
  <si>
    <t>Humidity</t>
  </si>
  <si>
    <t>Pressure</t>
  </si>
  <si>
    <t>PurgeType</t>
  </si>
  <si>
    <t>PurgeFlow</t>
  </si>
  <si>
    <t>ArH2</t>
  </si>
  <si>
    <t>ArCH4</t>
  </si>
  <si>
    <t>Ar</t>
  </si>
  <si>
    <t>TotalGas</t>
  </si>
  <si>
    <t>TotalRatio</t>
  </si>
  <si>
    <t>Local7500</t>
  </si>
  <si>
    <t>Local9000</t>
  </si>
  <si>
    <t>NumPiece</t>
  </si>
  <si>
    <t>CuSize</t>
  </si>
  <si>
    <t>CuType</t>
  </si>
  <si>
    <t>Identifier</t>
  </si>
  <si>
    <t>EPDate</t>
  </si>
  <si>
    <t>CuRa</t>
  </si>
  <si>
    <t>CrystalType</t>
  </si>
  <si>
    <t>Coverage</t>
  </si>
  <si>
    <t>DGRatio</t>
  </si>
  <si>
    <t>MLG</t>
  </si>
  <si>
    <t>Cracks</t>
  </si>
  <si>
    <t>Splits</t>
  </si>
  <si>
    <t>D/G on Cu</t>
  </si>
  <si>
    <t>Diff</t>
  </si>
  <si>
    <t>Crystal_Size</t>
  </si>
  <si>
    <t>Rs</t>
  </si>
  <si>
    <t>Comments</t>
  </si>
  <si>
    <t>Quality</t>
  </si>
  <si>
    <t>Diff_MLG</t>
  </si>
  <si>
    <t>Trust</t>
  </si>
  <si>
    <t>R1</t>
  </si>
  <si>
    <t>Test</t>
  </si>
  <si>
    <t>Low Flow Reference</t>
  </si>
  <si>
    <t>6"x6"</t>
  </si>
  <si>
    <t>20um Schlenk</t>
  </si>
  <si>
    <t>70um Civen</t>
  </si>
  <si>
    <t>18um Lux</t>
  </si>
  <si>
    <t>R2</t>
  </si>
  <si>
    <t>High Flow Reference</t>
  </si>
  <si>
    <t>Production 1</t>
  </si>
  <si>
    <t>Low Flow Production</t>
  </si>
  <si>
    <t>Large</t>
  </si>
  <si>
    <t>R3</t>
  </si>
  <si>
    <t>Low Flow - Hydrogen only</t>
  </si>
  <si>
    <t>25um Sig</t>
  </si>
  <si>
    <t>Cancelled</t>
  </si>
  <si>
    <t>Production 2</t>
  </si>
  <si>
    <t>High Flow Reference; 4xR1</t>
  </si>
  <si>
    <t>Production 3</t>
  </si>
  <si>
    <t>Low Flow; High extraction; low buffle pressure</t>
  </si>
  <si>
    <t>High Flow; High extraction; low buffle pressure</t>
  </si>
  <si>
    <t>Low Flow; Old DI</t>
  </si>
  <si>
    <t>Low Flow; New DI</t>
  </si>
  <si>
    <t>R4</t>
  </si>
  <si>
    <t>H2 - Low Flow</t>
  </si>
  <si>
    <t>Low Flow; Methane in U1</t>
  </si>
  <si>
    <t>R2 </t>
  </si>
  <si>
    <t>High Flow</t>
  </si>
  <si>
    <t>Low Flow</t>
  </si>
  <si>
    <t>R5</t>
  </si>
  <si>
    <t>H2-High Flow</t>
  </si>
  <si>
    <t>High flow</t>
  </si>
  <si>
    <t>H2 - High flow</t>
  </si>
  <si>
    <t>R6</t>
  </si>
  <si>
    <t>High Flow; last 3 coils off; Ar in U1</t>
  </si>
  <si>
    <t>High Flow; last 3 coils off, Ar in U1</t>
  </si>
  <si>
    <t>R7</t>
  </si>
  <si>
    <t>Low Flow; last coil off</t>
  </si>
  <si>
    <t>R8</t>
  </si>
  <si>
    <t>High Flow; last coil off</t>
  </si>
  <si>
    <t>Low flow</t>
  </si>
  <si>
    <t>Low flow; Extraction 160</t>
  </si>
  <si>
    <t>45; 50</t>
  </si>
  <si>
    <t>Low flow; extraction 100</t>
  </si>
  <si>
    <t>60; 75</t>
  </si>
  <si>
    <t>60; 150</t>
  </si>
  <si>
    <t>Low flow; extraction 80</t>
  </si>
  <si>
    <t>15; 100</t>
  </si>
  <si>
    <t>R9</t>
  </si>
  <si>
    <t>Low Flow; Higher methane, total 26L/min</t>
  </si>
  <si>
    <t>R10</t>
  </si>
  <si>
    <t>High flow; Higher methane, total 42 L/min</t>
  </si>
  <si>
    <t>CVD</t>
  </si>
  <si>
    <t>Production 4</t>
  </si>
  <si>
    <t>Production 5</t>
  </si>
  <si>
    <t>Production 6</t>
  </si>
  <si>
    <t>Production 7</t>
  </si>
  <si>
    <t>Production 8</t>
  </si>
  <si>
    <t>Low Flow; R2R vs hand-polished</t>
  </si>
  <si>
    <t>R2R Top</t>
  </si>
  <si>
    <t>R2R Bottom</t>
  </si>
  <si>
    <t>Low</t>
  </si>
  <si>
    <t>Medium</t>
  </si>
  <si>
    <t>None</t>
  </si>
  <si>
    <t>2022520-1</t>
  </si>
  <si>
    <t>White dots</t>
  </si>
  <si>
    <t>2022520-2</t>
  </si>
  <si>
    <t>Oxidation/star pattern; white dots</t>
  </si>
  <si>
    <t>Methane in U3 only</t>
  </si>
  <si>
    <t>High</t>
  </si>
  <si>
    <t>Star pattern</t>
  </si>
  <si>
    <t>Methane in end U3</t>
  </si>
  <si>
    <t>M1</t>
  </si>
  <si>
    <t xml:space="preserve">High Flow </t>
  </si>
  <si>
    <t>Piece looks weird</t>
  </si>
  <si>
    <t>Low/negative buffer</t>
  </si>
  <si>
    <t>1000 C 200 mm/min</t>
  </si>
  <si>
    <t>1001 C 200 mm/min</t>
  </si>
  <si>
    <r>
      <t xml:space="preserve">1000 C </t>
    </r>
    <r>
      <rPr>
        <b/>
        <sz val="11"/>
        <color theme="1"/>
        <rFont val="Calibri"/>
        <family val="2"/>
        <scheme val="minor"/>
      </rPr>
      <t>100 mm/min</t>
    </r>
  </si>
  <si>
    <r>
      <t xml:space="preserve">1001 C </t>
    </r>
    <r>
      <rPr>
        <b/>
        <sz val="11"/>
        <color theme="1"/>
        <rFont val="Calibri"/>
        <family val="2"/>
        <scheme val="minor"/>
      </rPr>
      <t>100 mm/min</t>
    </r>
  </si>
  <si>
    <t>Roll-to-Roll</t>
  </si>
  <si>
    <t>R2R</t>
  </si>
  <si>
    <t>High Hydrogen</t>
  </si>
  <si>
    <t>High Hydrogen; 2x CH4</t>
  </si>
  <si>
    <t>220518-18</t>
  </si>
  <si>
    <t>50 um</t>
  </si>
  <si>
    <t>2022520-3</t>
  </si>
  <si>
    <t>R12</t>
  </si>
  <si>
    <t>R13</t>
  </si>
  <si>
    <t>R14</t>
  </si>
  <si>
    <t>High Flow ; higher methane</t>
  </si>
  <si>
    <t>40 um</t>
  </si>
  <si>
    <t>High Flow ; higher methane without Ar</t>
  </si>
  <si>
    <t>R15</t>
  </si>
  <si>
    <t>2022520-4</t>
  </si>
  <si>
    <t>R16</t>
  </si>
  <si>
    <t>High Flow Higher Methane</t>
  </si>
  <si>
    <t>Poly</t>
  </si>
  <si>
    <t>15-20um</t>
  </si>
  <si>
    <t>R18</t>
  </si>
  <si>
    <t>Very salt and pepper speckled piece</t>
  </si>
  <si>
    <t>Weird looking, unsure if any multilayers exist</t>
  </si>
  <si>
    <t>R14A</t>
  </si>
  <si>
    <t>Roll-To-Roll</t>
  </si>
  <si>
    <t>Ar/H2</t>
  </si>
  <si>
    <t>Has odd fern-like pattern</t>
  </si>
  <si>
    <t>Ar on Shield and Purge gas - Overnight</t>
  </si>
  <si>
    <t>Has snake-pattern</t>
  </si>
  <si>
    <t>Ar on Shield and Purge gas - Overnight and all following day</t>
  </si>
  <si>
    <t>R30</t>
  </si>
  <si>
    <t>Recipe was Nonet input correctly</t>
  </si>
  <si>
    <t>R31</t>
  </si>
  <si>
    <t>Recipe was Nonet input correctly (supposed to be R6, actually R2)</t>
  </si>
  <si>
    <t>Ar on Shield and Purge gas - Overnight and all following day - raise temperature to 1050C</t>
  </si>
  <si>
    <t>Single</t>
  </si>
  <si>
    <t>Has snowflakes</t>
  </si>
  <si>
    <t>R32</t>
  </si>
  <si>
    <t>Has star pattern</t>
  </si>
  <si>
    <t>Airknives 10L/min - lower buffer</t>
  </si>
  <si>
    <t>Ar on Shield and Purge gas - Overnight and all following day -  temperature to 1050C</t>
  </si>
  <si>
    <t>R22</t>
  </si>
  <si>
    <t>Airknives 10L/min - lower buffer 0.55</t>
  </si>
  <si>
    <t>R33</t>
  </si>
  <si>
    <t>Airknives 12L/min - 0.46</t>
  </si>
  <si>
    <t>Production</t>
  </si>
  <si>
    <t>None Ar in MFC 7/9</t>
  </si>
  <si>
    <t>Reused</t>
  </si>
  <si>
    <t>NEP</t>
  </si>
  <si>
    <t xml:space="preserve">6"x6" </t>
  </si>
  <si>
    <t>Star Pattern</t>
  </si>
  <si>
    <t>R34</t>
  </si>
  <si>
    <t>Star on Raman</t>
  </si>
  <si>
    <t>Sample was dirty</t>
  </si>
  <si>
    <t>Repeat of 1</t>
  </si>
  <si>
    <t>Repeat of 2</t>
  </si>
  <si>
    <t>Varying tension</t>
  </si>
  <si>
    <t>R4b</t>
  </si>
  <si>
    <t>220803-1</t>
  </si>
  <si>
    <t>50um Civen</t>
  </si>
  <si>
    <t>220803-4-1</t>
  </si>
  <si>
    <t>NaOH-Dipped</t>
  </si>
  <si>
    <t>NaOH-Dipped NEP</t>
  </si>
  <si>
    <t>R32a</t>
  </si>
  <si>
    <t>R32b</t>
  </si>
  <si>
    <t>Pre-Annealed</t>
  </si>
  <si>
    <t>?</t>
  </si>
  <si>
    <t>R2R HP</t>
  </si>
  <si>
    <t>1 Large</t>
  </si>
  <si>
    <t>Re-Dip EP</t>
  </si>
  <si>
    <t>R32c</t>
  </si>
  <si>
    <t>3 Large</t>
  </si>
  <si>
    <t>No Ar</t>
  </si>
  <si>
    <t>Inf</t>
  </si>
  <si>
    <t>No Hose</t>
  </si>
  <si>
    <t>1 min EP</t>
  </si>
  <si>
    <t xml:space="preserve">Schlenk Rinsed with hose </t>
  </si>
  <si>
    <t>R17</t>
  </si>
  <si>
    <t>Piece looks very weirdly oxidized</t>
  </si>
  <si>
    <t>--</t>
  </si>
  <si>
    <t>R11</t>
  </si>
  <si>
    <t>Looks badly oxidized</t>
  </si>
  <si>
    <t>Looks bad</t>
  </si>
  <si>
    <t>HNO3-Dipped</t>
  </si>
  <si>
    <t>R19</t>
  </si>
  <si>
    <t>GS1007</t>
  </si>
  <si>
    <t>R2-Annealing</t>
  </si>
  <si>
    <t>N/A</t>
  </si>
  <si>
    <t>Annealed above</t>
  </si>
  <si>
    <t>Pre-Anneal</t>
  </si>
  <si>
    <t>Old</t>
  </si>
  <si>
    <t>R20</t>
  </si>
  <si>
    <t>R21</t>
  </si>
  <si>
    <t>Test before R2R</t>
  </si>
  <si>
    <t xml:space="preserve">30m </t>
  </si>
  <si>
    <t>sample looks slightly dirty</t>
  </si>
  <si>
    <t>Small DI</t>
  </si>
  <si>
    <t>Large DI</t>
  </si>
  <si>
    <t>R23</t>
  </si>
  <si>
    <t>R26</t>
  </si>
  <si>
    <t>Low buffer pressure;Annealed above</t>
  </si>
  <si>
    <t>Sample looks patchy</t>
  </si>
  <si>
    <t>R25</t>
  </si>
  <si>
    <t>R24</t>
  </si>
  <si>
    <t>R2-Annealing-A</t>
  </si>
  <si>
    <t>Pre-Anneal250</t>
  </si>
  <si>
    <t>R32-B</t>
  </si>
  <si>
    <t>3Bath</t>
  </si>
  <si>
    <t>3BathPre-Anneal</t>
  </si>
  <si>
    <t>R28</t>
  </si>
  <si>
    <t>Quartz</t>
  </si>
  <si>
    <t>R14-6.6</t>
  </si>
  <si>
    <t>NEP Pre-Anneal</t>
  </si>
  <si>
    <t>two completely different Raman results</t>
  </si>
  <si>
    <t>R2-a</t>
  </si>
  <si>
    <t>U1 at 800</t>
  </si>
  <si>
    <t>R2-Annealing-a</t>
  </si>
  <si>
    <t>Can't tell if weird pattern is multilayer</t>
  </si>
  <si>
    <t>U1 at 1000</t>
  </si>
  <si>
    <t>Dot pattern</t>
  </si>
  <si>
    <t>Paw dots</t>
  </si>
  <si>
    <t>Stretch marks</t>
  </si>
  <si>
    <t>Vertical</t>
  </si>
  <si>
    <t>Horizontal</t>
  </si>
  <si>
    <t>NEP Pre-Annealed</t>
  </si>
  <si>
    <t>Horizontal Pre-Annealed</t>
  </si>
  <si>
    <t>Vertical Pre-Annealed</t>
  </si>
  <si>
    <t>Tiger pattern</t>
  </si>
  <si>
    <t>Lots of trashy dots</t>
  </si>
  <si>
    <t>R50</t>
  </si>
  <si>
    <t>Oxidative stripey</t>
  </si>
  <si>
    <t>R20-Annealing</t>
  </si>
  <si>
    <t>Lots of oxidation like pattern</t>
  </si>
  <si>
    <t>Lots of dots which don't ping Ti</t>
  </si>
  <si>
    <t>Some white dots</t>
  </si>
  <si>
    <t>Some oxidation like pattern</t>
  </si>
  <si>
    <t>R2R Pre-Anneal</t>
  </si>
  <si>
    <t>Some dots, big enough to potentially be splits</t>
  </si>
  <si>
    <t>50m R2R Annealing</t>
  </si>
  <si>
    <t>Sample broke in at 27 m during 7lbs tension</t>
  </si>
  <si>
    <t>R2R Pre-Anneal Wrinkled</t>
  </si>
  <si>
    <t>Tension 5 lbs</t>
  </si>
  <si>
    <t>Lots of white dots</t>
  </si>
  <si>
    <t>23m R2R Annealing</t>
  </si>
  <si>
    <t>17m R2R Annealing</t>
  </si>
  <si>
    <t>3lbs tension; 25m R2R Annealing</t>
  </si>
  <si>
    <t>40m R2R Annealing</t>
  </si>
  <si>
    <t>23m R2R Growth</t>
  </si>
  <si>
    <t>Cracks started high, went low soon</t>
  </si>
  <si>
    <t>Wide</t>
  </si>
  <si>
    <t>More multilayer in later samples</t>
  </si>
  <si>
    <t>Company</t>
  </si>
  <si>
    <t>PO#</t>
  </si>
  <si>
    <t>Notes</t>
  </si>
  <si>
    <t>Date acknowleded</t>
  </si>
  <si>
    <t>Graphene quality</t>
  </si>
  <si>
    <t>Special request</t>
  </si>
  <si>
    <t>Substrate</t>
  </si>
  <si>
    <t>Transfer Method</t>
  </si>
  <si>
    <t>Size</t>
  </si>
  <si>
    <t>Number of samples Needed</t>
  </si>
  <si>
    <t>Person In Charge</t>
  </si>
  <si>
    <t>Assigned Products</t>
  </si>
  <si>
    <t>Due Date</t>
  </si>
  <si>
    <t>Status</t>
  </si>
  <si>
    <t>Sent</t>
  </si>
  <si>
    <t>Tracking</t>
  </si>
  <si>
    <t>Follow up date</t>
  </si>
  <si>
    <t>Person Followedup</t>
  </si>
  <si>
    <t>Follow up outcome</t>
  </si>
  <si>
    <t>Ametek</t>
  </si>
  <si>
    <t>Collaboration</t>
  </si>
  <si>
    <t>PyC</t>
  </si>
  <si>
    <t>PyC on Si, SiO2, and Si3N4</t>
  </si>
  <si>
    <t>Si Wafer</t>
  </si>
  <si>
    <t>6"</t>
  </si>
  <si>
    <t>SSK-MS</t>
  </si>
  <si>
    <t>Shipped</t>
  </si>
  <si>
    <t>1Z7X4V116792540906</t>
  </si>
  <si>
    <t>MS</t>
  </si>
  <si>
    <t>No response</t>
  </si>
  <si>
    <t>Si wafer</t>
  </si>
  <si>
    <t>MS-SSK</t>
  </si>
  <si>
    <t xml:space="preserve">Shipped </t>
  </si>
  <si>
    <t>1Z7X4V116795965818</t>
  </si>
  <si>
    <t>AMO</t>
  </si>
  <si>
    <t xml:space="preserve">#202206031 </t>
  </si>
  <si>
    <t>1st PO</t>
  </si>
  <si>
    <t>Type A or B</t>
  </si>
  <si>
    <t>Cu</t>
  </si>
  <si>
    <t>SB</t>
  </si>
  <si>
    <t>220609-02-(01-05)</t>
  </si>
  <si>
    <t>1Z7X4V116799753469</t>
  </si>
  <si>
    <t>Analog Devices Inc (ADI)</t>
  </si>
  <si>
    <t>TBD</t>
  </si>
  <si>
    <t>PO</t>
  </si>
  <si>
    <t>Type B</t>
  </si>
  <si>
    <t>Monolayer - No MLG</t>
  </si>
  <si>
    <t>PI</t>
  </si>
  <si>
    <t>Wet</t>
  </si>
  <si>
    <t>6x6</t>
  </si>
  <si>
    <t>MS-SK</t>
  </si>
  <si>
    <t>220830-11-1</t>
  </si>
  <si>
    <t>1Z7X4V110399699228</t>
  </si>
  <si>
    <t>Lacquer/EVA/PET</t>
  </si>
  <si>
    <t>PMMA/EVA/PET</t>
  </si>
  <si>
    <t>Bubble</t>
  </si>
  <si>
    <t>220830-11-2</t>
  </si>
  <si>
    <t>Inventory</t>
  </si>
  <si>
    <t>SU8</t>
  </si>
  <si>
    <t>6x7</t>
  </si>
  <si>
    <t>ongoing</t>
  </si>
  <si>
    <t>Boston College Physics Dept.</t>
  </si>
  <si>
    <t>Monolayer</t>
  </si>
  <si>
    <t>Copper</t>
  </si>
  <si>
    <t>3" x 3"</t>
  </si>
  <si>
    <t>SSK</t>
  </si>
  <si>
    <t>220929-5-3</t>
  </si>
  <si>
    <t>1Z7X4V110296280856</t>
  </si>
  <si>
    <t>EAGLE-0000160093</t>
  </si>
  <si>
    <t>Type A</t>
  </si>
  <si>
    <t>4" x 4"</t>
  </si>
  <si>
    <t>SSK-SB</t>
  </si>
  <si>
    <t>221108-15-7-8</t>
  </si>
  <si>
    <t>Ongoing</t>
  </si>
  <si>
    <t>Cardea</t>
  </si>
  <si>
    <t>R&amp;D</t>
  </si>
  <si>
    <t>Low PMMA residue</t>
  </si>
  <si>
    <t>220620-01-09,17; 220620-02-11</t>
  </si>
  <si>
    <t>1Z7X4V110391417635</t>
  </si>
  <si>
    <t>Graphene on SiO2</t>
  </si>
  <si>
    <t>SiO2 Wafer</t>
  </si>
  <si>
    <t>Wet/NaOH</t>
  </si>
  <si>
    <t>4"</t>
  </si>
  <si>
    <t>SB-MS</t>
  </si>
  <si>
    <t>Deji UT Austin</t>
  </si>
  <si>
    <t>one sample Monolayer</t>
  </si>
  <si>
    <t>220712-01-10</t>
  </si>
  <si>
    <t>1Z7X4V111291712469</t>
  </si>
  <si>
    <t>Open invite to request additional material as needed</t>
  </si>
  <si>
    <t>Type C</t>
  </si>
  <si>
    <t>one sample double layer</t>
  </si>
  <si>
    <t>Wet etch</t>
  </si>
  <si>
    <t>220609-2-5</t>
  </si>
  <si>
    <t>220712-1-40</t>
  </si>
  <si>
    <t>DTU</t>
  </si>
  <si>
    <t>Free sample</t>
  </si>
  <si>
    <t>type A</t>
  </si>
  <si>
    <t>Monolayer - Single crystal</t>
  </si>
  <si>
    <t>20 x 25 cm</t>
  </si>
  <si>
    <t>MS-SK-SB</t>
  </si>
  <si>
    <t>221109-02-15</t>
  </si>
  <si>
    <t>1Z7X4V110492759549</t>
  </si>
  <si>
    <t>Monolayer - Polycrystal</t>
  </si>
  <si>
    <t>221110-04-2</t>
  </si>
  <si>
    <t>Monlayer on non-polished Schlenk</t>
  </si>
  <si>
    <t>221108-01-01</t>
  </si>
  <si>
    <t>PVA</t>
  </si>
  <si>
    <t>10cmx10cm</t>
  </si>
  <si>
    <t>221110-04-3</t>
  </si>
  <si>
    <t>EVA/PET</t>
  </si>
  <si>
    <t>221110-04-4</t>
  </si>
  <si>
    <t>221110-04-5</t>
  </si>
  <si>
    <t>E Ink Corporation</t>
  </si>
  <si>
    <t>3L Graphene</t>
  </si>
  <si>
    <t>220713-run6</t>
  </si>
  <si>
    <t>1Z7X4V110398731612</t>
  </si>
  <si>
    <t>Recieved, should test within a couple weeks</t>
  </si>
  <si>
    <t>2L Graphene</t>
  </si>
  <si>
    <t>SK</t>
  </si>
  <si>
    <t>PI/EVA/PET</t>
  </si>
  <si>
    <t>re-growth sample</t>
  </si>
  <si>
    <t>1Z7X4V110391650052</t>
  </si>
  <si>
    <t>Results impending after Thanksgiving</t>
  </si>
  <si>
    <t>E-Ink</t>
  </si>
  <si>
    <t>Clear PI</t>
  </si>
  <si>
    <t>Endoaver Composites</t>
  </si>
  <si>
    <t>MLG/PE</t>
  </si>
  <si>
    <t>PE</t>
  </si>
  <si>
    <t>Wet/Lamination</t>
  </si>
  <si>
    <t>10x10cm MLG on 15x15 PE</t>
  </si>
  <si>
    <t>CVD Growth</t>
  </si>
  <si>
    <t>Given</t>
  </si>
  <si>
    <t>2 Lamintated and 10 bare PE</t>
  </si>
  <si>
    <t>EPFL Valais Wallis</t>
  </si>
  <si>
    <t>Type A and Type B</t>
  </si>
  <si>
    <t>A4</t>
  </si>
  <si>
    <t>221018-3-2 / 221109-3-8</t>
  </si>
  <si>
    <t>1Z7X4V110490695764</t>
  </si>
  <si>
    <t>Forge Nano</t>
  </si>
  <si>
    <t>221017-5-5</t>
  </si>
  <si>
    <t>1Z7X4V110293241617</t>
  </si>
  <si>
    <t>Monolayer (Ozone Treated)</t>
  </si>
  <si>
    <t>220804-7-3</t>
  </si>
  <si>
    <t>Geic</t>
  </si>
  <si>
    <t>221017-5-(4-8)</t>
  </si>
  <si>
    <t>1Z7X4V116790658445</t>
  </si>
  <si>
    <t>Grapheal</t>
  </si>
  <si>
    <t>Roll 10 m</t>
  </si>
  <si>
    <t>220517-1</t>
  </si>
  <si>
    <t>220623-3</t>
  </si>
  <si>
    <t>QTE092210003</t>
  </si>
  <si>
    <t>No MLG</t>
  </si>
  <si>
    <t>15cmx28cm</t>
  </si>
  <si>
    <t>221017-1-2</t>
  </si>
  <si>
    <t>WAYBILL 15 2255 7050</t>
  </si>
  <si>
    <t>MB</t>
  </si>
  <si>
    <t>Acknowleded tracking of samples</t>
  </si>
  <si>
    <t>Replacement 1st PO</t>
  </si>
  <si>
    <t>SSK-SB-SK</t>
  </si>
  <si>
    <t>220830-1</t>
  </si>
  <si>
    <t>1Z7X4V110495047660</t>
  </si>
  <si>
    <t>220609-20</t>
  </si>
  <si>
    <t>1Z7X4V116797310940</t>
  </si>
  <si>
    <t>10 m Roll</t>
  </si>
  <si>
    <t>10 m</t>
  </si>
  <si>
    <t>Graphene Dx</t>
  </si>
  <si>
    <t>#10080</t>
  </si>
  <si>
    <t>2nd PO</t>
  </si>
  <si>
    <t>220609-02-06</t>
  </si>
  <si>
    <t>Pre-patterened SiO2 Wafer</t>
  </si>
  <si>
    <t>220929-05-4</t>
  </si>
  <si>
    <t>1Z7X4V110290595394</t>
  </si>
  <si>
    <t>PO-10177</t>
  </si>
  <si>
    <t>Type A schlenck</t>
  </si>
  <si>
    <t>schlenck</t>
  </si>
  <si>
    <t>none</t>
  </si>
  <si>
    <t>SB SSK</t>
  </si>
  <si>
    <t>221119.15.</t>
  </si>
  <si>
    <t>2.10.23</t>
  </si>
  <si>
    <r>
      <t> </t>
    </r>
    <r>
      <rPr>
        <b/>
        <sz val="8.5"/>
        <color rgb="FF660099"/>
        <rFont val="Arial"/>
        <family val="2"/>
        <charset val="1"/>
      </rPr>
      <t>771274768553</t>
    </r>
  </si>
  <si>
    <t>Grip</t>
  </si>
  <si>
    <t>#489</t>
  </si>
  <si>
    <t>220520.03._</t>
  </si>
  <si>
    <t>shipped</t>
  </si>
  <si>
    <t>1Z7X4V110295248974</t>
  </si>
  <si>
    <t>220609.02.04</t>
  </si>
  <si>
    <t>#536</t>
  </si>
  <si>
    <t>3d PO</t>
  </si>
  <si>
    <t>JF-SB</t>
  </si>
  <si>
    <t>220802.01.06</t>
  </si>
  <si>
    <t>1Z7X4V110292488738</t>
  </si>
  <si>
    <t>220210.02.1</t>
  </si>
  <si>
    <t>#611</t>
  </si>
  <si>
    <t>4th PO</t>
  </si>
  <si>
    <t xml:space="preserve">Type B </t>
  </si>
  <si>
    <t>x4 wafers will require time sensitive transfer</t>
  </si>
  <si>
    <t>Patterned SiO2 Wafer</t>
  </si>
  <si>
    <t>10.17.22</t>
  </si>
  <si>
    <t>1Z7X4V110290546491</t>
  </si>
  <si>
    <t>10.17.22 10.18.22</t>
  </si>
  <si>
    <t>1Z7X4V110396358717</t>
  </si>
  <si>
    <t>10.18.22</t>
  </si>
  <si>
    <t>#613</t>
  </si>
  <si>
    <t>5th PO</t>
  </si>
  <si>
    <t>x3 type A copper and x1 Type B</t>
  </si>
  <si>
    <t>221017.02.05 220929.02.05</t>
  </si>
  <si>
    <t>1Z7X4V110292859837</t>
  </si>
  <si>
    <t>Type A/Type B</t>
  </si>
  <si>
    <t>4"x 4"</t>
  </si>
  <si>
    <t>221020-21-1/220929-5-1</t>
  </si>
  <si>
    <t xml:space="preserve">Grip </t>
  </si>
  <si>
    <t>SiO2</t>
  </si>
  <si>
    <t>4''</t>
  </si>
  <si>
    <t>5+3 single crystal</t>
  </si>
  <si>
    <t>230131.run7 and 221109</t>
  </si>
  <si>
    <t>3.17.23</t>
  </si>
  <si>
    <t>1Z7X4V110295939932 / 1Z7X4V110295174526</t>
  </si>
  <si>
    <t>5 to grip and 3 to cambridge, MA,</t>
  </si>
  <si>
    <t>Hememics</t>
  </si>
  <si>
    <t>2022-Q2-RK-02</t>
  </si>
  <si>
    <t>G/PET (old - antistatic-non-annealed)</t>
  </si>
  <si>
    <t>PET</t>
  </si>
  <si>
    <t>6x6 on 8.5x6 PET</t>
  </si>
  <si>
    <t xml:space="preserve">SSK </t>
  </si>
  <si>
    <t>1Z7X4V110399567530</t>
  </si>
  <si>
    <t>Graphene transfer to Circuit board</t>
  </si>
  <si>
    <t>PCB</t>
  </si>
  <si>
    <t>1Z7X4V110392040683</t>
  </si>
  <si>
    <t>2022-Q3-RK-02</t>
  </si>
  <si>
    <t>12 on non-annealed Antistatic PET</t>
  </si>
  <si>
    <t>SB-SSK</t>
  </si>
  <si>
    <t>220520-4-(1-12)</t>
  </si>
  <si>
    <t>1Z7X4V110394944293</t>
  </si>
  <si>
    <t>14 on non-annealed Antistatic PET</t>
  </si>
  <si>
    <t>220803-1-(1-14)</t>
  </si>
  <si>
    <t>1Z7X4V111390413121</t>
  </si>
  <si>
    <t>6 on new Roll PET (06.22)</t>
  </si>
  <si>
    <t>220803-1-(15-20)</t>
  </si>
  <si>
    <t>1Z7X4V110396910566</t>
  </si>
  <si>
    <t>4 non-annealed A4 PET (01.08.22)</t>
  </si>
  <si>
    <t>220520-4-(15-18)</t>
  </si>
  <si>
    <t> 2022-Q3-RK-04</t>
  </si>
  <si>
    <t>16 non-annealed Antistatic PET</t>
  </si>
  <si>
    <t>SB-SSK-SK</t>
  </si>
  <si>
    <t>220804-1-(20-26&amp;31-40)</t>
  </si>
  <si>
    <t>1Z7X4V110392857346</t>
  </si>
  <si>
    <t>14 non-annealed Antistatic PET</t>
  </si>
  <si>
    <t>1Z7X4V110392418954</t>
  </si>
  <si>
    <t>2022-Q3-RK-04</t>
  </si>
  <si>
    <t>6 non-annealed Antistatic PET</t>
  </si>
  <si>
    <t>1Z7X4V110395851793</t>
  </si>
  <si>
    <t>4 non-annealed Antistatic PET - let dry in Ar</t>
  </si>
  <si>
    <t>220804-1-(27-30)</t>
  </si>
  <si>
    <t>2022-Q4-RK-01</t>
  </si>
  <si>
    <t>15/3/22</t>
  </si>
  <si>
    <t>60 non-annealed Antistatic PET</t>
  </si>
  <si>
    <t>220831-3/220804-2</t>
  </si>
  <si>
    <t>1Z7X4V111399709840</t>
  </si>
  <si>
    <t>220831/220804-2/220926-2</t>
  </si>
  <si>
    <t>1Z7X4V110395374273</t>
  </si>
  <si>
    <t>1Z7X4V110396744684</t>
  </si>
  <si>
    <t>220926-2 &amp; 220927-3</t>
  </si>
  <si>
    <t>1Z7X4V110391812270</t>
  </si>
  <si>
    <t>Non Polished Civen - Vd ~0</t>
  </si>
  <si>
    <t>221020-run22</t>
  </si>
  <si>
    <t>1Z7X4V110298362899</t>
  </si>
  <si>
    <t>2022-Q4-SA-03</t>
  </si>
  <si>
    <t>Thermally stable PET</t>
  </si>
  <si>
    <t>1Z7X4V111392530938</t>
  </si>
  <si>
    <t>PCB research</t>
  </si>
  <si>
    <t>PCBs</t>
  </si>
  <si>
    <t>221018-2-1</t>
  </si>
  <si>
    <t>1Z7X4V111390181159</t>
  </si>
  <si>
    <t>QTE012310001</t>
  </si>
  <si>
    <t>replacement for 2022-Q4-RK-01</t>
  </si>
  <si>
    <t>replacement for 2022-Q4-RK-01 11/11/22</t>
  </si>
  <si>
    <t>221021-1</t>
  </si>
  <si>
    <t>1Z7X4V110293012258</t>
  </si>
  <si>
    <t xml:space="preserve">Hememics </t>
  </si>
  <si>
    <t>6 PCBs</t>
  </si>
  <si>
    <t>220831-3-</t>
  </si>
  <si>
    <t>1Z7X4V110390261788</t>
  </si>
  <si>
    <t>5 PCBs</t>
  </si>
  <si>
    <t>221018-2-</t>
  </si>
  <si>
    <t>221018-2 and 111022-2</t>
  </si>
  <si>
    <t>1Z7X4V110390203377</t>
  </si>
  <si>
    <t>*second pack of mailed perforated green pcbs</t>
  </si>
  <si>
    <t>2023-Q1-KD-01</t>
  </si>
  <si>
    <t>2 PCBs</t>
  </si>
  <si>
    <t>1Z7X4V110394136424</t>
  </si>
  <si>
    <t>new pack of circular sensors</t>
  </si>
  <si>
    <t>4 PCBs</t>
  </si>
  <si>
    <t>221110.17.03</t>
  </si>
  <si>
    <t>1Z7X4V110394160648</t>
  </si>
  <si>
    <t>2023-Q1-KD-02</t>
  </si>
  <si>
    <t>10 PCBs</t>
  </si>
  <si>
    <t>7 of 10</t>
  </si>
  <si>
    <t>221019.18.08</t>
  </si>
  <si>
    <t>1Z7X4V110393956862</t>
  </si>
  <si>
    <t>2.3.23 sending 7/10</t>
  </si>
  <si>
    <t>3 of 10</t>
  </si>
  <si>
    <t>1Z7X4V110393348699</t>
  </si>
  <si>
    <t>2.13.23 sending last 3 of 10</t>
  </si>
  <si>
    <t>2023-Q1-KD-03</t>
  </si>
  <si>
    <t>1Z7X4V110391574911</t>
  </si>
  <si>
    <t>first 10 mailed 2.24.23/2nd set sent 3.3.23</t>
  </si>
  <si>
    <t>QTE012310003/2023-Q1-KD-02</t>
  </si>
  <si>
    <t>1Z7X4V110397710888</t>
  </si>
  <si>
    <t>Keck</t>
  </si>
  <si>
    <t>QTE062210002</t>
  </si>
  <si>
    <t>5"x5"</t>
  </si>
  <si>
    <t>220520-3</t>
  </si>
  <si>
    <t>1Z7X4V110295244076</t>
  </si>
  <si>
    <t>Kerala</t>
  </si>
  <si>
    <t>samples</t>
  </si>
  <si>
    <t>221019-16-2,3,4</t>
  </si>
  <si>
    <t>1Z7X4V116798509378</t>
  </si>
  <si>
    <t>Log 9</t>
  </si>
  <si>
    <t>Growth on Nickel</t>
  </si>
  <si>
    <t>Ni</t>
  </si>
  <si>
    <t>Direct growth</t>
  </si>
  <si>
    <t>10x17cm</t>
  </si>
  <si>
    <t>SSK -MS</t>
  </si>
  <si>
    <t>Matthew T. McDowell GA Tech</t>
  </si>
  <si>
    <t>CD case size</t>
  </si>
  <si>
    <t>220623-01-20</t>
  </si>
  <si>
    <t>1Z7X4V110399084516</t>
  </si>
  <si>
    <t>220623-02-01</t>
  </si>
  <si>
    <t>NanotoolsBio</t>
  </si>
  <si>
    <t>PET - 96 well plate</t>
  </si>
  <si>
    <t>2+1</t>
  </si>
  <si>
    <t>220516-02 / 221019-16</t>
  </si>
  <si>
    <t>1Z7X4V110397053991</t>
  </si>
  <si>
    <t>2 and 3 layers on glass</t>
  </si>
  <si>
    <t>230131-</t>
  </si>
  <si>
    <t>1Z7X4V110296053146</t>
  </si>
  <si>
    <t>NAWA Technologies</t>
  </si>
  <si>
    <t>8.5 x 11"</t>
  </si>
  <si>
    <t>SSK-SB-MS</t>
  </si>
  <si>
    <t>20220713_R2R</t>
  </si>
  <si>
    <t>1Z7X4V110396703807</t>
  </si>
  <si>
    <t>220128-1</t>
  </si>
  <si>
    <t>220520-4</t>
  </si>
  <si>
    <t>New Skin - Dublin City Univ</t>
  </si>
  <si>
    <t>221017-1-8</t>
  </si>
  <si>
    <t>1Z7X4V110496752904</t>
  </si>
  <si>
    <t>New Skin - Nanofaber</t>
  </si>
  <si>
    <t>221017-1-7</t>
  </si>
  <si>
    <t>1Z7X4V110491003106</t>
  </si>
  <si>
    <t>Norplex-Micarta</t>
  </si>
  <si>
    <t>1Z7X4V110397382000</t>
  </si>
  <si>
    <t>Paragraf</t>
  </si>
  <si>
    <t>MS-SB</t>
  </si>
  <si>
    <t>220712-5-2 (tore)/ 220712-01-1</t>
  </si>
  <si>
    <t>1Z7X4V110495619177</t>
  </si>
  <si>
    <t>Asked Feedback on wafer characteristics</t>
  </si>
  <si>
    <t>220803-4-14 (tore)/ 220803-02-1(tore)</t>
  </si>
  <si>
    <t>canceled</t>
  </si>
  <si>
    <t>QinetiQ</t>
  </si>
  <si>
    <t>POS0084133</t>
  </si>
  <si>
    <t>13x17.5cm</t>
  </si>
  <si>
    <t>1Z7X4V110498234701</t>
  </si>
  <si>
    <t>Shear Form Inc</t>
  </si>
  <si>
    <t>Type A (multilayer)</t>
  </si>
  <si>
    <t>Growth on NEP Shlenk</t>
  </si>
  <si>
    <t>SB-SK-SSK</t>
  </si>
  <si>
    <t>221109-14</t>
  </si>
  <si>
    <t>1Z7X4V110392782882</t>
  </si>
  <si>
    <t>SmartIR</t>
  </si>
  <si>
    <t>Graphene on copper</t>
  </si>
  <si>
    <t>220712-5-1</t>
  </si>
  <si>
    <t>1Z7X4V116797521758</t>
  </si>
  <si>
    <t>Graphene on Nickel</t>
  </si>
  <si>
    <t>C2_220812_1</t>
  </si>
  <si>
    <t>C2_220812_2</t>
  </si>
  <si>
    <t>2022SmartIR0070</t>
  </si>
  <si>
    <t>Graphene on Copper</t>
  </si>
  <si>
    <t>5+1 free 20um</t>
  </si>
  <si>
    <t>221110-18-03</t>
  </si>
  <si>
    <t>1Z7X4V116791684209</t>
  </si>
  <si>
    <t xml:space="preserve">8.3" x 11.7" </t>
  </si>
  <si>
    <t>221019-17</t>
  </si>
  <si>
    <t>University of Tennessee</t>
  </si>
  <si>
    <t>Polyimide</t>
  </si>
  <si>
    <t>Leiden Univ</t>
  </si>
  <si>
    <t>Bilayer</t>
  </si>
  <si>
    <t>221110-18-9/221108-</t>
  </si>
  <si>
    <t>1Z7X4V116799024470</t>
  </si>
  <si>
    <t>Energy Cumulus</t>
  </si>
  <si>
    <t>Free Sample</t>
  </si>
  <si>
    <t>Monolayer/Trilayer</t>
  </si>
  <si>
    <t>221110-18-10,11</t>
  </si>
  <si>
    <t>1Z7X4V110498539052</t>
  </si>
  <si>
    <t>EPFL</t>
  </si>
  <si>
    <t>221110-18-13,14</t>
  </si>
  <si>
    <t>1Z7X4V116798092041</t>
  </si>
  <si>
    <t>Panasonic</t>
  </si>
  <si>
    <t>20 Layer Graphene</t>
  </si>
  <si>
    <t>3"x6"</t>
  </si>
  <si>
    <t>230302-11-1-5</t>
  </si>
  <si>
    <t>230130-</t>
  </si>
  <si>
    <t>NUS</t>
  </si>
  <si>
    <t>Monolayer on Polymer</t>
  </si>
  <si>
    <t>SU8/EVA/PET</t>
  </si>
  <si>
    <t>30cmx10cm</t>
  </si>
  <si>
    <t>110922-15-4</t>
  </si>
  <si>
    <t>Column1</t>
  </si>
  <si>
    <t>Product number</t>
  </si>
  <si>
    <t>Copper type</t>
  </si>
  <si>
    <t>Number of 6"x6" pieces</t>
  </si>
  <si>
    <t>Overall Quality</t>
  </si>
  <si>
    <t>Single/Poly Crystal</t>
  </si>
  <si>
    <t>D/G</t>
  </si>
  <si>
    <t>Grade</t>
  </si>
  <si>
    <t>Used</t>
  </si>
  <si>
    <t xml:space="preserve">Used for </t>
  </si>
  <si>
    <t>Remaining</t>
  </si>
  <si>
    <t>220128-2</t>
  </si>
  <si>
    <t>Civen</t>
  </si>
  <si>
    <t>cracked</t>
  </si>
  <si>
    <t>Yes</t>
  </si>
  <si>
    <t>220210-2</t>
  </si>
  <si>
    <t>Schlenk</t>
  </si>
  <si>
    <t>No</t>
  </si>
  <si>
    <t>Grip 8.16.22 / NaOH clean R&amp;D</t>
  </si>
  <si>
    <t>220211-3</t>
  </si>
  <si>
    <t>220308-3</t>
  </si>
  <si>
    <t>Schlenck</t>
  </si>
  <si>
    <t>220309-5</t>
  </si>
  <si>
    <t>Schlenk Total</t>
  </si>
  <si>
    <t>TYPE A Total</t>
  </si>
  <si>
    <t>220309-6</t>
  </si>
  <si>
    <t>220309.-7</t>
  </si>
  <si>
    <t>220414-1</t>
  </si>
  <si>
    <t xml:space="preserve">CARDEA return </t>
  </si>
  <si>
    <t>220415-4</t>
  </si>
  <si>
    <t>Civen Total</t>
  </si>
  <si>
    <t>Type B Total</t>
  </si>
  <si>
    <t>220415-8</t>
  </si>
  <si>
    <t>220415-7</t>
  </si>
  <si>
    <t>220415-6</t>
  </si>
  <si>
    <t>CARDEA extra</t>
  </si>
  <si>
    <t>220520-1</t>
  </si>
  <si>
    <t>S-High D-Cracks</t>
  </si>
  <si>
    <t>TYPE C Total</t>
  </si>
  <si>
    <t>220520-2</t>
  </si>
  <si>
    <t>S-Low D-No Cracks</t>
  </si>
  <si>
    <t>P-No cracks-high MLG</t>
  </si>
  <si>
    <t>Other Total</t>
  </si>
  <si>
    <t>P- Low D - Low splits</t>
  </si>
  <si>
    <t>4 Grapheal</t>
  </si>
  <si>
    <t>Total ALL</t>
  </si>
  <si>
    <t>220609-1</t>
  </si>
  <si>
    <t>S-Low D- 1%MLG</t>
  </si>
  <si>
    <t>Grapheal/GrapheneDx</t>
  </si>
  <si>
    <t>220609-2</t>
  </si>
  <si>
    <t>5 AMO - 1 Dx - 2 Grip</t>
  </si>
  <si>
    <t>P-Low D- Low splits</t>
  </si>
  <si>
    <t>220620-1</t>
  </si>
  <si>
    <t>R&amp;D - Cardea - Hememics</t>
  </si>
  <si>
    <t>220621-2</t>
  </si>
  <si>
    <t>25 m</t>
  </si>
  <si>
    <t>Roll to Roll</t>
  </si>
  <si>
    <t xml:space="preserve">Yes </t>
  </si>
  <si>
    <t>220712-1</t>
  </si>
  <si>
    <t>x2 Paragraf 8.19.22; x1 in house SiO2 #4</t>
  </si>
  <si>
    <t>220712-2</t>
  </si>
  <si>
    <t>x2 Grip 8.16.22 / Hememics/Paragraf</t>
  </si>
  <si>
    <t xml:space="preserve">Civen </t>
  </si>
  <si>
    <t>roll to roll polished</t>
  </si>
  <si>
    <t>220804-2</t>
  </si>
  <si>
    <t>x2 Paragraf 8.19.22</t>
  </si>
  <si>
    <t>Grapheal, ADI</t>
  </si>
  <si>
    <t>220926-1</t>
  </si>
  <si>
    <t>220926-2</t>
  </si>
  <si>
    <t xml:space="preserve">PI, Hememics, </t>
  </si>
  <si>
    <t>220927-3</t>
  </si>
  <si>
    <t>220928-4</t>
  </si>
  <si>
    <t>220929-5</t>
  </si>
  <si>
    <t>BU / Grapheal / Cardea/Grip</t>
  </si>
  <si>
    <t>221017-1</t>
  </si>
  <si>
    <t>Grapheal/Forge Nano/Cardea/Grip/NanoFaber</t>
  </si>
  <si>
    <t>221018-2</t>
  </si>
  <si>
    <t>Grip, Hememics,</t>
  </si>
  <si>
    <t>221018-3</t>
  </si>
  <si>
    <t>Kerala, Hememics,</t>
  </si>
  <si>
    <t>221019-4</t>
  </si>
  <si>
    <t>221019-5</t>
  </si>
  <si>
    <t>Kerala, Hememics, Nanotools 96well</t>
  </si>
  <si>
    <t>221019-6</t>
  </si>
  <si>
    <t>221019-7</t>
  </si>
  <si>
    <t>221019-8</t>
  </si>
  <si>
    <t>221108-11</t>
  </si>
  <si>
    <t>nonEP Schlenk</t>
  </si>
  <si>
    <t>Shear Form</t>
  </si>
  <si>
    <t>221109-15</t>
  </si>
  <si>
    <t>BU, Switzerland, Smart IR, Grip</t>
  </si>
  <si>
    <t>221110-17</t>
  </si>
  <si>
    <t>Hememics, Smart IR, Leiden University, Energy Cumulus, EPFL</t>
  </si>
  <si>
    <t>230130-4</t>
  </si>
  <si>
    <t>Production 2 run7</t>
  </si>
  <si>
    <t>230131-7</t>
  </si>
  <si>
    <t>4''stock wafer, Nanotools Bio</t>
  </si>
  <si>
    <t>230131-8</t>
  </si>
  <si>
    <t>Civen r2r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</si>
</sst>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164" formatCode="0.000"/>
  </numFmts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</font>
    <font>
      <sz val="10"/>
      <name val="Roboto"/>
    </font>
    <font>
      <sz val="10"/>
      <color rgb="FF000000"/>
      <name val="Arial"/>
      <family val="2"/>
    </font>
    <font>
      <sz val="10"/>
      <color rgb="FF363636"/>
      <name val="Roboto"/>
    </font>
    <font>
      <b/>
      <i/>
      <u/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sz val="11"/>
      <color rgb="FF000000"/>
      <name val="Calibri"/>
      <family val="2"/>
    </font>
    <font>
      <sz val="14"/>
      <color theme="1"/>
      <name val="Calibri"/>
      <family val="2"/>
      <scheme val="minor"/>
    </font>
    <font>
      <sz val="11"/>
      <color rgb="FF363636"/>
      <name val="Calibri"/>
      <family val="2"/>
    </font>
    <font>
      <b/>
      <sz val="18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8"/>
      <color theme="7" tint="-0.249977111117893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0"/>
      <color theme="1"/>
      <name val="Century Gothic"/>
      <family val="2"/>
    </font>
    <font>
      <sz val="11"/>
      <color rgb="FF363636"/>
      <name val="Roboto"/>
    </font>
    <font>
      <u/>
      <sz val="11"/>
      <color theme="10"/>
      <name val="Calibri"/>
      <family val="2"/>
      <scheme val="minor"/>
    </font>
    <font>
      <sz val="12"/>
      <color rgb="FF363636"/>
      <name val="Roboto"/>
    </font>
    <font>
      <sz val="11"/>
      <color rgb="FF000000"/>
      <name val="Century Gothic"/>
      <family val="2"/>
      <charset val="1"/>
    </font>
    <font>
      <b/>
      <sz val="9"/>
      <color rgb="FF363636"/>
      <name val="Roboto"/>
    </font>
    <font>
      <b/>
      <sz val="8.5"/>
      <color rgb="FF660099"/>
      <name val="Arial"/>
      <family val="2"/>
      <charset val="1"/>
    </font>
    <font>
      <sz val="14"/>
      <color rgb="FF242424"/>
      <name val="Century Gothic"/>
      <charset val="1"/>
    </font>
    <font>
      <sz val="10"/>
      <color rgb="FF363636"/>
      <name val="Roboto"/>
      <charset val="1"/>
    </font>
    <font>
      <sz val="11"/>
      <color rgb="FF363636"/>
      <name val="Calibri"/>
    </font>
    <font>
      <sz val="11"/>
      <color rgb="FF9C5700"/>
      <name val="Calibri"/>
      <family val="2"/>
      <scheme val="minor"/>
    </font>
    <font>
      <sz val="18"/>
      <color rgb="FF363636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36" fillId="10" borderId="0" applyNumberFormat="0" applyBorder="0" applyAlignment="0" applyProtection="0"/>
  </cellStyleXfs>
  <cellXfs count="17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4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9" fontId="0" fillId="0" borderId="0" xfId="1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4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1" applyNumberFormat="1" applyFont="1" applyBorder="1" applyAlignment="1">
      <alignment horizontal="center" vertical="center"/>
    </xf>
    <xf numFmtId="14" fontId="8" fillId="2" borderId="0" xfId="0" applyNumberFormat="1" applyFont="1" applyFill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2" fontId="8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9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1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9" fontId="0" fillId="0" borderId="0" xfId="1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vertical="center"/>
    </xf>
    <xf numFmtId="2" fontId="4" fillId="0" borderId="2" xfId="0" applyNumberFormat="1" applyFont="1" applyBorder="1" applyAlignment="1">
      <alignment vertic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6" borderId="0" xfId="0" applyFill="1" applyAlignment="1">
      <alignment horizontal="left" vertical="center"/>
    </xf>
    <xf numFmtId="0" fontId="14" fillId="0" borderId="0" xfId="0" applyFont="1"/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0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14" fontId="0" fillId="0" borderId="0" xfId="0" applyNumberFormat="1"/>
    <xf numFmtId="0" fontId="13" fillId="0" borderId="0" xfId="0" applyFont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14" fontId="0" fillId="0" borderId="0" xfId="0" applyNumberFormat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2" xfId="0" applyNumberFormat="1" applyBorder="1"/>
    <xf numFmtId="14" fontId="4" fillId="0" borderId="0" xfId="0" applyNumberFormat="1" applyFont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/>
    </xf>
    <xf numFmtId="0" fontId="15" fillId="0" borderId="0" xfId="0" applyFont="1"/>
    <xf numFmtId="0" fontId="16" fillId="0" borderId="0" xfId="0" applyFont="1" applyAlignment="1">
      <alignment horizontal="right" vertical="center" wrapText="1"/>
    </xf>
    <xf numFmtId="0" fontId="17" fillId="0" borderId="0" xfId="0" applyFont="1"/>
    <xf numFmtId="16" fontId="4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164" fontId="4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wrapText="1"/>
    </xf>
    <xf numFmtId="14" fontId="0" fillId="0" borderId="3" xfId="0" applyNumberFormat="1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0" fontId="1" fillId="0" borderId="0" xfId="0" applyFont="1"/>
    <xf numFmtId="14" fontId="1" fillId="7" borderId="0" xfId="0" applyNumberFormat="1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7" fillId="8" borderId="0" xfId="0" applyNumberFormat="1" applyFont="1" applyFill="1" applyAlignment="1">
      <alignment horizontal="center" vertical="center" wrapText="1"/>
    </xf>
    <xf numFmtId="2" fontId="7" fillId="8" borderId="0" xfId="0" applyNumberFormat="1" applyFont="1" applyFill="1" applyAlignment="1">
      <alignment horizontal="center" vertical="center" wrapText="1"/>
    </xf>
    <xf numFmtId="49" fontId="7" fillId="8" borderId="0" xfId="0" applyNumberFormat="1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vertical="center"/>
    </xf>
    <xf numFmtId="14" fontId="0" fillId="8" borderId="0" xfId="0" applyNumberFormat="1" applyFill="1" applyAlignment="1">
      <alignment horizontal="center" vertical="center"/>
    </xf>
    <xf numFmtId="14" fontId="0" fillId="9" borderId="0" xfId="0" applyNumberFormat="1" applyFill="1" applyAlignment="1">
      <alignment horizontal="center" vertical="center"/>
    </xf>
    <xf numFmtId="14" fontId="0" fillId="0" borderId="3" xfId="0" applyNumberFormat="1" applyBorder="1"/>
    <xf numFmtId="0" fontId="26" fillId="0" borderId="0" xfId="0" applyFont="1"/>
    <xf numFmtId="0" fontId="12" fillId="0" borderId="0" xfId="0" applyFont="1" applyAlignment="1">
      <alignment horizontal="center"/>
    </xf>
    <xf numFmtId="0" fontId="27" fillId="0" borderId="0" xfId="0" applyFont="1"/>
    <xf numFmtId="164" fontId="0" fillId="0" borderId="2" xfId="0" applyNumberFormat="1" applyBorder="1" applyAlignment="1">
      <alignment horizontal="center"/>
    </xf>
    <xf numFmtId="0" fontId="28" fillId="0" borderId="0" xfId="2"/>
    <xf numFmtId="14" fontId="0" fillId="0" borderId="12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top" wrapText="1"/>
    </xf>
    <xf numFmtId="0" fontId="0" fillId="0" borderId="12" xfId="0" applyBorder="1" applyAlignment="1">
      <alignment horizontal="right" vertical="center" wrapText="1"/>
    </xf>
    <xf numFmtId="0" fontId="0" fillId="0" borderId="12" xfId="0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0" fontId="0" fillId="0" borderId="12" xfId="0" applyBorder="1"/>
    <xf numFmtId="14" fontId="0" fillId="0" borderId="12" xfId="0" applyNumberFormat="1" applyBorder="1"/>
    <xf numFmtId="164" fontId="4" fillId="0" borderId="12" xfId="0" applyNumberFormat="1" applyFont="1" applyBorder="1" applyAlignment="1">
      <alignment horizontal="center" vertical="center"/>
    </xf>
    <xf numFmtId="0" fontId="0" fillId="0" borderId="12" xfId="1" applyNumberFormat="1" applyFont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left" vertical="center"/>
    </xf>
    <xf numFmtId="2" fontId="4" fillId="0" borderId="12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29" fillId="0" borderId="0" xfId="0" applyFont="1"/>
    <xf numFmtId="0" fontId="30" fillId="0" borderId="0" xfId="0" applyFont="1"/>
    <xf numFmtId="0" fontId="31" fillId="0" borderId="0" xfId="0" applyFont="1"/>
    <xf numFmtId="0" fontId="4" fillId="0" borderId="0" xfId="2" applyFont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10" borderId="0" xfId="3" applyAlignment="1">
      <alignment horizontal="center" vertical="center"/>
    </xf>
    <xf numFmtId="0" fontId="37" fillId="0" borderId="0" xfId="0" applyFont="1"/>
    <xf numFmtId="2" fontId="20" fillId="0" borderId="4" xfId="0" applyNumberFormat="1" applyFont="1" applyBorder="1" applyAlignment="1">
      <alignment horizontal="center" vertical="center"/>
    </xf>
    <xf numFmtId="2" fontId="20" fillId="0" borderId="5" xfId="0" applyNumberFormat="1" applyFont="1" applyBorder="1" applyAlignment="1">
      <alignment horizontal="center" vertical="center"/>
    </xf>
    <xf numFmtId="2" fontId="20" fillId="0" borderId="7" xfId="0" applyNumberFormat="1" applyFont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2" fontId="24" fillId="0" borderId="7" xfId="0" applyNumberFormat="1" applyFont="1" applyBorder="1" applyAlignment="1">
      <alignment horizontal="center" vertical="center"/>
    </xf>
    <xf numFmtId="2" fontId="24" fillId="0" borderId="0" xfId="0" applyNumberFormat="1" applyFont="1" applyAlignment="1">
      <alignment horizontal="center" vertical="center"/>
    </xf>
    <xf numFmtId="2" fontId="24" fillId="0" borderId="9" xfId="0" applyNumberFormat="1" applyFont="1" applyBorder="1" applyAlignment="1">
      <alignment horizontal="center" vertical="center"/>
    </xf>
    <xf numFmtId="2" fontId="24" fillId="0" borderId="10" xfId="0" applyNumberFormat="1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2" fontId="18" fillId="0" borderId="4" xfId="0" applyNumberFormat="1" applyFont="1" applyBorder="1" applyAlignment="1">
      <alignment horizontal="center" vertical="center"/>
    </xf>
    <xf numFmtId="2" fontId="18" fillId="0" borderId="5" xfId="0" applyNumberFormat="1" applyFont="1" applyBorder="1" applyAlignment="1">
      <alignment horizontal="center" vertical="center"/>
    </xf>
    <xf numFmtId="2" fontId="18" fillId="0" borderId="7" xfId="0" applyNumberFormat="1" applyFont="1" applyBorder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2" fontId="22" fillId="0" borderId="7" xfId="0" applyNumberFormat="1" applyFont="1" applyBorder="1" applyAlignment="1">
      <alignment horizontal="center" vertical="center"/>
    </xf>
    <xf numFmtId="2" fontId="22" fillId="0" borderId="0" xfId="0" applyNumberFormat="1" applyFont="1" applyAlignment="1">
      <alignment horizontal="center" vertical="center"/>
    </xf>
    <xf numFmtId="2" fontId="22" fillId="0" borderId="9" xfId="0" applyNumberFormat="1" applyFont="1" applyBorder="1" applyAlignment="1">
      <alignment horizontal="center" vertical="center"/>
    </xf>
    <xf numFmtId="2" fontId="22" fillId="0" borderId="10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</cellXfs>
  <cellStyles count="4">
    <cellStyle name="Hyperlink" xfId="2" builtinId="8"/>
    <cellStyle name="Neutral" xfId="3" builtinId="28"/>
    <cellStyle name="Normal" xfId="0" builtinId="0"/>
    <cellStyle name="Percent" xfId="1" builtinId="5"/>
  </cellStyles>
  <dxfs count="1392"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</dxf>
    <dxf>
      <font>
        <b/>
        <i val="0"/>
        <color theme="4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theme="4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strike val="0"/>
        <color rgb="FFC00000"/>
      </font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strike val="0"/>
        <color rgb="FFC00000"/>
      </font>
    </dxf>
    <dxf>
      <fill>
        <patternFill>
          <bgColor theme="9" tint="0.79998168889431442"/>
        </patternFill>
      </fill>
    </dxf>
    <dxf>
      <font>
        <strike val="0"/>
        <color rgb="FFC00000"/>
      </font>
    </dxf>
    <dxf>
      <fill>
        <patternFill>
          <bgColor theme="9" tint="0.79998168889431442"/>
        </patternFill>
      </fill>
    </dxf>
    <dxf>
      <fill>
        <patternFill>
          <bgColor theme="9"/>
        </patternFill>
      </fill>
    </dxf>
    <dxf>
      <fill>
        <patternFill>
          <bgColor theme="9" tint="0.59996337778862885"/>
        </patternFill>
      </fill>
    </dxf>
    <dxf>
      <fill>
        <patternFill>
          <bgColor rgb="FFFB8D9A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9B9B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ont>
        <color rgb="FF9C0006"/>
      </font>
    </dxf>
    <dxf>
      <fill>
        <patternFill>
          <bgColor theme="9"/>
        </patternFill>
      </fill>
    </dxf>
    <dxf>
      <fill>
        <patternFill>
          <bgColor theme="9" tint="0.59996337778862885"/>
        </patternFill>
      </fill>
    </dxf>
    <dxf>
      <fill>
        <patternFill>
          <bgColor rgb="FFFB8D9A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9B9B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ont>
        <color rgb="FF9C0006"/>
      </font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ont>
        <color rgb="FF9C0006"/>
      </font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ont>
        <color rgb="FF9C0006"/>
      </font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bgColor theme="9"/>
        </patternFill>
      </fill>
    </dxf>
    <dxf>
      <fill>
        <patternFill>
          <bgColor theme="9" tint="0.59996337778862885"/>
        </patternFill>
      </fill>
    </dxf>
    <dxf>
      <fill>
        <patternFill>
          <bgColor rgb="FFFB8D9A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9B9B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ill>
        <patternFill>
          <bgColor theme="9"/>
        </patternFill>
      </fill>
    </dxf>
    <dxf>
      <fill>
        <patternFill>
          <bgColor theme="9" tint="0.59996337778862885"/>
        </patternFill>
      </fill>
    </dxf>
    <dxf>
      <fill>
        <patternFill>
          <bgColor rgb="FFFB8D9A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9B9B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bgColor theme="9"/>
        </patternFill>
      </fill>
    </dxf>
    <dxf>
      <fill>
        <patternFill>
          <bgColor theme="9" tint="0.59996337778862885"/>
        </patternFill>
      </fill>
    </dxf>
    <dxf>
      <fill>
        <patternFill>
          <bgColor rgb="FFFB8D9A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9B9B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bgColor theme="9"/>
        </patternFill>
      </fill>
    </dxf>
    <dxf>
      <fill>
        <patternFill>
          <bgColor theme="9" tint="0.59996337778862885"/>
        </patternFill>
      </fill>
    </dxf>
    <dxf>
      <fill>
        <patternFill>
          <bgColor rgb="FFFB8D9A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9B9B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bgColor theme="9"/>
        </patternFill>
      </fill>
    </dxf>
    <dxf>
      <fill>
        <patternFill>
          <bgColor theme="9" tint="0.59996337778862885"/>
        </patternFill>
      </fill>
    </dxf>
    <dxf>
      <fill>
        <patternFill>
          <bgColor rgb="FFFB8D9A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9B9B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ont>
        <color rgb="FF9C0006"/>
      </font>
    </dxf>
    <dxf>
      <fill>
        <patternFill>
          <bgColor theme="9"/>
        </patternFill>
      </fill>
    </dxf>
    <dxf>
      <fill>
        <patternFill>
          <bgColor theme="9" tint="0.59996337778862885"/>
        </patternFill>
      </fill>
    </dxf>
    <dxf>
      <fill>
        <patternFill>
          <bgColor rgb="FFFB8D9A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9B9B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ont>
        <color rgb="FF9C0006"/>
      </font>
    </dxf>
    <dxf>
      <fill>
        <patternFill>
          <bgColor theme="9"/>
        </patternFill>
      </fill>
    </dxf>
    <dxf>
      <fill>
        <patternFill>
          <bgColor theme="9" tint="0.59996337778862885"/>
        </patternFill>
      </fill>
    </dxf>
    <dxf>
      <fill>
        <patternFill>
          <bgColor rgb="FFFB8D9A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9B9B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ont>
        <color rgb="FF9C0006"/>
      </font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ont>
        <color rgb="FF9C0006"/>
      </font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ont>
        <color rgb="FF9C0006"/>
      </font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ont>
        <color rgb="FF9C0006"/>
      </font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ill>
        <patternFill>
          <bgColor theme="9"/>
        </patternFill>
      </fill>
    </dxf>
    <dxf>
      <fill>
        <patternFill>
          <bgColor theme="9" tint="0.59996337778862885"/>
        </patternFill>
      </fill>
    </dxf>
    <dxf>
      <fill>
        <patternFill>
          <bgColor rgb="FFFB8D9A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9B9B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</font>
      <fill>
        <patternFill>
          <bgColor theme="4" tint="0.39994506668294322"/>
        </patternFill>
      </fill>
    </dxf>
    <dxf>
      <border diagonalUp="0" diagonalDown="0">
        <left/>
        <right/>
        <top/>
        <bottom/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Table Style 1" pivot="0" count="2" xr9:uid="{3C2DEA75-658C-4778-85AF-50E04B3AB269}">
      <tableStyleElement type="wholeTable" dxfId="1391"/>
      <tableStyleElement type="headerRow" dxfId="1390"/>
    </tableStyle>
    <tableStyle name="TableStyleLight9 2" pivot="0" count="9" xr9:uid="{4153BEBD-A6FC-49E3-AD08-7B08216F1C81}">
      <tableStyleElement type="wholeTable" dxfId="1389"/>
      <tableStyleElement type="headerRow" dxfId="1388"/>
      <tableStyleElement type="totalRow" dxfId="1387"/>
      <tableStyleElement type="firstColumn" dxfId="1386"/>
      <tableStyleElement type="lastColumn" dxfId="1385"/>
      <tableStyleElement type="firstRowStripe" dxfId="1384"/>
      <tableStyleElement type="secondRowStripe" dxfId="1383"/>
      <tableStyleElement type="firstColumnStripe" dxfId="1382"/>
      <tableStyleElement type="secondColumnStripe" dxfId="1381"/>
    </tableStyle>
  </tableStyles>
  <colors>
    <mruColors>
      <color rgb="FFCC3300"/>
      <color rgb="FFFF7C80"/>
      <color rgb="FFEDA197"/>
      <color rgb="FFFCB8B6"/>
      <color rgb="FFFF3300"/>
      <color rgb="FFFF66FF"/>
      <color rgb="FFE6BE7C"/>
      <color rgb="FF4A91D2"/>
      <color rgb="FFF76363"/>
      <color rgb="FF9FE7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ra Baraket" id="{5366B19B-F81C-4D8F-BA11-0DEFCC3365ED}" userId="Mira@GeneralGrapheneCorp.com" providerId="PeoplePicker"/>
  <person displayName="Samantha Solis Kalkach" id="{F57AF7ED-F066-4A2A-9689-CAF5F5447E3A}" userId="SSolis@GeneralGrapheneCorp.com" providerId="PeoplePicker"/>
  <person displayName="Shagun Kapur" id="{C23306CE-8A5A-40E9-8E14-CEC1DC531E94}" userId="skapur@GeneralGrapheneCorp.com" providerId="PeoplePicker"/>
  <person displayName="Sean Barton" id="{CC6F52C1-5A91-4B4B-ACB2-02FC466D6DC4}" userId="SBARTON@GeneralGrapheneCorp.com" providerId="PeoplePicker"/>
  <person displayName="Mira Baraket" id="{33A07732-A35A-4DFD-96A6-27DF5F44368B}" userId="S::Mira@GeneralGrapheneCorp.com::8ce2bda4-ee36-4864-8d14-d374f083c670" providerId="AD"/>
  <person displayName="Mira Baraket" id="{3C9BD2AA-E734-47C6-B1D5-2541842431E3}" userId="S::mira@generalgraphenecorp.com::8ce2bda4-ee36-4864-8d14-d374f083c670" providerId="AD"/>
  <person displayName="Shagun Kapur" id="{C4120680-098C-4FA5-BA60-B58302C58BD5}" userId="S::skapur@GeneralGrapheneCorp.com::9a23b73b-647e-4d11-a7cd-a3e1ff774684" providerId="AD"/>
  <person displayName="Samantha Solis Kalkach" id="{670AF87D-025D-4CFC-A013-544C82590480}" userId="S::ssolis@generalgraphenecorp.com::0770fbb2-c741-4374-b75a-f54b3b5ff441" providerId="AD"/>
  <person displayName="Michael Stanford" id="{07CFA5E9-7C93-494F-BD4C-5E612E4A3430}" userId="S::mstanford@generalgraphenecorp.com::1fa3da1c-88c3-404d-9084-0eafddfbb22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8C7827-8A8D-444B-AE2D-EE7BE43B7B21}" name="Table2" displayName="Table2" ref="A1:S110" totalsRowShown="0" headerRowDxfId="50" dataDxfId="49">
  <autoFilter ref="A1:S110" xr:uid="{F98C7827-8A8D-444B-AE2D-EE7BE43B7B21}"/>
  <sortState xmlns:xlrd2="http://schemas.microsoft.com/office/spreadsheetml/2017/richdata2" ref="A2:S110">
    <sortCondition ref="A1:A110"/>
  </sortState>
  <tableColumns count="19">
    <tableColumn id="1" xr3:uid="{746EE444-BA65-4C06-9184-7307F35C750A}" name="Company" dataDxfId="48"/>
    <tableColumn id="2" xr3:uid="{FD46471C-D9B4-4DFF-9CEC-55FCC23D6E79}" name="PO#" dataDxfId="47"/>
    <tableColumn id="3" xr3:uid="{334BD209-B3DA-449E-A44D-77D719AB926A}" name="Notes" dataDxfId="46"/>
    <tableColumn id="4" xr3:uid="{6A21EF93-DA34-45F2-9D7E-0A17F4907851}" name="Date acknowleded" dataDxfId="45"/>
    <tableColumn id="5" xr3:uid="{58462C36-09C9-48B4-A475-9B8F7A23124B}" name="Graphene quality" dataDxfId="44"/>
    <tableColumn id="6" xr3:uid="{07C025A8-377B-4540-9B76-72B860C42E00}" name="Special request" dataDxfId="43"/>
    <tableColumn id="7" xr3:uid="{D5B13CFB-BDC2-48CA-B57A-D67ED60F749B}" name="Substrate" dataDxfId="42"/>
    <tableColumn id="8" xr3:uid="{22B29143-26D8-44AE-99F7-637795B89D53}" name="Transfer Method" dataDxfId="41"/>
    <tableColumn id="9" xr3:uid="{4D924D7F-69A5-4ADE-A73C-31E560CDCCDE}" name="Size" dataDxfId="40"/>
    <tableColumn id="10" xr3:uid="{86465696-655B-40B8-A050-A50E6A43A76A}" name="Number of samples Needed" dataDxfId="39"/>
    <tableColumn id="11" xr3:uid="{24A640AF-28E1-44A1-88F6-71894B564815}" name="Person In Charge" dataDxfId="38"/>
    <tableColumn id="12" xr3:uid="{B720B163-4881-41DC-87D3-6C5B999B3148}" name="Assigned Products" dataDxfId="37"/>
    <tableColumn id="13" xr3:uid="{37F8AB1F-A8B3-4625-9528-B45147686D0D}" name="Due Date" dataDxfId="36"/>
    <tableColumn id="14" xr3:uid="{DC843BBB-D9C4-4F40-B69B-7D8E487F53AD}" name="Status" dataDxfId="35"/>
    <tableColumn id="15" xr3:uid="{83C91D07-02E9-4850-9046-0C930692BFC5}" name="Sent" dataDxfId="34"/>
    <tableColumn id="16" xr3:uid="{943D35D7-CC74-4433-9C1D-13DBC5DD583B}" name="Tracking" dataDxfId="33"/>
    <tableColumn id="17" xr3:uid="{D0270B86-BBAD-443D-BDBD-4D930D66F568}" name="Follow up date" dataDxfId="32"/>
    <tableColumn id="18" xr3:uid="{B99EEF1A-2EEF-4B0D-B1EE-4E4C48340D45}" name="Person Followedup" dataDxfId="31"/>
    <tableColumn id="19" xr3:uid="{6C3D17E7-F2EF-42AB-8C09-A31311A05E89}" name="Follow up outcome" dataDxfId="30"/>
  </tableColumns>
  <tableStyleInfo name="TableStyleLight9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C878A-1672-42FA-9EE1-ED8BFF4D6423}" name="Table1" displayName="Table1" ref="A1:N60" totalsRowShown="0" headerRowDxfId="15" dataDxfId="14">
  <autoFilter ref="A1:N60" xr:uid="{37A36321-7305-4B21-9D9A-2ABEAFE00F70}"/>
  <sortState xmlns:xlrd2="http://schemas.microsoft.com/office/spreadsheetml/2017/richdata2" ref="A2:N42">
    <sortCondition ref="A1:A42"/>
  </sortState>
  <tableColumns count="14">
    <tableColumn id="1" xr3:uid="{63A598B0-2A8F-4CE3-84B8-0973E57C81A7}" name="Date" dataDxfId="13"/>
    <tableColumn id="2" xr3:uid="{2EE3765E-1136-46ED-A640-8377EF395CE2}" name="Column1" dataDxfId="12"/>
    <tableColumn id="3" xr3:uid="{DB808E93-6EA6-49A4-B2D6-C87FD0C609EF}" name="Product number" dataDxfId="11"/>
    <tableColumn id="4" xr3:uid="{84B1B173-4D27-422F-96E5-1493C6AC18BA}" name="Copper type" dataDxfId="10"/>
    <tableColumn id="5" xr3:uid="{071822FF-D1E2-4E60-B481-6AB418349EA3}" name="Number of 6&quot;x6&quot; pieces" dataDxfId="9"/>
    <tableColumn id="6" xr3:uid="{C0835301-C3BD-46DC-8FED-D615B62EB668}" name="Overall Quality" dataDxfId="8"/>
    <tableColumn id="7" xr3:uid="{83B1035C-85D3-48AA-A29A-766D716720B4}" name="Single/Poly Crystal" dataDxfId="7"/>
    <tableColumn id="8" xr3:uid="{9C0AF540-AF1F-4982-8AD8-82FE3360DFCD}" name="MLG" dataDxfId="6"/>
    <tableColumn id="9" xr3:uid="{BB28B60C-5FAE-47A7-921A-207AE18A333D}" name="Cracks" dataDxfId="5"/>
    <tableColumn id="10" xr3:uid="{348F7CC1-550E-4D37-9EDA-42776A362491}" name="D/G" dataDxfId="4"/>
    <tableColumn id="11" xr3:uid="{BF99D3BB-A6BB-4845-AC09-68578AB2628E}" name="Grade" dataDxfId="3">
      <calculatedColumnFormula>IF(AND(J2&lt;0.06,G2="Single",H2&lt;1, I2="No"),"Type A",IF(AND(J2&lt;0.06,G2="Poly",H2&lt;1,OR(I2="No",I2="Splits")),"Type B",IF(AND(J2&lt;0.06,G2="Poly",H2&gt;4),"Type C",IF(AND(J2&lt;0.06,G2="Poly",H2&gt;5,I2="yes"),"TYPE D","R&amp;D"))))</calculatedColumnFormula>
    </tableColumn>
    <tableColumn id="12" xr3:uid="{00F25EC0-676F-46D3-A35C-213CB9B0EABC}" name="Used" dataDxfId="2"/>
    <tableColumn id="13" xr3:uid="{B141BA85-C0E6-44DC-B40E-3C7A18F6C897}" name="Used for " dataDxfId="1"/>
    <tableColumn id="14" xr3:uid="{C547761C-97C5-453C-B271-2D57F19BD7A0}" name="Remaining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G229" dT="2022-06-20T19:41:49.08" personId="{C4120680-098C-4FA5-BA60-B58302C58BD5}" id="{C00C056F-6A80-444E-A3F6-B8C9CF1001BB}">
    <text>@Mira Baraket it has a few splits but if I put Yes it automatically puts the overall quality to be FAIL but it's not too many splits, should I just put a No?</text>
    <mentions>
      <mention mentionpersonId="{5366B19B-F81C-4D8F-BA11-0DEFCC3365ED}" mentionId="{A5922E58-811D-4D02-9953-487490F65EEC}" startIndex="0" length="13"/>
    </mentions>
  </threadedComment>
  <threadedComment ref="AG229" dT="2022-06-20T19:47:19.86" personId="{3C9BD2AA-E734-47C6-B1D5-2541842431E3}" id="{4969E9BE-5817-487C-8953-4324246D7513}" parentId="{C00C056F-6A80-444E-A3F6-B8C9CF1001BB}">
    <text>Thanks for letting me know - Just put it as it should be - I will figure out the graphene type issue.</text>
  </threadedComment>
  <threadedComment ref="AG229" dT="2022-06-20T20:07:10.58" personId="{C4120680-098C-4FA5-BA60-B58302C58BD5}" id="{3B9EDABA-B34E-4C35-A230-57688C3E7CCA}" parentId="{C00C056F-6A80-444E-A3F6-B8C9CF1001BB}">
    <text>Sounds good! I can start putting None Low Medium High so you can categorize Low as Type A again?</text>
  </threadedComment>
  <threadedComment ref="AG229" dT="2022-06-20T21:05:09.42" personId="{3C9BD2AA-E734-47C6-B1D5-2541842431E3}" id="{ADDAAFC8-1E73-4A23-825B-C053FE43E746}" parentId="{C00C056F-6A80-444E-A3F6-B8C9CF1001BB}">
    <text>yes - sounds good</text>
  </threadedComment>
  <threadedComment ref="G469" dT="2022-09-01T17:57:50.08" personId="{07CFA5E9-7C93-494F-BD4C-5E612E4A3430}" id="{CE3974EE-2223-461A-8A43-93E6093C2A16}">
    <text>@Shagun Kapur @Samantha Solis Kalkach On a couple of these R32 recipes (Run 6, Run 11, Run 16), didnt we increase the speed to 200 mm/min with the annealed Cu? Or were they still 100 mm/min</text>
    <mentions>
      <mention mentionpersonId="{C23306CE-8A5A-40E9-8E14-CEC1DC531E94}" mentionId="{CFDE3CAF-A531-4BCE-8537-52E974DB7DC6}" startIndex="0" length="13"/>
      <mention mentionpersonId="{F57AF7ED-F066-4A2A-9689-CAF5F5447E3A}" mentionId="{571CAECC-AD7C-4F64-8A78-7D7C32497486}" startIndex="14" length="23"/>
    </mentions>
  </threadedComment>
  <threadedComment ref="G469" dT="2022-09-01T18:04:11.15" personId="{670AF87D-025D-4CFC-A013-544C82590480}" id="{E60F41D7-A3E5-4DED-BE68-B16CE7DD484B}" parentId="{CE3974EE-2223-461A-8A43-93E6093C2A16}">
    <text>For annealing we ran it at 200 mm/min and for the growth we ran it at 100 mm/min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11" dT="2022-08-09T17:22:47.31" personId="{33A07732-A35A-4DFD-96A6-27DF5F44368B}" id="{E2F240DC-2499-4E97-A6BC-F2CF88167139}" done="1">
    <text>@Sean Barton when you have a chance could you please add the information about the graphene used for this transfer?</text>
    <mentions>
      <mention mentionpersonId="{CC6F52C1-5A91-4B4B-ACB2-02FC466D6DC4}" mentionId="{4D99B2A8-6F20-49E2-A9D0-3AA7E0A1A2B6}" startIndex="0" length="12"/>
    </mentions>
  </threadedComment>
  <threadedComment ref="A72" dT="2022-11-16T22:23:10.32" personId="{33A07732-A35A-4DFD-96A6-27DF5F44368B}" id="{941C596D-9E5C-44D0-B65E-95FFB8357E33}">
    <text>@Samantha Solis Kalkach could you please information about new Hememics PO here?</text>
    <mentions>
      <mention mentionpersonId="{F57AF7ED-F066-4A2A-9689-CAF5F5447E3A}" mentionId="{B5F36585-48B9-4B68-A45D-013DE0558E8B}" startIndex="0" length="23"/>
    </mentions>
  </threadedComment>
  <threadedComment ref="A74" dT="2022-11-16T22:23:10.32" personId="{33A07732-A35A-4DFD-96A6-27DF5F44368B}" id="{872FFDF9-DFE9-4B92-88FD-C7D3D8CC2500}">
    <text>@Samantha Solis Kalkach could you please information about new Hememics PO here?</text>
    <mentions>
      <mention mentionpersonId="{F57AF7ED-F066-4A2A-9689-CAF5F5447E3A}" mentionId="{45DCCD45-160D-4F51-93D7-147FDC92A9EE}" startIndex="0" length="23"/>
    </mentions>
  </threadedComment>
  <threadedComment ref="A75" dT="2022-11-16T22:23:10.32" personId="{33A07732-A35A-4DFD-96A6-27DF5F44368B}" id="{26F05CA0-C922-450D-9ED7-367F30841382}">
    <text>@Samantha Solis Kalkach could you please information about new Hememics PO here?</text>
    <mentions>
      <mention mentionpersonId="{F57AF7ED-F066-4A2A-9689-CAF5F5447E3A}" mentionId="{5A765925-062E-4860-AFE0-B4DEFE274497}" startIndex="0" length="23"/>
    </mentions>
  </threadedComment>
  <threadedComment ref="A98" dT="2022-11-21T21:43:11.27" personId="{33A07732-A35A-4DFD-96A6-27DF5F44368B}" id="{A942800C-8D49-402E-8974-FE6F2A3337F7}">
    <text>@Shagun Kapur could you please add the shipping and product numbers for the latest new skin shipment.</text>
    <mentions>
      <mention mentionpersonId="{C23306CE-8A5A-40E9-8E14-CEC1DC531E94}" mentionId="{1B41E91E-69EF-404E-93F3-50ED8AC086D3}" startIndex="0" length="13"/>
    </mentions>
  </threadedComment>
  <threadedComment ref="K109" dT="2023-01-16T16:39:13.46" personId="{33A07732-A35A-4DFD-96A6-27DF5F44368B}" id="{3EA22AA1-01AC-4C8C-BE3A-517A15A3574B}">
    <text>@Samantha Solis Kalkach is this what we shipped recently? If so could you please update it - thanks.</text>
    <mentions>
      <mention mentionpersonId="{F57AF7ED-F066-4A2A-9689-CAF5F5447E3A}" mentionId="{FC0690D5-85AD-4A57-8655-373183754015}" startIndex="0" length="23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microsoft.com/office/2017/10/relationships/threadedComment" Target="../threadedComments/threadedComment2.xml"/><Relationship Id="rId2" Type="http://schemas.openxmlformats.org/officeDocument/2006/relationships/hyperlink" Target="https://www.ups.com/track?loc=en_US&amp;tracknum=1Z7X4V110394136424" TargetMode="External"/><Relationship Id="rId1" Type="http://schemas.openxmlformats.org/officeDocument/2006/relationships/hyperlink" Target="https://www.ups.com/WebTracking/processInputRequest?tracknum=1Z7X4V110298362899&amp;loc=en_US" TargetMode="External"/><Relationship Id="rId6" Type="http://schemas.openxmlformats.org/officeDocument/2006/relationships/comments" Target="../comments2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9B99-F7C2-448B-84FD-86A5A2AA6AFA}">
  <sheetPr codeName="Sheet2"/>
  <dimension ref="A1:BD715"/>
  <sheetViews>
    <sheetView tabSelected="1" zoomScale="82" zoomScaleNormal="100" workbookViewId="0">
      <pane xSplit="2" ySplit="1" topLeftCell="C31" activePane="bottomRight" state="frozen"/>
      <selection pane="topRight" activeCell="C1" sqref="C1"/>
      <selection pane="bottomLeft" activeCell="A3" sqref="A3"/>
      <selection pane="bottomRight" activeCell="A675" sqref="A675:XFD675"/>
    </sheetView>
  </sheetViews>
  <sheetFormatPr defaultRowHeight="15" customHeight="1" x14ac:dyDescent="0.35"/>
  <cols>
    <col min="1" max="1" width="11" style="77" bestFit="1" customWidth="1"/>
    <col min="2" max="2" width="7" style="83" customWidth="1"/>
    <col min="3" max="3" width="14.81640625" style="29" bestFit="1" customWidth="1"/>
    <col min="4" max="4" width="12.1796875" style="47" bestFit="1" customWidth="1"/>
    <col min="5" max="5" width="8" style="29" customWidth="1"/>
    <col min="6" max="6" width="14" style="29" customWidth="1"/>
    <col min="7" max="7" width="8.7265625" style="29"/>
    <col min="8" max="8" width="16.1796875" style="64" customWidth="1"/>
    <col min="9" max="9" width="8.7265625" style="29"/>
    <col min="10" max="10" width="7" style="65" customWidth="1"/>
    <col min="11" max="11" width="8" style="65" customWidth="1"/>
    <col min="12" max="12" width="7.81640625" style="65" customWidth="1"/>
    <col min="13" max="13" width="8" style="29" customWidth="1"/>
    <col min="14" max="14" width="11.1796875" style="29" customWidth="1"/>
    <col min="15" max="18" width="8.7265625" style="29"/>
    <col min="19" max="19" width="12.7265625" style="59" customWidth="1"/>
    <col min="20" max="20" width="15.1796875" style="59" customWidth="1"/>
    <col min="21" max="21" width="13.1796875" style="59" customWidth="1"/>
    <col min="22" max="22" width="13.1796875" style="29" customWidth="1"/>
    <col min="23" max="23" width="8.7265625" style="29"/>
    <col min="24" max="25" width="16.81640625" style="29" customWidth="1"/>
    <col min="26" max="26" width="12" style="71" customWidth="1"/>
    <col min="28" max="28" width="9" style="29" customWidth="1"/>
    <col min="29" max="29" width="8.7265625" style="29"/>
    <col min="30" max="30" width="10.81640625" style="93" customWidth="1"/>
    <col min="31" max="31" width="8" style="29" customWidth="1"/>
    <col min="33" max="33" width="8.7265625" style="55"/>
    <col min="36" max="36" width="13.54296875" style="55" customWidth="1"/>
    <col min="38" max="38" width="26.1796875" customWidth="1"/>
  </cols>
  <sheetData>
    <row r="1" spans="1:56" s="29" customFormat="1" ht="15" customHeight="1" x14ac:dyDescent="0.35">
      <c r="A1" s="77" t="s">
        <v>0</v>
      </c>
      <c r="B1" s="83" t="s">
        <v>1</v>
      </c>
      <c r="C1" s="29" t="s">
        <v>2</v>
      </c>
      <c r="D1" s="47" t="s">
        <v>3</v>
      </c>
      <c r="E1" s="29" t="s">
        <v>4</v>
      </c>
      <c r="F1" s="29" t="s">
        <v>5</v>
      </c>
      <c r="G1" s="29" t="s">
        <v>6</v>
      </c>
      <c r="H1" s="64" t="s">
        <v>7</v>
      </c>
      <c r="I1" s="29" t="s">
        <v>8</v>
      </c>
      <c r="J1" s="65" t="s">
        <v>9</v>
      </c>
      <c r="K1" s="65" t="s">
        <v>10</v>
      </c>
      <c r="L1" s="65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59" t="s">
        <v>18</v>
      </c>
      <c r="T1" s="59" t="s">
        <v>19</v>
      </c>
      <c r="U1" s="5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77" t="s">
        <v>25</v>
      </c>
      <c r="AA1" s="29" t="s">
        <v>26</v>
      </c>
      <c r="AB1" s="29" t="s">
        <v>27</v>
      </c>
      <c r="AC1" s="29" t="s">
        <v>28</v>
      </c>
      <c r="AD1" s="93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30</v>
      </c>
      <c r="AO1" t="s">
        <v>39</v>
      </c>
      <c r="AP1" s="29" t="s">
        <v>40</v>
      </c>
    </row>
    <row r="2" spans="1:56" ht="15" customHeight="1" x14ac:dyDescent="0.35">
      <c r="A2" s="100">
        <v>44656</v>
      </c>
      <c r="B2" s="84">
        <v>1</v>
      </c>
      <c r="C2" s="43" t="s">
        <v>41</v>
      </c>
      <c r="D2" s="46" t="s">
        <v>42</v>
      </c>
      <c r="F2" s="29">
        <v>1050</v>
      </c>
      <c r="G2" s="29">
        <v>200</v>
      </c>
      <c r="H2" s="64" t="s">
        <v>43</v>
      </c>
      <c r="I2" s="29">
        <v>10</v>
      </c>
      <c r="M2" s="29" t="s">
        <v>16</v>
      </c>
      <c r="N2" s="29">
        <v>5</v>
      </c>
      <c r="O2" s="29">
        <v>28</v>
      </c>
      <c r="P2" s="29">
        <v>16</v>
      </c>
      <c r="Q2" s="29">
        <v>8</v>
      </c>
      <c r="R2" s="29">
        <f t="shared" ref="R2:R33" si="0">Q2+P2+O2</f>
        <v>52</v>
      </c>
      <c r="S2" s="59">
        <f t="shared" ref="S2:S33" si="1">O2/P2</f>
        <v>1.75</v>
      </c>
      <c r="T2" s="59">
        <f>5.6/6</f>
        <v>0.93333333333333324</v>
      </c>
      <c r="U2" s="59">
        <f>9.5/15</f>
        <v>0.6333333333333333</v>
      </c>
      <c r="V2" s="29">
        <v>1</v>
      </c>
      <c r="W2" s="29" t="s">
        <v>44</v>
      </c>
      <c r="X2" s="5" t="s">
        <v>45</v>
      </c>
      <c r="Y2" s="5"/>
      <c r="AB2" s="29" t="str">
        <f>IF(X2="20um Schlenk", "Single", "Poly")</f>
        <v>Single</v>
      </c>
      <c r="AC2" s="29">
        <v>100</v>
      </c>
      <c r="AD2" s="93">
        <v>0.03</v>
      </c>
      <c r="BC2" t="str" cm="1">
        <f t="array" ref="BC2:BC7">_xlfn.UNIQUE(X2:X9998)</f>
        <v>20um Schlenk</v>
      </c>
      <c r="BD2" cm="1">
        <f t="array" ref="BD2:BD34">_xlfn.UNIQUE(Y2:Y9998)</f>
        <v>0</v>
      </c>
    </row>
    <row r="3" spans="1:56" ht="15" customHeight="1" x14ac:dyDescent="0.35">
      <c r="A3" s="100">
        <v>44656</v>
      </c>
      <c r="B3" s="84">
        <v>1</v>
      </c>
      <c r="C3" s="43" t="s">
        <v>41</v>
      </c>
      <c r="D3" s="46" t="s">
        <v>42</v>
      </c>
      <c r="F3" s="29">
        <v>1050</v>
      </c>
      <c r="G3" s="29">
        <v>200</v>
      </c>
      <c r="I3" s="29">
        <v>10</v>
      </c>
      <c r="M3" s="29" t="s">
        <v>16</v>
      </c>
      <c r="N3" s="29">
        <v>5</v>
      </c>
      <c r="O3" s="29">
        <v>28</v>
      </c>
      <c r="P3" s="29">
        <v>16</v>
      </c>
      <c r="Q3" s="29">
        <v>8</v>
      </c>
      <c r="R3" s="29">
        <f t="shared" si="0"/>
        <v>52</v>
      </c>
      <c r="S3" s="59">
        <f t="shared" si="1"/>
        <v>1.75</v>
      </c>
      <c r="T3" s="59">
        <f>5.6/6</f>
        <v>0.93333333333333324</v>
      </c>
      <c r="U3" s="59">
        <f>9.5/15</f>
        <v>0.6333333333333333</v>
      </c>
      <c r="V3" s="29">
        <v>1</v>
      </c>
      <c r="W3" s="29" t="s">
        <v>44</v>
      </c>
      <c r="X3" s="5" t="s">
        <v>46</v>
      </c>
      <c r="Y3" s="5"/>
      <c r="AB3" s="29" t="str">
        <f>IF(X3="20um Schlenk", "Single", "Poly")</f>
        <v>Poly</v>
      </c>
      <c r="AC3" s="29">
        <v>100</v>
      </c>
      <c r="AD3" s="94">
        <v>0.02</v>
      </c>
      <c r="AE3" s="43"/>
      <c r="BC3" t="str">
        <v>70um Civen</v>
      </c>
      <c r="BD3" t="str">
        <v>R2R Top</v>
      </c>
    </row>
    <row r="4" spans="1:56" ht="15" customHeight="1" x14ac:dyDescent="0.35">
      <c r="A4" s="100">
        <v>44656</v>
      </c>
      <c r="B4" s="84">
        <v>1</v>
      </c>
      <c r="C4" s="43" t="s">
        <v>41</v>
      </c>
      <c r="D4" s="46" t="s">
        <v>42</v>
      </c>
      <c r="F4" s="29">
        <v>1050</v>
      </c>
      <c r="G4" s="29">
        <v>200</v>
      </c>
      <c r="I4" s="29">
        <v>10</v>
      </c>
      <c r="M4" s="29" t="s">
        <v>16</v>
      </c>
      <c r="N4" s="29">
        <v>5</v>
      </c>
      <c r="O4" s="29">
        <v>28</v>
      </c>
      <c r="P4" s="29">
        <v>16</v>
      </c>
      <c r="Q4" s="29">
        <v>8</v>
      </c>
      <c r="R4" s="29">
        <f t="shared" si="0"/>
        <v>52</v>
      </c>
      <c r="S4" s="59">
        <f t="shared" si="1"/>
        <v>1.75</v>
      </c>
      <c r="T4" s="59">
        <f>5.6/6</f>
        <v>0.93333333333333324</v>
      </c>
      <c r="U4" s="59">
        <f>9.5/15</f>
        <v>0.6333333333333333</v>
      </c>
      <c r="V4" s="29">
        <v>1</v>
      </c>
      <c r="W4" s="29" t="s">
        <v>44</v>
      </c>
      <c r="X4" s="43" t="s">
        <v>47</v>
      </c>
      <c r="Y4" s="43"/>
      <c r="AC4" s="29">
        <v>100</v>
      </c>
      <c r="AD4" s="94">
        <v>7.0000000000000007E-2</v>
      </c>
      <c r="AE4" s="43"/>
      <c r="BC4" t="str">
        <v>18um Lux</v>
      </c>
      <c r="BD4" t="str">
        <v>R2R Bottom</v>
      </c>
    </row>
    <row r="5" spans="1:56" ht="15" customHeight="1" x14ac:dyDescent="0.35">
      <c r="A5" s="100">
        <v>44656</v>
      </c>
      <c r="B5" s="84">
        <v>2</v>
      </c>
      <c r="C5" s="43" t="s">
        <v>48</v>
      </c>
      <c r="D5" s="46" t="s">
        <v>42</v>
      </c>
      <c r="F5" s="29">
        <v>1050</v>
      </c>
      <c r="G5" s="29">
        <v>200</v>
      </c>
      <c r="H5" s="64" t="s">
        <v>49</v>
      </c>
      <c r="I5" s="29">
        <v>10</v>
      </c>
      <c r="M5" s="29" t="s">
        <v>16</v>
      </c>
      <c r="N5" s="29">
        <v>5</v>
      </c>
      <c r="O5" s="29">
        <v>84</v>
      </c>
      <c r="P5" s="29">
        <v>48</v>
      </c>
      <c r="Q5" s="29">
        <v>24</v>
      </c>
      <c r="R5" s="29">
        <f t="shared" si="0"/>
        <v>156</v>
      </c>
      <c r="S5" s="59">
        <f t="shared" si="1"/>
        <v>1.75</v>
      </c>
      <c r="T5" s="59">
        <f>17.1/18</f>
        <v>0.95000000000000007</v>
      </c>
      <c r="U5" s="59">
        <f>28.4/44.5</f>
        <v>0.63820224719101115</v>
      </c>
      <c r="V5" s="29">
        <v>1</v>
      </c>
      <c r="W5" s="29" t="s">
        <v>44</v>
      </c>
      <c r="X5" s="5" t="s">
        <v>45</v>
      </c>
      <c r="Y5" s="5"/>
      <c r="AB5" s="29" t="str">
        <f>IF(X5="20um Schlenk", "Single", "Poly")</f>
        <v>Single</v>
      </c>
      <c r="AC5" s="29">
        <v>100</v>
      </c>
      <c r="AD5" s="94"/>
      <c r="AE5" s="43"/>
      <c r="BC5" t="str">
        <v>25um Sig</v>
      </c>
      <c r="BD5" t="str">
        <v>R2R</v>
      </c>
    </row>
    <row r="6" spans="1:56" ht="15" customHeight="1" x14ac:dyDescent="0.35">
      <c r="A6" s="100">
        <v>44656</v>
      </c>
      <c r="B6" s="84">
        <v>2</v>
      </c>
      <c r="C6" s="43" t="s">
        <v>48</v>
      </c>
      <c r="D6" s="46" t="s">
        <v>42</v>
      </c>
      <c r="F6" s="29">
        <v>1050</v>
      </c>
      <c r="G6" s="29">
        <v>200</v>
      </c>
      <c r="I6" s="29">
        <v>10</v>
      </c>
      <c r="M6" s="29" t="s">
        <v>16</v>
      </c>
      <c r="N6" s="29">
        <v>5</v>
      </c>
      <c r="O6" s="29">
        <v>84</v>
      </c>
      <c r="P6" s="29">
        <v>48</v>
      </c>
      <c r="Q6" s="29">
        <v>24</v>
      </c>
      <c r="R6" s="29">
        <f t="shared" si="0"/>
        <v>156</v>
      </c>
      <c r="S6" s="59">
        <f t="shared" si="1"/>
        <v>1.75</v>
      </c>
      <c r="T6" s="59">
        <f>17.1/18</f>
        <v>0.95000000000000007</v>
      </c>
      <c r="U6" s="59">
        <f>28.4/44.5</f>
        <v>0.63820224719101115</v>
      </c>
      <c r="V6" s="29">
        <v>1</v>
      </c>
      <c r="W6" s="29" t="s">
        <v>44</v>
      </c>
      <c r="X6" s="5" t="s">
        <v>46</v>
      </c>
      <c r="Y6" s="5"/>
      <c r="AB6" s="29" t="str">
        <f>IF(X6="20um Schlenk", "Single", "Poly")</f>
        <v>Poly</v>
      </c>
      <c r="AC6" s="29">
        <v>100</v>
      </c>
      <c r="AD6" s="94">
        <v>0.02</v>
      </c>
      <c r="AE6" s="43"/>
      <c r="BC6">
        <v>0</v>
      </c>
      <c r="BD6" t="str">
        <v>Reused</v>
      </c>
    </row>
    <row r="7" spans="1:56" ht="15" customHeight="1" x14ac:dyDescent="0.35">
      <c r="A7" s="100">
        <v>44656</v>
      </c>
      <c r="B7" s="84">
        <v>2</v>
      </c>
      <c r="C7" s="43" t="s">
        <v>48</v>
      </c>
      <c r="D7" s="46" t="s">
        <v>42</v>
      </c>
      <c r="F7" s="29">
        <v>1050</v>
      </c>
      <c r="G7" s="29">
        <v>200</v>
      </c>
      <c r="I7" s="29">
        <v>10</v>
      </c>
      <c r="M7" s="29" t="s">
        <v>16</v>
      </c>
      <c r="N7" s="29">
        <v>5</v>
      </c>
      <c r="O7" s="29">
        <v>84</v>
      </c>
      <c r="P7" s="29">
        <v>48</v>
      </c>
      <c r="Q7" s="29">
        <v>24</v>
      </c>
      <c r="R7" s="29">
        <f t="shared" si="0"/>
        <v>156</v>
      </c>
      <c r="S7" s="59">
        <f t="shared" si="1"/>
        <v>1.75</v>
      </c>
      <c r="T7" s="59">
        <f>17.1/18</f>
        <v>0.95000000000000007</v>
      </c>
      <c r="U7" s="59">
        <f>28.4/44.5</f>
        <v>0.63820224719101115</v>
      </c>
      <c r="V7" s="29">
        <v>1</v>
      </c>
      <c r="W7" s="29" t="s">
        <v>44</v>
      </c>
      <c r="X7" s="43" t="s">
        <v>47</v>
      </c>
      <c r="Y7" s="43"/>
      <c r="AC7" s="29">
        <v>100</v>
      </c>
      <c r="AD7" s="94"/>
      <c r="AE7" s="43"/>
      <c r="BC7" t="str">
        <v>50um Civen</v>
      </c>
      <c r="BD7" t="str">
        <v>NEP</v>
      </c>
    </row>
    <row r="8" spans="1:56" ht="15" customHeight="1" x14ac:dyDescent="0.35">
      <c r="A8" s="100">
        <v>44656</v>
      </c>
      <c r="B8" s="84">
        <v>3</v>
      </c>
      <c r="C8" s="43" t="s">
        <v>41</v>
      </c>
      <c r="D8" s="46" t="s">
        <v>50</v>
      </c>
      <c r="F8" s="29">
        <v>1050</v>
      </c>
      <c r="G8" s="29">
        <v>200</v>
      </c>
      <c r="H8" s="64" t="s">
        <v>51</v>
      </c>
      <c r="I8" s="29">
        <v>10</v>
      </c>
      <c r="M8" s="29" t="s">
        <v>16</v>
      </c>
      <c r="N8" s="29">
        <v>5</v>
      </c>
      <c r="O8" s="29">
        <v>28</v>
      </c>
      <c r="P8" s="29">
        <v>16</v>
      </c>
      <c r="Q8" s="29">
        <v>8</v>
      </c>
      <c r="R8" s="29">
        <f t="shared" si="0"/>
        <v>52</v>
      </c>
      <c r="S8" s="59">
        <f t="shared" si="1"/>
        <v>1.75</v>
      </c>
      <c r="T8" s="59">
        <f>5.6/6</f>
        <v>0.93333333333333324</v>
      </c>
      <c r="U8" s="59">
        <f>9.5/15</f>
        <v>0.6333333333333333</v>
      </c>
      <c r="V8" s="29">
        <v>4</v>
      </c>
      <c r="W8" s="29" t="s">
        <v>52</v>
      </c>
      <c r="X8" s="43" t="s">
        <v>45</v>
      </c>
      <c r="Y8" s="43"/>
      <c r="AB8" s="29" t="str">
        <f>IF(X8="20um Schlenk", "Single", "Poly")</f>
        <v>Single</v>
      </c>
      <c r="AC8" s="29">
        <v>100</v>
      </c>
      <c r="AD8" s="94">
        <f>(0.13+0.1+0.14+0.14)/4</f>
        <v>0.1275</v>
      </c>
      <c r="AE8" s="43"/>
      <c r="BD8" t="str">
        <v>NaOH-Dipped</v>
      </c>
    </row>
    <row r="9" spans="1:56" ht="15" customHeight="1" x14ac:dyDescent="0.35">
      <c r="A9" s="100">
        <v>44656</v>
      </c>
      <c r="B9" s="84">
        <v>4</v>
      </c>
      <c r="C9" s="43" t="s">
        <v>53</v>
      </c>
      <c r="D9" s="46" t="s">
        <v>42</v>
      </c>
      <c r="F9" s="29">
        <v>1050</v>
      </c>
      <c r="G9" s="29">
        <v>200</v>
      </c>
      <c r="H9" s="64" t="s">
        <v>54</v>
      </c>
      <c r="I9" s="29">
        <v>10</v>
      </c>
      <c r="M9" s="29" t="s">
        <v>16</v>
      </c>
      <c r="N9" s="29">
        <v>5</v>
      </c>
      <c r="O9" s="29">
        <v>36</v>
      </c>
      <c r="P9" s="29">
        <v>16</v>
      </c>
      <c r="Q9" s="29">
        <v>0</v>
      </c>
      <c r="R9" s="29">
        <f t="shared" si="0"/>
        <v>52</v>
      </c>
      <c r="S9" s="59">
        <f t="shared" si="1"/>
        <v>2.25</v>
      </c>
      <c r="T9" s="59">
        <f>5.6/6</f>
        <v>0.93333333333333324</v>
      </c>
      <c r="U9" s="59">
        <f>9.5/15</f>
        <v>0.6333333333333333</v>
      </c>
      <c r="V9" s="29">
        <v>1</v>
      </c>
      <c r="W9" s="29" t="s">
        <v>44</v>
      </c>
      <c r="X9" s="43" t="s">
        <v>45</v>
      </c>
      <c r="Y9" s="43"/>
      <c r="AB9" s="29" t="str">
        <f>IF(X9="20um Schlenk", "Single", "Poly")</f>
        <v>Single</v>
      </c>
      <c r="AC9" s="29">
        <v>100</v>
      </c>
      <c r="AD9" s="94">
        <v>0.03</v>
      </c>
      <c r="AE9" s="43"/>
      <c r="BD9" t="str">
        <v>NaOH-Dipped NEP</v>
      </c>
    </row>
    <row r="10" spans="1:56" ht="15" customHeight="1" x14ac:dyDescent="0.35">
      <c r="A10" s="100">
        <v>44656</v>
      </c>
      <c r="B10" s="84">
        <v>4</v>
      </c>
      <c r="C10" s="43" t="s">
        <v>53</v>
      </c>
      <c r="D10" s="46" t="s">
        <v>42</v>
      </c>
      <c r="F10" s="29">
        <v>1050</v>
      </c>
      <c r="G10" s="29">
        <v>200</v>
      </c>
      <c r="I10" s="29">
        <v>10</v>
      </c>
      <c r="M10" s="29" t="s">
        <v>16</v>
      </c>
      <c r="N10" s="29">
        <v>5</v>
      </c>
      <c r="O10" s="29">
        <v>36</v>
      </c>
      <c r="P10" s="29">
        <v>16</v>
      </c>
      <c r="Q10" s="29">
        <v>0</v>
      </c>
      <c r="R10" s="29">
        <f t="shared" si="0"/>
        <v>52</v>
      </c>
      <c r="S10" s="59">
        <f t="shared" si="1"/>
        <v>2.25</v>
      </c>
      <c r="T10" s="59">
        <f>5.6/6</f>
        <v>0.93333333333333324</v>
      </c>
      <c r="U10" s="59">
        <f>9.5/15</f>
        <v>0.6333333333333333</v>
      </c>
      <c r="V10" s="29">
        <v>1</v>
      </c>
      <c r="W10" s="29" t="s">
        <v>44</v>
      </c>
      <c r="X10" s="43" t="s">
        <v>55</v>
      </c>
      <c r="Y10" s="43"/>
      <c r="AC10" s="29">
        <v>100</v>
      </c>
      <c r="AD10" s="94">
        <v>0.08</v>
      </c>
      <c r="AE10" s="43"/>
      <c r="BD10" t="str">
        <v>Pre-Annealed</v>
      </c>
    </row>
    <row r="11" spans="1:56" ht="14.5" x14ac:dyDescent="0.35">
      <c r="A11" s="100">
        <v>44656</v>
      </c>
      <c r="B11" s="84">
        <v>4</v>
      </c>
      <c r="C11" s="43" t="s">
        <v>53</v>
      </c>
      <c r="D11" s="46" t="s">
        <v>42</v>
      </c>
      <c r="F11" s="29">
        <v>1050</v>
      </c>
      <c r="G11" s="29">
        <v>200</v>
      </c>
      <c r="I11" s="29">
        <v>10</v>
      </c>
      <c r="M11" s="29" t="s">
        <v>16</v>
      </c>
      <c r="N11" s="29">
        <v>5</v>
      </c>
      <c r="O11" s="29">
        <v>36</v>
      </c>
      <c r="P11" s="29">
        <v>16</v>
      </c>
      <c r="Q11" s="29">
        <v>0</v>
      </c>
      <c r="R11" s="29">
        <f t="shared" si="0"/>
        <v>52</v>
      </c>
      <c r="S11" s="59">
        <f t="shared" si="1"/>
        <v>2.25</v>
      </c>
      <c r="T11" s="59">
        <f>5.6/6</f>
        <v>0.93333333333333324</v>
      </c>
      <c r="U11" s="59">
        <f>9.5/15</f>
        <v>0.6333333333333333</v>
      </c>
      <c r="V11" s="29">
        <v>1</v>
      </c>
      <c r="W11" s="29" t="s">
        <v>44</v>
      </c>
      <c r="X11" s="43" t="s">
        <v>46</v>
      </c>
      <c r="Y11" s="43"/>
      <c r="AB11" s="29" t="str">
        <f>IF(X11="20um Schlenk", "Single", "Poly")</f>
        <v>Poly</v>
      </c>
      <c r="AC11" s="29">
        <v>100</v>
      </c>
      <c r="AD11" s="94"/>
      <c r="AE11" s="43"/>
      <c r="BD11" t="str">
        <v>R2R HP</v>
      </c>
    </row>
    <row r="12" spans="1:56" ht="15" hidden="1" customHeight="1" x14ac:dyDescent="0.35">
      <c r="A12" s="100">
        <v>44656</v>
      </c>
      <c r="B12" s="84">
        <v>5</v>
      </c>
      <c r="C12" s="43" t="s">
        <v>41</v>
      </c>
      <c r="D12" s="46" t="s">
        <v>42</v>
      </c>
      <c r="H12" s="72" t="s">
        <v>56</v>
      </c>
      <c r="I12" s="29">
        <v>10</v>
      </c>
      <c r="M12" s="29" t="s">
        <v>16</v>
      </c>
      <c r="N12" s="29">
        <v>5</v>
      </c>
      <c r="R12" s="29">
        <f t="shared" si="0"/>
        <v>0</v>
      </c>
      <c r="S12" s="59" t="e">
        <f t="shared" si="1"/>
        <v>#DIV/0!</v>
      </c>
      <c r="V12" s="29">
        <v>1</v>
      </c>
      <c r="W12" s="29" t="s">
        <v>44</v>
      </c>
      <c r="X12" s="43"/>
      <c r="Y12" s="43"/>
      <c r="AD12" s="94"/>
      <c r="AE12" s="43"/>
      <c r="BD12" t="str">
        <v>Re-Dip EP</v>
      </c>
    </row>
    <row r="13" spans="1:56" ht="15" customHeight="1" x14ac:dyDescent="0.35">
      <c r="A13" s="100">
        <v>44657</v>
      </c>
      <c r="B13" s="84">
        <v>6</v>
      </c>
      <c r="C13" s="43" t="s">
        <v>41</v>
      </c>
      <c r="D13" s="46" t="s">
        <v>42</v>
      </c>
      <c r="F13" s="29">
        <v>1050</v>
      </c>
      <c r="G13" s="29">
        <v>200</v>
      </c>
      <c r="H13" s="64" t="s">
        <v>43</v>
      </c>
      <c r="I13" s="29">
        <v>10</v>
      </c>
      <c r="M13" s="29" t="s">
        <v>16</v>
      </c>
      <c r="N13" s="29">
        <v>5</v>
      </c>
      <c r="O13" s="29">
        <v>28</v>
      </c>
      <c r="P13" s="29">
        <v>16</v>
      </c>
      <c r="Q13" s="29">
        <v>8</v>
      </c>
      <c r="R13" s="29">
        <f t="shared" si="0"/>
        <v>52</v>
      </c>
      <c r="S13" s="59">
        <f t="shared" si="1"/>
        <v>1.75</v>
      </c>
      <c r="T13" s="59">
        <f t="shared" ref="T13:T48" si="2">5.6/6</f>
        <v>0.93333333333333324</v>
      </c>
      <c r="U13" s="59">
        <f t="shared" ref="U13:U48" si="3">9.5/15</f>
        <v>0.6333333333333333</v>
      </c>
      <c r="V13" s="29">
        <v>1</v>
      </c>
      <c r="W13" s="29" t="s">
        <v>44</v>
      </c>
      <c r="X13" s="43" t="s">
        <v>45</v>
      </c>
      <c r="Y13" s="43"/>
      <c r="AB13" s="29" t="str">
        <f t="shared" ref="AB13:AB18" si="4">IF(X13="20um Schlenk", "Single", "Poly")</f>
        <v>Single</v>
      </c>
      <c r="AC13" s="29">
        <v>100</v>
      </c>
      <c r="AD13" s="94"/>
      <c r="AE13" s="43"/>
      <c r="BD13" t="str">
        <v>No Hose</v>
      </c>
    </row>
    <row r="14" spans="1:56" ht="15" customHeight="1" x14ac:dyDescent="0.35">
      <c r="A14" s="100">
        <v>44657</v>
      </c>
      <c r="B14" s="84">
        <v>6</v>
      </c>
      <c r="C14" s="43" t="s">
        <v>41</v>
      </c>
      <c r="D14" s="46" t="s">
        <v>42</v>
      </c>
      <c r="F14" s="29">
        <v>1050</v>
      </c>
      <c r="G14" s="29">
        <v>200</v>
      </c>
      <c r="I14" s="29">
        <v>10</v>
      </c>
      <c r="M14" s="29" t="s">
        <v>16</v>
      </c>
      <c r="N14" s="29">
        <v>5</v>
      </c>
      <c r="O14" s="29">
        <v>28</v>
      </c>
      <c r="P14" s="29">
        <v>16</v>
      </c>
      <c r="Q14" s="29">
        <v>8</v>
      </c>
      <c r="R14" s="29">
        <f t="shared" si="0"/>
        <v>52</v>
      </c>
      <c r="S14" s="59">
        <f t="shared" si="1"/>
        <v>1.75</v>
      </c>
      <c r="T14" s="59">
        <f t="shared" si="2"/>
        <v>0.93333333333333324</v>
      </c>
      <c r="U14" s="59">
        <f t="shared" si="3"/>
        <v>0.6333333333333333</v>
      </c>
      <c r="V14" s="29">
        <v>1</v>
      </c>
      <c r="W14" s="29" t="s">
        <v>44</v>
      </c>
      <c r="X14" s="43" t="s">
        <v>46</v>
      </c>
      <c r="Y14" s="43"/>
      <c r="AB14" s="29" t="str">
        <f t="shared" si="4"/>
        <v>Poly</v>
      </c>
      <c r="AC14" s="29">
        <v>100</v>
      </c>
      <c r="AD14" s="94">
        <v>0.02</v>
      </c>
      <c r="AE14" s="43"/>
      <c r="BD14" t="str">
        <v>1 min EP</v>
      </c>
    </row>
    <row r="15" spans="1:56" ht="15" customHeight="1" x14ac:dyDescent="0.35">
      <c r="A15" s="100">
        <v>44657</v>
      </c>
      <c r="B15" s="84">
        <v>7</v>
      </c>
      <c r="C15" s="43" t="s">
        <v>41</v>
      </c>
      <c r="D15" s="46" t="s">
        <v>42</v>
      </c>
      <c r="F15" s="29">
        <v>1050</v>
      </c>
      <c r="G15" s="29">
        <v>200</v>
      </c>
      <c r="H15" s="64" t="s">
        <v>43</v>
      </c>
      <c r="I15" s="29">
        <v>10</v>
      </c>
      <c r="M15" s="29" t="s">
        <v>16</v>
      </c>
      <c r="N15" s="29">
        <v>5</v>
      </c>
      <c r="O15" s="29">
        <v>28</v>
      </c>
      <c r="P15" s="29">
        <v>16</v>
      </c>
      <c r="Q15" s="29">
        <v>8</v>
      </c>
      <c r="R15" s="29">
        <f t="shared" si="0"/>
        <v>52</v>
      </c>
      <c r="S15" s="59">
        <f t="shared" si="1"/>
        <v>1.75</v>
      </c>
      <c r="T15" s="59">
        <f t="shared" si="2"/>
        <v>0.93333333333333324</v>
      </c>
      <c r="U15" s="59">
        <f t="shared" si="3"/>
        <v>0.6333333333333333</v>
      </c>
      <c r="V15" s="29">
        <v>1</v>
      </c>
      <c r="W15" s="29" t="s">
        <v>44</v>
      </c>
      <c r="X15" s="43" t="s">
        <v>45</v>
      </c>
      <c r="Y15" s="43"/>
      <c r="AB15" s="29" t="str">
        <f t="shared" si="4"/>
        <v>Single</v>
      </c>
      <c r="AC15" s="29">
        <v>100</v>
      </c>
      <c r="AD15" s="94">
        <v>0.03</v>
      </c>
      <c r="AE15" s="43"/>
      <c r="BD15" t="str">
        <v>Large</v>
      </c>
    </row>
    <row r="16" spans="1:56" ht="15" customHeight="1" x14ac:dyDescent="0.35">
      <c r="A16" s="100">
        <v>44657</v>
      </c>
      <c r="B16" s="84">
        <v>7</v>
      </c>
      <c r="C16" s="43" t="s">
        <v>41</v>
      </c>
      <c r="D16" s="46" t="s">
        <v>42</v>
      </c>
      <c r="F16" s="29">
        <v>1050</v>
      </c>
      <c r="G16" s="29">
        <v>200</v>
      </c>
      <c r="I16" s="29">
        <v>10</v>
      </c>
      <c r="M16" s="29" t="s">
        <v>16</v>
      </c>
      <c r="N16" s="29">
        <v>5</v>
      </c>
      <c r="O16" s="29">
        <v>28</v>
      </c>
      <c r="P16" s="29">
        <v>16</v>
      </c>
      <c r="Q16" s="29">
        <v>8</v>
      </c>
      <c r="R16" s="29">
        <f t="shared" si="0"/>
        <v>52</v>
      </c>
      <c r="S16" s="59">
        <f t="shared" si="1"/>
        <v>1.75</v>
      </c>
      <c r="T16" s="59">
        <f t="shared" si="2"/>
        <v>0.93333333333333324</v>
      </c>
      <c r="U16" s="59">
        <f t="shared" si="3"/>
        <v>0.6333333333333333</v>
      </c>
      <c r="V16" s="29">
        <v>1</v>
      </c>
      <c r="W16" s="29" t="s">
        <v>44</v>
      </c>
      <c r="X16" s="43" t="s">
        <v>46</v>
      </c>
      <c r="Y16" s="43"/>
      <c r="AB16" s="29" t="str">
        <f t="shared" si="4"/>
        <v>Poly</v>
      </c>
      <c r="AC16" s="29">
        <v>100</v>
      </c>
      <c r="AD16" s="94">
        <v>0.02</v>
      </c>
      <c r="AE16" s="43"/>
      <c r="BD16" t="str">
        <v>HNO3-Dipped</v>
      </c>
    </row>
    <row r="17" spans="1:56" ht="15" customHeight="1" x14ac:dyDescent="0.35">
      <c r="A17" s="100">
        <v>44657</v>
      </c>
      <c r="B17" s="84">
        <v>8</v>
      </c>
      <c r="C17" s="43" t="s">
        <v>41</v>
      </c>
      <c r="D17" s="46" t="s">
        <v>42</v>
      </c>
      <c r="F17" s="29">
        <v>1050</v>
      </c>
      <c r="G17" s="29">
        <v>200</v>
      </c>
      <c r="H17" s="64" t="s">
        <v>49</v>
      </c>
      <c r="I17" s="29">
        <v>10</v>
      </c>
      <c r="M17" s="29" t="s">
        <v>16</v>
      </c>
      <c r="N17" s="29">
        <v>5</v>
      </c>
      <c r="O17" s="29">
        <v>28</v>
      </c>
      <c r="P17" s="29">
        <v>16</v>
      </c>
      <c r="Q17" s="29">
        <v>8</v>
      </c>
      <c r="R17" s="29">
        <f t="shared" si="0"/>
        <v>52</v>
      </c>
      <c r="S17" s="59">
        <f t="shared" si="1"/>
        <v>1.75</v>
      </c>
      <c r="T17" s="59">
        <f t="shared" si="2"/>
        <v>0.93333333333333324</v>
      </c>
      <c r="U17" s="59">
        <f t="shared" si="3"/>
        <v>0.6333333333333333</v>
      </c>
      <c r="V17" s="29">
        <v>1</v>
      </c>
      <c r="W17" s="29" t="s">
        <v>44</v>
      </c>
      <c r="X17" s="43" t="s">
        <v>45</v>
      </c>
      <c r="Y17" s="43"/>
      <c r="AB17" s="29" t="str">
        <f t="shared" si="4"/>
        <v>Single</v>
      </c>
      <c r="AC17" s="29">
        <v>100</v>
      </c>
      <c r="AD17" s="94">
        <v>0.11</v>
      </c>
      <c r="AE17" s="43"/>
      <c r="BD17" t="str">
        <v>GS1007</v>
      </c>
    </row>
    <row r="18" spans="1:56" ht="15" customHeight="1" x14ac:dyDescent="0.35">
      <c r="A18" s="100">
        <v>44657</v>
      </c>
      <c r="B18" s="84">
        <v>8</v>
      </c>
      <c r="C18" s="43" t="s">
        <v>41</v>
      </c>
      <c r="D18" s="46" t="s">
        <v>42</v>
      </c>
      <c r="F18" s="29">
        <v>1050</v>
      </c>
      <c r="G18" s="29">
        <v>200</v>
      </c>
      <c r="I18" s="29">
        <v>10</v>
      </c>
      <c r="M18" s="29" t="s">
        <v>16</v>
      </c>
      <c r="N18" s="29">
        <v>5</v>
      </c>
      <c r="O18" s="29">
        <v>28</v>
      </c>
      <c r="P18" s="29">
        <v>16</v>
      </c>
      <c r="Q18" s="29">
        <v>8</v>
      </c>
      <c r="R18" s="29">
        <f t="shared" si="0"/>
        <v>52</v>
      </c>
      <c r="S18" s="59">
        <f t="shared" si="1"/>
        <v>1.75</v>
      </c>
      <c r="T18" s="59">
        <f t="shared" si="2"/>
        <v>0.93333333333333324</v>
      </c>
      <c r="U18" s="59">
        <f t="shared" si="3"/>
        <v>0.6333333333333333</v>
      </c>
      <c r="V18" s="29">
        <v>1</v>
      </c>
      <c r="W18" s="29" t="s">
        <v>44</v>
      </c>
      <c r="X18" s="43" t="s">
        <v>46</v>
      </c>
      <c r="Y18" s="43"/>
      <c r="AB18" s="29" t="str">
        <f t="shared" si="4"/>
        <v>Poly</v>
      </c>
      <c r="AC18" s="29">
        <v>100</v>
      </c>
      <c r="AD18" s="94">
        <v>7.0000000000000007E-2</v>
      </c>
      <c r="AE18" s="43"/>
      <c r="BD18" t="str">
        <v>Pre-Anneal</v>
      </c>
    </row>
    <row r="19" spans="1:56" ht="15" hidden="1" customHeight="1" x14ac:dyDescent="0.35">
      <c r="A19" s="100">
        <v>44657</v>
      </c>
      <c r="B19" s="84">
        <v>9</v>
      </c>
      <c r="C19" s="43" t="s">
        <v>41</v>
      </c>
      <c r="D19" s="46" t="s">
        <v>57</v>
      </c>
      <c r="H19" s="72" t="s">
        <v>56</v>
      </c>
      <c r="I19" s="29">
        <v>10</v>
      </c>
      <c r="M19" s="29" t="s">
        <v>16</v>
      </c>
      <c r="N19" s="29">
        <v>5</v>
      </c>
      <c r="O19" s="29">
        <v>28</v>
      </c>
      <c r="P19" s="29">
        <v>16</v>
      </c>
      <c r="Q19" s="29">
        <v>8</v>
      </c>
      <c r="R19" s="29">
        <f t="shared" si="0"/>
        <v>52</v>
      </c>
      <c r="S19" s="59">
        <f t="shared" si="1"/>
        <v>1.75</v>
      </c>
      <c r="T19" s="59">
        <f t="shared" si="2"/>
        <v>0.93333333333333324</v>
      </c>
      <c r="U19" s="59">
        <f t="shared" si="3"/>
        <v>0.6333333333333333</v>
      </c>
      <c r="V19" s="29">
        <v>1</v>
      </c>
      <c r="W19" s="29" t="s">
        <v>44</v>
      </c>
      <c r="X19" s="43"/>
      <c r="Y19" s="43"/>
      <c r="AD19" s="94"/>
      <c r="AE19" s="43"/>
      <c r="BD19" t="str">
        <v>Old</v>
      </c>
    </row>
    <row r="20" spans="1:56" ht="15" customHeight="1" x14ac:dyDescent="0.35">
      <c r="A20" s="100">
        <v>44657</v>
      </c>
      <c r="B20" s="84">
        <v>10</v>
      </c>
      <c r="C20" s="43" t="s">
        <v>41</v>
      </c>
      <c r="D20" s="46" t="s">
        <v>42</v>
      </c>
      <c r="F20" s="29">
        <v>1050</v>
      </c>
      <c r="G20" s="29">
        <v>200</v>
      </c>
      <c r="H20" s="64" t="s">
        <v>58</v>
      </c>
      <c r="I20" s="29">
        <v>10</v>
      </c>
      <c r="M20" s="29" t="s">
        <v>16</v>
      </c>
      <c r="N20" s="29">
        <v>5</v>
      </c>
      <c r="O20" s="29">
        <v>28</v>
      </c>
      <c r="P20" s="29">
        <v>16</v>
      </c>
      <c r="Q20" s="29">
        <v>8</v>
      </c>
      <c r="R20" s="29">
        <f t="shared" si="0"/>
        <v>52</v>
      </c>
      <c r="S20" s="59">
        <f t="shared" si="1"/>
        <v>1.75</v>
      </c>
      <c r="T20" s="59">
        <f t="shared" si="2"/>
        <v>0.93333333333333324</v>
      </c>
      <c r="U20" s="59">
        <f t="shared" si="3"/>
        <v>0.6333333333333333</v>
      </c>
      <c r="V20" s="29">
        <v>1</v>
      </c>
      <c r="W20" s="29" t="s">
        <v>44</v>
      </c>
      <c r="X20" s="43" t="s">
        <v>46</v>
      </c>
      <c r="Y20" s="43"/>
      <c r="AB20" s="29" t="str">
        <f t="shared" ref="AB20:AB51" si="5">IF(X20="20um Schlenk", "Single", "Poly")</f>
        <v>Poly</v>
      </c>
      <c r="AC20" s="29">
        <v>100</v>
      </c>
      <c r="AD20" s="94">
        <v>0.01</v>
      </c>
      <c r="AE20" s="43"/>
      <c r="BD20" t="str">
        <v>Small DI</v>
      </c>
    </row>
    <row r="21" spans="1:56" ht="15" customHeight="1" x14ac:dyDescent="0.35">
      <c r="A21" s="100">
        <v>44657</v>
      </c>
      <c r="B21" s="84">
        <v>11</v>
      </c>
      <c r="C21" s="43" t="s">
        <v>41</v>
      </c>
      <c r="D21" s="46" t="s">
        <v>59</v>
      </c>
      <c r="F21" s="29">
        <v>1050</v>
      </c>
      <c r="G21" s="29">
        <v>200</v>
      </c>
      <c r="H21" s="64" t="s">
        <v>43</v>
      </c>
      <c r="I21" s="29">
        <v>10</v>
      </c>
      <c r="M21" s="29" t="s">
        <v>16</v>
      </c>
      <c r="N21" s="29">
        <v>5</v>
      </c>
      <c r="O21" s="29">
        <v>28</v>
      </c>
      <c r="P21" s="29">
        <v>16</v>
      </c>
      <c r="Q21" s="29">
        <v>8</v>
      </c>
      <c r="R21" s="29">
        <f t="shared" si="0"/>
        <v>52</v>
      </c>
      <c r="S21" s="59">
        <f t="shared" si="1"/>
        <v>1.75</v>
      </c>
      <c r="T21" s="59">
        <f t="shared" si="2"/>
        <v>0.93333333333333324</v>
      </c>
      <c r="U21" s="59">
        <f t="shared" si="3"/>
        <v>0.6333333333333333</v>
      </c>
      <c r="V21" s="29">
        <v>5</v>
      </c>
      <c r="W21" s="29" t="s">
        <v>52</v>
      </c>
      <c r="X21" s="43" t="s">
        <v>46</v>
      </c>
      <c r="Y21" s="43"/>
      <c r="AB21" s="29" t="str">
        <f t="shared" si="5"/>
        <v>Poly</v>
      </c>
      <c r="AC21" s="29">
        <v>100</v>
      </c>
      <c r="AD21" s="94">
        <f>(0.03+0.02+0.03+0.13+0.03)/5</f>
        <v>4.8000000000000001E-2</v>
      </c>
      <c r="AE21" s="43"/>
      <c r="BD21" t="str">
        <v>Large DI</v>
      </c>
    </row>
    <row r="22" spans="1:56" ht="15" customHeight="1" x14ac:dyDescent="0.35">
      <c r="A22" s="100">
        <v>44657</v>
      </c>
      <c r="B22" s="84">
        <v>12</v>
      </c>
      <c r="C22" s="43" t="s">
        <v>41</v>
      </c>
      <c r="D22" s="46" t="s">
        <v>42</v>
      </c>
      <c r="F22" s="29">
        <v>1040</v>
      </c>
      <c r="G22" s="29">
        <v>200</v>
      </c>
      <c r="H22" s="64" t="s">
        <v>43</v>
      </c>
      <c r="I22" s="29">
        <v>10</v>
      </c>
      <c r="M22" s="29" t="s">
        <v>16</v>
      </c>
      <c r="N22" s="29">
        <v>5</v>
      </c>
      <c r="O22" s="29">
        <v>28</v>
      </c>
      <c r="P22" s="29">
        <v>16</v>
      </c>
      <c r="Q22" s="29">
        <v>8</v>
      </c>
      <c r="R22" s="29">
        <f t="shared" si="0"/>
        <v>52</v>
      </c>
      <c r="S22" s="59">
        <f t="shared" si="1"/>
        <v>1.75</v>
      </c>
      <c r="T22" s="59">
        <f t="shared" si="2"/>
        <v>0.93333333333333324</v>
      </c>
      <c r="U22" s="59">
        <f t="shared" si="3"/>
        <v>0.6333333333333333</v>
      </c>
      <c r="V22" s="29">
        <v>1</v>
      </c>
      <c r="W22" s="29" t="s">
        <v>44</v>
      </c>
      <c r="X22" s="43" t="s">
        <v>45</v>
      </c>
      <c r="Y22" s="43"/>
      <c r="AB22" s="29" t="str">
        <f t="shared" si="5"/>
        <v>Single</v>
      </c>
      <c r="AC22" s="29">
        <v>100</v>
      </c>
      <c r="AD22" s="94"/>
      <c r="AE22" s="43"/>
      <c r="BD22" t="str">
        <v>Pre-Anneal250</v>
      </c>
    </row>
    <row r="23" spans="1:56" ht="15" customHeight="1" x14ac:dyDescent="0.35">
      <c r="A23" s="100">
        <v>44657</v>
      </c>
      <c r="B23" s="84">
        <v>12</v>
      </c>
      <c r="C23" s="43" t="s">
        <v>41</v>
      </c>
      <c r="D23" s="46" t="s">
        <v>42</v>
      </c>
      <c r="F23" s="29">
        <v>1040</v>
      </c>
      <c r="G23" s="29">
        <v>200</v>
      </c>
      <c r="I23" s="29">
        <v>10</v>
      </c>
      <c r="M23" s="29" t="s">
        <v>16</v>
      </c>
      <c r="N23" s="29">
        <v>5</v>
      </c>
      <c r="O23" s="29">
        <v>28</v>
      </c>
      <c r="P23" s="29">
        <v>16</v>
      </c>
      <c r="Q23" s="29">
        <v>8</v>
      </c>
      <c r="R23" s="29">
        <f t="shared" si="0"/>
        <v>52</v>
      </c>
      <c r="S23" s="59">
        <f t="shared" si="1"/>
        <v>1.75</v>
      </c>
      <c r="T23" s="59">
        <f t="shared" si="2"/>
        <v>0.93333333333333324</v>
      </c>
      <c r="U23" s="59">
        <f t="shared" si="3"/>
        <v>0.6333333333333333</v>
      </c>
      <c r="V23" s="29">
        <v>1</v>
      </c>
      <c r="W23" s="29" t="s">
        <v>44</v>
      </c>
      <c r="X23" s="43" t="s">
        <v>46</v>
      </c>
      <c r="Y23" s="43"/>
      <c r="AB23" s="29" t="str">
        <f t="shared" si="5"/>
        <v>Poly</v>
      </c>
      <c r="AC23" s="29">
        <v>100</v>
      </c>
      <c r="AD23" s="94"/>
      <c r="AE23" s="43"/>
      <c r="BD23" t="str">
        <v>3Bath</v>
      </c>
    </row>
    <row r="24" spans="1:56" ht="15" customHeight="1" x14ac:dyDescent="0.35">
      <c r="A24" s="100">
        <v>44657</v>
      </c>
      <c r="B24" s="84">
        <v>13</v>
      </c>
      <c r="C24" s="43" t="s">
        <v>41</v>
      </c>
      <c r="D24" s="46" t="s">
        <v>42</v>
      </c>
      <c r="F24" s="29">
        <v>1030</v>
      </c>
      <c r="G24" s="29">
        <v>200</v>
      </c>
      <c r="H24" s="64" t="s">
        <v>43</v>
      </c>
      <c r="I24" s="29">
        <v>10</v>
      </c>
      <c r="M24" s="29" t="s">
        <v>16</v>
      </c>
      <c r="N24" s="29">
        <v>5</v>
      </c>
      <c r="O24" s="29">
        <v>28</v>
      </c>
      <c r="P24" s="29">
        <v>16</v>
      </c>
      <c r="Q24" s="29">
        <v>8</v>
      </c>
      <c r="R24" s="29">
        <f t="shared" si="0"/>
        <v>52</v>
      </c>
      <c r="S24" s="59">
        <f t="shared" si="1"/>
        <v>1.75</v>
      </c>
      <c r="T24" s="59">
        <f t="shared" si="2"/>
        <v>0.93333333333333324</v>
      </c>
      <c r="U24" s="59">
        <f t="shared" si="3"/>
        <v>0.6333333333333333</v>
      </c>
      <c r="V24" s="29">
        <v>1</v>
      </c>
      <c r="W24" s="29" t="s">
        <v>44</v>
      </c>
      <c r="X24" s="43" t="s">
        <v>45</v>
      </c>
      <c r="Y24" s="43"/>
      <c r="AB24" s="29" t="str">
        <f t="shared" si="5"/>
        <v>Single</v>
      </c>
      <c r="AC24" s="29">
        <v>100</v>
      </c>
      <c r="AD24" s="94">
        <v>0.28999999999999998</v>
      </c>
      <c r="AE24" s="43"/>
      <c r="BD24" t="str">
        <v>3BathPre-Anneal</v>
      </c>
    </row>
    <row r="25" spans="1:56" ht="15" customHeight="1" x14ac:dyDescent="0.35">
      <c r="A25" s="100">
        <v>44657</v>
      </c>
      <c r="B25" s="84">
        <v>13</v>
      </c>
      <c r="C25" s="43" t="s">
        <v>41</v>
      </c>
      <c r="D25" s="46" t="s">
        <v>42</v>
      </c>
      <c r="F25" s="29">
        <v>1030</v>
      </c>
      <c r="G25" s="29">
        <v>200</v>
      </c>
      <c r="I25" s="29">
        <v>10</v>
      </c>
      <c r="M25" s="29" t="s">
        <v>16</v>
      </c>
      <c r="N25" s="29">
        <v>5</v>
      </c>
      <c r="O25" s="29">
        <v>28</v>
      </c>
      <c r="P25" s="29">
        <v>16</v>
      </c>
      <c r="Q25" s="29">
        <v>8</v>
      </c>
      <c r="R25" s="29">
        <f t="shared" si="0"/>
        <v>52</v>
      </c>
      <c r="S25" s="59">
        <f t="shared" si="1"/>
        <v>1.75</v>
      </c>
      <c r="T25" s="59">
        <f t="shared" si="2"/>
        <v>0.93333333333333324</v>
      </c>
      <c r="U25" s="59">
        <f t="shared" si="3"/>
        <v>0.6333333333333333</v>
      </c>
      <c r="V25" s="29">
        <v>1</v>
      </c>
      <c r="W25" s="29" t="s">
        <v>44</v>
      </c>
      <c r="X25" s="43" t="s">
        <v>46</v>
      </c>
      <c r="Y25" s="43"/>
      <c r="AB25" s="29" t="str">
        <f t="shared" si="5"/>
        <v>Poly</v>
      </c>
      <c r="AC25" s="29">
        <v>100</v>
      </c>
      <c r="AD25" s="94">
        <v>0.22</v>
      </c>
      <c r="AE25" s="43"/>
      <c r="BD25" t="str">
        <v>Quartz</v>
      </c>
    </row>
    <row r="26" spans="1:56" ht="15" customHeight="1" x14ac:dyDescent="0.35">
      <c r="A26" s="100">
        <v>44658</v>
      </c>
      <c r="B26" s="84">
        <v>14</v>
      </c>
      <c r="C26" s="43" t="s">
        <v>41</v>
      </c>
      <c r="D26" s="46" t="s">
        <v>42</v>
      </c>
      <c r="F26" s="29">
        <v>1050</v>
      </c>
      <c r="G26" s="29">
        <v>200</v>
      </c>
      <c r="H26" s="64" t="s">
        <v>43</v>
      </c>
      <c r="I26" s="29">
        <v>10</v>
      </c>
      <c r="M26" s="29" t="s">
        <v>16</v>
      </c>
      <c r="N26" s="29">
        <v>5</v>
      </c>
      <c r="O26" s="29">
        <v>28</v>
      </c>
      <c r="P26" s="29">
        <v>16</v>
      </c>
      <c r="Q26" s="29">
        <v>8</v>
      </c>
      <c r="R26" s="29">
        <f t="shared" si="0"/>
        <v>52</v>
      </c>
      <c r="S26" s="59">
        <f t="shared" si="1"/>
        <v>1.75</v>
      </c>
      <c r="T26" s="59">
        <f t="shared" si="2"/>
        <v>0.93333333333333324</v>
      </c>
      <c r="U26" s="59">
        <f t="shared" si="3"/>
        <v>0.6333333333333333</v>
      </c>
      <c r="V26" s="29">
        <v>1</v>
      </c>
      <c r="W26" s="29" t="s">
        <v>44</v>
      </c>
      <c r="X26" s="43" t="s">
        <v>45</v>
      </c>
      <c r="Y26" s="43"/>
      <c r="AB26" s="29" t="str">
        <f t="shared" si="5"/>
        <v>Single</v>
      </c>
      <c r="AC26" s="29">
        <v>100</v>
      </c>
      <c r="AD26" s="94">
        <v>0.04</v>
      </c>
      <c r="AE26" s="43"/>
      <c r="BD26" t="str">
        <v>NEP Pre-Anneal</v>
      </c>
    </row>
    <row r="27" spans="1:56" ht="15" customHeight="1" x14ac:dyDescent="0.35">
      <c r="A27" s="100">
        <v>44658</v>
      </c>
      <c r="B27" s="84">
        <v>14</v>
      </c>
      <c r="C27" s="43" t="s">
        <v>41</v>
      </c>
      <c r="D27" s="46" t="s">
        <v>42</v>
      </c>
      <c r="F27" s="29">
        <v>1050</v>
      </c>
      <c r="G27" s="29">
        <v>200</v>
      </c>
      <c r="I27" s="29">
        <v>10</v>
      </c>
      <c r="M27" s="29" t="s">
        <v>16</v>
      </c>
      <c r="N27" s="29">
        <v>5</v>
      </c>
      <c r="O27" s="29">
        <v>28</v>
      </c>
      <c r="P27" s="29">
        <v>16</v>
      </c>
      <c r="Q27" s="29">
        <v>8</v>
      </c>
      <c r="R27" s="29">
        <f t="shared" si="0"/>
        <v>52</v>
      </c>
      <c r="S27" s="59">
        <f t="shared" si="1"/>
        <v>1.75</v>
      </c>
      <c r="T27" s="59">
        <f t="shared" si="2"/>
        <v>0.93333333333333324</v>
      </c>
      <c r="U27" s="59">
        <f t="shared" si="3"/>
        <v>0.6333333333333333</v>
      </c>
      <c r="V27" s="29">
        <v>1</v>
      </c>
      <c r="W27" s="29" t="s">
        <v>44</v>
      </c>
      <c r="X27" s="43" t="s">
        <v>46</v>
      </c>
      <c r="Y27" s="43"/>
      <c r="AB27" s="29" t="str">
        <f t="shared" si="5"/>
        <v>Poly</v>
      </c>
      <c r="AC27" s="29">
        <v>100</v>
      </c>
      <c r="AD27" s="94">
        <v>0.02</v>
      </c>
      <c r="AE27" s="43"/>
      <c r="BD27" t="str">
        <v>Vertical</v>
      </c>
    </row>
    <row r="28" spans="1:56" ht="15" customHeight="1" x14ac:dyDescent="0.35">
      <c r="A28" s="100">
        <v>44658</v>
      </c>
      <c r="B28" s="84">
        <v>15</v>
      </c>
      <c r="C28" s="43" t="s">
        <v>48</v>
      </c>
      <c r="D28" s="46" t="s">
        <v>42</v>
      </c>
      <c r="F28" s="29">
        <v>1050</v>
      </c>
      <c r="G28" s="29">
        <v>200</v>
      </c>
      <c r="H28" s="64" t="s">
        <v>49</v>
      </c>
      <c r="I28" s="29">
        <v>10</v>
      </c>
      <c r="M28" s="29" t="s">
        <v>16</v>
      </c>
      <c r="N28" s="29">
        <v>5</v>
      </c>
      <c r="O28" s="29">
        <v>84</v>
      </c>
      <c r="P28" s="29">
        <v>48</v>
      </c>
      <c r="Q28" s="29">
        <v>24</v>
      </c>
      <c r="R28" s="29">
        <f t="shared" si="0"/>
        <v>156</v>
      </c>
      <c r="S28" s="59">
        <f t="shared" si="1"/>
        <v>1.75</v>
      </c>
      <c r="T28" s="59">
        <f t="shared" si="2"/>
        <v>0.93333333333333324</v>
      </c>
      <c r="U28" s="59">
        <f t="shared" si="3"/>
        <v>0.6333333333333333</v>
      </c>
      <c r="V28" s="29">
        <v>1</v>
      </c>
      <c r="W28" s="29" t="s">
        <v>44</v>
      </c>
      <c r="X28" s="43" t="s">
        <v>45</v>
      </c>
      <c r="Y28" s="43"/>
      <c r="AB28" s="29" t="str">
        <f t="shared" si="5"/>
        <v>Single</v>
      </c>
      <c r="AC28" s="29">
        <v>100</v>
      </c>
      <c r="AD28" s="94">
        <v>0.06</v>
      </c>
      <c r="AE28" s="43"/>
      <c r="BD28" t="str">
        <v>Horizontal</v>
      </c>
    </row>
    <row r="29" spans="1:56" ht="15" customHeight="1" x14ac:dyDescent="0.35">
      <c r="A29" s="100">
        <v>44658</v>
      </c>
      <c r="B29" s="84">
        <v>15</v>
      </c>
      <c r="C29" s="43" t="s">
        <v>48</v>
      </c>
      <c r="D29" s="46" t="s">
        <v>42</v>
      </c>
      <c r="F29" s="29">
        <v>1050</v>
      </c>
      <c r="G29" s="29">
        <v>200</v>
      </c>
      <c r="I29" s="29">
        <v>10</v>
      </c>
      <c r="M29" s="29" t="s">
        <v>16</v>
      </c>
      <c r="N29" s="29">
        <v>5</v>
      </c>
      <c r="O29" s="29">
        <v>84</v>
      </c>
      <c r="P29" s="29">
        <v>48</v>
      </c>
      <c r="Q29" s="29">
        <v>24</v>
      </c>
      <c r="R29" s="29">
        <f t="shared" si="0"/>
        <v>156</v>
      </c>
      <c r="S29" s="59">
        <f t="shared" si="1"/>
        <v>1.75</v>
      </c>
      <c r="T29" s="59">
        <f t="shared" si="2"/>
        <v>0.93333333333333324</v>
      </c>
      <c r="U29" s="59">
        <f t="shared" si="3"/>
        <v>0.6333333333333333</v>
      </c>
      <c r="V29" s="29">
        <v>1</v>
      </c>
      <c r="W29" s="29" t="s">
        <v>44</v>
      </c>
      <c r="X29" s="43" t="s">
        <v>46</v>
      </c>
      <c r="Y29" s="43"/>
      <c r="AB29" s="29" t="str">
        <f t="shared" si="5"/>
        <v>Poly</v>
      </c>
      <c r="AC29" s="29">
        <v>100</v>
      </c>
      <c r="AD29" s="94"/>
      <c r="AE29" s="43"/>
      <c r="BD29" t="str">
        <v>NEP Pre-Annealed</v>
      </c>
    </row>
    <row r="30" spans="1:56" ht="15" customHeight="1" x14ac:dyDescent="0.35">
      <c r="A30" s="100">
        <v>44658</v>
      </c>
      <c r="B30" s="84">
        <v>16</v>
      </c>
      <c r="C30" s="43" t="s">
        <v>41</v>
      </c>
      <c r="D30" s="46" t="s">
        <v>42</v>
      </c>
      <c r="F30" s="29">
        <v>1050</v>
      </c>
      <c r="G30" s="29">
        <v>200</v>
      </c>
      <c r="H30" s="64" t="s">
        <v>60</v>
      </c>
      <c r="I30" s="29">
        <v>10</v>
      </c>
      <c r="M30" s="29" t="s">
        <v>16</v>
      </c>
      <c r="N30" s="29">
        <v>5</v>
      </c>
      <c r="O30" s="29">
        <v>28</v>
      </c>
      <c r="P30" s="29">
        <v>16</v>
      </c>
      <c r="Q30" s="29">
        <v>8</v>
      </c>
      <c r="R30" s="29">
        <f t="shared" si="0"/>
        <v>52</v>
      </c>
      <c r="S30" s="59">
        <f t="shared" si="1"/>
        <v>1.75</v>
      </c>
      <c r="T30" s="59">
        <f t="shared" si="2"/>
        <v>0.93333333333333324</v>
      </c>
      <c r="U30" s="59">
        <f t="shared" si="3"/>
        <v>0.6333333333333333</v>
      </c>
      <c r="V30" s="29">
        <v>1</v>
      </c>
      <c r="W30" s="29" t="s">
        <v>44</v>
      </c>
      <c r="X30" s="43" t="s">
        <v>45</v>
      </c>
      <c r="Y30" s="43"/>
      <c r="AB30" s="29" t="str">
        <f t="shared" si="5"/>
        <v>Single</v>
      </c>
      <c r="AC30" s="29">
        <v>100</v>
      </c>
      <c r="AD30" s="94">
        <v>7.0000000000000007E-2</v>
      </c>
      <c r="AE30" s="43"/>
      <c r="BD30" t="str">
        <v>Horizontal Pre-Annealed</v>
      </c>
    </row>
    <row r="31" spans="1:56" ht="15" customHeight="1" x14ac:dyDescent="0.35">
      <c r="A31" s="100">
        <v>44658</v>
      </c>
      <c r="B31" s="84">
        <v>16</v>
      </c>
      <c r="C31" s="43" t="s">
        <v>41</v>
      </c>
      <c r="D31" s="46" t="s">
        <v>42</v>
      </c>
      <c r="F31" s="29">
        <v>1050</v>
      </c>
      <c r="G31" s="29">
        <v>200</v>
      </c>
      <c r="I31" s="29">
        <v>10</v>
      </c>
      <c r="M31" s="29" t="s">
        <v>16</v>
      </c>
      <c r="N31" s="29">
        <v>5</v>
      </c>
      <c r="O31" s="29">
        <v>28</v>
      </c>
      <c r="P31" s="29">
        <v>16</v>
      </c>
      <c r="Q31" s="29">
        <v>8</v>
      </c>
      <c r="R31" s="29">
        <f t="shared" si="0"/>
        <v>52</v>
      </c>
      <c r="S31" s="59">
        <f t="shared" si="1"/>
        <v>1.75</v>
      </c>
      <c r="T31" s="59">
        <f t="shared" si="2"/>
        <v>0.93333333333333324</v>
      </c>
      <c r="U31" s="59">
        <f t="shared" si="3"/>
        <v>0.6333333333333333</v>
      </c>
      <c r="V31" s="29">
        <v>1</v>
      </c>
      <c r="W31" s="29" t="s">
        <v>44</v>
      </c>
      <c r="X31" s="43" t="s">
        <v>46</v>
      </c>
      <c r="Y31" s="43"/>
      <c r="AB31" s="29" t="str">
        <f t="shared" si="5"/>
        <v>Poly</v>
      </c>
      <c r="AC31" s="29">
        <v>100</v>
      </c>
      <c r="AD31" s="94">
        <v>0.1</v>
      </c>
      <c r="AE31" s="43"/>
      <c r="BD31" t="str">
        <v>Vertical Pre-Annealed</v>
      </c>
    </row>
    <row r="32" spans="1:56" ht="15" customHeight="1" x14ac:dyDescent="0.35">
      <c r="A32" s="100">
        <v>44658</v>
      </c>
      <c r="B32" s="84">
        <v>17</v>
      </c>
      <c r="C32" s="43" t="s">
        <v>48</v>
      </c>
      <c r="D32" s="46" t="s">
        <v>42</v>
      </c>
      <c r="F32" s="29">
        <v>1050</v>
      </c>
      <c r="G32" s="29">
        <v>200</v>
      </c>
      <c r="H32" s="64" t="s">
        <v>61</v>
      </c>
      <c r="I32" s="29">
        <v>10</v>
      </c>
      <c r="M32" s="29" t="s">
        <v>16</v>
      </c>
      <c r="N32" s="29">
        <v>5</v>
      </c>
      <c r="O32" s="29">
        <v>84</v>
      </c>
      <c r="P32" s="29">
        <v>48</v>
      </c>
      <c r="Q32" s="29">
        <v>24</v>
      </c>
      <c r="R32" s="29">
        <f t="shared" si="0"/>
        <v>156</v>
      </c>
      <c r="S32" s="59">
        <f t="shared" si="1"/>
        <v>1.75</v>
      </c>
      <c r="T32" s="59">
        <f t="shared" si="2"/>
        <v>0.93333333333333324</v>
      </c>
      <c r="U32" s="59">
        <f t="shared" si="3"/>
        <v>0.6333333333333333</v>
      </c>
      <c r="V32" s="29">
        <v>1</v>
      </c>
      <c r="W32" s="29" t="s">
        <v>44</v>
      </c>
      <c r="X32" s="43" t="s">
        <v>45</v>
      </c>
      <c r="Y32" s="43"/>
      <c r="AB32" s="29" t="str">
        <f t="shared" si="5"/>
        <v>Single</v>
      </c>
      <c r="AC32" s="29">
        <v>100</v>
      </c>
      <c r="AD32" s="94"/>
      <c r="AE32" s="43"/>
      <c r="BD32" t="str">
        <v>R2R Pre-Anneal</v>
      </c>
    </row>
    <row r="33" spans="1:56" ht="15" customHeight="1" x14ac:dyDescent="0.35">
      <c r="A33" s="100">
        <v>44658</v>
      </c>
      <c r="B33" s="84">
        <v>17</v>
      </c>
      <c r="C33" s="43" t="s">
        <v>48</v>
      </c>
      <c r="D33" s="46" t="s">
        <v>42</v>
      </c>
      <c r="F33" s="29">
        <v>1050</v>
      </c>
      <c r="G33" s="29">
        <v>200</v>
      </c>
      <c r="I33" s="29">
        <v>10</v>
      </c>
      <c r="M33" s="29" t="s">
        <v>16</v>
      </c>
      <c r="N33" s="29">
        <v>5</v>
      </c>
      <c r="O33" s="29">
        <v>84</v>
      </c>
      <c r="P33" s="29">
        <v>48</v>
      </c>
      <c r="Q33" s="29">
        <v>24</v>
      </c>
      <c r="R33" s="29">
        <f t="shared" si="0"/>
        <v>156</v>
      </c>
      <c r="S33" s="59">
        <f t="shared" si="1"/>
        <v>1.75</v>
      </c>
      <c r="T33" s="59">
        <f t="shared" si="2"/>
        <v>0.93333333333333324</v>
      </c>
      <c r="U33" s="59">
        <f t="shared" si="3"/>
        <v>0.6333333333333333</v>
      </c>
      <c r="V33" s="29">
        <v>1</v>
      </c>
      <c r="W33" s="29" t="s">
        <v>44</v>
      </c>
      <c r="X33" s="43" t="s">
        <v>46</v>
      </c>
      <c r="Y33" s="43"/>
      <c r="AB33" s="29" t="str">
        <f t="shared" si="5"/>
        <v>Poly</v>
      </c>
      <c r="AC33" s="29">
        <v>100</v>
      </c>
      <c r="AD33" s="94">
        <v>0.04</v>
      </c>
      <c r="AE33" s="43"/>
      <c r="BD33" t="str">
        <v>R2R Pre-Anneal Wrinkled</v>
      </c>
    </row>
    <row r="34" spans="1:56" ht="15" customHeight="1" x14ac:dyDescent="0.35">
      <c r="A34" s="100">
        <v>44658</v>
      </c>
      <c r="B34" s="84">
        <v>18</v>
      </c>
      <c r="C34" s="43" t="s">
        <v>41</v>
      </c>
      <c r="D34" s="46" t="s">
        <v>42</v>
      </c>
      <c r="F34" s="29">
        <v>1050</v>
      </c>
      <c r="G34" s="29">
        <v>200</v>
      </c>
      <c r="H34" s="64" t="s">
        <v>62</v>
      </c>
      <c r="I34" s="29">
        <v>10</v>
      </c>
      <c r="M34" s="29" t="s">
        <v>16</v>
      </c>
      <c r="N34" s="29">
        <v>5</v>
      </c>
      <c r="O34" s="29">
        <v>28</v>
      </c>
      <c r="P34" s="29">
        <v>16</v>
      </c>
      <c r="Q34" s="29">
        <v>8</v>
      </c>
      <c r="R34" s="29">
        <f t="shared" ref="R34:R65" si="6">Q34+P34+O34</f>
        <v>52</v>
      </c>
      <c r="S34" s="59">
        <f t="shared" ref="S34:S65" si="7">O34/P34</f>
        <v>1.75</v>
      </c>
      <c r="T34" s="59">
        <f t="shared" si="2"/>
        <v>0.93333333333333324</v>
      </c>
      <c r="U34" s="59">
        <f t="shared" si="3"/>
        <v>0.6333333333333333</v>
      </c>
      <c r="V34" s="29">
        <v>1</v>
      </c>
      <c r="W34" s="29" t="s">
        <v>44</v>
      </c>
      <c r="X34" s="43" t="s">
        <v>46</v>
      </c>
      <c r="Y34" s="43"/>
      <c r="AB34" s="29" t="str">
        <f t="shared" si="5"/>
        <v>Poly</v>
      </c>
      <c r="AC34" s="29">
        <v>100</v>
      </c>
      <c r="AD34" s="94">
        <v>0.05</v>
      </c>
      <c r="AE34" s="43"/>
      <c r="BD34" t="str">
        <v>Wide</v>
      </c>
    </row>
    <row r="35" spans="1:56" ht="15" customHeight="1" x14ac:dyDescent="0.35">
      <c r="A35" s="100">
        <v>44658</v>
      </c>
      <c r="B35" s="84">
        <v>18</v>
      </c>
      <c r="C35" s="43" t="s">
        <v>41</v>
      </c>
      <c r="D35" s="46" t="s">
        <v>42</v>
      </c>
      <c r="F35" s="29">
        <v>1050</v>
      </c>
      <c r="G35" s="29">
        <v>200</v>
      </c>
      <c r="H35" s="64" t="s">
        <v>63</v>
      </c>
      <c r="I35" s="29">
        <v>10</v>
      </c>
      <c r="M35" s="29" t="s">
        <v>16</v>
      </c>
      <c r="N35" s="29">
        <v>5</v>
      </c>
      <c r="O35" s="29">
        <v>28</v>
      </c>
      <c r="P35" s="29">
        <v>16</v>
      </c>
      <c r="Q35" s="29">
        <v>8</v>
      </c>
      <c r="R35" s="29">
        <f t="shared" si="6"/>
        <v>52</v>
      </c>
      <c r="S35" s="59">
        <f t="shared" si="7"/>
        <v>1.75</v>
      </c>
      <c r="T35" s="59">
        <f t="shared" si="2"/>
        <v>0.93333333333333324</v>
      </c>
      <c r="U35" s="59">
        <f t="shared" si="3"/>
        <v>0.6333333333333333</v>
      </c>
      <c r="V35" s="29">
        <v>1</v>
      </c>
      <c r="W35" s="29" t="s">
        <v>44</v>
      </c>
      <c r="X35" s="43" t="s">
        <v>46</v>
      </c>
      <c r="Y35" s="43"/>
      <c r="AB35" s="29" t="str">
        <f t="shared" si="5"/>
        <v>Poly</v>
      </c>
      <c r="AC35" s="29">
        <v>100</v>
      </c>
      <c r="AD35" s="94">
        <v>0.02</v>
      </c>
      <c r="AE35" s="43"/>
    </row>
    <row r="36" spans="1:56" ht="15" customHeight="1" x14ac:dyDescent="0.35">
      <c r="A36" s="100">
        <v>44659</v>
      </c>
      <c r="B36" s="84">
        <v>19</v>
      </c>
      <c r="C36" s="43" t="s">
        <v>64</v>
      </c>
      <c r="D36" s="46" t="s">
        <v>42</v>
      </c>
      <c r="F36" s="29">
        <v>1030</v>
      </c>
      <c r="G36" s="29">
        <v>200</v>
      </c>
      <c r="H36" s="64" t="s">
        <v>65</v>
      </c>
      <c r="I36" s="29">
        <v>10</v>
      </c>
      <c r="M36" s="29" t="s">
        <v>16</v>
      </c>
      <c r="N36" s="29">
        <v>5</v>
      </c>
      <c r="O36" s="29">
        <v>36</v>
      </c>
      <c r="P36" s="29">
        <v>16</v>
      </c>
      <c r="Q36" s="29">
        <v>0</v>
      </c>
      <c r="R36" s="29">
        <f t="shared" si="6"/>
        <v>52</v>
      </c>
      <c r="S36" s="59">
        <f t="shared" si="7"/>
        <v>2.25</v>
      </c>
      <c r="T36" s="59">
        <f t="shared" si="2"/>
        <v>0.93333333333333324</v>
      </c>
      <c r="U36" s="59">
        <f t="shared" si="3"/>
        <v>0.6333333333333333</v>
      </c>
      <c r="V36" s="29">
        <v>1</v>
      </c>
      <c r="W36" s="29" t="s">
        <v>44</v>
      </c>
      <c r="X36" s="43" t="s">
        <v>45</v>
      </c>
      <c r="Y36" s="43"/>
      <c r="AB36" s="29" t="str">
        <f t="shared" si="5"/>
        <v>Single</v>
      </c>
      <c r="AC36" s="29">
        <v>100</v>
      </c>
      <c r="AD36" s="94"/>
      <c r="AE36" s="43"/>
    </row>
    <row r="37" spans="1:56" ht="15" customHeight="1" x14ac:dyDescent="0.35">
      <c r="A37" s="100">
        <v>44659</v>
      </c>
      <c r="B37" s="84">
        <v>19</v>
      </c>
      <c r="C37" s="43" t="s">
        <v>64</v>
      </c>
      <c r="D37" s="46" t="s">
        <v>42</v>
      </c>
      <c r="F37" s="29">
        <v>1030</v>
      </c>
      <c r="G37" s="29">
        <v>200</v>
      </c>
      <c r="I37" s="29">
        <v>10</v>
      </c>
      <c r="M37" s="29" t="s">
        <v>16</v>
      </c>
      <c r="N37" s="29">
        <v>5</v>
      </c>
      <c r="O37" s="29">
        <v>36</v>
      </c>
      <c r="P37" s="29">
        <v>16</v>
      </c>
      <c r="Q37" s="29">
        <v>0</v>
      </c>
      <c r="R37" s="29">
        <f t="shared" si="6"/>
        <v>52</v>
      </c>
      <c r="S37" s="59">
        <f t="shared" si="7"/>
        <v>2.25</v>
      </c>
      <c r="T37" s="59">
        <f t="shared" si="2"/>
        <v>0.93333333333333324</v>
      </c>
      <c r="U37" s="59">
        <f t="shared" si="3"/>
        <v>0.6333333333333333</v>
      </c>
      <c r="V37" s="29">
        <v>1</v>
      </c>
      <c r="W37" s="29" t="s">
        <v>44</v>
      </c>
      <c r="X37" s="43" t="s">
        <v>46</v>
      </c>
      <c r="Y37" s="43"/>
      <c r="AB37" s="29" t="str">
        <f t="shared" si="5"/>
        <v>Poly</v>
      </c>
      <c r="AC37" s="29">
        <v>100</v>
      </c>
      <c r="AD37" s="94">
        <v>3.2000000000000001E-2</v>
      </c>
      <c r="AE37" s="43"/>
    </row>
    <row r="38" spans="1:56" ht="15" customHeight="1" x14ac:dyDescent="0.35">
      <c r="A38" s="100">
        <v>44659</v>
      </c>
      <c r="B38" s="84">
        <v>20</v>
      </c>
      <c r="C38" s="43" t="s">
        <v>64</v>
      </c>
      <c r="D38" s="46" t="s">
        <v>42</v>
      </c>
      <c r="F38" s="29">
        <v>1020</v>
      </c>
      <c r="G38" s="29">
        <v>200</v>
      </c>
      <c r="H38" s="64" t="s">
        <v>65</v>
      </c>
      <c r="I38" s="29">
        <v>10</v>
      </c>
      <c r="M38" s="29" t="s">
        <v>16</v>
      </c>
      <c r="N38" s="29">
        <v>5</v>
      </c>
      <c r="O38" s="29">
        <v>36</v>
      </c>
      <c r="P38" s="29">
        <v>16</v>
      </c>
      <c r="Q38" s="29">
        <v>0</v>
      </c>
      <c r="R38" s="29">
        <f t="shared" si="6"/>
        <v>52</v>
      </c>
      <c r="S38" s="59">
        <f t="shared" si="7"/>
        <v>2.25</v>
      </c>
      <c r="T38" s="59">
        <f t="shared" si="2"/>
        <v>0.93333333333333324</v>
      </c>
      <c r="U38" s="59">
        <f t="shared" si="3"/>
        <v>0.6333333333333333</v>
      </c>
      <c r="V38" s="29">
        <v>1</v>
      </c>
      <c r="W38" s="29" t="s">
        <v>44</v>
      </c>
      <c r="X38" s="43" t="s">
        <v>45</v>
      </c>
      <c r="Y38" s="43"/>
      <c r="AB38" s="29" t="str">
        <f t="shared" si="5"/>
        <v>Single</v>
      </c>
      <c r="AC38" s="29">
        <v>100</v>
      </c>
      <c r="AD38" s="94"/>
      <c r="AE38" s="43"/>
    </row>
    <row r="39" spans="1:56" ht="15" customHeight="1" x14ac:dyDescent="0.35">
      <c r="A39" s="100">
        <v>44659</v>
      </c>
      <c r="B39" s="84">
        <v>20</v>
      </c>
      <c r="C39" s="43" t="s">
        <v>64</v>
      </c>
      <c r="D39" s="46" t="s">
        <v>42</v>
      </c>
      <c r="F39" s="29">
        <v>1020</v>
      </c>
      <c r="G39" s="29">
        <v>200</v>
      </c>
      <c r="I39" s="29">
        <v>10</v>
      </c>
      <c r="M39" s="29" t="s">
        <v>16</v>
      </c>
      <c r="N39" s="29">
        <v>5</v>
      </c>
      <c r="O39" s="29">
        <v>36</v>
      </c>
      <c r="P39" s="29">
        <v>16</v>
      </c>
      <c r="Q39" s="29">
        <v>0</v>
      </c>
      <c r="R39" s="29">
        <f t="shared" si="6"/>
        <v>52</v>
      </c>
      <c r="S39" s="59">
        <f t="shared" si="7"/>
        <v>2.25</v>
      </c>
      <c r="T39" s="59">
        <f t="shared" si="2"/>
        <v>0.93333333333333324</v>
      </c>
      <c r="U39" s="59">
        <f t="shared" si="3"/>
        <v>0.6333333333333333</v>
      </c>
      <c r="V39" s="29">
        <v>1</v>
      </c>
      <c r="W39" s="29" t="s">
        <v>44</v>
      </c>
      <c r="X39" s="43" t="s">
        <v>46</v>
      </c>
      <c r="Y39" s="43"/>
      <c r="AB39" s="29" t="str">
        <f t="shared" si="5"/>
        <v>Poly</v>
      </c>
      <c r="AC39" s="29">
        <v>100</v>
      </c>
      <c r="AD39" s="94"/>
      <c r="AE39" s="43"/>
    </row>
    <row r="40" spans="1:56" ht="15" customHeight="1" x14ac:dyDescent="0.35">
      <c r="A40" s="100">
        <v>44659</v>
      </c>
      <c r="B40" s="84">
        <v>21</v>
      </c>
      <c r="C40" s="43" t="s">
        <v>64</v>
      </c>
      <c r="D40" s="46" t="s">
        <v>42</v>
      </c>
      <c r="F40" s="29">
        <v>1000</v>
      </c>
      <c r="G40" s="29">
        <v>200</v>
      </c>
      <c r="H40" s="64" t="s">
        <v>65</v>
      </c>
      <c r="I40" s="29">
        <v>10</v>
      </c>
      <c r="M40" s="29" t="s">
        <v>16</v>
      </c>
      <c r="N40" s="29">
        <v>5</v>
      </c>
      <c r="O40" s="29">
        <v>36</v>
      </c>
      <c r="P40" s="29">
        <v>16</v>
      </c>
      <c r="Q40" s="29">
        <v>0</v>
      </c>
      <c r="R40" s="29">
        <f t="shared" si="6"/>
        <v>52</v>
      </c>
      <c r="S40" s="59">
        <f t="shared" si="7"/>
        <v>2.25</v>
      </c>
      <c r="T40" s="59">
        <f t="shared" si="2"/>
        <v>0.93333333333333324</v>
      </c>
      <c r="U40" s="59">
        <f t="shared" si="3"/>
        <v>0.6333333333333333</v>
      </c>
      <c r="V40" s="29">
        <v>1</v>
      </c>
      <c r="W40" s="29" t="s">
        <v>44</v>
      </c>
      <c r="X40" s="43" t="s">
        <v>45</v>
      </c>
      <c r="Y40" s="43"/>
      <c r="AB40" s="29" t="str">
        <f t="shared" si="5"/>
        <v>Single</v>
      </c>
      <c r="AC40" s="29">
        <v>100</v>
      </c>
      <c r="AD40" s="94">
        <v>0.08</v>
      </c>
      <c r="AE40" s="43"/>
    </row>
    <row r="41" spans="1:56" ht="15" customHeight="1" x14ac:dyDescent="0.35">
      <c r="A41" s="100">
        <v>44659</v>
      </c>
      <c r="B41" s="84">
        <v>21</v>
      </c>
      <c r="C41" s="43" t="s">
        <v>64</v>
      </c>
      <c r="D41" s="46" t="s">
        <v>42</v>
      </c>
      <c r="F41" s="29">
        <v>1000</v>
      </c>
      <c r="G41" s="29">
        <v>200</v>
      </c>
      <c r="I41" s="29">
        <v>10</v>
      </c>
      <c r="M41" s="29" t="s">
        <v>16</v>
      </c>
      <c r="N41" s="29">
        <v>5</v>
      </c>
      <c r="O41" s="29">
        <v>36</v>
      </c>
      <c r="P41" s="29">
        <v>16</v>
      </c>
      <c r="Q41" s="29">
        <v>0</v>
      </c>
      <c r="R41" s="29">
        <f t="shared" si="6"/>
        <v>52</v>
      </c>
      <c r="S41" s="59">
        <f t="shared" si="7"/>
        <v>2.25</v>
      </c>
      <c r="T41" s="59">
        <f t="shared" si="2"/>
        <v>0.93333333333333324</v>
      </c>
      <c r="U41" s="59">
        <f t="shared" si="3"/>
        <v>0.6333333333333333</v>
      </c>
      <c r="V41" s="29">
        <v>1</v>
      </c>
      <c r="W41" s="29" t="s">
        <v>44</v>
      </c>
      <c r="X41" s="43" t="s">
        <v>46</v>
      </c>
      <c r="Y41" s="43"/>
      <c r="AB41" s="29" t="str">
        <f t="shared" si="5"/>
        <v>Poly</v>
      </c>
      <c r="AC41" s="29">
        <v>100</v>
      </c>
      <c r="AD41" s="94">
        <v>7.0000000000000007E-2</v>
      </c>
      <c r="AE41" s="43"/>
    </row>
    <row r="42" spans="1:56" ht="15" customHeight="1" x14ac:dyDescent="0.35">
      <c r="A42" s="100">
        <v>44659</v>
      </c>
      <c r="B42" s="84">
        <v>22</v>
      </c>
      <c r="C42" s="43" t="s">
        <v>64</v>
      </c>
      <c r="D42" s="46" t="s">
        <v>42</v>
      </c>
      <c r="F42" s="29">
        <v>1000</v>
      </c>
      <c r="G42" s="29">
        <v>100</v>
      </c>
      <c r="H42" s="64" t="s">
        <v>65</v>
      </c>
      <c r="I42" s="29">
        <v>10</v>
      </c>
      <c r="M42" s="29" t="s">
        <v>16</v>
      </c>
      <c r="N42" s="29">
        <v>5</v>
      </c>
      <c r="O42" s="29">
        <v>36</v>
      </c>
      <c r="P42" s="29">
        <v>16</v>
      </c>
      <c r="Q42" s="29">
        <v>0</v>
      </c>
      <c r="R42" s="29">
        <f t="shared" si="6"/>
        <v>52</v>
      </c>
      <c r="S42" s="59">
        <f t="shared" si="7"/>
        <v>2.25</v>
      </c>
      <c r="T42" s="59">
        <f t="shared" si="2"/>
        <v>0.93333333333333324</v>
      </c>
      <c r="U42" s="59">
        <f t="shared" si="3"/>
        <v>0.6333333333333333</v>
      </c>
      <c r="V42" s="29">
        <v>1</v>
      </c>
      <c r="W42" s="29" t="s">
        <v>44</v>
      </c>
      <c r="X42" s="43" t="s">
        <v>45</v>
      </c>
      <c r="Y42" s="43"/>
      <c r="AB42" s="29" t="str">
        <f t="shared" si="5"/>
        <v>Single</v>
      </c>
      <c r="AC42" s="29">
        <v>100</v>
      </c>
      <c r="AD42" s="94"/>
      <c r="AE42" s="43"/>
    </row>
    <row r="43" spans="1:56" ht="15" customHeight="1" x14ac:dyDescent="0.35">
      <c r="A43" s="100">
        <v>44659</v>
      </c>
      <c r="B43" s="84">
        <v>22</v>
      </c>
      <c r="C43" s="43" t="s">
        <v>64</v>
      </c>
      <c r="D43" s="46" t="s">
        <v>42</v>
      </c>
      <c r="F43" s="29">
        <v>1000</v>
      </c>
      <c r="G43" s="29">
        <v>100</v>
      </c>
      <c r="I43" s="29">
        <v>10</v>
      </c>
      <c r="M43" s="29" t="s">
        <v>16</v>
      </c>
      <c r="N43" s="29">
        <v>5</v>
      </c>
      <c r="O43" s="29">
        <v>36</v>
      </c>
      <c r="P43" s="29">
        <v>16</v>
      </c>
      <c r="Q43" s="29">
        <v>0</v>
      </c>
      <c r="R43" s="29">
        <f t="shared" si="6"/>
        <v>52</v>
      </c>
      <c r="S43" s="59">
        <f t="shared" si="7"/>
        <v>2.25</v>
      </c>
      <c r="T43" s="59">
        <f t="shared" si="2"/>
        <v>0.93333333333333324</v>
      </c>
      <c r="U43" s="59">
        <f t="shared" si="3"/>
        <v>0.6333333333333333</v>
      </c>
      <c r="V43" s="29">
        <v>1</v>
      </c>
      <c r="W43" s="29" t="s">
        <v>44</v>
      </c>
      <c r="X43" s="43" t="s">
        <v>46</v>
      </c>
      <c r="Y43" s="43"/>
      <c r="AB43" s="29" t="str">
        <f t="shared" si="5"/>
        <v>Poly</v>
      </c>
      <c r="AC43" s="29">
        <v>100</v>
      </c>
      <c r="AD43" s="94"/>
      <c r="AE43" s="43"/>
    </row>
    <row r="44" spans="1:56" ht="15" customHeight="1" x14ac:dyDescent="0.35">
      <c r="A44" s="100">
        <v>44662</v>
      </c>
      <c r="B44" s="84">
        <v>23</v>
      </c>
      <c r="C44" s="43" t="s">
        <v>41</v>
      </c>
      <c r="D44" s="46" t="s">
        <v>42</v>
      </c>
      <c r="F44" s="29">
        <v>1000</v>
      </c>
      <c r="G44" s="29">
        <v>200</v>
      </c>
      <c r="H44" s="64" t="s">
        <v>66</v>
      </c>
      <c r="I44" s="29">
        <v>10</v>
      </c>
      <c r="M44" s="29" t="s">
        <v>16</v>
      </c>
      <c r="N44" s="29">
        <v>5</v>
      </c>
      <c r="O44" s="29">
        <v>28</v>
      </c>
      <c r="P44" s="29">
        <v>16</v>
      </c>
      <c r="Q44" s="29">
        <v>8</v>
      </c>
      <c r="R44" s="29">
        <f t="shared" si="6"/>
        <v>52</v>
      </c>
      <c r="S44" s="59">
        <f t="shared" si="7"/>
        <v>1.75</v>
      </c>
      <c r="T44" s="59">
        <f t="shared" si="2"/>
        <v>0.93333333333333324</v>
      </c>
      <c r="U44" s="59">
        <f t="shared" si="3"/>
        <v>0.6333333333333333</v>
      </c>
      <c r="V44" s="29">
        <v>1</v>
      </c>
      <c r="W44" s="29" t="s">
        <v>44</v>
      </c>
      <c r="X44" s="43" t="s">
        <v>45</v>
      </c>
      <c r="Y44" s="43"/>
      <c r="AB44" s="29" t="str">
        <f t="shared" si="5"/>
        <v>Single</v>
      </c>
      <c r="AC44" s="29">
        <v>100</v>
      </c>
      <c r="AD44" s="94">
        <v>7.0000000000000007E-2</v>
      </c>
      <c r="AE44" s="43"/>
    </row>
    <row r="45" spans="1:56" ht="15" customHeight="1" x14ac:dyDescent="0.35">
      <c r="A45" s="100">
        <v>44662</v>
      </c>
      <c r="B45" s="84">
        <v>23</v>
      </c>
      <c r="C45" s="43" t="s">
        <v>41</v>
      </c>
      <c r="D45" s="46" t="s">
        <v>42</v>
      </c>
      <c r="F45" s="29">
        <v>1000</v>
      </c>
      <c r="G45" s="29">
        <v>200</v>
      </c>
      <c r="I45" s="29">
        <v>10</v>
      </c>
      <c r="M45" s="29" t="s">
        <v>16</v>
      </c>
      <c r="N45" s="29">
        <v>5</v>
      </c>
      <c r="O45" s="29">
        <v>28</v>
      </c>
      <c r="P45" s="29">
        <v>16</v>
      </c>
      <c r="Q45" s="29">
        <v>8</v>
      </c>
      <c r="R45" s="29">
        <f t="shared" si="6"/>
        <v>52</v>
      </c>
      <c r="S45" s="59">
        <f t="shared" si="7"/>
        <v>1.75</v>
      </c>
      <c r="T45" s="59">
        <f t="shared" si="2"/>
        <v>0.93333333333333324</v>
      </c>
      <c r="U45" s="59">
        <f t="shared" si="3"/>
        <v>0.6333333333333333</v>
      </c>
      <c r="V45" s="29">
        <v>1</v>
      </c>
      <c r="W45" s="29" t="s">
        <v>44</v>
      </c>
      <c r="X45" s="43" t="s">
        <v>46</v>
      </c>
      <c r="Y45" s="43"/>
      <c r="AB45" s="29" t="str">
        <f t="shared" si="5"/>
        <v>Poly</v>
      </c>
      <c r="AC45" s="29">
        <v>100</v>
      </c>
      <c r="AD45" s="94"/>
      <c r="AE45" s="43"/>
    </row>
    <row r="46" spans="1:56" ht="15" customHeight="1" x14ac:dyDescent="0.35">
      <c r="A46" s="100">
        <v>44662</v>
      </c>
      <c r="B46" s="84">
        <v>24</v>
      </c>
      <c r="C46" s="43" t="s">
        <v>67</v>
      </c>
      <c r="D46" s="46" t="s">
        <v>42</v>
      </c>
      <c r="F46" s="29">
        <v>1000</v>
      </c>
      <c r="G46" s="29">
        <v>200</v>
      </c>
      <c r="H46" s="64" t="s">
        <v>68</v>
      </c>
      <c r="I46" s="29">
        <v>10</v>
      </c>
      <c r="M46" s="29" t="s">
        <v>16</v>
      </c>
      <c r="N46" s="29">
        <v>5</v>
      </c>
      <c r="O46" s="29">
        <v>84</v>
      </c>
      <c r="P46" s="29">
        <v>48</v>
      </c>
      <c r="Q46" s="29">
        <v>24</v>
      </c>
      <c r="R46" s="29">
        <f t="shared" si="6"/>
        <v>156</v>
      </c>
      <c r="S46" s="59">
        <f t="shared" si="7"/>
        <v>1.75</v>
      </c>
      <c r="T46" s="59">
        <f t="shared" si="2"/>
        <v>0.93333333333333324</v>
      </c>
      <c r="U46" s="59">
        <f t="shared" si="3"/>
        <v>0.6333333333333333</v>
      </c>
      <c r="V46" s="29">
        <v>1</v>
      </c>
      <c r="W46" s="29" t="s">
        <v>44</v>
      </c>
      <c r="X46" s="43" t="s">
        <v>45</v>
      </c>
      <c r="Y46" s="43"/>
      <c r="AB46" s="29" t="str">
        <f t="shared" si="5"/>
        <v>Single</v>
      </c>
      <c r="AC46" s="29">
        <v>100</v>
      </c>
      <c r="AD46" s="94">
        <v>0.21</v>
      </c>
      <c r="AE46" s="43"/>
    </row>
    <row r="47" spans="1:56" ht="15" customHeight="1" x14ac:dyDescent="0.35">
      <c r="A47" s="100">
        <v>44662</v>
      </c>
      <c r="B47" s="84">
        <v>24</v>
      </c>
      <c r="C47" s="43" t="s">
        <v>67</v>
      </c>
      <c r="D47" s="46" t="s">
        <v>42</v>
      </c>
      <c r="F47" s="29">
        <v>1000</v>
      </c>
      <c r="G47" s="29">
        <v>200</v>
      </c>
      <c r="I47" s="29">
        <v>10</v>
      </c>
      <c r="M47" s="29" t="s">
        <v>16</v>
      </c>
      <c r="N47" s="29">
        <v>5</v>
      </c>
      <c r="O47" s="29">
        <v>84</v>
      </c>
      <c r="P47" s="29">
        <v>48</v>
      </c>
      <c r="Q47" s="29">
        <v>24</v>
      </c>
      <c r="R47" s="29">
        <f t="shared" si="6"/>
        <v>156</v>
      </c>
      <c r="S47" s="59">
        <f t="shared" si="7"/>
        <v>1.75</v>
      </c>
      <c r="T47" s="59">
        <f t="shared" si="2"/>
        <v>0.93333333333333324</v>
      </c>
      <c r="U47" s="59">
        <f t="shared" si="3"/>
        <v>0.6333333333333333</v>
      </c>
      <c r="V47" s="29">
        <v>1</v>
      </c>
      <c r="W47" s="29" t="s">
        <v>44</v>
      </c>
      <c r="X47" s="43" t="s">
        <v>46</v>
      </c>
      <c r="Y47" s="43"/>
      <c r="AB47" s="29" t="str">
        <f t="shared" si="5"/>
        <v>Poly</v>
      </c>
      <c r="AC47" s="29">
        <v>100</v>
      </c>
      <c r="AD47" s="94">
        <v>0.12</v>
      </c>
      <c r="AE47" s="43"/>
    </row>
    <row r="48" spans="1:56" ht="15" customHeight="1" x14ac:dyDescent="0.35">
      <c r="A48" s="100">
        <v>44662</v>
      </c>
      <c r="B48" s="84">
        <v>25</v>
      </c>
      <c r="C48" s="43" t="s">
        <v>64</v>
      </c>
      <c r="D48" s="46" t="s">
        <v>42</v>
      </c>
      <c r="F48" s="29">
        <v>1000</v>
      </c>
      <c r="G48" s="29">
        <v>100</v>
      </c>
      <c r="H48" s="64" t="s">
        <v>69</v>
      </c>
      <c r="I48" s="29">
        <v>10</v>
      </c>
      <c r="M48" s="29" t="s">
        <v>16</v>
      </c>
      <c r="N48" s="29">
        <v>5</v>
      </c>
      <c r="O48" s="29">
        <v>36</v>
      </c>
      <c r="P48" s="29">
        <v>16</v>
      </c>
      <c r="Q48" s="29">
        <v>0</v>
      </c>
      <c r="R48" s="29">
        <f t="shared" si="6"/>
        <v>52</v>
      </c>
      <c r="S48" s="59">
        <f t="shared" si="7"/>
        <v>2.25</v>
      </c>
      <c r="T48" s="59">
        <f t="shared" si="2"/>
        <v>0.93333333333333324</v>
      </c>
      <c r="U48" s="59">
        <f t="shared" si="3"/>
        <v>0.6333333333333333</v>
      </c>
      <c r="V48" s="29">
        <v>1</v>
      </c>
      <c r="W48" s="29" t="s">
        <v>44</v>
      </c>
      <c r="X48" s="43" t="s">
        <v>46</v>
      </c>
      <c r="Y48" s="43"/>
      <c r="AB48" s="29" t="str">
        <f t="shared" si="5"/>
        <v>Poly</v>
      </c>
      <c r="AC48" s="29">
        <v>100</v>
      </c>
      <c r="AD48" s="94">
        <v>0.05</v>
      </c>
      <c r="AE48" s="43"/>
    </row>
    <row r="49" spans="1:31" ht="15" customHeight="1" x14ac:dyDescent="0.35">
      <c r="A49" s="100">
        <v>44662</v>
      </c>
      <c r="B49" s="84">
        <v>26</v>
      </c>
      <c r="C49" s="43" t="s">
        <v>70</v>
      </c>
      <c r="D49" s="46" t="s">
        <v>42</v>
      </c>
      <c r="F49" s="29">
        <v>1000</v>
      </c>
      <c r="G49" s="29">
        <v>100</v>
      </c>
      <c r="H49" s="64" t="s">
        <v>71</v>
      </c>
      <c r="I49" s="29">
        <v>10</v>
      </c>
      <c r="M49" s="29" t="s">
        <v>16</v>
      </c>
      <c r="N49" s="29">
        <v>5</v>
      </c>
      <c r="O49" s="29">
        <v>108</v>
      </c>
      <c r="P49" s="29">
        <v>48</v>
      </c>
      <c r="Q49" s="29">
        <v>0</v>
      </c>
      <c r="R49" s="29">
        <f t="shared" si="6"/>
        <v>156</v>
      </c>
      <c r="S49" s="59">
        <f t="shared" si="7"/>
        <v>2.25</v>
      </c>
      <c r="T49" s="59">
        <f>17/18</f>
        <v>0.94444444444444442</v>
      </c>
      <c r="U49" s="59">
        <f>28.5/45</f>
        <v>0.6333333333333333</v>
      </c>
      <c r="V49" s="29">
        <v>1</v>
      </c>
      <c r="W49" s="29" t="s">
        <v>44</v>
      </c>
      <c r="X49" s="43" t="s">
        <v>46</v>
      </c>
      <c r="Y49" s="43"/>
      <c r="AB49" s="29" t="str">
        <f t="shared" si="5"/>
        <v>Poly</v>
      </c>
      <c r="AC49" s="29">
        <v>100</v>
      </c>
      <c r="AD49" s="94">
        <v>0.03</v>
      </c>
      <c r="AE49" s="43"/>
    </row>
    <row r="50" spans="1:31" ht="15" customHeight="1" x14ac:dyDescent="0.35">
      <c r="A50" s="100">
        <v>44662</v>
      </c>
      <c r="B50" s="84">
        <v>27</v>
      </c>
      <c r="C50" s="43" t="s">
        <v>48</v>
      </c>
      <c r="D50" s="46" t="s">
        <v>42</v>
      </c>
      <c r="F50" s="29">
        <v>1000</v>
      </c>
      <c r="G50" s="29">
        <v>100</v>
      </c>
      <c r="H50" s="64" t="s">
        <v>72</v>
      </c>
      <c r="I50" s="29">
        <v>10</v>
      </c>
      <c r="M50" s="29" t="s">
        <v>16</v>
      </c>
      <c r="N50" s="29">
        <v>5</v>
      </c>
      <c r="O50" s="29">
        <v>84</v>
      </c>
      <c r="P50" s="29">
        <v>48</v>
      </c>
      <c r="Q50" s="29">
        <v>24</v>
      </c>
      <c r="R50" s="29">
        <f t="shared" si="6"/>
        <v>156</v>
      </c>
      <c r="S50" s="59">
        <f t="shared" si="7"/>
        <v>1.75</v>
      </c>
      <c r="T50" s="59">
        <f>5.6/6</f>
        <v>0.93333333333333324</v>
      </c>
      <c r="U50" s="59">
        <f>9.5/15</f>
        <v>0.6333333333333333</v>
      </c>
      <c r="V50" s="29">
        <v>1</v>
      </c>
      <c r="W50" s="29" t="s">
        <v>44</v>
      </c>
      <c r="X50" s="43" t="s">
        <v>46</v>
      </c>
      <c r="Y50" s="43"/>
      <c r="AB50" s="29" t="str">
        <f t="shared" si="5"/>
        <v>Poly</v>
      </c>
      <c r="AC50" s="29">
        <v>100</v>
      </c>
      <c r="AD50" s="94">
        <v>0.01</v>
      </c>
      <c r="AE50" s="43"/>
    </row>
    <row r="51" spans="1:31" ht="15" customHeight="1" x14ac:dyDescent="0.35">
      <c r="A51" s="100">
        <v>44662</v>
      </c>
      <c r="B51" s="84">
        <v>28</v>
      </c>
      <c r="C51" s="43" t="s">
        <v>70</v>
      </c>
      <c r="D51" s="46" t="s">
        <v>42</v>
      </c>
      <c r="F51" s="29">
        <v>1000</v>
      </c>
      <c r="G51" s="29">
        <v>100</v>
      </c>
      <c r="H51" s="64" t="s">
        <v>73</v>
      </c>
      <c r="I51" s="29">
        <v>10</v>
      </c>
      <c r="M51" s="29" t="s">
        <v>16</v>
      </c>
      <c r="N51" s="29">
        <v>5</v>
      </c>
      <c r="O51" s="29">
        <v>108</v>
      </c>
      <c r="P51" s="29">
        <v>48</v>
      </c>
      <c r="Q51" s="29">
        <v>0</v>
      </c>
      <c r="R51" s="29">
        <f t="shared" si="6"/>
        <v>156</v>
      </c>
      <c r="S51" s="59">
        <f t="shared" si="7"/>
        <v>2.25</v>
      </c>
      <c r="T51" s="59">
        <f>17/18</f>
        <v>0.94444444444444442</v>
      </c>
      <c r="U51" s="59">
        <f>28.5/45</f>
        <v>0.6333333333333333</v>
      </c>
      <c r="V51" s="29">
        <v>1</v>
      </c>
      <c r="W51" s="29" t="s">
        <v>44</v>
      </c>
      <c r="X51" s="43" t="s">
        <v>46</v>
      </c>
      <c r="Y51" s="43"/>
      <c r="AB51" s="29" t="str">
        <f t="shared" si="5"/>
        <v>Poly</v>
      </c>
      <c r="AC51" s="29">
        <v>100</v>
      </c>
      <c r="AD51" s="94">
        <v>0.02</v>
      </c>
      <c r="AE51" s="43"/>
    </row>
    <row r="52" spans="1:31" ht="15" customHeight="1" x14ac:dyDescent="0.35">
      <c r="A52" s="100">
        <v>44662</v>
      </c>
      <c r="B52" s="84">
        <v>28</v>
      </c>
      <c r="C52" s="43" t="s">
        <v>70</v>
      </c>
      <c r="D52" s="46" t="s">
        <v>42</v>
      </c>
      <c r="F52" s="29">
        <v>1000</v>
      </c>
      <c r="G52" s="29">
        <v>100</v>
      </c>
      <c r="I52" s="29">
        <v>10</v>
      </c>
      <c r="M52" s="29" t="s">
        <v>16</v>
      </c>
      <c r="N52" s="29">
        <v>5</v>
      </c>
      <c r="O52" s="29">
        <v>108</v>
      </c>
      <c r="P52" s="29">
        <v>48</v>
      </c>
      <c r="Q52" s="29">
        <v>0</v>
      </c>
      <c r="R52" s="29">
        <f t="shared" si="6"/>
        <v>156</v>
      </c>
      <c r="S52" s="59">
        <f t="shared" si="7"/>
        <v>2.25</v>
      </c>
      <c r="T52" s="59">
        <f>17/18</f>
        <v>0.94444444444444442</v>
      </c>
      <c r="U52" s="59">
        <f>28.5/45</f>
        <v>0.6333333333333333</v>
      </c>
      <c r="V52" s="29">
        <v>1</v>
      </c>
      <c r="W52" s="29" t="s">
        <v>44</v>
      </c>
      <c r="X52" s="43" t="s">
        <v>46</v>
      </c>
      <c r="Y52" s="43"/>
      <c r="AB52" s="29" t="str">
        <f t="shared" ref="AB52:AB83" si="8">IF(X52="20um Schlenk", "Single", "Poly")</f>
        <v>Poly</v>
      </c>
      <c r="AC52" s="29">
        <v>100</v>
      </c>
      <c r="AD52" s="94">
        <v>0.02</v>
      </c>
      <c r="AE52" s="43"/>
    </row>
    <row r="53" spans="1:31" ht="15" customHeight="1" x14ac:dyDescent="0.35">
      <c r="A53" s="100">
        <v>44662</v>
      </c>
      <c r="B53" s="84">
        <v>28</v>
      </c>
      <c r="C53" s="43" t="s">
        <v>70</v>
      </c>
      <c r="D53" s="46" t="s">
        <v>42</v>
      </c>
      <c r="F53" s="29">
        <v>1000</v>
      </c>
      <c r="G53" s="29">
        <v>100</v>
      </c>
      <c r="I53" s="29">
        <v>10</v>
      </c>
      <c r="M53" s="29" t="s">
        <v>16</v>
      </c>
      <c r="N53" s="29">
        <v>5</v>
      </c>
      <c r="O53" s="29">
        <v>108</v>
      </c>
      <c r="P53" s="29">
        <v>48</v>
      </c>
      <c r="Q53" s="29">
        <v>0</v>
      </c>
      <c r="R53" s="29">
        <f t="shared" si="6"/>
        <v>156</v>
      </c>
      <c r="S53" s="59">
        <f t="shared" si="7"/>
        <v>2.25</v>
      </c>
      <c r="T53" s="59">
        <f>17/18</f>
        <v>0.94444444444444442</v>
      </c>
      <c r="U53" s="59">
        <f>28.5/45</f>
        <v>0.6333333333333333</v>
      </c>
      <c r="V53" s="29">
        <v>1</v>
      </c>
      <c r="W53" s="29" t="s">
        <v>44</v>
      </c>
      <c r="X53" s="43" t="s">
        <v>46</v>
      </c>
      <c r="Y53" s="43"/>
      <c r="AB53" s="29" t="str">
        <f t="shared" si="8"/>
        <v>Poly</v>
      </c>
      <c r="AC53" s="29">
        <v>100</v>
      </c>
      <c r="AD53" s="94">
        <v>0.03</v>
      </c>
      <c r="AE53" s="43"/>
    </row>
    <row r="54" spans="1:31" ht="15" customHeight="1" x14ac:dyDescent="0.35">
      <c r="A54" s="100">
        <v>44663</v>
      </c>
      <c r="B54" s="84">
        <v>29</v>
      </c>
      <c r="C54" s="43" t="s">
        <v>74</v>
      </c>
      <c r="D54" s="46" t="s">
        <v>42</v>
      </c>
      <c r="F54" s="29">
        <v>1000</v>
      </c>
      <c r="G54" s="29">
        <v>200</v>
      </c>
      <c r="H54" s="64" t="s">
        <v>75</v>
      </c>
      <c r="I54" s="29">
        <v>10</v>
      </c>
      <c r="M54" s="29" t="s">
        <v>16</v>
      </c>
      <c r="N54" s="29">
        <v>5</v>
      </c>
      <c r="O54" s="29">
        <v>108</v>
      </c>
      <c r="P54" s="29">
        <v>48</v>
      </c>
      <c r="Q54" s="29">
        <v>0</v>
      </c>
      <c r="R54" s="29">
        <f t="shared" si="6"/>
        <v>156</v>
      </c>
      <c r="S54" s="59">
        <f t="shared" si="7"/>
        <v>2.25</v>
      </c>
      <c r="T54" s="59">
        <f>17/18</f>
        <v>0.94444444444444442</v>
      </c>
      <c r="U54" s="59">
        <f>28.5/45</f>
        <v>0.6333333333333333</v>
      </c>
      <c r="V54" s="29">
        <v>1</v>
      </c>
      <c r="W54" s="29" t="s">
        <v>44</v>
      </c>
      <c r="X54" s="43" t="s">
        <v>46</v>
      </c>
      <c r="Y54" s="43"/>
      <c r="AB54" s="29" t="str">
        <f t="shared" si="8"/>
        <v>Poly</v>
      </c>
      <c r="AC54" s="29">
        <v>100</v>
      </c>
      <c r="AD54" s="94">
        <v>0.11</v>
      </c>
      <c r="AE54" s="43"/>
    </row>
    <row r="55" spans="1:31" ht="15" customHeight="1" x14ac:dyDescent="0.35">
      <c r="A55" s="100">
        <v>44663</v>
      </c>
      <c r="B55" s="84">
        <v>30</v>
      </c>
      <c r="C55" s="43" t="s">
        <v>74</v>
      </c>
      <c r="D55" s="46" t="s">
        <v>42</v>
      </c>
      <c r="F55" s="29">
        <v>1000</v>
      </c>
      <c r="G55" s="29">
        <v>100</v>
      </c>
      <c r="H55" s="64" t="s">
        <v>76</v>
      </c>
      <c r="I55" s="29">
        <v>10</v>
      </c>
      <c r="M55" s="29" t="s">
        <v>16</v>
      </c>
      <c r="N55" s="29">
        <v>5</v>
      </c>
      <c r="O55" s="29">
        <v>108</v>
      </c>
      <c r="P55" s="29">
        <v>48</v>
      </c>
      <c r="Q55" s="29">
        <v>0</v>
      </c>
      <c r="R55" s="29">
        <f t="shared" si="6"/>
        <v>156</v>
      </c>
      <c r="S55" s="59">
        <f t="shared" si="7"/>
        <v>2.25</v>
      </c>
      <c r="T55" s="59">
        <f>17/18</f>
        <v>0.94444444444444442</v>
      </c>
      <c r="U55" s="59">
        <f>28.5/45</f>
        <v>0.6333333333333333</v>
      </c>
      <c r="V55" s="29">
        <v>1</v>
      </c>
      <c r="W55" s="29" t="s">
        <v>44</v>
      </c>
      <c r="X55" s="43" t="s">
        <v>46</v>
      </c>
      <c r="Y55" s="43"/>
      <c r="AB55" s="29" t="str">
        <f t="shared" si="8"/>
        <v>Poly</v>
      </c>
      <c r="AC55" s="29">
        <v>100</v>
      </c>
      <c r="AD55" s="94">
        <v>0.06</v>
      </c>
      <c r="AE55" s="43"/>
    </row>
    <row r="56" spans="1:31" ht="15" customHeight="1" x14ac:dyDescent="0.35">
      <c r="A56" s="100">
        <v>44663</v>
      </c>
      <c r="B56" s="84">
        <v>31</v>
      </c>
      <c r="C56" s="43" t="s">
        <v>77</v>
      </c>
      <c r="D56" s="46" t="s">
        <v>42</v>
      </c>
      <c r="F56" s="29">
        <v>1000</v>
      </c>
      <c r="G56" s="29">
        <v>200</v>
      </c>
      <c r="H56" s="64" t="s">
        <v>78</v>
      </c>
      <c r="I56" s="29">
        <v>10</v>
      </c>
      <c r="M56" s="29" t="s">
        <v>16</v>
      </c>
      <c r="N56" s="29">
        <v>5</v>
      </c>
      <c r="O56" s="29">
        <v>28</v>
      </c>
      <c r="P56" s="29">
        <v>16</v>
      </c>
      <c r="Q56" s="29">
        <v>8</v>
      </c>
      <c r="R56" s="29">
        <f t="shared" si="6"/>
        <v>52</v>
      </c>
      <c r="S56" s="59">
        <f t="shared" si="7"/>
        <v>1.75</v>
      </c>
      <c r="T56" s="59">
        <f>5.6/6</f>
        <v>0.93333333333333324</v>
      </c>
      <c r="U56" s="59">
        <f>9.5/15</f>
        <v>0.6333333333333333</v>
      </c>
      <c r="V56" s="29">
        <v>1</v>
      </c>
      <c r="W56" s="29" t="s">
        <v>44</v>
      </c>
      <c r="X56" s="43" t="s">
        <v>45</v>
      </c>
      <c r="Y56" s="43"/>
      <c r="AB56" s="29" t="str">
        <f t="shared" si="8"/>
        <v>Single</v>
      </c>
      <c r="AC56" s="29">
        <v>100</v>
      </c>
      <c r="AD56" s="94">
        <v>0.05</v>
      </c>
      <c r="AE56" s="43"/>
    </row>
    <row r="57" spans="1:31" ht="15" customHeight="1" x14ac:dyDescent="0.35">
      <c r="A57" s="100">
        <v>44663</v>
      </c>
      <c r="B57" s="84">
        <v>31</v>
      </c>
      <c r="C57" s="43" t="s">
        <v>77</v>
      </c>
      <c r="D57" s="46" t="s">
        <v>42</v>
      </c>
      <c r="F57" s="29">
        <v>1000</v>
      </c>
      <c r="G57" s="29">
        <v>200</v>
      </c>
      <c r="I57" s="29">
        <v>10</v>
      </c>
      <c r="M57" s="29" t="s">
        <v>16</v>
      </c>
      <c r="N57" s="29">
        <v>5</v>
      </c>
      <c r="O57" s="29">
        <v>28</v>
      </c>
      <c r="P57" s="29">
        <v>16</v>
      </c>
      <c r="Q57" s="29">
        <v>8</v>
      </c>
      <c r="R57" s="29">
        <f t="shared" si="6"/>
        <v>52</v>
      </c>
      <c r="S57" s="59">
        <f t="shared" si="7"/>
        <v>1.75</v>
      </c>
      <c r="T57" s="59">
        <f>5.6/6</f>
        <v>0.93333333333333324</v>
      </c>
      <c r="U57" s="59">
        <f>9.5/15</f>
        <v>0.6333333333333333</v>
      </c>
      <c r="V57" s="29">
        <v>1</v>
      </c>
      <c r="W57" s="29" t="s">
        <v>44</v>
      </c>
      <c r="X57" s="43" t="s">
        <v>46</v>
      </c>
      <c r="Y57" s="43"/>
      <c r="AB57" s="29" t="str">
        <f t="shared" si="8"/>
        <v>Poly</v>
      </c>
      <c r="AC57" s="29">
        <v>100</v>
      </c>
      <c r="AD57" s="94">
        <v>0.02</v>
      </c>
      <c r="AE57" s="43"/>
    </row>
    <row r="58" spans="1:31" ht="15" customHeight="1" x14ac:dyDescent="0.35">
      <c r="A58" s="100">
        <v>44663</v>
      </c>
      <c r="B58" s="84">
        <v>32</v>
      </c>
      <c r="C58" s="43" t="s">
        <v>79</v>
      </c>
      <c r="D58" s="46" t="s">
        <v>42</v>
      </c>
      <c r="F58" s="29">
        <v>1000</v>
      </c>
      <c r="G58" s="29">
        <v>200</v>
      </c>
      <c r="H58" s="64" t="s">
        <v>80</v>
      </c>
      <c r="I58" s="29">
        <v>10</v>
      </c>
      <c r="M58" s="29" t="s">
        <v>16</v>
      </c>
      <c r="N58" s="29">
        <v>5</v>
      </c>
      <c r="O58" s="29">
        <v>84</v>
      </c>
      <c r="P58" s="29">
        <v>48</v>
      </c>
      <c r="Q58" s="29">
        <v>23</v>
      </c>
      <c r="R58" s="29">
        <f t="shared" si="6"/>
        <v>155</v>
      </c>
      <c r="S58" s="59">
        <f t="shared" si="7"/>
        <v>1.75</v>
      </c>
      <c r="T58" s="59">
        <f>17/18</f>
        <v>0.94444444444444442</v>
      </c>
      <c r="U58" s="59">
        <f>28.5/45</f>
        <v>0.6333333333333333</v>
      </c>
      <c r="V58" s="29">
        <v>1</v>
      </c>
      <c r="W58" s="29" t="s">
        <v>44</v>
      </c>
      <c r="X58" s="43" t="s">
        <v>45</v>
      </c>
      <c r="Y58" s="43"/>
      <c r="AB58" s="29" t="str">
        <f t="shared" si="8"/>
        <v>Single</v>
      </c>
      <c r="AC58" s="29">
        <v>100</v>
      </c>
      <c r="AD58" s="94"/>
      <c r="AE58" s="43"/>
    </row>
    <row r="59" spans="1:31" ht="15" customHeight="1" x14ac:dyDescent="0.35">
      <c r="A59" s="100">
        <v>44663</v>
      </c>
      <c r="B59" s="84">
        <v>32</v>
      </c>
      <c r="C59" s="43" t="s">
        <v>79</v>
      </c>
      <c r="D59" s="46" t="s">
        <v>42</v>
      </c>
      <c r="F59" s="29">
        <v>1000</v>
      </c>
      <c r="G59" s="29">
        <v>200</v>
      </c>
      <c r="I59" s="29">
        <v>10</v>
      </c>
      <c r="M59" s="29" t="s">
        <v>16</v>
      </c>
      <c r="N59" s="29">
        <v>5</v>
      </c>
      <c r="O59" s="29">
        <v>84</v>
      </c>
      <c r="P59" s="29">
        <v>48</v>
      </c>
      <c r="Q59" s="29">
        <v>23</v>
      </c>
      <c r="R59" s="29">
        <f t="shared" si="6"/>
        <v>155</v>
      </c>
      <c r="S59" s="59">
        <f t="shared" si="7"/>
        <v>1.75</v>
      </c>
      <c r="T59" s="59">
        <f>17/18</f>
        <v>0.94444444444444442</v>
      </c>
      <c r="U59" s="59">
        <f>28.5/45</f>
        <v>0.6333333333333333</v>
      </c>
      <c r="V59" s="29">
        <v>1</v>
      </c>
      <c r="W59" s="29" t="s">
        <v>44</v>
      </c>
      <c r="X59" s="43" t="s">
        <v>46</v>
      </c>
      <c r="Y59" s="43"/>
      <c r="AB59" s="29" t="str">
        <f t="shared" si="8"/>
        <v>Poly</v>
      </c>
      <c r="AC59" s="29">
        <v>100</v>
      </c>
      <c r="AD59" s="94">
        <v>0.08</v>
      </c>
      <c r="AE59" s="43"/>
    </row>
    <row r="60" spans="1:31" ht="15" customHeight="1" x14ac:dyDescent="0.35">
      <c r="A60" s="100">
        <v>44663</v>
      </c>
      <c r="B60" s="84">
        <v>33</v>
      </c>
      <c r="C60" s="43" t="s">
        <v>77</v>
      </c>
      <c r="D60" s="46" t="s">
        <v>42</v>
      </c>
      <c r="F60" s="29">
        <v>1000</v>
      </c>
      <c r="G60" s="29">
        <v>200</v>
      </c>
      <c r="H60" s="64" t="s">
        <v>78</v>
      </c>
      <c r="I60" s="29">
        <v>10</v>
      </c>
      <c r="M60" s="29" t="s">
        <v>16</v>
      </c>
      <c r="N60" s="29">
        <v>5</v>
      </c>
      <c r="O60" s="29">
        <v>28</v>
      </c>
      <c r="P60" s="29">
        <v>16</v>
      </c>
      <c r="Q60" s="29">
        <v>8</v>
      </c>
      <c r="R60" s="29">
        <f t="shared" si="6"/>
        <v>52</v>
      </c>
      <c r="S60" s="59">
        <f t="shared" si="7"/>
        <v>1.75</v>
      </c>
      <c r="T60" s="59">
        <f t="shared" ref="T60:T79" si="9">5.6/6</f>
        <v>0.93333333333333324</v>
      </c>
      <c r="U60" s="59">
        <f t="shared" ref="U60:U79" si="10">9.5/15</f>
        <v>0.6333333333333333</v>
      </c>
      <c r="V60" s="29">
        <v>1</v>
      </c>
      <c r="W60" s="29" t="s">
        <v>44</v>
      </c>
      <c r="X60" s="43" t="s">
        <v>45</v>
      </c>
      <c r="Y60" s="43"/>
      <c r="AB60" s="29" t="str">
        <f t="shared" si="8"/>
        <v>Single</v>
      </c>
      <c r="AC60" s="29">
        <v>100</v>
      </c>
      <c r="AD60" s="94">
        <v>0.08</v>
      </c>
      <c r="AE60" s="43"/>
    </row>
    <row r="61" spans="1:31" ht="15" customHeight="1" x14ac:dyDescent="0.35">
      <c r="A61" s="100">
        <v>44663</v>
      </c>
      <c r="B61" s="84">
        <v>33</v>
      </c>
      <c r="C61" s="43" t="s">
        <v>77</v>
      </c>
      <c r="D61" s="46" t="s">
        <v>42</v>
      </c>
      <c r="F61" s="29">
        <v>1000</v>
      </c>
      <c r="G61" s="29">
        <v>200</v>
      </c>
      <c r="I61" s="29">
        <v>10</v>
      </c>
      <c r="M61" s="29" t="s">
        <v>16</v>
      </c>
      <c r="N61" s="29">
        <v>5</v>
      </c>
      <c r="O61" s="29">
        <v>28</v>
      </c>
      <c r="P61" s="29">
        <v>16</v>
      </c>
      <c r="Q61" s="29">
        <v>8</v>
      </c>
      <c r="R61" s="29">
        <f t="shared" si="6"/>
        <v>52</v>
      </c>
      <c r="S61" s="59">
        <f t="shared" si="7"/>
        <v>1.75</v>
      </c>
      <c r="T61" s="59">
        <f t="shared" si="9"/>
        <v>0.93333333333333324</v>
      </c>
      <c r="U61" s="59">
        <f t="shared" si="10"/>
        <v>0.6333333333333333</v>
      </c>
      <c r="V61" s="29">
        <v>1</v>
      </c>
      <c r="W61" s="29" t="s">
        <v>44</v>
      </c>
      <c r="X61" s="43" t="s">
        <v>45</v>
      </c>
      <c r="Y61" s="43"/>
      <c r="AB61" s="29" t="str">
        <f t="shared" si="8"/>
        <v>Single</v>
      </c>
      <c r="AC61" s="29">
        <v>100</v>
      </c>
      <c r="AD61" s="94">
        <v>0.05</v>
      </c>
      <c r="AE61" s="43"/>
    </row>
    <row r="62" spans="1:31" ht="15" customHeight="1" x14ac:dyDescent="0.35">
      <c r="A62" s="100">
        <v>44663</v>
      </c>
      <c r="B62" s="84">
        <v>33</v>
      </c>
      <c r="C62" s="43" t="s">
        <v>77</v>
      </c>
      <c r="D62" s="46" t="s">
        <v>42</v>
      </c>
      <c r="F62" s="29">
        <v>1000</v>
      </c>
      <c r="G62" s="29">
        <v>200</v>
      </c>
      <c r="I62" s="29">
        <v>10</v>
      </c>
      <c r="M62" s="29" t="s">
        <v>16</v>
      </c>
      <c r="N62" s="29">
        <v>5</v>
      </c>
      <c r="O62" s="29">
        <v>28</v>
      </c>
      <c r="P62" s="29">
        <v>16</v>
      </c>
      <c r="Q62" s="29">
        <v>8</v>
      </c>
      <c r="R62" s="29">
        <f t="shared" si="6"/>
        <v>52</v>
      </c>
      <c r="S62" s="59">
        <f t="shared" si="7"/>
        <v>1.75</v>
      </c>
      <c r="T62" s="59">
        <f t="shared" si="9"/>
        <v>0.93333333333333324</v>
      </c>
      <c r="U62" s="59">
        <f t="shared" si="10"/>
        <v>0.6333333333333333</v>
      </c>
      <c r="V62" s="29">
        <v>1</v>
      </c>
      <c r="W62" s="29" t="s">
        <v>44</v>
      </c>
      <c r="X62" s="43" t="s">
        <v>45</v>
      </c>
      <c r="Y62" s="43"/>
      <c r="AB62" s="29" t="str">
        <f t="shared" si="8"/>
        <v>Single</v>
      </c>
      <c r="AC62" s="29">
        <v>100</v>
      </c>
      <c r="AD62" s="94">
        <v>7.0000000000000007E-2</v>
      </c>
      <c r="AE62" s="43"/>
    </row>
    <row r="63" spans="1:31" ht="15" customHeight="1" x14ac:dyDescent="0.35">
      <c r="A63" s="100">
        <v>44663</v>
      </c>
      <c r="B63" s="84">
        <v>33</v>
      </c>
      <c r="C63" s="43" t="s">
        <v>77</v>
      </c>
      <c r="D63" s="46" t="s">
        <v>42</v>
      </c>
      <c r="F63" s="29">
        <v>1000</v>
      </c>
      <c r="G63" s="29">
        <v>200</v>
      </c>
      <c r="I63" s="29">
        <v>10</v>
      </c>
      <c r="M63" s="29" t="s">
        <v>16</v>
      </c>
      <c r="N63" s="29">
        <v>5</v>
      </c>
      <c r="O63" s="29">
        <v>28</v>
      </c>
      <c r="P63" s="29">
        <v>16</v>
      </c>
      <c r="Q63" s="29">
        <v>8</v>
      </c>
      <c r="R63" s="29">
        <f t="shared" si="6"/>
        <v>52</v>
      </c>
      <c r="S63" s="59">
        <f t="shared" si="7"/>
        <v>1.75</v>
      </c>
      <c r="T63" s="59">
        <f t="shared" si="9"/>
        <v>0.93333333333333324</v>
      </c>
      <c r="U63" s="59">
        <f t="shared" si="10"/>
        <v>0.6333333333333333</v>
      </c>
      <c r="V63" s="29">
        <v>1</v>
      </c>
      <c r="W63" s="29" t="s">
        <v>44</v>
      </c>
      <c r="X63" s="43" t="s">
        <v>45</v>
      </c>
      <c r="Y63" s="43"/>
      <c r="AB63" s="29" t="str">
        <f t="shared" si="8"/>
        <v>Single</v>
      </c>
      <c r="AC63" s="29">
        <v>100</v>
      </c>
      <c r="AD63" s="94">
        <v>0.05</v>
      </c>
      <c r="AE63" s="43"/>
    </row>
    <row r="64" spans="1:31" ht="15" customHeight="1" x14ac:dyDescent="0.35">
      <c r="A64" s="100">
        <v>44663</v>
      </c>
      <c r="B64" s="84">
        <v>33</v>
      </c>
      <c r="C64" s="43" t="s">
        <v>77</v>
      </c>
      <c r="D64" s="46" t="s">
        <v>42</v>
      </c>
      <c r="F64" s="29">
        <v>1000</v>
      </c>
      <c r="G64" s="29">
        <v>200</v>
      </c>
      <c r="I64" s="29">
        <v>10</v>
      </c>
      <c r="M64" s="29" t="s">
        <v>16</v>
      </c>
      <c r="N64" s="29">
        <v>5</v>
      </c>
      <c r="O64" s="29">
        <v>28</v>
      </c>
      <c r="P64" s="29">
        <v>16</v>
      </c>
      <c r="Q64" s="29">
        <v>8</v>
      </c>
      <c r="R64" s="29">
        <f t="shared" si="6"/>
        <v>52</v>
      </c>
      <c r="S64" s="59">
        <f t="shared" si="7"/>
        <v>1.75</v>
      </c>
      <c r="T64" s="59">
        <f t="shared" si="9"/>
        <v>0.93333333333333324</v>
      </c>
      <c r="U64" s="59">
        <f t="shared" si="10"/>
        <v>0.6333333333333333</v>
      </c>
      <c r="V64" s="29">
        <v>1</v>
      </c>
      <c r="W64" s="29" t="s">
        <v>44</v>
      </c>
      <c r="X64" s="43" t="s">
        <v>46</v>
      </c>
      <c r="Y64" s="43"/>
      <c r="AB64" s="29" t="str">
        <f t="shared" si="8"/>
        <v>Poly</v>
      </c>
      <c r="AC64" s="29">
        <v>100</v>
      </c>
      <c r="AD64" s="94">
        <v>0.12</v>
      </c>
      <c r="AE64" s="43"/>
    </row>
    <row r="65" spans="1:31" ht="15" customHeight="1" x14ac:dyDescent="0.35">
      <c r="A65" s="100">
        <v>44664</v>
      </c>
      <c r="B65" s="84">
        <v>34</v>
      </c>
      <c r="C65" s="43" t="s">
        <v>41</v>
      </c>
      <c r="D65" s="46" t="s">
        <v>42</v>
      </c>
      <c r="F65" s="29">
        <v>1050</v>
      </c>
      <c r="G65" s="29">
        <v>200</v>
      </c>
      <c r="H65" s="64" t="s">
        <v>69</v>
      </c>
      <c r="I65" s="29">
        <v>10</v>
      </c>
      <c r="M65" s="29" t="s">
        <v>16</v>
      </c>
      <c r="N65" s="29">
        <v>5</v>
      </c>
      <c r="O65" s="29">
        <v>28</v>
      </c>
      <c r="P65" s="29">
        <v>16</v>
      </c>
      <c r="Q65" s="29">
        <v>8</v>
      </c>
      <c r="R65" s="29">
        <f t="shared" si="6"/>
        <v>52</v>
      </c>
      <c r="S65" s="59">
        <f t="shared" si="7"/>
        <v>1.75</v>
      </c>
      <c r="T65" s="59">
        <f t="shared" si="9"/>
        <v>0.93333333333333324</v>
      </c>
      <c r="U65" s="59">
        <f t="shared" si="10"/>
        <v>0.6333333333333333</v>
      </c>
      <c r="V65" s="29">
        <v>1</v>
      </c>
      <c r="W65" s="29" t="s">
        <v>44</v>
      </c>
      <c r="X65" s="43" t="s">
        <v>45</v>
      </c>
      <c r="Y65" s="43"/>
      <c r="AB65" s="29" t="str">
        <f t="shared" si="8"/>
        <v>Single</v>
      </c>
      <c r="AC65" s="29">
        <v>100</v>
      </c>
      <c r="AD65" s="94">
        <v>0.39</v>
      </c>
      <c r="AE65" s="43"/>
    </row>
    <row r="66" spans="1:31" ht="15" customHeight="1" x14ac:dyDescent="0.35">
      <c r="A66" s="100">
        <v>44664</v>
      </c>
      <c r="B66" s="84">
        <v>34</v>
      </c>
      <c r="C66" s="43" t="s">
        <v>41</v>
      </c>
      <c r="D66" s="46" t="s">
        <v>42</v>
      </c>
      <c r="F66" s="29">
        <v>1050</v>
      </c>
      <c r="G66" s="29">
        <v>200</v>
      </c>
      <c r="I66" s="29">
        <v>10</v>
      </c>
      <c r="M66" s="29" t="s">
        <v>16</v>
      </c>
      <c r="N66" s="29">
        <v>5</v>
      </c>
      <c r="O66" s="29">
        <v>28</v>
      </c>
      <c r="P66" s="29">
        <v>16</v>
      </c>
      <c r="Q66" s="29">
        <v>8</v>
      </c>
      <c r="R66" s="29">
        <f t="shared" ref="R66:R97" si="11">Q66+P66+O66</f>
        <v>52</v>
      </c>
      <c r="S66" s="59">
        <f t="shared" ref="S66:S101" si="12">O66/P66</f>
        <v>1.75</v>
      </c>
      <c r="T66" s="59">
        <f t="shared" si="9"/>
        <v>0.93333333333333324</v>
      </c>
      <c r="U66" s="59">
        <f t="shared" si="10"/>
        <v>0.6333333333333333</v>
      </c>
      <c r="V66" s="29">
        <v>1</v>
      </c>
      <c r="W66" s="29" t="s">
        <v>44</v>
      </c>
      <c r="X66" s="43" t="s">
        <v>46</v>
      </c>
      <c r="Y66" s="43"/>
      <c r="AB66" s="29" t="str">
        <f t="shared" si="8"/>
        <v>Poly</v>
      </c>
      <c r="AC66" s="29">
        <v>100</v>
      </c>
      <c r="AD66" s="94">
        <v>0.02</v>
      </c>
      <c r="AE66" s="43"/>
    </row>
    <row r="67" spans="1:31" ht="15" customHeight="1" x14ac:dyDescent="0.35">
      <c r="A67" s="100">
        <v>44664</v>
      </c>
      <c r="B67" s="84">
        <v>35</v>
      </c>
      <c r="C67" s="43" t="s">
        <v>48</v>
      </c>
      <c r="D67" s="46" t="s">
        <v>42</v>
      </c>
      <c r="F67" s="29">
        <v>1050</v>
      </c>
      <c r="G67" s="29">
        <v>200</v>
      </c>
      <c r="H67" s="64" t="s">
        <v>72</v>
      </c>
      <c r="I67" s="29">
        <v>10</v>
      </c>
      <c r="M67" s="29" t="s">
        <v>16</v>
      </c>
      <c r="N67" s="29">
        <v>5</v>
      </c>
      <c r="O67" s="29">
        <v>84</v>
      </c>
      <c r="P67" s="29">
        <v>48</v>
      </c>
      <c r="Q67" s="29">
        <v>24</v>
      </c>
      <c r="R67" s="29">
        <f t="shared" si="11"/>
        <v>156</v>
      </c>
      <c r="S67" s="59">
        <f t="shared" si="12"/>
        <v>1.75</v>
      </c>
      <c r="T67" s="59">
        <f t="shared" si="9"/>
        <v>0.93333333333333324</v>
      </c>
      <c r="U67" s="59">
        <f t="shared" si="10"/>
        <v>0.6333333333333333</v>
      </c>
      <c r="V67" s="29">
        <v>1</v>
      </c>
      <c r="W67" s="29" t="s">
        <v>44</v>
      </c>
      <c r="X67" s="43" t="s">
        <v>45</v>
      </c>
      <c r="Y67" s="43"/>
      <c r="AB67" s="29" t="str">
        <f t="shared" si="8"/>
        <v>Single</v>
      </c>
      <c r="AC67" s="29">
        <v>100</v>
      </c>
      <c r="AD67" s="94">
        <v>0.06</v>
      </c>
      <c r="AE67" s="43"/>
    </row>
    <row r="68" spans="1:31" ht="15" customHeight="1" x14ac:dyDescent="0.35">
      <c r="A68" s="100">
        <v>44664</v>
      </c>
      <c r="B68" s="84">
        <v>35</v>
      </c>
      <c r="C68" s="43" t="s">
        <v>48</v>
      </c>
      <c r="D68" s="46" t="s">
        <v>42</v>
      </c>
      <c r="F68" s="29">
        <v>1050</v>
      </c>
      <c r="G68" s="29">
        <v>200</v>
      </c>
      <c r="I68" s="29">
        <v>10</v>
      </c>
      <c r="M68" s="29" t="s">
        <v>16</v>
      </c>
      <c r="N68" s="29">
        <v>5</v>
      </c>
      <c r="O68" s="29">
        <v>84</v>
      </c>
      <c r="P68" s="29">
        <v>48</v>
      </c>
      <c r="Q68" s="29">
        <v>24</v>
      </c>
      <c r="R68" s="29">
        <f t="shared" si="11"/>
        <v>156</v>
      </c>
      <c r="S68" s="59">
        <f t="shared" si="12"/>
        <v>1.75</v>
      </c>
      <c r="T68" s="59">
        <f t="shared" si="9"/>
        <v>0.93333333333333324</v>
      </c>
      <c r="U68" s="59">
        <f t="shared" si="10"/>
        <v>0.6333333333333333</v>
      </c>
      <c r="V68" s="29">
        <v>1</v>
      </c>
      <c r="W68" s="29" t="s">
        <v>44</v>
      </c>
      <c r="X68" s="43" t="s">
        <v>46</v>
      </c>
      <c r="Y68" s="43"/>
      <c r="AB68" s="29" t="str">
        <f t="shared" si="8"/>
        <v>Poly</v>
      </c>
      <c r="AC68" s="29">
        <v>100</v>
      </c>
      <c r="AD68" s="94">
        <v>0.02</v>
      </c>
      <c r="AE68" s="43"/>
    </row>
    <row r="69" spans="1:31" ht="15" customHeight="1" x14ac:dyDescent="0.35">
      <c r="A69" s="100">
        <v>44664</v>
      </c>
      <c r="B69" s="84">
        <v>36</v>
      </c>
      <c r="C69" s="43" t="s">
        <v>41</v>
      </c>
      <c r="D69" s="46" t="s">
        <v>42</v>
      </c>
      <c r="F69" s="29">
        <v>1050</v>
      </c>
      <c r="G69" s="29">
        <v>200</v>
      </c>
      <c r="H69" s="64" t="s">
        <v>81</v>
      </c>
      <c r="I69" s="29">
        <v>10</v>
      </c>
      <c r="M69" s="29" t="s">
        <v>16</v>
      </c>
      <c r="N69" s="29">
        <v>5</v>
      </c>
      <c r="O69" s="29">
        <v>28</v>
      </c>
      <c r="P69" s="29">
        <v>16</v>
      </c>
      <c r="Q69" s="29">
        <v>8</v>
      </c>
      <c r="R69" s="29">
        <f t="shared" si="11"/>
        <v>52</v>
      </c>
      <c r="S69" s="59">
        <f t="shared" si="12"/>
        <v>1.75</v>
      </c>
      <c r="T69" s="59">
        <f t="shared" si="9"/>
        <v>0.93333333333333324</v>
      </c>
      <c r="U69" s="59">
        <f t="shared" si="10"/>
        <v>0.6333333333333333</v>
      </c>
      <c r="V69" s="29">
        <v>1</v>
      </c>
      <c r="W69" s="29" t="s">
        <v>44</v>
      </c>
      <c r="X69" s="43" t="s">
        <v>45</v>
      </c>
      <c r="Y69" s="43"/>
      <c r="AB69" s="29" t="str">
        <f t="shared" si="8"/>
        <v>Single</v>
      </c>
      <c r="AC69" s="29">
        <v>100</v>
      </c>
      <c r="AD69" s="94">
        <v>0.11</v>
      </c>
      <c r="AE69" s="43"/>
    </row>
    <row r="70" spans="1:31" ht="15" customHeight="1" x14ac:dyDescent="0.35">
      <c r="A70" s="100">
        <v>44664</v>
      </c>
      <c r="B70" s="84">
        <v>36</v>
      </c>
      <c r="C70" s="43" t="s">
        <v>41</v>
      </c>
      <c r="D70" s="46" t="s">
        <v>42</v>
      </c>
      <c r="F70" s="29">
        <v>1050</v>
      </c>
      <c r="G70" s="29">
        <v>200</v>
      </c>
      <c r="I70" s="29">
        <v>10</v>
      </c>
      <c r="M70" s="29" t="s">
        <v>16</v>
      </c>
      <c r="N70" s="29">
        <v>5</v>
      </c>
      <c r="O70" s="29">
        <v>28</v>
      </c>
      <c r="P70" s="29">
        <v>16</v>
      </c>
      <c r="Q70" s="29">
        <v>8</v>
      </c>
      <c r="R70" s="29">
        <f t="shared" si="11"/>
        <v>52</v>
      </c>
      <c r="S70" s="59">
        <f t="shared" si="12"/>
        <v>1.75</v>
      </c>
      <c r="T70" s="59">
        <f t="shared" si="9"/>
        <v>0.93333333333333324</v>
      </c>
      <c r="U70" s="59">
        <f t="shared" si="10"/>
        <v>0.6333333333333333</v>
      </c>
      <c r="V70" s="29">
        <v>1</v>
      </c>
      <c r="W70" s="29" t="s">
        <v>44</v>
      </c>
      <c r="X70" s="43" t="s">
        <v>45</v>
      </c>
      <c r="Y70" s="43"/>
      <c r="AB70" s="29" t="str">
        <f t="shared" si="8"/>
        <v>Single</v>
      </c>
      <c r="AC70" s="29">
        <v>100</v>
      </c>
      <c r="AD70" s="94">
        <v>0.03</v>
      </c>
      <c r="AE70" s="43"/>
    </row>
    <row r="71" spans="1:31" ht="15" customHeight="1" x14ac:dyDescent="0.35">
      <c r="A71" s="100">
        <v>44664</v>
      </c>
      <c r="B71" s="84">
        <v>36</v>
      </c>
      <c r="C71" s="43" t="s">
        <v>41</v>
      </c>
      <c r="D71" s="46" t="s">
        <v>42</v>
      </c>
      <c r="F71" s="29">
        <v>1050</v>
      </c>
      <c r="G71" s="29">
        <v>200</v>
      </c>
      <c r="I71" s="29">
        <v>10</v>
      </c>
      <c r="M71" s="29" t="s">
        <v>16</v>
      </c>
      <c r="N71" s="29">
        <v>5</v>
      </c>
      <c r="O71" s="29">
        <v>28</v>
      </c>
      <c r="P71" s="29">
        <v>16</v>
      </c>
      <c r="Q71" s="29">
        <v>8</v>
      </c>
      <c r="R71" s="29">
        <f t="shared" si="11"/>
        <v>52</v>
      </c>
      <c r="S71" s="59">
        <f t="shared" si="12"/>
        <v>1.75</v>
      </c>
      <c r="T71" s="59">
        <f t="shared" si="9"/>
        <v>0.93333333333333324</v>
      </c>
      <c r="U71" s="59">
        <f t="shared" si="10"/>
        <v>0.6333333333333333</v>
      </c>
      <c r="V71" s="29">
        <v>1</v>
      </c>
      <c r="W71" s="29" t="s">
        <v>44</v>
      </c>
      <c r="X71" s="43" t="s">
        <v>45</v>
      </c>
      <c r="Y71" s="43"/>
      <c r="AB71" s="29" t="str">
        <f t="shared" si="8"/>
        <v>Single</v>
      </c>
      <c r="AC71" s="29">
        <v>100</v>
      </c>
      <c r="AD71" s="94">
        <v>7.0000000000000007E-2</v>
      </c>
      <c r="AE71" s="43"/>
    </row>
    <row r="72" spans="1:31" ht="15" customHeight="1" x14ac:dyDescent="0.35">
      <c r="A72" s="100">
        <v>44664</v>
      </c>
      <c r="B72" s="84">
        <v>37</v>
      </c>
      <c r="C72" s="43" t="s">
        <v>41</v>
      </c>
      <c r="D72" s="46" t="s">
        <v>42</v>
      </c>
      <c r="F72" s="29">
        <v>1050</v>
      </c>
      <c r="G72" s="29">
        <v>200</v>
      </c>
      <c r="H72" s="64" t="s">
        <v>82</v>
      </c>
      <c r="I72" s="29">
        <v>40</v>
      </c>
      <c r="M72" s="29" t="s">
        <v>16</v>
      </c>
      <c r="N72" s="29" t="s">
        <v>83</v>
      </c>
      <c r="O72" s="29">
        <v>28</v>
      </c>
      <c r="P72" s="29">
        <v>16</v>
      </c>
      <c r="Q72" s="29">
        <v>8</v>
      </c>
      <c r="R72" s="29">
        <f t="shared" si="11"/>
        <v>52</v>
      </c>
      <c r="S72" s="59">
        <f t="shared" si="12"/>
        <v>1.75</v>
      </c>
      <c r="T72" s="59">
        <f t="shared" si="9"/>
        <v>0.93333333333333324</v>
      </c>
      <c r="U72" s="59">
        <f t="shared" si="10"/>
        <v>0.6333333333333333</v>
      </c>
      <c r="V72" s="29">
        <v>1</v>
      </c>
      <c r="W72" s="29" t="s">
        <v>44</v>
      </c>
      <c r="X72" s="43" t="s">
        <v>45</v>
      </c>
      <c r="Y72" s="43"/>
      <c r="AB72" s="29" t="str">
        <f t="shared" si="8"/>
        <v>Single</v>
      </c>
      <c r="AC72" s="29">
        <v>100</v>
      </c>
      <c r="AD72" s="94">
        <v>0.37</v>
      </c>
      <c r="AE72" s="43"/>
    </row>
    <row r="73" spans="1:31" ht="15" customHeight="1" x14ac:dyDescent="0.35">
      <c r="A73" s="100">
        <v>44664</v>
      </c>
      <c r="B73" s="84">
        <v>37</v>
      </c>
      <c r="C73" s="43" t="s">
        <v>41</v>
      </c>
      <c r="D73" s="46" t="s">
        <v>42</v>
      </c>
      <c r="F73" s="29">
        <v>1050</v>
      </c>
      <c r="G73" s="29">
        <v>200</v>
      </c>
      <c r="I73" s="29">
        <v>40</v>
      </c>
      <c r="M73" s="29" t="s">
        <v>16</v>
      </c>
      <c r="N73" s="29" t="s">
        <v>83</v>
      </c>
      <c r="O73" s="29">
        <v>28</v>
      </c>
      <c r="P73" s="29">
        <v>16</v>
      </c>
      <c r="Q73" s="29">
        <v>8</v>
      </c>
      <c r="R73" s="29">
        <f t="shared" si="11"/>
        <v>52</v>
      </c>
      <c r="S73" s="59">
        <f t="shared" si="12"/>
        <v>1.75</v>
      </c>
      <c r="T73" s="59">
        <f t="shared" si="9"/>
        <v>0.93333333333333324</v>
      </c>
      <c r="U73" s="59">
        <f t="shared" si="10"/>
        <v>0.6333333333333333</v>
      </c>
      <c r="V73" s="29">
        <v>1</v>
      </c>
      <c r="W73" s="29" t="s">
        <v>44</v>
      </c>
      <c r="X73" s="43" t="s">
        <v>46</v>
      </c>
      <c r="Y73" s="43"/>
      <c r="AB73" s="29" t="str">
        <f t="shared" si="8"/>
        <v>Poly</v>
      </c>
      <c r="AC73" s="29">
        <v>100</v>
      </c>
      <c r="AD73" s="94">
        <v>0.04</v>
      </c>
      <c r="AE73" s="43"/>
    </row>
    <row r="74" spans="1:31" ht="15" customHeight="1" x14ac:dyDescent="0.35">
      <c r="A74" s="100">
        <v>44664</v>
      </c>
      <c r="B74" s="84">
        <v>38</v>
      </c>
      <c r="C74" s="43" t="s">
        <v>41</v>
      </c>
      <c r="D74" s="46" t="s">
        <v>42</v>
      </c>
      <c r="F74" s="29">
        <v>1050</v>
      </c>
      <c r="G74" s="29">
        <v>200</v>
      </c>
      <c r="H74" s="64" t="s">
        <v>84</v>
      </c>
      <c r="I74" s="29">
        <v>45</v>
      </c>
      <c r="M74" s="29" t="s">
        <v>16</v>
      </c>
      <c r="N74" s="29" t="s">
        <v>85</v>
      </c>
      <c r="O74" s="29">
        <v>28</v>
      </c>
      <c r="P74" s="29">
        <v>16</v>
      </c>
      <c r="Q74" s="29">
        <v>8</v>
      </c>
      <c r="R74" s="29">
        <f t="shared" si="11"/>
        <v>52</v>
      </c>
      <c r="S74" s="59">
        <f t="shared" si="12"/>
        <v>1.75</v>
      </c>
      <c r="T74" s="59">
        <f t="shared" si="9"/>
        <v>0.93333333333333324</v>
      </c>
      <c r="U74" s="59">
        <f t="shared" si="10"/>
        <v>0.6333333333333333</v>
      </c>
      <c r="V74" s="29">
        <v>1</v>
      </c>
      <c r="W74" s="29" t="s">
        <v>44</v>
      </c>
      <c r="X74" s="43" t="s">
        <v>45</v>
      </c>
      <c r="Y74" s="43"/>
      <c r="AB74" s="29" t="str">
        <f t="shared" si="8"/>
        <v>Single</v>
      </c>
      <c r="AC74" s="29">
        <v>100</v>
      </c>
      <c r="AD74" s="94">
        <v>0.93</v>
      </c>
      <c r="AE74" s="43"/>
    </row>
    <row r="75" spans="1:31" ht="15" customHeight="1" x14ac:dyDescent="0.35">
      <c r="A75" s="100">
        <v>44664</v>
      </c>
      <c r="B75" s="84">
        <v>38</v>
      </c>
      <c r="C75" s="43" t="s">
        <v>41</v>
      </c>
      <c r="D75" s="46" t="s">
        <v>42</v>
      </c>
      <c r="F75" s="29">
        <v>1050</v>
      </c>
      <c r="G75" s="29">
        <v>200</v>
      </c>
      <c r="I75" s="29">
        <v>45</v>
      </c>
      <c r="M75" s="29" t="s">
        <v>16</v>
      </c>
      <c r="N75" s="29" t="s">
        <v>85</v>
      </c>
      <c r="O75" s="29">
        <v>28</v>
      </c>
      <c r="P75" s="29">
        <v>16</v>
      </c>
      <c r="Q75" s="29">
        <v>8</v>
      </c>
      <c r="R75" s="29">
        <f t="shared" si="11"/>
        <v>52</v>
      </c>
      <c r="S75" s="59">
        <f t="shared" si="12"/>
        <v>1.75</v>
      </c>
      <c r="T75" s="59">
        <f t="shared" si="9"/>
        <v>0.93333333333333324</v>
      </c>
      <c r="U75" s="59">
        <f t="shared" si="10"/>
        <v>0.6333333333333333</v>
      </c>
      <c r="V75" s="29">
        <v>1</v>
      </c>
      <c r="W75" s="29" t="s">
        <v>44</v>
      </c>
      <c r="X75" s="43" t="s">
        <v>46</v>
      </c>
      <c r="Y75" s="43"/>
      <c r="AB75" s="29" t="str">
        <f t="shared" si="8"/>
        <v>Poly</v>
      </c>
      <c r="AC75" s="29">
        <v>100</v>
      </c>
      <c r="AD75" s="94">
        <v>0.11</v>
      </c>
      <c r="AE75" s="43"/>
    </row>
    <row r="76" spans="1:31" ht="15" customHeight="1" x14ac:dyDescent="0.35">
      <c r="A76" s="100">
        <v>44664</v>
      </c>
      <c r="B76" s="84">
        <v>39</v>
      </c>
      <c r="C76" s="43" t="s">
        <v>41</v>
      </c>
      <c r="D76" s="46" t="s">
        <v>42</v>
      </c>
      <c r="F76" s="29">
        <v>1050</v>
      </c>
      <c r="G76" s="29">
        <v>200</v>
      </c>
      <c r="H76" s="64" t="s">
        <v>84</v>
      </c>
      <c r="I76" s="29">
        <v>45</v>
      </c>
      <c r="M76" s="29" t="s">
        <v>16</v>
      </c>
      <c r="N76" s="29" t="s">
        <v>86</v>
      </c>
      <c r="O76" s="29">
        <v>28</v>
      </c>
      <c r="P76" s="29">
        <v>16</v>
      </c>
      <c r="Q76" s="29">
        <v>8</v>
      </c>
      <c r="R76" s="29">
        <f t="shared" si="11"/>
        <v>52</v>
      </c>
      <c r="S76" s="59">
        <f t="shared" si="12"/>
        <v>1.75</v>
      </c>
      <c r="T76" s="59">
        <f t="shared" si="9"/>
        <v>0.93333333333333324</v>
      </c>
      <c r="U76" s="59">
        <f t="shared" si="10"/>
        <v>0.6333333333333333</v>
      </c>
      <c r="V76" s="29">
        <v>1</v>
      </c>
      <c r="W76" s="29" t="s">
        <v>44</v>
      </c>
      <c r="X76" s="43" t="s">
        <v>45</v>
      </c>
      <c r="Y76" s="43"/>
      <c r="AB76" s="29" t="str">
        <f t="shared" si="8"/>
        <v>Single</v>
      </c>
      <c r="AC76" s="29">
        <v>100</v>
      </c>
      <c r="AD76" s="94">
        <v>0.56999999999999995</v>
      </c>
      <c r="AE76" s="43"/>
    </row>
    <row r="77" spans="1:31" ht="15" customHeight="1" x14ac:dyDescent="0.35">
      <c r="A77" s="100">
        <v>44664</v>
      </c>
      <c r="B77" s="84">
        <v>39</v>
      </c>
      <c r="C77" s="43" t="s">
        <v>41</v>
      </c>
      <c r="D77" s="46" t="s">
        <v>42</v>
      </c>
      <c r="F77" s="29">
        <v>1050</v>
      </c>
      <c r="G77" s="29">
        <v>200</v>
      </c>
      <c r="I77" s="29">
        <v>45</v>
      </c>
      <c r="M77" s="29" t="s">
        <v>16</v>
      </c>
      <c r="N77" s="29" t="s">
        <v>86</v>
      </c>
      <c r="O77" s="29">
        <v>28</v>
      </c>
      <c r="P77" s="29">
        <v>16</v>
      </c>
      <c r="Q77" s="29">
        <v>8</v>
      </c>
      <c r="R77" s="29">
        <f t="shared" si="11"/>
        <v>52</v>
      </c>
      <c r="S77" s="59">
        <f t="shared" si="12"/>
        <v>1.75</v>
      </c>
      <c r="T77" s="59">
        <f t="shared" si="9"/>
        <v>0.93333333333333324</v>
      </c>
      <c r="U77" s="59">
        <f t="shared" si="10"/>
        <v>0.6333333333333333</v>
      </c>
      <c r="V77" s="29">
        <v>1</v>
      </c>
      <c r="W77" s="29" t="s">
        <v>44</v>
      </c>
      <c r="X77" s="43" t="s">
        <v>46</v>
      </c>
      <c r="Y77" s="43"/>
      <c r="AB77" s="29" t="str">
        <f t="shared" si="8"/>
        <v>Poly</v>
      </c>
      <c r="AC77" s="29">
        <v>100</v>
      </c>
      <c r="AD77" s="94">
        <v>0.03</v>
      </c>
      <c r="AE77" s="43"/>
    </row>
    <row r="78" spans="1:31" ht="15" customHeight="1" x14ac:dyDescent="0.35">
      <c r="A78" s="100">
        <v>44664</v>
      </c>
      <c r="B78" s="84">
        <v>40</v>
      </c>
      <c r="C78" s="43" t="s">
        <v>41</v>
      </c>
      <c r="D78" s="46" t="s">
        <v>42</v>
      </c>
      <c r="F78" s="29">
        <v>1050</v>
      </c>
      <c r="G78" s="29">
        <v>200</v>
      </c>
      <c r="H78" s="64" t="s">
        <v>87</v>
      </c>
      <c r="I78" s="29">
        <v>10</v>
      </c>
      <c r="M78" s="29" t="s">
        <v>16</v>
      </c>
      <c r="N78" s="29" t="s">
        <v>88</v>
      </c>
      <c r="O78" s="29">
        <v>28</v>
      </c>
      <c r="P78" s="29">
        <v>16</v>
      </c>
      <c r="Q78" s="29">
        <v>8</v>
      </c>
      <c r="R78" s="29">
        <f t="shared" si="11"/>
        <v>52</v>
      </c>
      <c r="S78" s="59">
        <f t="shared" si="12"/>
        <v>1.75</v>
      </c>
      <c r="T78" s="59">
        <f t="shared" si="9"/>
        <v>0.93333333333333324</v>
      </c>
      <c r="U78" s="59">
        <f t="shared" si="10"/>
        <v>0.6333333333333333</v>
      </c>
      <c r="V78" s="29">
        <v>1</v>
      </c>
      <c r="W78" s="29" t="s">
        <v>44</v>
      </c>
      <c r="X78" s="43" t="s">
        <v>45</v>
      </c>
      <c r="Y78" s="43"/>
      <c r="AB78" s="29" t="str">
        <f t="shared" si="8"/>
        <v>Single</v>
      </c>
      <c r="AC78" s="29">
        <v>100</v>
      </c>
      <c r="AD78" s="94">
        <v>0.36</v>
      </c>
      <c r="AE78" s="43"/>
    </row>
    <row r="79" spans="1:31" ht="15" customHeight="1" x14ac:dyDescent="0.35">
      <c r="A79" s="100">
        <v>44664</v>
      </c>
      <c r="B79" s="84">
        <v>40</v>
      </c>
      <c r="C79" s="43" t="s">
        <v>41</v>
      </c>
      <c r="D79" s="46" t="s">
        <v>42</v>
      </c>
      <c r="F79" s="29">
        <v>1050</v>
      </c>
      <c r="G79" s="29">
        <v>200</v>
      </c>
      <c r="I79" s="29">
        <v>10</v>
      </c>
      <c r="M79" s="29" t="s">
        <v>16</v>
      </c>
      <c r="N79" s="29" t="s">
        <v>88</v>
      </c>
      <c r="O79" s="29">
        <v>28</v>
      </c>
      <c r="P79" s="29">
        <v>16</v>
      </c>
      <c r="Q79" s="29">
        <v>8</v>
      </c>
      <c r="R79" s="29">
        <f t="shared" si="11"/>
        <v>52</v>
      </c>
      <c r="S79" s="59">
        <f t="shared" si="12"/>
        <v>1.75</v>
      </c>
      <c r="T79" s="59">
        <f t="shared" si="9"/>
        <v>0.93333333333333324</v>
      </c>
      <c r="U79" s="59">
        <f t="shared" si="10"/>
        <v>0.6333333333333333</v>
      </c>
      <c r="V79" s="29">
        <v>1</v>
      </c>
      <c r="W79" s="29" t="s">
        <v>44</v>
      </c>
      <c r="X79" s="43" t="s">
        <v>46</v>
      </c>
      <c r="Y79" s="43"/>
      <c r="AB79" s="29" t="str">
        <f t="shared" si="8"/>
        <v>Poly</v>
      </c>
      <c r="AC79" s="29">
        <v>100</v>
      </c>
      <c r="AD79" s="94">
        <v>0.05</v>
      </c>
      <c r="AE79" s="43"/>
    </row>
    <row r="80" spans="1:31" ht="15" customHeight="1" x14ac:dyDescent="0.35">
      <c r="A80" s="100">
        <v>44665</v>
      </c>
      <c r="B80" s="84">
        <v>41</v>
      </c>
      <c r="C80" s="43" t="s">
        <v>89</v>
      </c>
      <c r="D80" s="46" t="s">
        <v>42</v>
      </c>
      <c r="F80" s="29">
        <v>1050</v>
      </c>
      <c r="G80" s="29">
        <v>200</v>
      </c>
      <c r="H80" s="64" t="s">
        <v>90</v>
      </c>
      <c r="I80" s="29">
        <v>10</v>
      </c>
      <c r="M80" s="29" t="s">
        <v>16</v>
      </c>
      <c r="N80" s="29">
        <v>5</v>
      </c>
      <c r="O80" s="29">
        <v>40</v>
      </c>
      <c r="P80" s="29">
        <v>26</v>
      </c>
      <c r="Q80" s="29">
        <v>8</v>
      </c>
      <c r="R80" s="29">
        <f t="shared" si="11"/>
        <v>74</v>
      </c>
      <c r="S80" s="59">
        <f t="shared" si="12"/>
        <v>1.5384615384615385</v>
      </c>
      <c r="T80" s="59">
        <f>6.5/10</f>
        <v>0.65</v>
      </c>
      <c r="U80" s="59">
        <f>10.5/25</f>
        <v>0.42</v>
      </c>
      <c r="V80" s="29">
        <v>1</v>
      </c>
      <c r="W80" s="29" t="s">
        <v>44</v>
      </c>
      <c r="X80" s="43" t="s">
        <v>45</v>
      </c>
      <c r="Y80" s="43"/>
      <c r="AB80" s="29" t="str">
        <f t="shared" si="8"/>
        <v>Single</v>
      </c>
      <c r="AC80" s="29">
        <v>100</v>
      </c>
      <c r="AD80" s="94">
        <v>0.55000000000000004</v>
      </c>
      <c r="AE80" s="43"/>
    </row>
    <row r="81" spans="1:31" ht="15" customHeight="1" x14ac:dyDescent="0.35">
      <c r="A81" s="100">
        <v>44665</v>
      </c>
      <c r="B81" s="84">
        <v>41</v>
      </c>
      <c r="C81" s="43" t="s">
        <v>89</v>
      </c>
      <c r="D81" s="46" t="s">
        <v>42</v>
      </c>
      <c r="F81" s="29">
        <v>1050</v>
      </c>
      <c r="G81" s="29">
        <v>200</v>
      </c>
      <c r="I81" s="29">
        <v>10</v>
      </c>
      <c r="M81" s="29" t="s">
        <v>16</v>
      </c>
      <c r="N81" s="29">
        <v>5</v>
      </c>
      <c r="O81" s="29">
        <v>40</v>
      </c>
      <c r="P81" s="29">
        <v>26</v>
      </c>
      <c r="Q81" s="29">
        <v>8</v>
      </c>
      <c r="R81" s="29">
        <f t="shared" si="11"/>
        <v>74</v>
      </c>
      <c r="S81" s="59">
        <f t="shared" si="12"/>
        <v>1.5384615384615385</v>
      </c>
      <c r="T81" s="59">
        <f>6.5/10</f>
        <v>0.65</v>
      </c>
      <c r="U81" s="59">
        <f>10.5/25</f>
        <v>0.42</v>
      </c>
      <c r="V81" s="29">
        <v>1</v>
      </c>
      <c r="W81" s="29" t="s">
        <v>44</v>
      </c>
      <c r="X81" s="43" t="s">
        <v>46</v>
      </c>
      <c r="Y81" s="43"/>
      <c r="AB81" s="29" t="str">
        <f t="shared" si="8"/>
        <v>Poly</v>
      </c>
      <c r="AC81" s="29">
        <v>100</v>
      </c>
      <c r="AD81" s="94">
        <v>0.04</v>
      </c>
      <c r="AE81" s="43"/>
    </row>
    <row r="82" spans="1:31" ht="15" customHeight="1" x14ac:dyDescent="0.35">
      <c r="A82" s="100">
        <v>44665</v>
      </c>
      <c r="B82" s="84">
        <v>42</v>
      </c>
      <c r="C82" s="43" t="s">
        <v>91</v>
      </c>
      <c r="D82" s="46" t="s">
        <v>42</v>
      </c>
      <c r="F82" s="29">
        <v>1050</v>
      </c>
      <c r="G82" s="29">
        <v>200</v>
      </c>
      <c r="H82" s="64" t="s">
        <v>92</v>
      </c>
      <c r="I82" s="29">
        <v>10</v>
      </c>
      <c r="M82" s="29" t="s">
        <v>16</v>
      </c>
      <c r="N82" s="29">
        <v>5</v>
      </c>
      <c r="O82" s="61">
        <f>O81*3</f>
        <v>120</v>
      </c>
      <c r="P82" s="61">
        <f>P81*3</f>
        <v>78</v>
      </c>
      <c r="Q82" s="61">
        <f>Q81*3</f>
        <v>24</v>
      </c>
      <c r="R82" s="61">
        <f t="shared" si="11"/>
        <v>222</v>
      </c>
      <c r="S82" s="62">
        <f t="shared" si="12"/>
        <v>1.5384615384615385</v>
      </c>
      <c r="T82" s="62">
        <f>6.5/10</f>
        <v>0.65</v>
      </c>
      <c r="U82" s="62">
        <f>10.5/25</f>
        <v>0.42</v>
      </c>
      <c r="V82" s="29">
        <v>1</v>
      </c>
      <c r="W82" s="29" t="s">
        <v>44</v>
      </c>
      <c r="X82" s="43" t="s">
        <v>45</v>
      </c>
      <c r="Y82" s="43"/>
      <c r="AB82" s="29" t="str">
        <f t="shared" si="8"/>
        <v>Single</v>
      </c>
      <c r="AC82" s="29">
        <v>100</v>
      </c>
      <c r="AD82" s="94">
        <v>0.09</v>
      </c>
      <c r="AE82" s="43"/>
    </row>
    <row r="83" spans="1:31" ht="15" customHeight="1" x14ac:dyDescent="0.35">
      <c r="A83" s="100">
        <v>44665</v>
      </c>
      <c r="B83" s="84">
        <v>42</v>
      </c>
      <c r="C83" s="43" t="s">
        <v>91</v>
      </c>
      <c r="D83" s="46" t="s">
        <v>42</v>
      </c>
      <c r="F83" s="29">
        <v>1050</v>
      </c>
      <c r="G83" s="29">
        <v>200</v>
      </c>
      <c r="I83" s="29">
        <v>10</v>
      </c>
      <c r="M83" s="29" t="s">
        <v>16</v>
      </c>
      <c r="N83" s="29">
        <v>5</v>
      </c>
      <c r="O83" s="61">
        <v>120</v>
      </c>
      <c r="P83" s="61">
        <v>78</v>
      </c>
      <c r="Q83" s="61">
        <v>24</v>
      </c>
      <c r="R83" s="61">
        <f t="shared" si="11"/>
        <v>222</v>
      </c>
      <c r="S83" s="62">
        <f t="shared" si="12"/>
        <v>1.5384615384615385</v>
      </c>
      <c r="T83" s="62">
        <f>6.5/10</f>
        <v>0.65</v>
      </c>
      <c r="U83" s="62">
        <f>10.5/25</f>
        <v>0.42</v>
      </c>
      <c r="V83" s="29">
        <v>1</v>
      </c>
      <c r="W83" s="29" t="s">
        <v>44</v>
      </c>
      <c r="X83" s="43" t="s">
        <v>46</v>
      </c>
      <c r="Y83" s="43"/>
      <c r="AB83" s="29" t="str">
        <f t="shared" si="8"/>
        <v>Poly</v>
      </c>
      <c r="AC83" s="29">
        <v>100</v>
      </c>
      <c r="AD83" s="94">
        <v>0.02</v>
      </c>
      <c r="AE83" s="43"/>
    </row>
    <row r="84" spans="1:31" ht="15" customHeight="1" x14ac:dyDescent="0.35">
      <c r="A84" s="100">
        <v>44665</v>
      </c>
      <c r="B84" s="84">
        <v>43</v>
      </c>
      <c r="C84" s="43" t="s">
        <v>41</v>
      </c>
      <c r="D84" s="46" t="s">
        <v>42</v>
      </c>
      <c r="F84" s="29">
        <v>1050</v>
      </c>
      <c r="G84" s="29">
        <v>200</v>
      </c>
      <c r="H84" s="64" t="s">
        <v>81</v>
      </c>
      <c r="I84" s="29">
        <v>10</v>
      </c>
      <c r="M84" s="29" t="s">
        <v>16</v>
      </c>
      <c r="N84" s="29">
        <v>5</v>
      </c>
      <c r="O84" s="29">
        <v>28</v>
      </c>
      <c r="P84" s="29">
        <v>16</v>
      </c>
      <c r="Q84" s="29">
        <v>8</v>
      </c>
      <c r="R84" s="29">
        <f t="shared" si="11"/>
        <v>52</v>
      </c>
      <c r="S84" s="59">
        <f t="shared" si="12"/>
        <v>1.75</v>
      </c>
      <c r="T84" s="59">
        <f t="shared" ref="T84:T101" si="13">5.6/6</f>
        <v>0.93333333333333324</v>
      </c>
      <c r="U84" s="59">
        <f t="shared" ref="U84:U101" si="14">9.5/15</f>
        <v>0.6333333333333333</v>
      </c>
      <c r="V84" s="29">
        <v>1</v>
      </c>
      <c r="W84" s="29" t="s">
        <v>44</v>
      </c>
      <c r="X84" s="43" t="s">
        <v>45</v>
      </c>
      <c r="Y84" s="43"/>
      <c r="AB84" s="29" t="str">
        <f t="shared" ref="AB84:AB101" si="15">IF(X84="20um Schlenk", "Single", "Poly")</f>
        <v>Single</v>
      </c>
      <c r="AC84" s="29">
        <v>100</v>
      </c>
      <c r="AD84" s="94">
        <v>0.05</v>
      </c>
      <c r="AE84" s="43"/>
    </row>
    <row r="85" spans="1:31" ht="15" customHeight="1" x14ac:dyDescent="0.35">
      <c r="A85" s="100">
        <v>44665</v>
      </c>
      <c r="B85" s="84">
        <v>43</v>
      </c>
      <c r="C85" s="43" t="s">
        <v>41</v>
      </c>
      <c r="D85" s="46" t="s">
        <v>42</v>
      </c>
      <c r="F85" s="29">
        <v>1050</v>
      </c>
      <c r="G85" s="29">
        <v>200</v>
      </c>
      <c r="I85" s="29">
        <v>10</v>
      </c>
      <c r="M85" s="29" t="s">
        <v>16</v>
      </c>
      <c r="N85" s="29">
        <v>5</v>
      </c>
      <c r="O85" s="29">
        <v>28</v>
      </c>
      <c r="P85" s="29">
        <v>16</v>
      </c>
      <c r="Q85" s="29">
        <v>8</v>
      </c>
      <c r="R85" s="29">
        <f t="shared" si="11"/>
        <v>52</v>
      </c>
      <c r="S85" s="59">
        <f t="shared" si="12"/>
        <v>1.75</v>
      </c>
      <c r="T85" s="59">
        <f t="shared" si="13"/>
        <v>0.93333333333333324</v>
      </c>
      <c r="U85" s="59">
        <f t="shared" si="14"/>
        <v>0.6333333333333333</v>
      </c>
      <c r="V85" s="29">
        <v>1</v>
      </c>
      <c r="W85" s="29" t="s">
        <v>44</v>
      </c>
      <c r="X85" s="43" t="s">
        <v>45</v>
      </c>
      <c r="Y85" s="43"/>
      <c r="AB85" s="29" t="str">
        <f t="shared" si="15"/>
        <v>Single</v>
      </c>
      <c r="AC85" s="29">
        <v>100</v>
      </c>
      <c r="AD85" s="94">
        <v>0.12</v>
      </c>
      <c r="AE85" s="43"/>
    </row>
    <row r="86" spans="1:31" ht="15" customHeight="1" x14ac:dyDescent="0.35">
      <c r="A86" s="100">
        <v>44665</v>
      </c>
      <c r="B86" s="84">
        <v>43</v>
      </c>
      <c r="C86" s="43" t="s">
        <v>41</v>
      </c>
      <c r="D86" s="46" t="s">
        <v>42</v>
      </c>
      <c r="F86" s="29">
        <v>1050</v>
      </c>
      <c r="G86" s="29">
        <v>200</v>
      </c>
      <c r="H86" s="64" t="s">
        <v>93</v>
      </c>
      <c r="I86" s="29">
        <v>10</v>
      </c>
      <c r="M86" s="29" t="s">
        <v>16</v>
      </c>
      <c r="N86" s="29">
        <v>5</v>
      </c>
      <c r="O86" s="29">
        <v>28</v>
      </c>
      <c r="P86" s="29">
        <v>16</v>
      </c>
      <c r="Q86" s="29">
        <v>8</v>
      </c>
      <c r="R86" s="29">
        <f t="shared" si="11"/>
        <v>52</v>
      </c>
      <c r="S86" s="59">
        <f t="shared" si="12"/>
        <v>1.75</v>
      </c>
      <c r="T86" s="59">
        <f t="shared" si="13"/>
        <v>0.93333333333333324</v>
      </c>
      <c r="U86" s="59">
        <f t="shared" si="14"/>
        <v>0.6333333333333333</v>
      </c>
      <c r="V86" s="29">
        <v>1</v>
      </c>
      <c r="W86" s="29" t="s">
        <v>44</v>
      </c>
      <c r="X86" s="43" t="s">
        <v>45</v>
      </c>
      <c r="Y86" s="43"/>
      <c r="AB86" s="29" t="str">
        <f t="shared" si="15"/>
        <v>Single</v>
      </c>
      <c r="AC86" s="29">
        <v>100</v>
      </c>
      <c r="AD86" s="94">
        <v>0.02</v>
      </c>
      <c r="AE86" s="43"/>
    </row>
    <row r="87" spans="1:31" ht="15" customHeight="1" x14ac:dyDescent="0.35">
      <c r="A87" s="100">
        <v>44665</v>
      </c>
      <c r="B87" s="84">
        <v>43</v>
      </c>
      <c r="C87" s="43" t="s">
        <v>41</v>
      </c>
      <c r="D87" s="46" t="s">
        <v>42</v>
      </c>
      <c r="F87" s="29">
        <v>1050</v>
      </c>
      <c r="G87" s="29">
        <v>200</v>
      </c>
      <c r="I87" s="29">
        <v>10</v>
      </c>
      <c r="M87" s="29" t="s">
        <v>16</v>
      </c>
      <c r="N87" s="29">
        <v>5</v>
      </c>
      <c r="O87" s="29">
        <v>28</v>
      </c>
      <c r="P87" s="29">
        <v>16</v>
      </c>
      <c r="Q87" s="29">
        <v>8</v>
      </c>
      <c r="R87" s="29">
        <f t="shared" si="11"/>
        <v>52</v>
      </c>
      <c r="S87" s="59">
        <f t="shared" si="12"/>
        <v>1.75</v>
      </c>
      <c r="T87" s="59">
        <f t="shared" si="13"/>
        <v>0.93333333333333324</v>
      </c>
      <c r="U87" s="59">
        <f t="shared" si="14"/>
        <v>0.6333333333333333</v>
      </c>
      <c r="V87" s="29">
        <v>1</v>
      </c>
      <c r="W87" s="29" t="s">
        <v>44</v>
      </c>
      <c r="X87" s="43" t="s">
        <v>46</v>
      </c>
      <c r="Y87" s="43"/>
      <c r="AB87" s="29" t="str">
        <f t="shared" si="15"/>
        <v>Poly</v>
      </c>
      <c r="AC87" s="29">
        <v>100</v>
      </c>
      <c r="AD87" s="94">
        <v>0.02</v>
      </c>
      <c r="AE87" s="43"/>
    </row>
    <row r="88" spans="1:31" ht="15" customHeight="1" x14ac:dyDescent="0.35">
      <c r="A88" s="100">
        <v>44665</v>
      </c>
      <c r="B88" s="84">
        <v>44</v>
      </c>
      <c r="C88" s="43" t="s">
        <v>48</v>
      </c>
      <c r="D88" s="46" t="s">
        <v>42</v>
      </c>
      <c r="F88" s="29">
        <v>1050</v>
      </c>
      <c r="G88" s="29">
        <v>200</v>
      </c>
      <c r="H88" s="64" t="s">
        <v>72</v>
      </c>
      <c r="I88" s="29">
        <v>10</v>
      </c>
      <c r="M88" s="29" t="s">
        <v>16</v>
      </c>
      <c r="N88" s="29">
        <v>5</v>
      </c>
      <c r="O88" s="29">
        <v>84</v>
      </c>
      <c r="P88" s="29">
        <v>48</v>
      </c>
      <c r="Q88" s="29">
        <v>24</v>
      </c>
      <c r="R88" s="29">
        <f t="shared" si="11"/>
        <v>156</v>
      </c>
      <c r="S88" s="59">
        <f t="shared" si="12"/>
        <v>1.75</v>
      </c>
      <c r="T88" s="59">
        <f t="shared" si="13"/>
        <v>0.93333333333333324</v>
      </c>
      <c r="U88" s="59">
        <f t="shared" si="14"/>
        <v>0.6333333333333333</v>
      </c>
      <c r="V88" s="29">
        <v>1</v>
      </c>
      <c r="W88" s="29" t="s">
        <v>44</v>
      </c>
      <c r="X88" s="43" t="s">
        <v>45</v>
      </c>
      <c r="Y88" s="43"/>
      <c r="AB88" s="29" t="str">
        <f t="shared" si="15"/>
        <v>Single</v>
      </c>
      <c r="AC88" s="29">
        <v>100</v>
      </c>
      <c r="AD88" s="94">
        <v>0.06</v>
      </c>
      <c r="AE88" s="43"/>
    </row>
    <row r="89" spans="1:31" ht="15" customHeight="1" x14ac:dyDescent="0.35">
      <c r="A89" s="100">
        <v>44665</v>
      </c>
      <c r="B89" s="84">
        <v>44</v>
      </c>
      <c r="C89" s="43" t="s">
        <v>48</v>
      </c>
      <c r="D89" s="46" t="s">
        <v>42</v>
      </c>
      <c r="F89" s="29">
        <v>1050</v>
      </c>
      <c r="G89" s="29">
        <v>200</v>
      </c>
      <c r="I89" s="29">
        <v>10</v>
      </c>
      <c r="M89" s="29" t="s">
        <v>16</v>
      </c>
      <c r="N89" s="29">
        <v>5</v>
      </c>
      <c r="O89" s="29">
        <v>84</v>
      </c>
      <c r="P89" s="29">
        <v>48</v>
      </c>
      <c r="Q89" s="29">
        <v>24</v>
      </c>
      <c r="R89" s="29">
        <f t="shared" si="11"/>
        <v>156</v>
      </c>
      <c r="S89" s="59">
        <f t="shared" si="12"/>
        <v>1.75</v>
      </c>
      <c r="T89" s="59">
        <f t="shared" si="13"/>
        <v>0.93333333333333324</v>
      </c>
      <c r="U89" s="59">
        <f t="shared" si="14"/>
        <v>0.6333333333333333</v>
      </c>
      <c r="V89" s="29">
        <v>1</v>
      </c>
      <c r="W89" s="29" t="s">
        <v>44</v>
      </c>
      <c r="X89" s="43" t="s">
        <v>46</v>
      </c>
      <c r="Y89" s="43"/>
      <c r="AB89" s="29" t="str">
        <f t="shared" si="15"/>
        <v>Poly</v>
      </c>
      <c r="AC89" s="29">
        <v>100</v>
      </c>
      <c r="AD89" s="94">
        <v>7.0000000000000007E-2</v>
      </c>
      <c r="AE89" s="43"/>
    </row>
    <row r="90" spans="1:31" ht="15" customHeight="1" x14ac:dyDescent="0.35">
      <c r="A90" s="100">
        <v>44665</v>
      </c>
      <c r="B90" s="84">
        <v>45</v>
      </c>
      <c r="C90" s="43" t="s">
        <v>41</v>
      </c>
      <c r="D90" s="46" t="s">
        <v>94</v>
      </c>
      <c r="F90" s="29">
        <v>1050</v>
      </c>
      <c r="G90" s="29">
        <v>200</v>
      </c>
      <c r="H90" s="64" t="s">
        <v>81</v>
      </c>
      <c r="I90" s="29">
        <v>10</v>
      </c>
      <c r="M90" s="29" t="s">
        <v>16</v>
      </c>
      <c r="N90" s="29">
        <v>5</v>
      </c>
      <c r="O90" s="29">
        <v>28</v>
      </c>
      <c r="P90" s="29">
        <v>16</v>
      </c>
      <c r="Q90" s="29">
        <v>8</v>
      </c>
      <c r="R90" s="29">
        <f t="shared" si="11"/>
        <v>52</v>
      </c>
      <c r="S90" s="59">
        <f t="shared" si="12"/>
        <v>1.75</v>
      </c>
      <c r="T90" s="59">
        <f t="shared" si="13"/>
        <v>0.93333333333333324</v>
      </c>
      <c r="U90" s="59">
        <f t="shared" si="14"/>
        <v>0.6333333333333333</v>
      </c>
      <c r="V90" s="29">
        <v>1</v>
      </c>
      <c r="W90" s="29" t="s">
        <v>52</v>
      </c>
      <c r="X90" s="43" t="s">
        <v>45</v>
      </c>
      <c r="Y90" s="43"/>
      <c r="AB90" s="29" t="str">
        <f t="shared" si="15"/>
        <v>Single</v>
      </c>
      <c r="AC90" s="29">
        <v>100</v>
      </c>
      <c r="AD90" s="94"/>
      <c r="AE90" s="43"/>
    </row>
    <row r="91" spans="1:31" ht="15" customHeight="1" x14ac:dyDescent="0.35">
      <c r="A91" s="100">
        <v>44665</v>
      </c>
      <c r="B91" s="84">
        <v>45</v>
      </c>
      <c r="C91" s="43" t="s">
        <v>41</v>
      </c>
      <c r="D91" s="46" t="s">
        <v>94</v>
      </c>
      <c r="F91" s="29">
        <v>1050</v>
      </c>
      <c r="G91" s="29">
        <v>200</v>
      </c>
      <c r="I91" s="29">
        <v>10</v>
      </c>
      <c r="M91" s="29" t="s">
        <v>16</v>
      </c>
      <c r="N91" s="29">
        <v>5</v>
      </c>
      <c r="O91" s="29">
        <v>28</v>
      </c>
      <c r="P91" s="29">
        <v>16</v>
      </c>
      <c r="Q91" s="29">
        <v>8</v>
      </c>
      <c r="R91" s="29">
        <f t="shared" si="11"/>
        <v>52</v>
      </c>
      <c r="S91" s="59">
        <f t="shared" si="12"/>
        <v>1.75</v>
      </c>
      <c r="T91" s="59">
        <f t="shared" si="13"/>
        <v>0.93333333333333324</v>
      </c>
      <c r="U91" s="59">
        <f t="shared" si="14"/>
        <v>0.6333333333333333</v>
      </c>
      <c r="V91" s="29">
        <v>1</v>
      </c>
      <c r="W91" s="29" t="s">
        <v>52</v>
      </c>
      <c r="X91" s="43" t="s">
        <v>46</v>
      </c>
      <c r="Y91" s="43"/>
      <c r="AB91" s="29" t="str">
        <f t="shared" si="15"/>
        <v>Poly</v>
      </c>
      <c r="AC91" s="29">
        <v>100</v>
      </c>
      <c r="AD91" s="94"/>
      <c r="AE91" s="43"/>
    </row>
    <row r="92" spans="1:31" ht="15" customHeight="1" x14ac:dyDescent="0.35">
      <c r="A92" s="100">
        <v>44665</v>
      </c>
      <c r="B92" s="84">
        <v>47</v>
      </c>
      <c r="C92" s="43" t="s">
        <v>48</v>
      </c>
      <c r="D92" s="46" t="s">
        <v>95</v>
      </c>
      <c r="F92" s="29">
        <v>1050</v>
      </c>
      <c r="G92" s="29">
        <v>200</v>
      </c>
      <c r="H92" s="64" t="s">
        <v>72</v>
      </c>
      <c r="I92" s="29">
        <v>10</v>
      </c>
      <c r="M92" s="29" t="s">
        <v>16</v>
      </c>
      <c r="N92" s="29">
        <v>5</v>
      </c>
      <c r="O92" s="29">
        <v>84</v>
      </c>
      <c r="P92" s="29">
        <v>48</v>
      </c>
      <c r="Q92" s="29">
        <v>24</v>
      </c>
      <c r="R92" s="29">
        <f t="shared" si="11"/>
        <v>156</v>
      </c>
      <c r="S92" s="59">
        <f t="shared" si="12"/>
        <v>1.75</v>
      </c>
      <c r="T92" s="59">
        <f t="shared" si="13"/>
        <v>0.93333333333333324</v>
      </c>
      <c r="U92" s="59">
        <f t="shared" si="14"/>
        <v>0.6333333333333333</v>
      </c>
      <c r="V92" s="29">
        <v>4</v>
      </c>
      <c r="W92" s="29" t="s">
        <v>52</v>
      </c>
      <c r="X92" s="43" t="s">
        <v>45</v>
      </c>
      <c r="Y92" s="43"/>
      <c r="AB92" s="29" t="str">
        <f t="shared" si="15"/>
        <v>Single</v>
      </c>
      <c r="AC92" s="29">
        <v>100</v>
      </c>
      <c r="AD92" s="94">
        <f>(0.09+0.07+0.05+0.06)/4</f>
        <v>6.7500000000000004E-2</v>
      </c>
      <c r="AE92" s="43"/>
    </row>
    <row r="93" spans="1:31" ht="15" customHeight="1" x14ac:dyDescent="0.35">
      <c r="A93" s="100">
        <v>44665</v>
      </c>
      <c r="B93" s="84">
        <v>47</v>
      </c>
      <c r="C93" s="43" t="s">
        <v>48</v>
      </c>
      <c r="D93" s="46" t="s">
        <v>95</v>
      </c>
      <c r="F93" s="29">
        <v>1050</v>
      </c>
      <c r="G93" s="29">
        <v>200</v>
      </c>
      <c r="I93" s="29">
        <v>10</v>
      </c>
      <c r="M93" s="29" t="s">
        <v>16</v>
      </c>
      <c r="N93" s="29">
        <v>5</v>
      </c>
      <c r="O93" s="29">
        <v>84</v>
      </c>
      <c r="P93" s="29">
        <v>48</v>
      </c>
      <c r="Q93" s="29">
        <v>24</v>
      </c>
      <c r="R93" s="29">
        <f t="shared" si="11"/>
        <v>156</v>
      </c>
      <c r="S93" s="59">
        <f t="shared" si="12"/>
        <v>1.75</v>
      </c>
      <c r="T93" s="59">
        <f t="shared" si="13"/>
        <v>0.93333333333333324</v>
      </c>
      <c r="U93" s="59">
        <f t="shared" si="14"/>
        <v>0.6333333333333333</v>
      </c>
      <c r="V93" s="29">
        <v>1</v>
      </c>
      <c r="W93" s="29" t="s">
        <v>52</v>
      </c>
      <c r="X93" s="43" t="s">
        <v>46</v>
      </c>
      <c r="Y93" s="43"/>
      <c r="AB93" s="29" t="str">
        <f t="shared" si="15"/>
        <v>Poly</v>
      </c>
      <c r="AC93" s="29">
        <v>100</v>
      </c>
      <c r="AD93" s="94"/>
      <c r="AE93" s="43"/>
    </row>
    <row r="94" spans="1:31" ht="15" customHeight="1" x14ac:dyDescent="0.35">
      <c r="A94" s="100">
        <v>44666</v>
      </c>
      <c r="B94" s="84">
        <v>48</v>
      </c>
      <c r="C94" s="43" t="s">
        <v>48</v>
      </c>
      <c r="D94" s="46" t="s">
        <v>96</v>
      </c>
      <c r="F94" s="29">
        <v>1050</v>
      </c>
      <c r="G94" s="29">
        <v>200</v>
      </c>
      <c r="H94" s="64" t="s">
        <v>72</v>
      </c>
      <c r="I94" s="29">
        <v>10</v>
      </c>
      <c r="M94" s="29" t="s">
        <v>16</v>
      </c>
      <c r="N94" s="29">
        <v>5</v>
      </c>
      <c r="O94" s="29">
        <v>84</v>
      </c>
      <c r="P94" s="29">
        <v>48</v>
      </c>
      <c r="Q94" s="29">
        <v>24</v>
      </c>
      <c r="R94" s="29">
        <f t="shared" si="11"/>
        <v>156</v>
      </c>
      <c r="S94" s="59">
        <f t="shared" si="12"/>
        <v>1.75</v>
      </c>
      <c r="T94" s="59">
        <f t="shared" si="13"/>
        <v>0.93333333333333324</v>
      </c>
      <c r="U94" s="59">
        <f t="shared" si="14"/>
        <v>0.6333333333333333</v>
      </c>
      <c r="V94" s="29">
        <v>5</v>
      </c>
      <c r="W94" s="29" t="s">
        <v>52</v>
      </c>
      <c r="X94" s="43" t="s">
        <v>45</v>
      </c>
      <c r="Y94" s="43"/>
      <c r="AB94" s="29" t="str">
        <f t="shared" si="15"/>
        <v>Single</v>
      </c>
      <c r="AC94" s="29">
        <v>100</v>
      </c>
      <c r="AD94" s="94">
        <f>(0.05+0.06+0.13+0.06+0.07)/5</f>
        <v>7.3999999999999996E-2</v>
      </c>
      <c r="AE94" s="43"/>
    </row>
    <row r="95" spans="1:31" ht="15" customHeight="1" x14ac:dyDescent="0.35">
      <c r="A95" s="100">
        <v>44666</v>
      </c>
      <c r="B95" s="84">
        <v>49</v>
      </c>
      <c r="C95" s="43" t="s">
        <v>48</v>
      </c>
      <c r="D95" s="46" t="s">
        <v>97</v>
      </c>
      <c r="F95" s="29">
        <v>1050</v>
      </c>
      <c r="G95" s="29">
        <v>200</v>
      </c>
      <c r="H95" s="64" t="s">
        <v>72</v>
      </c>
      <c r="I95" s="29">
        <v>10</v>
      </c>
      <c r="M95" s="29" t="s">
        <v>16</v>
      </c>
      <c r="N95" s="29">
        <v>5</v>
      </c>
      <c r="O95" s="29">
        <v>84</v>
      </c>
      <c r="P95" s="29">
        <v>48</v>
      </c>
      <c r="Q95" s="29">
        <v>24</v>
      </c>
      <c r="R95" s="29">
        <f t="shared" si="11"/>
        <v>156</v>
      </c>
      <c r="S95" s="59">
        <f t="shared" si="12"/>
        <v>1.75</v>
      </c>
      <c r="T95" s="59">
        <f t="shared" si="13"/>
        <v>0.93333333333333324</v>
      </c>
      <c r="U95" s="59">
        <f t="shared" si="14"/>
        <v>0.6333333333333333</v>
      </c>
      <c r="V95" s="29">
        <v>5</v>
      </c>
      <c r="W95" s="29" t="s">
        <v>52</v>
      </c>
      <c r="X95" s="43" t="s">
        <v>45</v>
      </c>
      <c r="Y95" s="43"/>
      <c r="AB95" s="29" t="str">
        <f t="shared" si="15"/>
        <v>Single</v>
      </c>
      <c r="AC95" s="29">
        <v>100</v>
      </c>
      <c r="AD95" s="94">
        <f>(0.06+0.06+0.03+0.08+0.04)/5</f>
        <v>5.3999999999999992E-2</v>
      </c>
      <c r="AE95" s="43"/>
    </row>
    <row r="96" spans="1:31" ht="15" customHeight="1" x14ac:dyDescent="0.35">
      <c r="A96" s="100">
        <v>44666</v>
      </c>
      <c r="B96" s="84">
        <v>50</v>
      </c>
      <c r="C96" s="43" t="s">
        <v>41</v>
      </c>
      <c r="D96" s="46" t="s">
        <v>98</v>
      </c>
      <c r="F96" s="29">
        <v>1050</v>
      </c>
      <c r="G96" s="29">
        <v>200</v>
      </c>
      <c r="H96" s="64" t="s">
        <v>69</v>
      </c>
      <c r="I96" s="29">
        <v>10</v>
      </c>
      <c r="M96" s="29" t="s">
        <v>16</v>
      </c>
      <c r="N96" s="29">
        <v>5</v>
      </c>
      <c r="O96" s="29">
        <v>28</v>
      </c>
      <c r="P96" s="29">
        <v>16</v>
      </c>
      <c r="Q96" s="29">
        <v>8</v>
      </c>
      <c r="R96" s="29">
        <f t="shared" si="11"/>
        <v>52</v>
      </c>
      <c r="S96" s="59">
        <f t="shared" si="12"/>
        <v>1.75</v>
      </c>
      <c r="T96" s="59">
        <f t="shared" si="13"/>
        <v>0.93333333333333324</v>
      </c>
      <c r="U96" s="59">
        <f t="shared" si="14"/>
        <v>0.6333333333333333</v>
      </c>
      <c r="V96" s="29">
        <v>4</v>
      </c>
      <c r="W96" s="29" t="s">
        <v>52</v>
      </c>
      <c r="X96" s="43" t="s">
        <v>45</v>
      </c>
      <c r="Y96" s="43"/>
      <c r="AB96" s="29" t="str">
        <f t="shared" si="15"/>
        <v>Single</v>
      </c>
      <c r="AC96" s="29">
        <v>100</v>
      </c>
      <c r="AD96" s="94">
        <f>(0.31+0.14+0.09+0.1)/4</f>
        <v>0.16</v>
      </c>
      <c r="AE96" s="43"/>
    </row>
    <row r="97" spans="1:42" ht="15" customHeight="1" x14ac:dyDescent="0.35">
      <c r="A97" s="100">
        <v>44666</v>
      </c>
      <c r="B97" s="84">
        <v>51</v>
      </c>
      <c r="C97" s="43" t="s">
        <v>41</v>
      </c>
      <c r="D97" s="46" t="s">
        <v>42</v>
      </c>
      <c r="F97" s="29">
        <v>1050</v>
      </c>
      <c r="G97" s="29">
        <v>200</v>
      </c>
      <c r="H97" s="64" t="s">
        <v>99</v>
      </c>
      <c r="I97" s="29">
        <v>10</v>
      </c>
      <c r="M97" s="29" t="s">
        <v>16</v>
      </c>
      <c r="N97" s="29">
        <v>5</v>
      </c>
      <c r="O97" s="29">
        <v>28</v>
      </c>
      <c r="P97" s="29">
        <v>16</v>
      </c>
      <c r="Q97" s="29">
        <v>8</v>
      </c>
      <c r="R97" s="29">
        <f t="shared" si="11"/>
        <v>52</v>
      </c>
      <c r="S97" s="59">
        <f t="shared" si="12"/>
        <v>1.75</v>
      </c>
      <c r="T97" s="59">
        <f t="shared" si="13"/>
        <v>0.93333333333333324</v>
      </c>
      <c r="U97" s="59">
        <f t="shared" si="14"/>
        <v>0.6333333333333333</v>
      </c>
      <c r="V97" s="29">
        <v>1</v>
      </c>
      <c r="W97" s="29" t="s">
        <v>44</v>
      </c>
      <c r="X97" s="43" t="s">
        <v>46</v>
      </c>
      <c r="Y97" s="43"/>
      <c r="AB97" s="29" t="str">
        <f t="shared" si="15"/>
        <v>Poly</v>
      </c>
      <c r="AC97" s="29">
        <v>100</v>
      </c>
      <c r="AD97" s="94">
        <v>0.01</v>
      </c>
      <c r="AE97" s="43"/>
    </row>
    <row r="98" spans="1:42" ht="15" customHeight="1" x14ac:dyDescent="0.35">
      <c r="A98" s="100">
        <v>44666</v>
      </c>
      <c r="B98" s="84">
        <v>51</v>
      </c>
      <c r="C98" s="43" t="s">
        <v>41</v>
      </c>
      <c r="D98" s="46" t="s">
        <v>42</v>
      </c>
      <c r="F98" s="29">
        <v>1050</v>
      </c>
      <c r="G98" s="29">
        <v>200</v>
      </c>
      <c r="I98" s="29">
        <v>10</v>
      </c>
      <c r="M98" s="29" t="s">
        <v>16</v>
      </c>
      <c r="N98" s="29">
        <v>5</v>
      </c>
      <c r="O98" s="29">
        <v>28</v>
      </c>
      <c r="P98" s="29">
        <v>16</v>
      </c>
      <c r="Q98" s="29">
        <v>8</v>
      </c>
      <c r="R98" s="29">
        <f t="shared" ref="R98:R101" si="16">Q98+P98+O98</f>
        <v>52</v>
      </c>
      <c r="S98" s="59">
        <f t="shared" si="12"/>
        <v>1.75</v>
      </c>
      <c r="T98" s="59">
        <f t="shared" si="13"/>
        <v>0.93333333333333324</v>
      </c>
      <c r="U98" s="59">
        <f t="shared" si="14"/>
        <v>0.6333333333333333</v>
      </c>
      <c r="V98" s="29">
        <v>1</v>
      </c>
      <c r="W98" s="29" t="s">
        <v>44</v>
      </c>
      <c r="X98" s="43" t="s">
        <v>46</v>
      </c>
      <c r="Y98" s="43" t="s">
        <v>100</v>
      </c>
      <c r="AB98" s="29" t="str">
        <f t="shared" si="15"/>
        <v>Poly</v>
      </c>
      <c r="AC98" s="29">
        <v>100</v>
      </c>
      <c r="AD98" s="94">
        <v>0.05</v>
      </c>
      <c r="AE98" s="43"/>
    </row>
    <row r="99" spans="1:42" ht="15" customHeight="1" x14ac:dyDescent="0.35">
      <c r="A99" s="100">
        <v>44666</v>
      </c>
      <c r="B99" s="84">
        <v>51</v>
      </c>
      <c r="C99" s="43" t="s">
        <v>41</v>
      </c>
      <c r="D99" s="46" t="s">
        <v>42</v>
      </c>
      <c r="F99" s="29">
        <v>1050</v>
      </c>
      <c r="G99" s="29">
        <v>200</v>
      </c>
      <c r="I99" s="29">
        <v>10</v>
      </c>
      <c r="M99" s="29" t="s">
        <v>16</v>
      </c>
      <c r="N99" s="29">
        <v>5</v>
      </c>
      <c r="O99" s="29">
        <v>28</v>
      </c>
      <c r="P99" s="29">
        <v>16</v>
      </c>
      <c r="Q99" s="29">
        <v>8</v>
      </c>
      <c r="R99" s="29">
        <f t="shared" si="16"/>
        <v>52</v>
      </c>
      <c r="S99" s="59">
        <f t="shared" si="12"/>
        <v>1.75</v>
      </c>
      <c r="T99" s="59">
        <f t="shared" si="13"/>
        <v>0.93333333333333324</v>
      </c>
      <c r="U99" s="59">
        <f t="shared" si="14"/>
        <v>0.6333333333333333</v>
      </c>
      <c r="V99" s="29">
        <v>1</v>
      </c>
      <c r="W99" s="29" t="s">
        <v>52</v>
      </c>
      <c r="X99" s="43" t="s">
        <v>46</v>
      </c>
      <c r="Y99" s="43" t="s">
        <v>101</v>
      </c>
      <c r="AB99" s="29" t="str">
        <f t="shared" si="15"/>
        <v>Poly</v>
      </c>
      <c r="AC99" s="29">
        <v>100</v>
      </c>
      <c r="AD99" s="94">
        <v>0.03</v>
      </c>
      <c r="AE99" s="43"/>
    </row>
    <row r="100" spans="1:42" ht="15" customHeight="1" x14ac:dyDescent="0.35">
      <c r="A100" s="100">
        <v>44666</v>
      </c>
      <c r="B100" s="84">
        <v>51</v>
      </c>
      <c r="C100" s="43" t="s">
        <v>41</v>
      </c>
      <c r="D100" s="46" t="s">
        <v>42</v>
      </c>
      <c r="F100" s="29">
        <v>1050</v>
      </c>
      <c r="G100" s="29">
        <v>200</v>
      </c>
      <c r="I100" s="29">
        <v>10</v>
      </c>
      <c r="M100" s="29" t="s">
        <v>16</v>
      </c>
      <c r="N100" s="29">
        <v>5</v>
      </c>
      <c r="O100" s="29">
        <v>28</v>
      </c>
      <c r="P100" s="29">
        <v>16</v>
      </c>
      <c r="Q100" s="29">
        <v>8</v>
      </c>
      <c r="R100" s="29">
        <f t="shared" si="16"/>
        <v>52</v>
      </c>
      <c r="S100" s="59">
        <f t="shared" si="12"/>
        <v>1.75</v>
      </c>
      <c r="T100" s="59">
        <f t="shared" si="13"/>
        <v>0.93333333333333324</v>
      </c>
      <c r="U100" s="59">
        <f t="shared" si="14"/>
        <v>0.6333333333333333</v>
      </c>
      <c r="V100" s="29">
        <v>1</v>
      </c>
      <c r="W100" s="29" t="s">
        <v>52</v>
      </c>
      <c r="X100" s="43" t="s">
        <v>46</v>
      </c>
      <c r="Y100" s="43" t="s">
        <v>100</v>
      </c>
      <c r="AB100" s="29" t="str">
        <f t="shared" si="15"/>
        <v>Poly</v>
      </c>
      <c r="AC100" s="29">
        <v>100</v>
      </c>
      <c r="AD100" s="94">
        <v>0.03</v>
      </c>
      <c r="AE100" s="43"/>
    </row>
    <row r="101" spans="1:42" ht="15" customHeight="1" x14ac:dyDescent="0.35">
      <c r="A101" s="100">
        <v>44666</v>
      </c>
      <c r="B101" s="84">
        <v>51</v>
      </c>
      <c r="C101" s="43" t="s">
        <v>41</v>
      </c>
      <c r="D101" s="46" t="s">
        <v>42</v>
      </c>
      <c r="F101" s="29">
        <v>1050</v>
      </c>
      <c r="G101" s="29">
        <v>200</v>
      </c>
      <c r="I101" s="29">
        <v>10</v>
      </c>
      <c r="M101" s="29" t="s">
        <v>16</v>
      </c>
      <c r="N101" s="29">
        <v>5</v>
      </c>
      <c r="O101" s="29">
        <v>28</v>
      </c>
      <c r="P101" s="29">
        <v>16</v>
      </c>
      <c r="Q101" s="29">
        <v>8</v>
      </c>
      <c r="R101" s="29">
        <f t="shared" si="16"/>
        <v>52</v>
      </c>
      <c r="S101" s="59">
        <f t="shared" si="12"/>
        <v>1.75</v>
      </c>
      <c r="T101" s="59">
        <f t="shared" si="13"/>
        <v>0.93333333333333324</v>
      </c>
      <c r="U101" s="59">
        <f t="shared" si="14"/>
        <v>0.6333333333333333</v>
      </c>
      <c r="V101" s="29">
        <v>1</v>
      </c>
      <c r="W101" s="29" t="s">
        <v>52</v>
      </c>
      <c r="X101" s="43" t="s">
        <v>46</v>
      </c>
      <c r="Y101" s="43" t="s">
        <v>100</v>
      </c>
      <c r="AB101" s="29" t="str">
        <f t="shared" si="15"/>
        <v>Poly</v>
      </c>
      <c r="AC101" s="29">
        <v>100</v>
      </c>
      <c r="AD101" s="94">
        <v>0.03</v>
      </c>
      <c r="AE101" s="43"/>
    </row>
    <row r="102" spans="1:42" ht="15" customHeight="1" thickBot="1" x14ac:dyDescent="0.4"/>
    <row r="103" spans="1:42" ht="15" customHeight="1" thickBot="1" x14ac:dyDescent="0.4">
      <c r="A103" s="101"/>
      <c r="B103" s="85"/>
      <c r="C103" s="39"/>
      <c r="D103" s="48"/>
      <c r="E103" s="39"/>
      <c r="F103" s="39"/>
      <c r="G103" s="39"/>
      <c r="H103" s="73"/>
      <c r="I103" s="39"/>
      <c r="J103" s="66"/>
      <c r="K103" s="66"/>
      <c r="L103" s="66"/>
      <c r="M103" s="39"/>
      <c r="N103" s="39"/>
      <c r="O103" s="39"/>
      <c r="P103" s="39"/>
      <c r="Q103" s="39"/>
      <c r="R103" s="39"/>
      <c r="S103" s="60"/>
      <c r="T103" s="60"/>
      <c r="U103" s="60"/>
      <c r="V103" s="39"/>
      <c r="W103" s="39"/>
      <c r="X103" s="39"/>
      <c r="Y103" s="39"/>
      <c r="Z103" s="80"/>
      <c r="AA103" s="30"/>
      <c r="AB103" s="39"/>
      <c r="AC103" s="39"/>
      <c r="AD103" s="95"/>
      <c r="AE103" s="53"/>
      <c r="AF103" s="30"/>
      <c r="AG103" s="56"/>
      <c r="AH103" s="30"/>
      <c r="AI103" s="30"/>
      <c r="AJ103" s="56"/>
      <c r="AK103" s="30"/>
      <c r="AL103" s="30"/>
      <c r="AM103" s="30"/>
      <c r="AN103" s="30"/>
      <c r="AO103" s="30"/>
      <c r="AP103" s="30"/>
    </row>
    <row r="104" spans="1:42" ht="15" customHeight="1" x14ac:dyDescent="0.35">
      <c r="AD104" s="94"/>
      <c r="AE104" s="43"/>
    </row>
    <row r="105" spans="1:42" ht="15" customHeight="1" x14ac:dyDescent="0.35">
      <c r="A105" s="4">
        <v>44697</v>
      </c>
      <c r="B105" s="86">
        <v>1</v>
      </c>
      <c r="C105" s="5" t="s">
        <v>41</v>
      </c>
      <c r="D105" s="24" t="s">
        <v>42</v>
      </c>
      <c r="E105" s="5"/>
      <c r="F105" s="5">
        <v>1050</v>
      </c>
      <c r="G105" s="5">
        <v>200</v>
      </c>
      <c r="H105" s="64" t="s">
        <v>43</v>
      </c>
      <c r="O105" s="5">
        <v>28</v>
      </c>
      <c r="P105" s="5">
        <v>26</v>
      </c>
      <c r="Q105" s="5">
        <v>8</v>
      </c>
      <c r="R105" s="29">
        <f t="shared" ref="R105:R136" si="17">Q105+P105+O105</f>
        <v>62</v>
      </c>
      <c r="S105" s="3">
        <f t="shared" ref="S105:S124" si="18">O105/P105</f>
        <v>1.0769230769230769</v>
      </c>
      <c r="T105" s="3">
        <v>1</v>
      </c>
      <c r="U105" s="3">
        <v>0.625</v>
      </c>
      <c r="V105" s="5">
        <v>1</v>
      </c>
      <c r="W105" s="29" t="s">
        <v>44</v>
      </c>
      <c r="X105" s="5" t="s">
        <v>45</v>
      </c>
      <c r="Y105" s="5"/>
      <c r="AB105" s="29" t="str">
        <f t="shared" ref="AB105:AB136" si="19">IF(X105="20um Schlenk", "Single", "Poly")</f>
        <v>Single</v>
      </c>
      <c r="AC105" s="5">
        <v>100</v>
      </c>
      <c r="AD105" s="78">
        <f>31.5753/294.469</f>
        <v>0.1072279255201736</v>
      </c>
      <c r="AE105" s="13">
        <v>0</v>
      </c>
      <c r="AF105" s="45" t="s">
        <v>102</v>
      </c>
      <c r="AG105" s="2" t="s">
        <v>103</v>
      </c>
      <c r="AI105" s="1"/>
      <c r="AJ105" s="2"/>
      <c r="AK105" s="1"/>
    </row>
    <row r="106" spans="1:42" ht="15" customHeight="1" x14ac:dyDescent="0.35">
      <c r="A106" s="4">
        <v>44697</v>
      </c>
      <c r="B106" s="86">
        <v>1</v>
      </c>
      <c r="C106" s="5" t="s">
        <v>41</v>
      </c>
      <c r="D106" s="24" t="s">
        <v>42</v>
      </c>
      <c r="E106" s="5"/>
      <c r="F106" s="5">
        <v>1050</v>
      </c>
      <c r="G106" s="5">
        <v>200</v>
      </c>
      <c r="H106" s="64" t="s">
        <v>43</v>
      </c>
      <c r="O106" s="5">
        <v>28</v>
      </c>
      <c r="P106" s="5">
        <v>26</v>
      </c>
      <c r="Q106" s="5">
        <v>8</v>
      </c>
      <c r="R106" s="29">
        <f t="shared" si="17"/>
        <v>62</v>
      </c>
      <c r="S106" s="3">
        <f t="shared" si="18"/>
        <v>1.0769230769230769</v>
      </c>
      <c r="T106" s="3">
        <v>1</v>
      </c>
      <c r="U106" s="3">
        <v>0.625</v>
      </c>
      <c r="V106" s="5">
        <v>1</v>
      </c>
      <c r="W106" s="29" t="s">
        <v>44</v>
      </c>
      <c r="X106" s="5" t="s">
        <v>46</v>
      </c>
      <c r="Y106" s="5"/>
      <c r="AB106" s="29" t="str">
        <f t="shared" si="19"/>
        <v>Poly</v>
      </c>
      <c r="AC106" s="5">
        <v>100</v>
      </c>
      <c r="AD106" s="78">
        <f>48.7925/888.227</f>
        <v>5.4932466587933035E-2</v>
      </c>
      <c r="AE106" s="13">
        <v>1</v>
      </c>
      <c r="AF106" s="45" t="s">
        <v>103</v>
      </c>
      <c r="AG106" s="2" t="s">
        <v>102</v>
      </c>
      <c r="AH106" s="1"/>
      <c r="AI106" s="1"/>
      <c r="AJ106" s="2"/>
      <c r="AK106" s="1"/>
    </row>
    <row r="107" spans="1:42" ht="15" customHeight="1" x14ac:dyDescent="0.35">
      <c r="A107" s="4">
        <v>44697</v>
      </c>
      <c r="B107" s="86">
        <v>2</v>
      </c>
      <c r="C107" s="5" t="s">
        <v>48</v>
      </c>
      <c r="D107" s="24" t="s">
        <v>42</v>
      </c>
      <c r="E107" s="5"/>
      <c r="F107" s="5">
        <v>1050</v>
      </c>
      <c r="G107" s="5">
        <v>200</v>
      </c>
      <c r="H107" s="64" t="s">
        <v>49</v>
      </c>
      <c r="O107" s="5">
        <v>84</v>
      </c>
      <c r="P107" s="5">
        <v>48</v>
      </c>
      <c r="Q107" s="5">
        <v>24</v>
      </c>
      <c r="R107" s="29">
        <f t="shared" si="17"/>
        <v>156</v>
      </c>
      <c r="S107" s="3">
        <f t="shared" si="18"/>
        <v>1.75</v>
      </c>
      <c r="T107" s="3">
        <v>1.06666666666667</v>
      </c>
      <c r="U107" s="3">
        <v>0.63829787234042556</v>
      </c>
      <c r="V107" s="5">
        <v>1</v>
      </c>
      <c r="W107" s="29" t="s">
        <v>44</v>
      </c>
      <c r="X107" s="5" t="s">
        <v>45</v>
      </c>
      <c r="Y107" s="5"/>
      <c r="AB107" s="29" t="str">
        <f t="shared" si="19"/>
        <v>Single</v>
      </c>
      <c r="AC107" s="5">
        <v>100</v>
      </c>
      <c r="AD107" s="78">
        <f>45.3829/820</f>
        <v>5.5344999999999998E-2</v>
      </c>
      <c r="AE107" s="13">
        <v>1</v>
      </c>
      <c r="AF107" s="45" t="s">
        <v>104</v>
      </c>
      <c r="AG107" s="2" t="s">
        <v>102</v>
      </c>
      <c r="AH107" s="1"/>
      <c r="AI107" s="1"/>
      <c r="AJ107" s="2"/>
      <c r="AK107" s="1"/>
    </row>
    <row r="108" spans="1:42" ht="15" customHeight="1" x14ac:dyDescent="0.35">
      <c r="A108" s="4">
        <v>44697</v>
      </c>
      <c r="B108" s="86">
        <v>2</v>
      </c>
      <c r="C108" s="5" t="s">
        <v>48</v>
      </c>
      <c r="D108" s="24" t="s">
        <v>42</v>
      </c>
      <c r="E108" s="5"/>
      <c r="F108" s="5">
        <v>1050</v>
      </c>
      <c r="G108" s="5">
        <v>200</v>
      </c>
      <c r="H108" s="64" t="s">
        <v>49</v>
      </c>
      <c r="O108" s="5">
        <v>84</v>
      </c>
      <c r="P108" s="5">
        <v>48</v>
      </c>
      <c r="Q108" s="5">
        <v>24</v>
      </c>
      <c r="R108" s="29">
        <f t="shared" si="17"/>
        <v>156</v>
      </c>
      <c r="S108" s="3">
        <f t="shared" si="18"/>
        <v>1.75</v>
      </c>
      <c r="T108" s="3">
        <v>1.06666666666667</v>
      </c>
      <c r="U108" s="3">
        <v>0.63829787234042556</v>
      </c>
      <c r="V108" s="5">
        <v>1</v>
      </c>
      <c r="W108" s="29" t="s">
        <v>44</v>
      </c>
      <c r="X108" s="5" t="s">
        <v>46</v>
      </c>
      <c r="Y108" s="5"/>
      <c r="AB108" s="29" t="str">
        <f t="shared" si="19"/>
        <v>Poly</v>
      </c>
      <c r="AC108" s="5">
        <v>100</v>
      </c>
      <c r="AD108" s="96">
        <f>26.8617/405.344</f>
        <v>6.6268897529012397E-2</v>
      </c>
      <c r="AE108" s="13">
        <v>0</v>
      </c>
      <c r="AF108" s="45" t="s">
        <v>103</v>
      </c>
      <c r="AG108" s="2" t="s">
        <v>104</v>
      </c>
      <c r="AH108" s="1"/>
      <c r="AI108" s="1"/>
      <c r="AK108" s="1"/>
      <c r="AL108" s="2"/>
    </row>
    <row r="109" spans="1:42" ht="15" customHeight="1" x14ac:dyDescent="0.35">
      <c r="A109" s="4">
        <v>44697</v>
      </c>
      <c r="B109" s="86">
        <v>3</v>
      </c>
      <c r="C109" s="5" t="s">
        <v>41</v>
      </c>
      <c r="D109" s="24" t="s">
        <v>50</v>
      </c>
      <c r="E109" s="5" t="s">
        <v>105</v>
      </c>
      <c r="F109" s="5">
        <v>1050</v>
      </c>
      <c r="G109" s="5">
        <v>200</v>
      </c>
      <c r="H109" s="64" t="s">
        <v>43</v>
      </c>
      <c r="O109" s="5">
        <v>28</v>
      </c>
      <c r="P109" s="5">
        <v>26</v>
      </c>
      <c r="Q109" s="5">
        <v>8</v>
      </c>
      <c r="R109" s="29">
        <f t="shared" si="17"/>
        <v>62</v>
      </c>
      <c r="S109" s="3">
        <f t="shared" si="18"/>
        <v>1.0769230769230769</v>
      </c>
      <c r="T109" s="3">
        <v>1</v>
      </c>
      <c r="U109" s="3">
        <v>0.625</v>
      </c>
      <c r="V109" s="5">
        <v>3</v>
      </c>
      <c r="W109" s="5" t="s">
        <v>52</v>
      </c>
      <c r="X109" s="5" t="s">
        <v>45</v>
      </c>
      <c r="Y109" s="5"/>
      <c r="AB109" s="29" t="str">
        <f t="shared" si="19"/>
        <v>Single</v>
      </c>
      <c r="AC109" s="5">
        <v>100</v>
      </c>
      <c r="AD109" s="78">
        <f>240.538/1056.76</f>
        <v>0.22761838071085205</v>
      </c>
      <c r="AE109" s="13">
        <v>0</v>
      </c>
      <c r="AF109" s="45" t="s">
        <v>102</v>
      </c>
      <c r="AG109" s="2" t="s">
        <v>102</v>
      </c>
      <c r="AH109" s="1"/>
      <c r="AI109" s="1"/>
      <c r="AK109" s="1"/>
      <c r="AL109" s="2" t="s">
        <v>106</v>
      </c>
    </row>
    <row r="110" spans="1:42" ht="15" customHeight="1" x14ac:dyDescent="0.35">
      <c r="A110" s="4">
        <v>44697</v>
      </c>
      <c r="B110" s="86">
        <v>3</v>
      </c>
      <c r="C110" s="5" t="s">
        <v>41</v>
      </c>
      <c r="D110" s="24" t="s">
        <v>50</v>
      </c>
      <c r="E110" s="5" t="s">
        <v>105</v>
      </c>
      <c r="F110" s="5">
        <v>1050</v>
      </c>
      <c r="G110" s="5">
        <v>200</v>
      </c>
      <c r="H110" s="64" t="s">
        <v>43</v>
      </c>
      <c r="O110" s="5">
        <v>28</v>
      </c>
      <c r="P110" s="5">
        <v>26</v>
      </c>
      <c r="Q110" s="5">
        <v>8</v>
      </c>
      <c r="R110" s="29">
        <f t="shared" si="17"/>
        <v>62</v>
      </c>
      <c r="S110" s="3">
        <f t="shared" si="18"/>
        <v>1.0769230769230769</v>
      </c>
      <c r="T110" s="3">
        <v>1</v>
      </c>
      <c r="U110" s="3">
        <v>0.625</v>
      </c>
      <c r="V110" s="5">
        <v>3</v>
      </c>
      <c r="W110" s="5" t="s">
        <v>52</v>
      </c>
      <c r="X110" s="5" t="s">
        <v>45</v>
      </c>
      <c r="Y110" s="5"/>
      <c r="AB110" s="29" t="str">
        <f t="shared" si="19"/>
        <v>Single</v>
      </c>
      <c r="AC110" s="5">
        <v>100</v>
      </c>
      <c r="AD110" s="78">
        <f>407.839/1420.34</f>
        <v>0.2871418111156484</v>
      </c>
      <c r="AE110" s="13">
        <v>0</v>
      </c>
      <c r="AF110" s="45" t="s">
        <v>102</v>
      </c>
      <c r="AG110" s="2" t="s">
        <v>102</v>
      </c>
      <c r="AH110" s="1"/>
      <c r="AI110" s="1"/>
      <c r="AK110" s="1"/>
      <c r="AL110" s="2"/>
    </row>
    <row r="111" spans="1:42" ht="15" customHeight="1" x14ac:dyDescent="0.35">
      <c r="A111" s="4">
        <v>44697</v>
      </c>
      <c r="B111" s="86">
        <v>3</v>
      </c>
      <c r="C111" s="5" t="s">
        <v>41</v>
      </c>
      <c r="D111" s="24" t="s">
        <v>50</v>
      </c>
      <c r="E111" s="5" t="s">
        <v>105</v>
      </c>
      <c r="F111" s="5">
        <v>1050</v>
      </c>
      <c r="G111" s="5">
        <v>200</v>
      </c>
      <c r="H111" s="64" t="s">
        <v>43</v>
      </c>
      <c r="O111" s="5">
        <v>28</v>
      </c>
      <c r="P111" s="5">
        <v>26</v>
      </c>
      <c r="Q111" s="5">
        <v>8</v>
      </c>
      <c r="R111" s="29">
        <f t="shared" si="17"/>
        <v>62</v>
      </c>
      <c r="S111" s="3">
        <f t="shared" si="18"/>
        <v>1.0769230769230769</v>
      </c>
      <c r="T111" s="3">
        <v>1</v>
      </c>
      <c r="U111" s="3">
        <v>0.625</v>
      </c>
      <c r="V111" s="5">
        <v>2</v>
      </c>
      <c r="W111" s="5" t="s">
        <v>52</v>
      </c>
      <c r="X111" s="5" t="s">
        <v>46</v>
      </c>
      <c r="Y111" s="5"/>
      <c r="AB111" s="29" t="str">
        <f t="shared" si="19"/>
        <v>Poly</v>
      </c>
      <c r="AC111" s="5">
        <v>100</v>
      </c>
      <c r="AD111" s="78">
        <f>375.204/967.626</f>
        <v>0.38775725331894761</v>
      </c>
      <c r="AE111" s="13">
        <v>1</v>
      </c>
      <c r="AF111" s="45" t="s">
        <v>103</v>
      </c>
      <c r="AG111" s="2" t="s">
        <v>102</v>
      </c>
      <c r="AH111" s="1"/>
      <c r="AI111" s="1"/>
      <c r="AK111" s="1"/>
      <c r="AL111" s="2"/>
    </row>
    <row r="112" spans="1:42" ht="15" customHeight="1" x14ac:dyDescent="0.35">
      <c r="A112" s="4">
        <v>44697</v>
      </c>
      <c r="B112" s="86">
        <v>3</v>
      </c>
      <c r="C112" s="5" t="s">
        <v>41</v>
      </c>
      <c r="D112" s="24" t="s">
        <v>50</v>
      </c>
      <c r="E112" s="5" t="s">
        <v>105</v>
      </c>
      <c r="F112" s="5">
        <v>1050</v>
      </c>
      <c r="G112" s="5">
        <v>200</v>
      </c>
      <c r="H112" s="64" t="s">
        <v>43</v>
      </c>
      <c r="O112" s="5">
        <v>28</v>
      </c>
      <c r="P112" s="5">
        <v>26</v>
      </c>
      <c r="Q112" s="5">
        <v>8</v>
      </c>
      <c r="R112" s="29">
        <f t="shared" si="17"/>
        <v>62</v>
      </c>
      <c r="S112" s="3">
        <f t="shared" si="18"/>
        <v>1.0769230769230769</v>
      </c>
      <c r="T112" s="3">
        <v>1</v>
      </c>
      <c r="U112" s="3">
        <v>0.625</v>
      </c>
      <c r="V112" s="5">
        <v>2</v>
      </c>
      <c r="W112" s="5" t="s">
        <v>52</v>
      </c>
      <c r="X112" s="5" t="s">
        <v>46</v>
      </c>
      <c r="Y112" s="5"/>
      <c r="AB112" s="29" t="str">
        <f t="shared" si="19"/>
        <v>Poly</v>
      </c>
      <c r="AC112" s="5">
        <v>100</v>
      </c>
      <c r="AD112" s="96">
        <f>141.771/1160.02</f>
        <v>0.12221427216772124</v>
      </c>
      <c r="AE112" s="13">
        <v>1</v>
      </c>
      <c r="AF112" s="45" t="s">
        <v>103</v>
      </c>
      <c r="AG112" s="2" t="s">
        <v>102</v>
      </c>
      <c r="AH112" s="1"/>
      <c r="AI112" s="1"/>
      <c r="AK112" s="1"/>
      <c r="AL112" s="2"/>
    </row>
    <row r="113" spans="1:38" ht="15" customHeight="1" x14ac:dyDescent="0.35">
      <c r="A113" s="4">
        <v>44697</v>
      </c>
      <c r="B113" s="86">
        <v>4</v>
      </c>
      <c r="C113" s="5" t="s">
        <v>48</v>
      </c>
      <c r="D113" s="24" t="s">
        <v>57</v>
      </c>
      <c r="E113" s="5" t="s">
        <v>107</v>
      </c>
      <c r="F113" s="5">
        <v>1050</v>
      </c>
      <c r="G113" s="5">
        <v>200</v>
      </c>
      <c r="H113" s="64" t="s">
        <v>49</v>
      </c>
      <c r="O113" s="5">
        <v>84</v>
      </c>
      <c r="P113" s="5">
        <v>48</v>
      </c>
      <c r="Q113" s="5">
        <v>24</v>
      </c>
      <c r="R113" s="29">
        <f t="shared" si="17"/>
        <v>156</v>
      </c>
      <c r="S113" s="3">
        <f t="shared" si="18"/>
        <v>1.75</v>
      </c>
      <c r="T113" s="3">
        <v>1.06666666666667</v>
      </c>
      <c r="U113" s="3">
        <v>0.63829787234042556</v>
      </c>
      <c r="V113" s="5">
        <v>3</v>
      </c>
      <c r="W113" s="5" t="s">
        <v>52</v>
      </c>
      <c r="X113" s="5" t="s">
        <v>45</v>
      </c>
      <c r="Y113" s="5"/>
      <c r="AB113" s="29" t="str">
        <f t="shared" si="19"/>
        <v>Single</v>
      </c>
      <c r="AC113" s="5">
        <v>100</v>
      </c>
      <c r="AD113" s="96">
        <f>29.1211/1124.49</f>
        <v>2.5897162269117553E-2</v>
      </c>
      <c r="AE113" s="13">
        <v>0</v>
      </c>
      <c r="AF113" s="45" t="s">
        <v>103</v>
      </c>
      <c r="AG113" s="2" t="s">
        <v>104</v>
      </c>
      <c r="AH113" s="1"/>
      <c r="AI113" s="1"/>
      <c r="AK113" s="1"/>
      <c r="AL113" s="2"/>
    </row>
    <row r="114" spans="1:38" ht="15" customHeight="1" x14ac:dyDescent="0.35">
      <c r="A114" s="4">
        <v>44697</v>
      </c>
      <c r="B114" s="86">
        <v>4</v>
      </c>
      <c r="C114" s="5" t="s">
        <v>48</v>
      </c>
      <c r="D114" s="24" t="s">
        <v>57</v>
      </c>
      <c r="E114" s="5" t="s">
        <v>107</v>
      </c>
      <c r="F114" s="5">
        <v>1050</v>
      </c>
      <c r="G114" s="5">
        <v>200</v>
      </c>
      <c r="H114" s="64" t="s">
        <v>49</v>
      </c>
      <c r="O114" s="5">
        <v>84</v>
      </c>
      <c r="P114" s="5">
        <v>48</v>
      </c>
      <c r="Q114" s="5">
        <v>24</v>
      </c>
      <c r="R114" s="29">
        <f t="shared" si="17"/>
        <v>156</v>
      </c>
      <c r="S114" s="3">
        <f t="shared" si="18"/>
        <v>1.75</v>
      </c>
      <c r="T114" s="3">
        <v>1.06666666666667</v>
      </c>
      <c r="U114" s="3">
        <v>0.63829787234042556</v>
      </c>
      <c r="V114" s="5">
        <v>3</v>
      </c>
      <c r="W114" s="5" t="s">
        <v>52</v>
      </c>
      <c r="X114" s="5" t="s">
        <v>45</v>
      </c>
      <c r="Y114" s="5"/>
      <c r="AB114" s="29" t="str">
        <f t="shared" si="19"/>
        <v>Single</v>
      </c>
      <c r="AC114" s="5">
        <v>100</v>
      </c>
      <c r="AD114" s="78">
        <f>88.0988/1311.17</f>
        <v>6.7190982099956525E-2</v>
      </c>
      <c r="AE114" s="13">
        <v>0</v>
      </c>
      <c r="AF114" s="45" t="s">
        <v>104</v>
      </c>
      <c r="AG114" s="2" t="s">
        <v>104</v>
      </c>
      <c r="AH114" s="1"/>
      <c r="AI114" s="1"/>
      <c r="AK114" s="1"/>
      <c r="AL114" s="2" t="s">
        <v>108</v>
      </c>
    </row>
    <row r="115" spans="1:38" ht="15" customHeight="1" x14ac:dyDescent="0.35">
      <c r="A115" s="4">
        <v>44697</v>
      </c>
      <c r="B115" s="86">
        <v>4</v>
      </c>
      <c r="C115" s="5" t="s">
        <v>48</v>
      </c>
      <c r="D115" s="24" t="s">
        <v>57</v>
      </c>
      <c r="E115" s="5" t="s">
        <v>107</v>
      </c>
      <c r="F115" s="5">
        <v>1050</v>
      </c>
      <c r="G115" s="5">
        <v>200</v>
      </c>
      <c r="H115" s="64" t="s">
        <v>49</v>
      </c>
      <c r="O115" s="5">
        <v>84</v>
      </c>
      <c r="P115" s="5">
        <v>48</v>
      </c>
      <c r="Q115" s="5">
        <v>24</v>
      </c>
      <c r="R115" s="29">
        <f t="shared" si="17"/>
        <v>156</v>
      </c>
      <c r="S115" s="3">
        <f t="shared" si="18"/>
        <v>1.75</v>
      </c>
      <c r="T115" s="3">
        <v>1.06666666666667</v>
      </c>
      <c r="U115" s="3">
        <v>0.63829787234042556</v>
      </c>
      <c r="V115" s="5">
        <v>3</v>
      </c>
      <c r="W115" s="5" t="s">
        <v>52</v>
      </c>
      <c r="X115" s="5" t="s">
        <v>46</v>
      </c>
      <c r="Y115" s="5"/>
      <c r="AB115" s="29" t="str">
        <f t="shared" si="19"/>
        <v>Poly</v>
      </c>
      <c r="AC115" s="5">
        <v>100</v>
      </c>
      <c r="AD115" s="78">
        <f>50.98/1753.15</f>
        <v>2.9079086216239336E-2</v>
      </c>
      <c r="AE115" s="13">
        <v>0</v>
      </c>
      <c r="AF115" s="45" t="s">
        <v>103</v>
      </c>
      <c r="AG115" s="2" t="s">
        <v>103</v>
      </c>
      <c r="AH115" s="1"/>
      <c r="AI115" s="1"/>
      <c r="AK115" s="1"/>
      <c r="AL115" s="2"/>
    </row>
    <row r="116" spans="1:38" ht="15" customHeight="1" x14ac:dyDescent="0.35">
      <c r="A116" s="4">
        <v>44697</v>
      </c>
      <c r="B116" s="86">
        <v>4</v>
      </c>
      <c r="C116" s="5" t="s">
        <v>48</v>
      </c>
      <c r="D116" s="24" t="s">
        <v>57</v>
      </c>
      <c r="E116" s="5" t="s">
        <v>107</v>
      </c>
      <c r="F116" s="5">
        <v>1050</v>
      </c>
      <c r="G116" s="5">
        <v>200</v>
      </c>
      <c r="H116" s="64" t="s">
        <v>49</v>
      </c>
      <c r="O116" s="5">
        <v>84</v>
      </c>
      <c r="P116" s="5">
        <v>48</v>
      </c>
      <c r="Q116" s="5">
        <v>24</v>
      </c>
      <c r="R116" s="29">
        <f t="shared" si="17"/>
        <v>156</v>
      </c>
      <c r="S116" s="3">
        <f t="shared" si="18"/>
        <v>1.75</v>
      </c>
      <c r="T116" s="3">
        <v>1.06666666666667</v>
      </c>
      <c r="U116" s="3">
        <v>0.63829787234042556</v>
      </c>
      <c r="V116" s="5">
        <v>3</v>
      </c>
      <c r="W116" s="5" t="s">
        <v>52</v>
      </c>
      <c r="X116" s="5" t="s">
        <v>46</v>
      </c>
      <c r="Y116" s="5"/>
      <c r="AB116" s="29" t="str">
        <f t="shared" si="19"/>
        <v>Poly</v>
      </c>
      <c r="AC116" s="5">
        <v>100</v>
      </c>
      <c r="AD116" s="78">
        <f>23.1929/1077.66</f>
        <v>2.1521537405118498E-2</v>
      </c>
      <c r="AE116" s="13">
        <v>0</v>
      </c>
      <c r="AF116" s="45" t="s">
        <v>103</v>
      </c>
      <c r="AG116" s="2" t="s">
        <v>102</v>
      </c>
      <c r="AH116" s="1"/>
      <c r="AI116" s="1"/>
      <c r="AK116" s="1"/>
      <c r="AL116" s="2"/>
    </row>
    <row r="117" spans="1:38" ht="15" customHeight="1" x14ac:dyDescent="0.35">
      <c r="A117" s="4">
        <v>44697</v>
      </c>
      <c r="B117" s="86">
        <v>5</v>
      </c>
      <c r="C117" s="5" t="s">
        <v>64</v>
      </c>
      <c r="D117" s="24" t="s">
        <v>42</v>
      </c>
      <c r="E117" s="5"/>
      <c r="F117" s="5">
        <v>1050</v>
      </c>
      <c r="G117" s="5">
        <v>200</v>
      </c>
      <c r="H117" s="64" t="s">
        <v>109</v>
      </c>
      <c r="O117" s="5">
        <v>93</v>
      </c>
      <c r="P117" s="5">
        <v>36</v>
      </c>
      <c r="Q117" s="5">
        <v>24</v>
      </c>
      <c r="R117" s="29">
        <f t="shared" si="17"/>
        <v>153</v>
      </c>
      <c r="S117" s="3">
        <f t="shared" si="18"/>
        <v>2.5833333333333335</v>
      </c>
      <c r="T117" s="3">
        <v>5.4</v>
      </c>
      <c r="U117" s="3">
        <v>1.1111111111111112</v>
      </c>
      <c r="V117" s="5">
        <v>1</v>
      </c>
      <c r="W117" s="29" t="s">
        <v>44</v>
      </c>
      <c r="X117" s="5" t="s">
        <v>45</v>
      </c>
      <c r="Y117" s="5"/>
      <c r="AB117" s="29" t="str">
        <f t="shared" si="19"/>
        <v>Single</v>
      </c>
      <c r="AC117" s="5">
        <v>100</v>
      </c>
      <c r="AD117" s="78">
        <f>88.4594/928.879</f>
        <v>9.523242532127435E-2</v>
      </c>
      <c r="AE117" s="13">
        <v>1</v>
      </c>
      <c r="AF117" s="45" t="s">
        <v>104</v>
      </c>
      <c r="AG117" s="2" t="s">
        <v>110</v>
      </c>
      <c r="AH117" s="1"/>
      <c r="AI117" s="1"/>
      <c r="AK117" s="1"/>
      <c r="AL117" s="2" t="s">
        <v>111</v>
      </c>
    </row>
    <row r="118" spans="1:38" ht="15" customHeight="1" x14ac:dyDescent="0.35">
      <c r="A118" s="4">
        <v>44697</v>
      </c>
      <c r="B118" s="86">
        <v>5</v>
      </c>
      <c r="C118" s="5" t="s">
        <v>64</v>
      </c>
      <c r="D118" s="24" t="s">
        <v>42</v>
      </c>
      <c r="E118" s="5"/>
      <c r="F118" s="5">
        <v>1050</v>
      </c>
      <c r="G118" s="5">
        <v>200</v>
      </c>
      <c r="H118" s="64" t="s">
        <v>109</v>
      </c>
      <c r="O118" s="5">
        <v>93</v>
      </c>
      <c r="P118" s="5">
        <v>36</v>
      </c>
      <c r="Q118" s="5">
        <v>24</v>
      </c>
      <c r="R118" s="29">
        <f t="shared" si="17"/>
        <v>153</v>
      </c>
      <c r="S118" s="3">
        <f t="shared" si="18"/>
        <v>2.5833333333333335</v>
      </c>
      <c r="T118" s="3">
        <v>5.4</v>
      </c>
      <c r="U118" s="3">
        <v>1.1111111111111112</v>
      </c>
      <c r="V118" s="5">
        <v>1</v>
      </c>
      <c r="W118" s="29" t="s">
        <v>44</v>
      </c>
      <c r="X118" s="5" t="s">
        <v>46</v>
      </c>
      <c r="Y118" s="5"/>
      <c r="AB118" s="29" t="str">
        <f t="shared" si="19"/>
        <v>Poly</v>
      </c>
      <c r="AC118" s="5">
        <v>100</v>
      </c>
      <c r="AD118" s="78">
        <f>15.821/461.754</f>
        <v>3.4262832590513562E-2</v>
      </c>
      <c r="AE118" s="13">
        <v>2</v>
      </c>
      <c r="AF118" s="45" t="s">
        <v>103</v>
      </c>
      <c r="AG118" s="2" t="s">
        <v>102</v>
      </c>
      <c r="AH118" s="1"/>
      <c r="AI118" s="1"/>
      <c r="AK118" s="1"/>
      <c r="AL118" s="2"/>
    </row>
    <row r="119" spans="1:38" ht="15" customHeight="1" x14ac:dyDescent="0.35">
      <c r="A119" s="4">
        <v>44697</v>
      </c>
      <c r="B119" s="86">
        <v>6</v>
      </c>
      <c r="C119" s="5" t="s">
        <v>70</v>
      </c>
      <c r="D119" s="24" t="s">
        <v>42</v>
      </c>
      <c r="E119" s="5"/>
      <c r="F119" s="5">
        <v>1050</v>
      </c>
      <c r="G119" s="5">
        <v>200</v>
      </c>
      <c r="H119" s="64" t="s">
        <v>112</v>
      </c>
      <c r="O119" s="5">
        <v>111</v>
      </c>
      <c r="P119" s="5">
        <v>18</v>
      </c>
      <c r="Q119" s="5">
        <v>24</v>
      </c>
      <c r="R119" s="29">
        <f t="shared" si="17"/>
        <v>153</v>
      </c>
      <c r="S119" s="3">
        <f t="shared" si="18"/>
        <v>6.166666666666667</v>
      </c>
      <c r="T119" s="3">
        <v>0</v>
      </c>
      <c r="U119" s="3">
        <v>3</v>
      </c>
      <c r="V119" s="5">
        <v>1</v>
      </c>
      <c r="W119" s="29" t="s">
        <v>44</v>
      </c>
      <c r="X119" s="5" t="s">
        <v>45</v>
      </c>
      <c r="Y119" s="5"/>
      <c r="AB119" s="29" t="str">
        <f t="shared" si="19"/>
        <v>Single</v>
      </c>
      <c r="AC119" s="5">
        <v>20</v>
      </c>
      <c r="AD119" s="96"/>
      <c r="AE119" s="13">
        <v>0</v>
      </c>
      <c r="AF119" s="45"/>
      <c r="AG119" s="2"/>
      <c r="AH119" s="1"/>
      <c r="AI119" s="1"/>
      <c r="AK119" s="1"/>
      <c r="AL119" s="2"/>
    </row>
    <row r="120" spans="1:38" ht="15" customHeight="1" x14ac:dyDescent="0.35">
      <c r="A120" s="4">
        <v>44697</v>
      </c>
      <c r="B120" s="86">
        <v>6</v>
      </c>
      <c r="C120" s="5" t="s">
        <v>70</v>
      </c>
      <c r="D120" s="24" t="s">
        <v>42</v>
      </c>
      <c r="E120" s="5"/>
      <c r="F120" s="5">
        <v>1050</v>
      </c>
      <c r="G120" s="5">
        <v>200</v>
      </c>
      <c r="H120" s="64" t="s">
        <v>112</v>
      </c>
      <c r="O120" s="5">
        <v>111</v>
      </c>
      <c r="P120" s="5">
        <v>18</v>
      </c>
      <c r="Q120" s="5">
        <v>24</v>
      </c>
      <c r="R120" s="29">
        <f t="shared" si="17"/>
        <v>153</v>
      </c>
      <c r="S120" s="3">
        <f t="shared" si="18"/>
        <v>6.166666666666667</v>
      </c>
      <c r="T120" s="3">
        <v>0</v>
      </c>
      <c r="U120" s="3">
        <v>3</v>
      </c>
      <c r="V120" s="5">
        <v>1</v>
      </c>
      <c r="W120" s="29" t="s">
        <v>44</v>
      </c>
      <c r="X120" s="5" t="s">
        <v>46</v>
      </c>
      <c r="Y120" s="5"/>
      <c r="AB120" s="29" t="str">
        <f t="shared" si="19"/>
        <v>Poly</v>
      </c>
      <c r="AC120" s="5">
        <v>50</v>
      </c>
      <c r="AD120" s="78">
        <f>33.4935/685.029</f>
        <v>4.8893550492022965E-2</v>
      </c>
      <c r="AE120" s="13">
        <v>2</v>
      </c>
      <c r="AF120" s="45"/>
      <c r="AG120" s="2"/>
      <c r="AH120" s="1"/>
      <c r="AI120" s="1"/>
      <c r="AK120" s="1"/>
      <c r="AL120" s="2"/>
    </row>
    <row r="121" spans="1:38" ht="15" customHeight="1" x14ac:dyDescent="0.35">
      <c r="A121" s="4">
        <v>44697</v>
      </c>
      <c r="B121" s="86">
        <v>7</v>
      </c>
      <c r="C121" s="5" t="s">
        <v>113</v>
      </c>
      <c r="D121" s="24" t="s">
        <v>42</v>
      </c>
      <c r="E121" s="5"/>
      <c r="F121" s="5">
        <v>1050</v>
      </c>
      <c r="G121" s="5">
        <v>200</v>
      </c>
      <c r="H121" s="64" t="s">
        <v>114</v>
      </c>
      <c r="O121" s="5">
        <v>109</v>
      </c>
      <c r="P121" s="5">
        <v>23</v>
      </c>
      <c r="Q121" s="5">
        <v>0</v>
      </c>
      <c r="R121" s="29">
        <f t="shared" si="17"/>
        <v>132</v>
      </c>
      <c r="S121" s="3">
        <f t="shared" si="18"/>
        <v>4.7391304347826084</v>
      </c>
      <c r="T121" s="3">
        <v>14.5</v>
      </c>
      <c r="U121" s="3">
        <v>1.8695652173913044</v>
      </c>
      <c r="V121" s="5">
        <v>1</v>
      </c>
      <c r="W121" s="29" t="s">
        <v>44</v>
      </c>
      <c r="X121" s="5" t="s">
        <v>45</v>
      </c>
      <c r="Y121" s="5"/>
      <c r="AB121" s="29" t="str">
        <f t="shared" si="19"/>
        <v>Single</v>
      </c>
      <c r="AC121" s="5">
        <v>99</v>
      </c>
      <c r="AD121" s="78">
        <f>10.8565/380.467</f>
        <v>2.8534669235439607E-2</v>
      </c>
      <c r="AE121" s="13">
        <v>2</v>
      </c>
      <c r="AF121" s="45" t="s">
        <v>102</v>
      </c>
      <c r="AG121" s="2" t="s">
        <v>102</v>
      </c>
      <c r="AH121" s="1"/>
      <c r="AI121" s="1"/>
      <c r="AK121" s="1"/>
      <c r="AL121" s="2"/>
    </row>
    <row r="122" spans="1:38" ht="15" customHeight="1" x14ac:dyDescent="0.35">
      <c r="A122" s="4">
        <v>44697</v>
      </c>
      <c r="B122" s="86">
        <v>7</v>
      </c>
      <c r="C122" s="5" t="s">
        <v>113</v>
      </c>
      <c r="D122" s="24" t="s">
        <v>42</v>
      </c>
      <c r="E122" s="5"/>
      <c r="F122" s="5">
        <v>1050</v>
      </c>
      <c r="G122" s="5">
        <v>200</v>
      </c>
      <c r="H122" s="64" t="s">
        <v>114</v>
      </c>
      <c r="O122" s="5">
        <v>109</v>
      </c>
      <c r="P122" s="5">
        <v>23</v>
      </c>
      <c r="Q122" s="5">
        <v>0</v>
      </c>
      <c r="R122" s="29">
        <f t="shared" si="17"/>
        <v>132</v>
      </c>
      <c r="S122" s="3">
        <f t="shared" si="18"/>
        <v>4.7391304347826084</v>
      </c>
      <c r="T122" s="3">
        <v>14.5</v>
      </c>
      <c r="U122" s="3">
        <v>1.8695652173913044</v>
      </c>
      <c r="V122" s="5">
        <v>1</v>
      </c>
      <c r="W122" s="29" t="s">
        <v>44</v>
      </c>
      <c r="X122" s="5" t="s">
        <v>46</v>
      </c>
      <c r="Y122" s="5"/>
      <c r="AB122" s="29" t="str">
        <f t="shared" si="19"/>
        <v>Poly</v>
      </c>
      <c r="AC122" s="5">
        <v>100</v>
      </c>
      <c r="AD122" s="78">
        <f>4.68282/268.936</f>
        <v>1.7412395514174377E-2</v>
      </c>
      <c r="AE122" s="13">
        <v>2</v>
      </c>
      <c r="AF122" s="45" t="s">
        <v>104</v>
      </c>
      <c r="AG122" s="2" t="s">
        <v>104</v>
      </c>
      <c r="AH122" s="1"/>
      <c r="AI122" s="1"/>
      <c r="AK122" s="1"/>
      <c r="AL122" s="2" t="s">
        <v>115</v>
      </c>
    </row>
    <row r="123" spans="1:38" ht="15" customHeight="1" x14ac:dyDescent="0.35">
      <c r="A123" s="4">
        <v>44697</v>
      </c>
      <c r="B123" s="86">
        <v>8</v>
      </c>
      <c r="C123" s="5" t="s">
        <v>48</v>
      </c>
      <c r="D123" s="24" t="s">
        <v>42</v>
      </c>
      <c r="E123" s="5"/>
      <c r="F123" s="5">
        <v>1050</v>
      </c>
      <c r="G123" s="5">
        <v>200</v>
      </c>
      <c r="H123" s="64" t="s">
        <v>116</v>
      </c>
      <c r="O123" s="5">
        <v>84</v>
      </c>
      <c r="P123" s="5">
        <v>48</v>
      </c>
      <c r="Q123" s="5">
        <v>24</v>
      </c>
      <c r="R123" s="29">
        <f t="shared" si="17"/>
        <v>156</v>
      </c>
      <c r="S123" s="3">
        <f t="shared" si="18"/>
        <v>1.75</v>
      </c>
      <c r="T123" s="3">
        <v>1.06666666666667</v>
      </c>
      <c r="U123" s="3">
        <v>0.63829787234042556</v>
      </c>
      <c r="V123" s="5">
        <v>1</v>
      </c>
      <c r="W123" s="29" t="s">
        <v>44</v>
      </c>
      <c r="X123" s="5" t="s">
        <v>45</v>
      </c>
      <c r="Y123" s="5"/>
      <c r="AB123" s="29" t="str">
        <f t="shared" si="19"/>
        <v>Single</v>
      </c>
      <c r="AC123" s="5">
        <v>100</v>
      </c>
      <c r="AD123" s="78">
        <f>43.5474/1009.95</f>
        <v>4.3118372196643398E-2</v>
      </c>
      <c r="AE123" s="13">
        <v>5</v>
      </c>
      <c r="AF123" s="45" t="s">
        <v>104</v>
      </c>
      <c r="AG123" s="2" t="s">
        <v>110</v>
      </c>
      <c r="AH123" s="1"/>
      <c r="AI123" s="1"/>
      <c r="AK123" s="1"/>
      <c r="AL123" s="2"/>
    </row>
    <row r="124" spans="1:38" ht="15" customHeight="1" x14ac:dyDescent="0.35">
      <c r="A124" s="4">
        <v>44697</v>
      </c>
      <c r="B124" s="86">
        <v>8</v>
      </c>
      <c r="C124" s="5" t="s">
        <v>48</v>
      </c>
      <c r="D124" s="24" t="s">
        <v>42</v>
      </c>
      <c r="E124" s="5"/>
      <c r="F124" s="5">
        <v>1050</v>
      </c>
      <c r="G124" s="5">
        <v>200</v>
      </c>
      <c r="H124" s="64" t="s">
        <v>116</v>
      </c>
      <c r="O124" s="5">
        <v>84</v>
      </c>
      <c r="P124" s="5">
        <v>48</v>
      </c>
      <c r="Q124" s="5">
        <v>24</v>
      </c>
      <c r="R124" s="29">
        <f t="shared" si="17"/>
        <v>156</v>
      </c>
      <c r="S124" s="3">
        <f t="shared" si="18"/>
        <v>1.75</v>
      </c>
      <c r="T124" s="3">
        <v>1.06666666666667</v>
      </c>
      <c r="U124" s="3">
        <v>0.63829787234042556</v>
      </c>
      <c r="V124" s="5">
        <v>1</v>
      </c>
      <c r="W124" s="29" t="s">
        <v>44</v>
      </c>
      <c r="X124" s="5" t="s">
        <v>46</v>
      </c>
      <c r="Y124" s="5"/>
      <c r="AB124" s="29" t="str">
        <f t="shared" si="19"/>
        <v>Poly</v>
      </c>
      <c r="AC124" s="5">
        <v>100</v>
      </c>
      <c r="AD124" s="78">
        <f>10.5441/1054.83</f>
        <v>9.9960183157475624E-3</v>
      </c>
      <c r="AE124" s="13">
        <v>2</v>
      </c>
      <c r="AF124" s="45" t="s">
        <v>110</v>
      </c>
      <c r="AG124" s="2" t="s">
        <v>104</v>
      </c>
      <c r="AH124" s="1"/>
      <c r="AI124" s="1"/>
      <c r="AK124" s="1"/>
      <c r="AL124" s="2"/>
    </row>
    <row r="125" spans="1:38" ht="15" customHeight="1" x14ac:dyDescent="0.35">
      <c r="A125" s="11"/>
      <c r="B125" s="86"/>
      <c r="C125" s="5"/>
      <c r="D125" s="24"/>
      <c r="E125" s="5"/>
      <c r="F125" s="5"/>
      <c r="G125" s="5"/>
      <c r="O125" s="5"/>
      <c r="P125" s="5"/>
      <c r="Q125" s="5"/>
      <c r="R125" s="29">
        <f t="shared" si="17"/>
        <v>0</v>
      </c>
      <c r="S125" s="3"/>
      <c r="T125" s="3"/>
      <c r="U125" s="3"/>
      <c r="V125" s="5"/>
      <c r="W125" s="5"/>
      <c r="X125" s="5"/>
      <c r="Y125" s="5"/>
      <c r="AB125" s="29" t="str">
        <f t="shared" si="19"/>
        <v>Poly</v>
      </c>
      <c r="AC125" s="5"/>
      <c r="AD125" s="78"/>
      <c r="AE125" s="13">
        <v>0</v>
      </c>
      <c r="AF125" s="45"/>
      <c r="AG125" s="2"/>
      <c r="AH125" s="1"/>
      <c r="AI125" s="1"/>
      <c r="AK125" s="1"/>
      <c r="AL125" s="2"/>
    </row>
    <row r="126" spans="1:38" ht="15" customHeight="1" x14ac:dyDescent="0.35">
      <c r="A126" s="4">
        <v>44698</v>
      </c>
      <c r="B126" s="86">
        <v>9</v>
      </c>
      <c r="C126" s="5" t="s">
        <v>48</v>
      </c>
      <c r="D126" s="24" t="s">
        <v>42</v>
      </c>
      <c r="E126" s="5"/>
      <c r="F126" s="5">
        <v>1000</v>
      </c>
      <c r="G126" s="5">
        <v>200</v>
      </c>
      <c r="H126" s="64" t="s">
        <v>117</v>
      </c>
      <c r="O126" s="5">
        <v>84</v>
      </c>
      <c r="P126" s="5">
        <v>48</v>
      </c>
      <c r="Q126" s="5">
        <v>24</v>
      </c>
      <c r="R126" s="29">
        <f t="shared" si="17"/>
        <v>156</v>
      </c>
      <c r="S126" s="3">
        <f t="shared" ref="S126:S136" si="20">O126/P126</f>
        <v>1.75</v>
      </c>
      <c r="T126" s="3">
        <v>1.06666666666667</v>
      </c>
      <c r="U126" s="3">
        <v>0.63829787234042556</v>
      </c>
      <c r="V126" s="5">
        <v>1</v>
      </c>
      <c r="W126" s="29" t="s">
        <v>44</v>
      </c>
      <c r="X126" s="5" t="s">
        <v>45</v>
      </c>
      <c r="Y126" s="5"/>
      <c r="AB126" s="29" t="str">
        <f t="shared" si="19"/>
        <v>Single</v>
      </c>
      <c r="AC126" s="5">
        <v>100</v>
      </c>
      <c r="AD126" s="96">
        <f>118.583/1140.69</f>
        <v>0.10395725394278901</v>
      </c>
      <c r="AE126" s="13">
        <v>2</v>
      </c>
      <c r="AF126" s="45" t="s">
        <v>104</v>
      </c>
      <c r="AG126" s="2" t="s">
        <v>102</v>
      </c>
      <c r="AH126" s="1"/>
      <c r="AI126" s="1"/>
      <c r="AK126" s="1"/>
      <c r="AL126" s="2"/>
    </row>
    <row r="127" spans="1:38" ht="15" customHeight="1" x14ac:dyDescent="0.35">
      <c r="A127" s="4">
        <v>44698</v>
      </c>
      <c r="B127" s="86">
        <v>9</v>
      </c>
      <c r="C127" s="5" t="s">
        <v>48</v>
      </c>
      <c r="D127" s="24" t="s">
        <v>42</v>
      </c>
      <c r="E127" s="5"/>
      <c r="F127" s="5">
        <v>1000</v>
      </c>
      <c r="G127" s="5">
        <v>200</v>
      </c>
      <c r="H127" s="64" t="s">
        <v>118</v>
      </c>
      <c r="O127" s="5">
        <v>84</v>
      </c>
      <c r="P127" s="5">
        <v>48</v>
      </c>
      <c r="Q127" s="5">
        <v>24</v>
      </c>
      <c r="R127" s="29">
        <f t="shared" si="17"/>
        <v>156</v>
      </c>
      <c r="S127" s="3">
        <f t="shared" si="20"/>
        <v>1.75</v>
      </c>
      <c r="T127" s="3">
        <v>1.06666666666667</v>
      </c>
      <c r="U127" s="3">
        <v>0.63829787234042556</v>
      </c>
      <c r="V127" s="5">
        <v>1</v>
      </c>
      <c r="W127" s="29" t="s">
        <v>44</v>
      </c>
      <c r="X127" s="5" t="s">
        <v>46</v>
      </c>
      <c r="Y127" s="5"/>
      <c r="AB127" s="29" t="str">
        <f t="shared" si="19"/>
        <v>Poly</v>
      </c>
      <c r="AC127" s="5">
        <v>100</v>
      </c>
      <c r="AD127" s="96">
        <f>49.9574/1057.55</f>
        <v>4.7238806675807293E-2</v>
      </c>
      <c r="AE127" s="13">
        <v>1</v>
      </c>
      <c r="AF127" s="45" t="s">
        <v>103</v>
      </c>
      <c r="AG127" s="2" t="s">
        <v>102</v>
      </c>
      <c r="AH127" s="1"/>
      <c r="AI127" s="1"/>
      <c r="AK127" s="1"/>
      <c r="AL127" s="2"/>
    </row>
    <row r="128" spans="1:38" ht="15" customHeight="1" x14ac:dyDescent="0.35">
      <c r="A128" s="4">
        <v>44698</v>
      </c>
      <c r="B128" s="86">
        <v>10</v>
      </c>
      <c r="C128" s="5" t="s">
        <v>53</v>
      </c>
      <c r="D128" s="24" t="s">
        <v>42</v>
      </c>
      <c r="E128" s="5"/>
      <c r="F128" s="5">
        <v>1000</v>
      </c>
      <c r="G128" s="5">
        <v>100</v>
      </c>
      <c r="H128" s="64" t="s">
        <v>119</v>
      </c>
      <c r="O128" s="5">
        <v>84</v>
      </c>
      <c r="P128" s="5">
        <v>48</v>
      </c>
      <c r="Q128" s="5">
        <v>24</v>
      </c>
      <c r="R128" s="29">
        <f t="shared" si="17"/>
        <v>156</v>
      </c>
      <c r="S128" s="3">
        <f t="shared" si="20"/>
        <v>1.75</v>
      </c>
      <c r="T128" s="3">
        <v>1.06666666666667</v>
      </c>
      <c r="U128" s="3">
        <v>0.63829787234042556</v>
      </c>
      <c r="V128" s="5">
        <v>1</v>
      </c>
      <c r="W128" s="29" t="s">
        <v>44</v>
      </c>
      <c r="X128" s="5" t="s">
        <v>45</v>
      </c>
      <c r="Y128" s="5"/>
      <c r="AB128" s="29" t="str">
        <f t="shared" si="19"/>
        <v>Single</v>
      </c>
      <c r="AC128" s="5">
        <v>100</v>
      </c>
      <c r="AD128" s="96">
        <f>34.6862/1429.61</f>
        <v>2.4262701016361108E-2</v>
      </c>
      <c r="AE128" s="13">
        <v>10</v>
      </c>
      <c r="AF128" s="45" t="s">
        <v>104</v>
      </c>
      <c r="AG128" s="2" t="s">
        <v>104</v>
      </c>
      <c r="AH128" s="1"/>
      <c r="AI128" s="1"/>
      <c r="AK128" s="1"/>
      <c r="AL128" s="2"/>
    </row>
    <row r="129" spans="1:38" ht="15" customHeight="1" x14ac:dyDescent="0.35">
      <c r="A129" s="4">
        <v>44698</v>
      </c>
      <c r="B129" s="86">
        <v>10</v>
      </c>
      <c r="C129" s="5" t="s">
        <v>53</v>
      </c>
      <c r="D129" s="24" t="s">
        <v>42</v>
      </c>
      <c r="E129" s="5"/>
      <c r="F129" s="5">
        <v>1000</v>
      </c>
      <c r="G129" s="5">
        <v>100</v>
      </c>
      <c r="H129" s="64" t="s">
        <v>120</v>
      </c>
      <c r="O129" s="5">
        <v>84</v>
      </c>
      <c r="P129" s="5">
        <v>48</v>
      </c>
      <c r="Q129" s="5">
        <v>24</v>
      </c>
      <c r="R129" s="29">
        <f t="shared" si="17"/>
        <v>156</v>
      </c>
      <c r="S129" s="3">
        <f t="shared" si="20"/>
        <v>1.75</v>
      </c>
      <c r="T129" s="3">
        <v>1.06666666666667</v>
      </c>
      <c r="U129" s="3">
        <v>0.63829787234042556</v>
      </c>
      <c r="V129" s="5">
        <v>1</v>
      </c>
      <c r="W129" s="29" t="s">
        <v>44</v>
      </c>
      <c r="X129" s="5" t="s">
        <v>46</v>
      </c>
      <c r="Y129" s="5"/>
      <c r="AB129" s="29" t="str">
        <f t="shared" si="19"/>
        <v>Poly</v>
      </c>
      <c r="AC129" s="5">
        <v>100</v>
      </c>
      <c r="AD129" s="96">
        <f>63.4264/804.035</f>
        <v>7.8885123160061438E-2</v>
      </c>
      <c r="AE129" s="13">
        <v>1</v>
      </c>
      <c r="AF129" s="45" t="s">
        <v>104</v>
      </c>
      <c r="AG129" s="2" t="s">
        <v>103</v>
      </c>
      <c r="AH129" s="1"/>
      <c r="AI129" s="1"/>
      <c r="AK129" s="1"/>
      <c r="AL129" s="2"/>
    </row>
    <row r="130" spans="1:38" ht="15" customHeight="1" x14ac:dyDescent="0.35">
      <c r="A130" s="4">
        <v>44698</v>
      </c>
      <c r="B130" s="86">
        <v>11</v>
      </c>
      <c r="C130" s="5" t="s">
        <v>64</v>
      </c>
      <c r="D130" s="24" t="s">
        <v>42</v>
      </c>
      <c r="E130" s="5"/>
      <c r="F130" s="5">
        <v>1000</v>
      </c>
      <c r="G130" s="5">
        <v>100</v>
      </c>
      <c r="H130" s="64" t="s">
        <v>109</v>
      </c>
      <c r="O130" s="5">
        <v>93</v>
      </c>
      <c r="P130" s="5">
        <v>36</v>
      </c>
      <c r="Q130" s="5">
        <v>24</v>
      </c>
      <c r="R130" s="29">
        <f t="shared" si="17"/>
        <v>153</v>
      </c>
      <c r="S130" s="3">
        <f t="shared" si="20"/>
        <v>2.5833333333333335</v>
      </c>
      <c r="T130" s="3">
        <v>5.4</v>
      </c>
      <c r="U130" s="3">
        <v>1.1111111111111112</v>
      </c>
      <c r="V130" s="5">
        <v>1</v>
      </c>
      <c r="W130" s="29" t="s">
        <v>44</v>
      </c>
      <c r="X130" s="5" t="s">
        <v>45</v>
      </c>
      <c r="Y130" s="5"/>
      <c r="AB130" s="29" t="str">
        <f t="shared" si="19"/>
        <v>Single</v>
      </c>
      <c r="AC130" s="5">
        <v>100</v>
      </c>
      <c r="AD130" s="96">
        <f>30.4443/1085.81</f>
        <v>2.8038330831360918E-2</v>
      </c>
      <c r="AE130" s="13">
        <v>2</v>
      </c>
      <c r="AF130" s="45" t="s">
        <v>104</v>
      </c>
      <c r="AG130" s="2" t="s">
        <v>102</v>
      </c>
      <c r="AH130" s="1"/>
      <c r="AI130" s="1"/>
      <c r="AK130" s="1"/>
      <c r="AL130" s="2"/>
    </row>
    <row r="131" spans="1:38" ht="15" customHeight="1" x14ac:dyDescent="0.35">
      <c r="A131" s="4">
        <v>44698</v>
      </c>
      <c r="B131" s="86">
        <v>11</v>
      </c>
      <c r="C131" s="5" t="s">
        <v>64</v>
      </c>
      <c r="D131" s="24" t="s">
        <v>42</v>
      </c>
      <c r="E131" s="5"/>
      <c r="F131" s="5">
        <v>1000</v>
      </c>
      <c r="G131" s="5">
        <v>100</v>
      </c>
      <c r="H131" s="64" t="s">
        <v>109</v>
      </c>
      <c r="O131" s="5">
        <v>93</v>
      </c>
      <c r="P131" s="5">
        <v>36</v>
      </c>
      <c r="Q131" s="5">
        <v>24</v>
      </c>
      <c r="R131" s="29">
        <f t="shared" si="17"/>
        <v>153</v>
      </c>
      <c r="S131" s="3">
        <f t="shared" si="20"/>
        <v>2.5833333333333335</v>
      </c>
      <c r="T131" s="3">
        <v>5.4</v>
      </c>
      <c r="U131" s="3">
        <v>1.1111111111111112</v>
      </c>
      <c r="V131" s="5">
        <v>1</v>
      </c>
      <c r="W131" s="29" t="s">
        <v>44</v>
      </c>
      <c r="X131" s="5" t="s">
        <v>46</v>
      </c>
      <c r="Y131" s="5"/>
      <c r="AB131" s="29" t="str">
        <f t="shared" si="19"/>
        <v>Poly</v>
      </c>
      <c r="AC131" s="5">
        <v>100</v>
      </c>
      <c r="AD131" s="96">
        <f>18.2658/1105.44</f>
        <v>1.6523556231003038E-2</v>
      </c>
      <c r="AE131" s="13">
        <v>2</v>
      </c>
      <c r="AF131" s="45" t="s">
        <v>104</v>
      </c>
      <c r="AG131" s="2" t="s">
        <v>103</v>
      </c>
      <c r="AH131" s="1"/>
      <c r="AI131" s="1"/>
      <c r="AK131" s="1"/>
      <c r="AL131" s="2"/>
    </row>
    <row r="132" spans="1:38" ht="15" customHeight="1" x14ac:dyDescent="0.35">
      <c r="A132" s="4">
        <v>44698</v>
      </c>
      <c r="B132" s="86">
        <v>12</v>
      </c>
      <c r="C132" s="5" t="s">
        <v>48</v>
      </c>
      <c r="D132" s="24" t="s">
        <v>121</v>
      </c>
      <c r="E132" s="5"/>
      <c r="F132" s="5">
        <v>1000</v>
      </c>
      <c r="G132" s="5">
        <v>200</v>
      </c>
      <c r="H132" s="64" t="s">
        <v>49</v>
      </c>
      <c r="O132" s="5">
        <v>84</v>
      </c>
      <c r="P132" s="5">
        <v>48</v>
      </c>
      <c r="Q132" s="5">
        <v>24</v>
      </c>
      <c r="R132" s="29">
        <f t="shared" si="17"/>
        <v>156</v>
      </c>
      <c r="S132" s="3">
        <f t="shared" si="20"/>
        <v>1.75</v>
      </c>
      <c r="T132" s="3">
        <v>1.06666666666667</v>
      </c>
      <c r="U132" s="3">
        <v>0.63829787234042556</v>
      </c>
      <c r="V132" s="5">
        <v>1</v>
      </c>
      <c r="W132" s="5" t="s">
        <v>122</v>
      </c>
      <c r="X132" s="5" t="s">
        <v>46</v>
      </c>
      <c r="Y132" s="5" t="s">
        <v>122</v>
      </c>
      <c r="AB132" s="29" t="str">
        <f t="shared" si="19"/>
        <v>Poly</v>
      </c>
      <c r="AC132" s="5">
        <v>70</v>
      </c>
      <c r="AD132" s="78">
        <f>128.866/1248.72</f>
        <v>0.10319847523864438</v>
      </c>
      <c r="AE132" s="63">
        <v>1</v>
      </c>
      <c r="AF132" s="45" t="s">
        <v>104</v>
      </c>
      <c r="AG132" s="2" t="s">
        <v>104</v>
      </c>
      <c r="AH132" s="1"/>
      <c r="AI132" s="1"/>
      <c r="AK132" s="1"/>
      <c r="AL132" s="2"/>
    </row>
    <row r="133" spans="1:38" ht="15" customHeight="1" x14ac:dyDescent="0.35">
      <c r="A133" s="4">
        <v>44698</v>
      </c>
      <c r="B133" s="86">
        <v>13</v>
      </c>
      <c r="C133" s="5" t="s">
        <v>89</v>
      </c>
      <c r="D133" s="24" t="s">
        <v>121</v>
      </c>
      <c r="E133" s="5"/>
      <c r="F133" s="5">
        <v>1000</v>
      </c>
      <c r="G133" s="5">
        <v>200</v>
      </c>
      <c r="H133" s="64" t="s">
        <v>123</v>
      </c>
      <c r="O133" s="5">
        <v>285</v>
      </c>
      <c r="P133" s="5">
        <v>48</v>
      </c>
      <c r="Q133" s="5">
        <v>40</v>
      </c>
      <c r="R133" s="29">
        <f t="shared" si="17"/>
        <v>373</v>
      </c>
      <c r="S133" s="3">
        <f t="shared" si="20"/>
        <v>5.9375</v>
      </c>
      <c r="T133" s="3">
        <v>3.9</v>
      </c>
      <c r="U133" s="3">
        <v>3.0666666666666669</v>
      </c>
      <c r="V133" s="5">
        <v>1</v>
      </c>
      <c r="W133" s="5" t="s">
        <v>122</v>
      </c>
      <c r="X133" s="5" t="s">
        <v>46</v>
      </c>
      <c r="Y133" s="5" t="s">
        <v>122</v>
      </c>
      <c r="AB133" s="29" t="str">
        <f t="shared" si="19"/>
        <v>Poly</v>
      </c>
      <c r="AC133" s="5">
        <v>50</v>
      </c>
      <c r="AD133" s="78">
        <f>9.31189/780.606</f>
        <v>1.192905255660346E-2</v>
      </c>
      <c r="AE133" s="63">
        <v>1</v>
      </c>
      <c r="AF133" s="45"/>
      <c r="AG133" s="2"/>
      <c r="AH133" s="1"/>
      <c r="AI133" s="1"/>
      <c r="AK133" s="1"/>
      <c r="AL133" s="2"/>
    </row>
    <row r="134" spans="1:38" ht="15" customHeight="1" x14ac:dyDescent="0.35">
      <c r="A134" s="4">
        <v>44698</v>
      </c>
      <c r="B134" s="86">
        <v>13</v>
      </c>
      <c r="C134" s="5" t="s">
        <v>89</v>
      </c>
      <c r="D134" s="24" t="s">
        <v>121</v>
      </c>
      <c r="E134" s="5"/>
      <c r="F134" s="5">
        <v>1000</v>
      </c>
      <c r="G134" s="5">
        <v>200</v>
      </c>
      <c r="H134" s="64" t="s">
        <v>124</v>
      </c>
      <c r="O134" s="5">
        <v>285</v>
      </c>
      <c r="P134" s="5">
        <v>48</v>
      </c>
      <c r="Q134" s="5">
        <v>40</v>
      </c>
      <c r="R134" s="29">
        <f t="shared" si="17"/>
        <v>373</v>
      </c>
      <c r="S134" s="3">
        <f t="shared" si="20"/>
        <v>5.9375</v>
      </c>
      <c r="T134" s="3">
        <v>3.9</v>
      </c>
      <c r="U134" s="3">
        <v>3.0666666666666669</v>
      </c>
      <c r="V134" s="5">
        <v>1</v>
      </c>
      <c r="W134" s="5" t="s">
        <v>122</v>
      </c>
      <c r="X134" s="5" t="s">
        <v>46</v>
      </c>
      <c r="Y134" s="5" t="s">
        <v>122</v>
      </c>
      <c r="AB134" s="29" t="str">
        <f t="shared" si="19"/>
        <v>Poly</v>
      </c>
      <c r="AC134" s="5">
        <v>80</v>
      </c>
      <c r="AD134" s="78">
        <f>24.3322/1201.84</f>
        <v>2.0245789788990217E-2</v>
      </c>
      <c r="AE134" s="63">
        <v>1</v>
      </c>
      <c r="AF134" s="45" t="s">
        <v>110</v>
      </c>
      <c r="AG134" s="2" t="s">
        <v>110</v>
      </c>
      <c r="AH134" s="1"/>
      <c r="AI134" s="1"/>
      <c r="AK134" s="1"/>
      <c r="AL134" s="2"/>
    </row>
    <row r="135" spans="1:38" ht="15" customHeight="1" x14ac:dyDescent="0.35">
      <c r="A135" s="4">
        <v>44698</v>
      </c>
      <c r="B135" s="86">
        <v>14</v>
      </c>
      <c r="C135" s="5" t="s">
        <v>91</v>
      </c>
      <c r="D135" s="24" t="s">
        <v>121</v>
      </c>
      <c r="E135" s="5"/>
      <c r="F135" s="5">
        <v>1000</v>
      </c>
      <c r="G135" s="5">
        <v>200</v>
      </c>
      <c r="H135" s="64" t="s">
        <v>123</v>
      </c>
      <c r="O135" s="5">
        <v>325</v>
      </c>
      <c r="P135" s="5">
        <v>48</v>
      </c>
      <c r="Q135" s="5">
        <v>0</v>
      </c>
      <c r="R135" s="29">
        <f t="shared" si="17"/>
        <v>373</v>
      </c>
      <c r="S135" s="3">
        <f t="shared" si="20"/>
        <v>6.770833333333333</v>
      </c>
      <c r="T135" s="3">
        <v>4.1052631578947372</v>
      </c>
      <c r="U135" s="3">
        <v>2.9361702127659575</v>
      </c>
      <c r="V135" s="5">
        <v>1</v>
      </c>
      <c r="W135" s="5" t="s">
        <v>122</v>
      </c>
      <c r="X135" s="5" t="s">
        <v>46</v>
      </c>
      <c r="Y135" s="5" t="s">
        <v>122</v>
      </c>
      <c r="AB135" s="29" t="str">
        <f t="shared" si="19"/>
        <v>Poly</v>
      </c>
      <c r="AC135" s="5">
        <v>20</v>
      </c>
      <c r="AD135" s="78">
        <f>14.1266/918.934</f>
        <v>1.5372812410902197E-2</v>
      </c>
      <c r="AE135" s="13">
        <v>1</v>
      </c>
      <c r="AF135" s="45"/>
      <c r="AG135" s="2"/>
      <c r="AH135" s="1"/>
      <c r="AI135" s="1"/>
      <c r="AJ135" s="2"/>
      <c r="AK135" s="1"/>
    </row>
    <row r="136" spans="1:38" ht="15" customHeight="1" x14ac:dyDescent="0.35">
      <c r="A136" s="4">
        <v>44698</v>
      </c>
      <c r="B136" s="86">
        <v>14</v>
      </c>
      <c r="C136" s="5" t="s">
        <v>91</v>
      </c>
      <c r="D136" s="24" t="s">
        <v>121</v>
      </c>
      <c r="E136" s="5"/>
      <c r="F136" s="5">
        <v>1000</v>
      </c>
      <c r="G136" s="5">
        <v>200</v>
      </c>
      <c r="H136" s="64" t="s">
        <v>124</v>
      </c>
      <c r="O136" s="5">
        <v>325</v>
      </c>
      <c r="P136" s="5">
        <v>96</v>
      </c>
      <c r="Q136" s="5">
        <v>0</v>
      </c>
      <c r="R136" s="29">
        <f t="shared" si="17"/>
        <v>421</v>
      </c>
      <c r="S136" s="3">
        <f t="shared" si="20"/>
        <v>3.3854166666666665</v>
      </c>
      <c r="T136" s="3">
        <v>4.1052631578947372</v>
      </c>
      <c r="U136" s="3">
        <v>2.9361702127659575</v>
      </c>
      <c r="V136" s="5">
        <v>1</v>
      </c>
      <c r="W136" s="5" t="s">
        <v>122</v>
      </c>
      <c r="X136" s="5" t="s">
        <v>46</v>
      </c>
      <c r="Y136" s="5" t="s">
        <v>122</v>
      </c>
      <c r="AB136" s="29" t="str">
        <f t="shared" si="19"/>
        <v>Poly</v>
      </c>
      <c r="AC136" s="5">
        <v>70</v>
      </c>
      <c r="AD136" s="97">
        <f>26.0163/912.366</f>
        <v>2.8515201136386056E-2</v>
      </c>
      <c r="AE136" s="63">
        <v>1</v>
      </c>
      <c r="AF136" s="45" t="s">
        <v>102</v>
      </c>
      <c r="AG136" s="2" t="s">
        <v>102</v>
      </c>
      <c r="AH136" s="1"/>
      <c r="AI136" s="1"/>
      <c r="AJ136" s="2"/>
      <c r="AK136" s="1"/>
    </row>
    <row r="137" spans="1:38" ht="15" customHeight="1" x14ac:dyDescent="0.35">
      <c r="A137" s="4"/>
      <c r="B137" s="86"/>
      <c r="C137" s="5"/>
      <c r="D137" s="24"/>
      <c r="E137" s="5"/>
      <c r="F137" s="5"/>
      <c r="G137" s="5"/>
      <c r="O137" s="5"/>
      <c r="P137" s="5"/>
      <c r="Q137" s="5"/>
      <c r="R137" s="29">
        <f t="shared" ref="R137:R159" si="21">Q137+P137+O137</f>
        <v>0</v>
      </c>
      <c r="S137" s="3"/>
      <c r="T137" s="3"/>
      <c r="U137" s="3"/>
      <c r="V137" s="5"/>
      <c r="W137" s="5"/>
      <c r="X137" s="5"/>
      <c r="Y137" s="5"/>
      <c r="AB137" s="29" t="str">
        <f t="shared" ref="AB137:AB159" si="22">IF(X137="20um Schlenk", "Single", "Poly")</f>
        <v>Poly</v>
      </c>
      <c r="AC137" s="5"/>
      <c r="AD137" s="78"/>
      <c r="AE137" s="13">
        <v>0</v>
      </c>
      <c r="AF137" s="45"/>
      <c r="AG137" s="2"/>
      <c r="AH137" s="1"/>
      <c r="AI137" s="1"/>
      <c r="AJ137" s="2"/>
      <c r="AK137" s="1"/>
    </row>
    <row r="138" spans="1:38" ht="15" customHeight="1" x14ac:dyDescent="0.35">
      <c r="A138" s="4">
        <v>44699</v>
      </c>
      <c r="B138" s="86">
        <v>15</v>
      </c>
      <c r="C138" s="5" t="s">
        <v>77</v>
      </c>
      <c r="D138" s="24" t="s">
        <v>42</v>
      </c>
      <c r="E138" s="5"/>
      <c r="F138" s="5">
        <v>1000</v>
      </c>
      <c r="G138" s="5">
        <v>100</v>
      </c>
      <c r="H138" s="64" t="s">
        <v>123</v>
      </c>
      <c r="O138" s="5">
        <v>111</v>
      </c>
      <c r="P138" s="5">
        <v>8</v>
      </c>
      <c r="Q138" s="5">
        <v>24</v>
      </c>
      <c r="R138" s="29">
        <f t="shared" si="21"/>
        <v>143</v>
      </c>
      <c r="S138" s="3">
        <f t="shared" ref="S138:S143" si="23">O138/P138</f>
        <v>13.875</v>
      </c>
      <c r="T138" s="3">
        <v>9</v>
      </c>
      <c r="U138" s="3">
        <v>8</v>
      </c>
      <c r="V138" s="5">
        <v>1</v>
      </c>
      <c r="W138" s="29" t="s">
        <v>44</v>
      </c>
      <c r="X138" s="5" t="s">
        <v>45</v>
      </c>
      <c r="Y138" s="5"/>
      <c r="AB138" s="29" t="str">
        <f t="shared" si="22"/>
        <v>Single</v>
      </c>
      <c r="AC138" s="6">
        <v>30</v>
      </c>
      <c r="AD138" s="78">
        <f>10.2884/331.25</f>
        <v>3.1059320754716978E-2</v>
      </c>
      <c r="AE138" s="13">
        <v>1</v>
      </c>
      <c r="AF138" s="45" t="s">
        <v>104</v>
      </c>
      <c r="AG138" s="2" t="s">
        <v>104</v>
      </c>
      <c r="AH138" s="1"/>
      <c r="AI138" s="1"/>
      <c r="AJ138" s="2"/>
      <c r="AK138" s="1"/>
    </row>
    <row r="139" spans="1:38" ht="15" customHeight="1" x14ac:dyDescent="0.35">
      <c r="A139" s="4">
        <v>44699</v>
      </c>
      <c r="B139" s="86">
        <v>15</v>
      </c>
      <c r="C139" s="5" t="s">
        <v>77</v>
      </c>
      <c r="D139" s="24" t="s">
        <v>42</v>
      </c>
      <c r="E139" s="5"/>
      <c r="F139" s="5">
        <v>1000</v>
      </c>
      <c r="G139" s="5">
        <v>100</v>
      </c>
      <c r="H139" s="64" t="s">
        <v>123</v>
      </c>
      <c r="O139" s="5">
        <v>111</v>
      </c>
      <c r="P139" s="5">
        <v>8</v>
      </c>
      <c r="Q139" s="5">
        <v>24</v>
      </c>
      <c r="R139" s="29">
        <f t="shared" si="21"/>
        <v>143</v>
      </c>
      <c r="S139" s="3">
        <f t="shared" si="23"/>
        <v>13.875</v>
      </c>
      <c r="T139" s="3">
        <v>9</v>
      </c>
      <c r="U139" s="3">
        <v>8</v>
      </c>
      <c r="V139" s="5">
        <v>1</v>
      </c>
      <c r="W139" s="29" t="s">
        <v>44</v>
      </c>
      <c r="X139" s="5" t="s">
        <v>46</v>
      </c>
      <c r="Y139" s="5"/>
      <c r="AB139" s="29" t="str">
        <f t="shared" si="22"/>
        <v>Poly</v>
      </c>
      <c r="AC139" s="5">
        <v>95</v>
      </c>
      <c r="AD139" s="78">
        <f>17.8464/1351.02</f>
        <v>1.3209574987787005E-2</v>
      </c>
      <c r="AE139" s="13">
        <v>2</v>
      </c>
      <c r="AF139" s="45" t="s">
        <v>102</v>
      </c>
      <c r="AG139" s="2" t="s">
        <v>110</v>
      </c>
      <c r="AH139" s="1"/>
      <c r="AI139" s="1"/>
      <c r="AJ139" s="2"/>
      <c r="AK139" s="1"/>
    </row>
    <row r="140" spans="1:38" ht="15" customHeight="1" x14ac:dyDescent="0.35">
      <c r="A140" s="4">
        <v>44699</v>
      </c>
      <c r="B140" s="86">
        <v>16</v>
      </c>
      <c r="C140" s="5" t="s">
        <v>79</v>
      </c>
      <c r="D140" s="24" t="s">
        <v>42</v>
      </c>
      <c r="E140" s="5"/>
      <c r="F140" s="5">
        <v>1000</v>
      </c>
      <c r="G140" s="5">
        <v>100</v>
      </c>
      <c r="H140" s="64" t="s">
        <v>123</v>
      </c>
      <c r="O140" s="5">
        <v>135</v>
      </c>
      <c r="P140" s="5">
        <v>8</v>
      </c>
      <c r="Q140" s="5">
        <v>0</v>
      </c>
      <c r="R140" s="29">
        <f t="shared" si="21"/>
        <v>143</v>
      </c>
      <c r="S140" s="3">
        <f t="shared" si="23"/>
        <v>16.875</v>
      </c>
      <c r="T140" s="3">
        <v>9.25</v>
      </c>
      <c r="U140" s="3">
        <v>8</v>
      </c>
      <c r="V140" s="5">
        <v>1</v>
      </c>
      <c r="W140" s="29" t="s">
        <v>44</v>
      </c>
      <c r="X140" s="5" t="s">
        <v>45</v>
      </c>
      <c r="Y140" s="5"/>
      <c r="AB140" s="29" t="str">
        <f t="shared" si="22"/>
        <v>Single</v>
      </c>
      <c r="AC140" s="5">
        <v>60</v>
      </c>
      <c r="AD140" s="78">
        <f>18.9602/964.625</f>
        <v>1.9655513800699752E-2</v>
      </c>
      <c r="AE140" s="13">
        <v>1</v>
      </c>
      <c r="AF140" s="45"/>
      <c r="AG140" s="2"/>
      <c r="AH140" s="1"/>
      <c r="AI140" s="1"/>
      <c r="AJ140" s="2"/>
      <c r="AK140" s="1"/>
    </row>
    <row r="141" spans="1:38" ht="15" customHeight="1" x14ac:dyDescent="0.35">
      <c r="A141" s="4">
        <v>44699</v>
      </c>
      <c r="B141" s="86">
        <v>16</v>
      </c>
      <c r="C141" s="5" t="s">
        <v>79</v>
      </c>
      <c r="D141" s="24" t="s">
        <v>42</v>
      </c>
      <c r="E141" s="5"/>
      <c r="F141" s="5">
        <v>1000</v>
      </c>
      <c r="G141" s="5">
        <v>100</v>
      </c>
      <c r="H141" s="64" t="s">
        <v>123</v>
      </c>
      <c r="O141" s="5">
        <v>135</v>
      </c>
      <c r="P141" s="5">
        <v>8</v>
      </c>
      <c r="Q141" s="5">
        <v>0</v>
      </c>
      <c r="R141" s="29">
        <f t="shared" si="21"/>
        <v>143</v>
      </c>
      <c r="S141" s="3">
        <f t="shared" si="23"/>
        <v>16.875</v>
      </c>
      <c r="T141" s="3">
        <v>9.25</v>
      </c>
      <c r="U141" s="3">
        <v>8</v>
      </c>
      <c r="V141" s="5">
        <v>1</v>
      </c>
      <c r="W141" s="29" t="s">
        <v>44</v>
      </c>
      <c r="X141" s="5" t="s">
        <v>46</v>
      </c>
      <c r="Y141" s="5"/>
      <c r="AB141" s="29" t="str">
        <f t="shared" si="22"/>
        <v>Poly</v>
      </c>
      <c r="AC141" s="5">
        <v>70</v>
      </c>
      <c r="AD141" s="78">
        <f>13.0532/1102.45</f>
        <v>1.1840174157558166E-2</v>
      </c>
      <c r="AE141" s="13">
        <v>1</v>
      </c>
      <c r="AF141" s="45"/>
      <c r="AG141" s="2"/>
      <c r="AH141" s="1"/>
      <c r="AI141" s="1"/>
      <c r="AJ141" s="2"/>
      <c r="AK141" s="1"/>
    </row>
    <row r="142" spans="1:38" ht="15" customHeight="1" x14ac:dyDescent="0.35">
      <c r="A142" s="4">
        <v>44699</v>
      </c>
      <c r="B142" s="86">
        <v>18</v>
      </c>
      <c r="C142" s="5" t="s">
        <v>48</v>
      </c>
      <c r="D142" s="24" t="s">
        <v>121</v>
      </c>
      <c r="E142" s="5" t="s">
        <v>125</v>
      </c>
      <c r="F142" s="5">
        <v>1000</v>
      </c>
      <c r="G142" s="5">
        <v>100</v>
      </c>
      <c r="H142" s="64" t="s">
        <v>49</v>
      </c>
      <c r="O142" s="5">
        <v>84</v>
      </c>
      <c r="P142" s="5">
        <v>48</v>
      </c>
      <c r="Q142" s="5">
        <v>24</v>
      </c>
      <c r="R142" s="29">
        <f t="shared" si="21"/>
        <v>156</v>
      </c>
      <c r="S142" s="3">
        <f t="shared" si="23"/>
        <v>1.75</v>
      </c>
      <c r="T142" s="3">
        <v>1.06666666666667</v>
      </c>
      <c r="U142" s="3">
        <v>0.63829787234042556</v>
      </c>
      <c r="V142" s="5">
        <v>1</v>
      </c>
      <c r="W142" s="5" t="s">
        <v>122</v>
      </c>
      <c r="X142" s="5" t="s">
        <v>46</v>
      </c>
      <c r="Y142" s="5" t="s">
        <v>122</v>
      </c>
      <c r="AB142" s="29" t="str">
        <f t="shared" si="22"/>
        <v>Poly</v>
      </c>
      <c r="AC142" s="5">
        <v>100</v>
      </c>
      <c r="AD142" s="78">
        <f>71.7475/923.856</f>
        <v>7.7660912523163789E-2</v>
      </c>
      <c r="AE142" s="13">
        <v>1</v>
      </c>
      <c r="AF142" s="45" t="s">
        <v>103</v>
      </c>
      <c r="AG142" s="2" t="s">
        <v>102</v>
      </c>
      <c r="AH142" s="1" t="s">
        <v>126</v>
      </c>
      <c r="AI142" s="1"/>
      <c r="AJ142" s="2"/>
      <c r="AK142" s="1"/>
    </row>
    <row r="143" spans="1:38" ht="15" customHeight="1" x14ac:dyDescent="0.35">
      <c r="A143" s="4">
        <v>44699</v>
      </c>
      <c r="B143" s="86">
        <v>18</v>
      </c>
      <c r="C143" s="5" t="s">
        <v>48</v>
      </c>
      <c r="D143" s="24" t="s">
        <v>121</v>
      </c>
      <c r="E143" s="5"/>
      <c r="F143" s="5">
        <v>1000</v>
      </c>
      <c r="G143" s="5">
        <v>200</v>
      </c>
      <c r="H143" s="64" t="s">
        <v>49</v>
      </c>
      <c r="O143" s="5">
        <v>84</v>
      </c>
      <c r="P143" s="5">
        <v>48</v>
      </c>
      <c r="Q143" s="5">
        <v>24</v>
      </c>
      <c r="R143" s="29">
        <f t="shared" si="21"/>
        <v>156</v>
      </c>
      <c r="S143" s="3">
        <f t="shared" si="23"/>
        <v>1.75</v>
      </c>
      <c r="T143" s="3">
        <v>1.06666666666667</v>
      </c>
      <c r="U143" s="3">
        <v>0.63829787234042556</v>
      </c>
      <c r="V143" s="5">
        <v>1</v>
      </c>
      <c r="W143" s="5" t="s">
        <v>122</v>
      </c>
      <c r="X143" s="5" t="s">
        <v>46</v>
      </c>
      <c r="Y143" s="5" t="s">
        <v>122</v>
      </c>
      <c r="AB143" s="29" t="str">
        <f t="shared" si="22"/>
        <v>Poly</v>
      </c>
      <c r="AC143" s="5">
        <v>80</v>
      </c>
      <c r="AD143" s="78">
        <f>61.8306/1250.81</f>
        <v>4.943244777384255E-2</v>
      </c>
      <c r="AE143" s="13">
        <v>1</v>
      </c>
      <c r="AF143" s="45" t="s">
        <v>103</v>
      </c>
      <c r="AG143" s="2" t="s">
        <v>102</v>
      </c>
      <c r="AH143" s="1"/>
      <c r="AI143" s="1"/>
      <c r="AJ143" s="2"/>
      <c r="AK143" s="1"/>
    </row>
    <row r="144" spans="1:38" ht="15" customHeight="1" x14ac:dyDescent="0.35">
      <c r="A144" s="4"/>
      <c r="B144" s="86"/>
      <c r="C144" s="5"/>
      <c r="D144" s="24"/>
      <c r="E144" s="5"/>
      <c r="F144" s="5"/>
      <c r="G144" s="5"/>
      <c r="O144" s="5"/>
      <c r="P144" s="5"/>
      <c r="Q144" s="5"/>
      <c r="S144" s="3"/>
      <c r="T144" s="3"/>
      <c r="U144" s="3"/>
      <c r="V144" s="5"/>
      <c r="W144" s="5"/>
      <c r="X144" s="5"/>
      <c r="Y144" s="5"/>
      <c r="AB144" s="29" t="str">
        <f t="shared" si="22"/>
        <v>Poly</v>
      </c>
      <c r="AC144" s="5"/>
      <c r="AD144" s="78"/>
      <c r="AE144" s="13">
        <v>0</v>
      </c>
      <c r="AF144" s="45"/>
      <c r="AG144" s="2"/>
      <c r="AH144" s="1"/>
      <c r="AI144" s="1"/>
      <c r="AJ144" s="2"/>
      <c r="AK144" s="1"/>
    </row>
    <row r="145" spans="1:37" ht="15" customHeight="1" x14ac:dyDescent="0.35">
      <c r="A145" s="4">
        <v>44700</v>
      </c>
      <c r="B145" s="86">
        <v>19</v>
      </c>
      <c r="C145" s="5" t="s">
        <v>64</v>
      </c>
      <c r="D145" s="24" t="s">
        <v>59</v>
      </c>
      <c r="E145" s="5" t="s">
        <v>127</v>
      </c>
      <c r="F145" s="5">
        <v>1000</v>
      </c>
      <c r="G145" s="5">
        <v>100</v>
      </c>
      <c r="H145" s="64" t="s">
        <v>49</v>
      </c>
      <c r="O145" s="5">
        <v>93</v>
      </c>
      <c r="P145" s="5">
        <v>36</v>
      </c>
      <c r="Q145" s="5">
        <v>24</v>
      </c>
      <c r="R145" s="29">
        <f t="shared" si="21"/>
        <v>153</v>
      </c>
      <c r="S145" s="3">
        <f t="shared" ref="S145:S153" si="24">O145/P145</f>
        <v>2.5833333333333335</v>
      </c>
      <c r="T145" s="3">
        <v>5.4</v>
      </c>
      <c r="U145" s="3">
        <v>1.1111111111111112</v>
      </c>
      <c r="V145" s="5">
        <v>1</v>
      </c>
      <c r="W145" s="5" t="s">
        <v>52</v>
      </c>
      <c r="X145" s="5" t="s">
        <v>45</v>
      </c>
      <c r="Y145" s="5"/>
      <c r="AB145" s="29" t="str">
        <f t="shared" si="22"/>
        <v>Single</v>
      </c>
      <c r="AC145" s="5">
        <v>100</v>
      </c>
      <c r="AD145" s="78">
        <f>(20.3907/1168.34+40.4862/1650.42+30.9435/1470.63)/3</f>
        <v>2.1008179937733875E-2</v>
      </c>
      <c r="AE145" s="13">
        <v>5</v>
      </c>
      <c r="AF145" s="45" t="s">
        <v>104</v>
      </c>
      <c r="AG145" s="2" t="s">
        <v>102</v>
      </c>
      <c r="AH145" s="1"/>
      <c r="AI145" s="1"/>
      <c r="AJ145" s="2"/>
      <c r="AK145" s="1"/>
    </row>
    <row r="146" spans="1:37" ht="15" customHeight="1" x14ac:dyDescent="0.35">
      <c r="A146" s="4">
        <v>44700</v>
      </c>
      <c r="B146" s="86">
        <v>19</v>
      </c>
      <c r="C146" s="5" t="s">
        <v>64</v>
      </c>
      <c r="D146" s="24" t="s">
        <v>59</v>
      </c>
      <c r="E146" s="5" t="s">
        <v>127</v>
      </c>
      <c r="F146" s="5">
        <v>1000</v>
      </c>
      <c r="G146" s="5">
        <v>100</v>
      </c>
      <c r="H146" s="64" t="s">
        <v>49</v>
      </c>
      <c r="O146" s="5">
        <v>93</v>
      </c>
      <c r="P146" s="5">
        <v>36</v>
      </c>
      <c r="Q146" s="5">
        <v>24</v>
      </c>
      <c r="R146" s="29">
        <f t="shared" si="21"/>
        <v>153</v>
      </c>
      <c r="S146" s="3">
        <f t="shared" si="24"/>
        <v>2.5833333333333335</v>
      </c>
      <c r="T146" s="3">
        <v>5.4</v>
      </c>
      <c r="U146" s="3">
        <v>1.1111111111111112</v>
      </c>
      <c r="V146" s="5">
        <v>1</v>
      </c>
      <c r="W146" s="5" t="s">
        <v>52</v>
      </c>
      <c r="X146" s="5" t="s">
        <v>46</v>
      </c>
      <c r="Y146" s="5"/>
      <c r="AB146" s="29" t="str">
        <f t="shared" si="22"/>
        <v>Poly</v>
      </c>
      <c r="AC146" s="5">
        <v>100</v>
      </c>
      <c r="AD146" s="78">
        <f>(27.065/2622.65+17.982/1959+19/1484)/3</f>
        <v>1.0767374113703716E-2</v>
      </c>
      <c r="AE146" s="13">
        <v>5</v>
      </c>
      <c r="AF146" s="45" t="s">
        <v>103</v>
      </c>
      <c r="AG146" s="2" t="s">
        <v>110</v>
      </c>
      <c r="AH146" s="1"/>
      <c r="AI146" s="1"/>
      <c r="AJ146" s="2"/>
      <c r="AK146" s="1"/>
    </row>
    <row r="147" spans="1:37" ht="15" customHeight="1" x14ac:dyDescent="0.35">
      <c r="A147" s="4">
        <v>44700</v>
      </c>
      <c r="B147" s="86">
        <v>20</v>
      </c>
      <c r="C147" s="5" t="s">
        <v>128</v>
      </c>
      <c r="D147" s="24" t="s">
        <v>42</v>
      </c>
      <c r="E147" s="5"/>
      <c r="F147" s="5">
        <v>1000</v>
      </c>
      <c r="G147" s="5">
        <v>200</v>
      </c>
      <c r="H147" s="64" t="s">
        <v>123</v>
      </c>
      <c r="O147" s="5">
        <v>121</v>
      </c>
      <c r="P147" s="5">
        <v>68</v>
      </c>
      <c r="Q147" s="5">
        <v>24</v>
      </c>
      <c r="R147" s="29">
        <f t="shared" si="21"/>
        <v>213</v>
      </c>
      <c r="S147" s="3">
        <f t="shared" si="24"/>
        <v>1.7794117647058822</v>
      </c>
      <c r="T147" s="3">
        <v>0.54166666666666663</v>
      </c>
      <c r="U147" s="3">
        <v>0.54285714285714282</v>
      </c>
      <c r="V147" s="5">
        <v>1</v>
      </c>
      <c r="W147" s="29" t="s">
        <v>44</v>
      </c>
      <c r="X147" s="5" t="s">
        <v>45</v>
      </c>
      <c r="Y147" s="5"/>
      <c r="AB147" s="29" t="str">
        <f t="shared" si="22"/>
        <v>Single</v>
      </c>
      <c r="AC147" s="5">
        <v>100</v>
      </c>
      <c r="AD147" s="78">
        <f>101.126/1309.97</f>
        <v>7.7197187721856228E-2</v>
      </c>
      <c r="AE147" s="13">
        <v>2</v>
      </c>
      <c r="AF147" s="45" t="s">
        <v>104</v>
      </c>
      <c r="AG147" s="2" t="s">
        <v>104</v>
      </c>
      <c r="AH147" s="1"/>
      <c r="AI147" s="1"/>
      <c r="AJ147" s="2"/>
      <c r="AK147" s="1"/>
    </row>
    <row r="148" spans="1:37" ht="15" customHeight="1" x14ac:dyDescent="0.35">
      <c r="A148" s="4">
        <v>44700</v>
      </c>
      <c r="B148" s="86">
        <v>20</v>
      </c>
      <c r="C148" s="5" t="s">
        <v>128</v>
      </c>
      <c r="D148" s="24" t="s">
        <v>42</v>
      </c>
      <c r="E148" s="5"/>
      <c r="F148" s="5">
        <v>1000</v>
      </c>
      <c r="G148" s="5">
        <v>200</v>
      </c>
      <c r="H148" s="64" t="s">
        <v>123</v>
      </c>
      <c r="O148" s="5">
        <v>121</v>
      </c>
      <c r="P148" s="5">
        <v>68</v>
      </c>
      <c r="Q148" s="5">
        <v>24</v>
      </c>
      <c r="R148" s="29">
        <f t="shared" si="21"/>
        <v>213</v>
      </c>
      <c r="S148" s="3">
        <f t="shared" si="24"/>
        <v>1.7794117647058822</v>
      </c>
      <c r="T148" s="3">
        <v>0.54166666666666663</v>
      </c>
      <c r="U148" s="3">
        <v>0.54285714285714282</v>
      </c>
      <c r="V148" s="5">
        <v>1</v>
      </c>
      <c r="W148" s="29" t="s">
        <v>44</v>
      </c>
      <c r="X148" s="5" t="s">
        <v>46</v>
      </c>
      <c r="Y148" s="5"/>
      <c r="AB148" s="29" t="str">
        <f t="shared" si="22"/>
        <v>Poly</v>
      </c>
      <c r="AC148" s="5">
        <v>100</v>
      </c>
      <c r="AD148" s="78">
        <f>18.0424/637.826</f>
        <v>2.8287338553147724E-2</v>
      </c>
      <c r="AE148" s="13">
        <v>1</v>
      </c>
      <c r="AF148" s="45" t="s">
        <v>102</v>
      </c>
      <c r="AG148" s="2" t="s">
        <v>102</v>
      </c>
      <c r="AH148" s="1"/>
      <c r="AI148" s="1"/>
      <c r="AJ148" s="2"/>
      <c r="AK148" s="1"/>
    </row>
    <row r="149" spans="1:37" ht="15" customHeight="1" x14ac:dyDescent="0.35">
      <c r="A149" s="4">
        <v>44700</v>
      </c>
      <c r="B149" s="86">
        <v>21</v>
      </c>
      <c r="C149" s="5" t="s">
        <v>129</v>
      </c>
      <c r="D149" s="24" t="s">
        <v>42</v>
      </c>
      <c r="E149" s="5"/>
      <c r="F149" s="5">
        <v>1000</v>
      </c>
      <c r="G149" s="5">
        <v>200</v>
      </c>
      <c r="H149" s="64" t="s">
        <v>123</v>
      </c>
      <c r="O149" s="5">
        <v>111</v>
      </c>
      <c r="P149" s="5">
        <v>42</v>
      </c>
      <c r="Q149" s="5">
        <v>24</v>
      </c>
      <c r="R149" s="29">
        <f t="shared" si="21"/>
        <v>177</v>
      </c>
      <c r="S149" s="3">
        <f t="shared" si="24"/>
        <v>2.6428571428571428</v>
      </c>
      <c r="T149" s="3">
        <v>1</v>
      </c>
      <c r="U149" s="3">
        <v>1.1190476190476191</v>
      </c>
      <c r="V149" s="5">
        <v>1</v>
      </c>
      <c r="W149" s="29" t="s">
        <v>44</v>
      </c>
      <c r="X149" s="5" t="s">
        <v>45</v>
      </c>
      <c r="Y149" s="5"/>
      <c r="AB149" s="29" t="str">
        <f t="shared" si="22"/>
        <v>Single</v>
      </c>
      <c r="AC149" s="5">
        <v>100</v>
      </c>
      <c r="AD149" s="78">
        <f>18.8672/1028.69</f>
        <v>1.8340996801757575E-2</v>
      </c>
      <c r="AE149" s="13">
        <v>5</v>
      </c>
      <c r="AF149" s="45" t="s">
        <v>104</v>
      </c>
      <c r="AG149" s="2" t="s">
        <v>102</v>
      </c>
      <c r="AH149" s="1"/>
      <c r="AI149" s="1"/>
      <c r="AJ149" s="2"/>
      <c r="AK149" s="1"/>
    </row>
    <row r="150" spans="1:37" ht="15" customHeight="1" x14ac:dyDescent="0.35">
      <c r="A150" s="4">
        <v>44700</v>
      </c>
      <c r="B150" s="86">
        <v>21</v>
      </c>
      <c r="C150" s="5" t="s">
        <v>129</v>
      </c>
      <c r="D150" s="24" t="s">
        <v>42</v>
      </c>
      <c r="E150" s="5"/>
      <c r="F150" s="5">
        <v>1000</v>
      </c>
      <c r="G150" s="5">
        <v>200</v>
      </c>
      <c r="O150" s="5">
        <v>111</v>
      </c>
      <c r="P150" s="5">
        <v>42</v>
      </c>
      <c r="Q150" s="5">
        <v>24</v>
      </c>
      <c r="R150" s="29">
        <f t="shared" si="21"/>
        <v>177</v>
      </c>
      <c r="S150" s="3">
        <f t="shared" si="24"/>
        <v>2.6428571428571428</v>
      </c>
      <c r="T150" s="3">
        <v>1</v>
      </c>
      <c r="U150" s="3">
        <v>1.1190476190476191</v>
      </c>
      <c r="V150" s="5">
        <v>1</v>
      </c>
      <c r="W150" s="29" t="s">
        <v>44</v>
      </c>
      <c r="X150" s="5" t="s">
        <v>46</v>
      </c>
      <c r="Y150" s="5"/>
      <c r="AB150" s="29" t="str">
        <f t="shared" si="22"/>
        <v>Poly</v>
      </c>
      <c r="AC150" s="5">
        <v>100</v>
      </c>
      <c r="AD150" s="78">
        <f>16.287/974.558</f>
        <v>1.6712191578130801E-2</v>
      </c>
      <c r="AE150" s="13">
        <v>5</v>
      </c>
      <c r="AF150" s="45" t="s">
        <v>102</v>
      </c>
      <c r="AG150" s="2" t="s">
        <v>102</v>
      </c>
      <c r="AH150" s="1"/>
      <c r="AI150" s="1"/>
      <c r="AJ150" s="2"/>
      <c r="AK150" s="1"/>
    </row>
    <row r="151" spans="1:37" ht="15" customHeight="1" x14ac:dyDescent="0.35">
      <c r="A151" s="4">
        <v>44700</v>
      </c>
      <c r="B151" s="86">
        <v>22</v>
      </c>
      <c r="C151" s="5" t="s">
        <v>130</v>
      </c>
      <c r="D151" s="24" t="s">
        <v>121</v>
      </c>
      <c r="E151" s="5"/>
      <c r="F151" s="5">
        <v>1000</v>
      </c>
      <c r="G151" s="5">
        <v>200</v>
      </c>
      <c r="H151" s="64" t="s">
        <v>131</v>
      </c>
      <c r="O151" s="5">
        <v>93</v>
      </c>
      <c r="P151" s="5">
        <v>60</v>
      </c>
      <c r="Q151" s="5">
        <v>24</v>
      </c>
      <c r="R151" s="29">
        <f t="shared" si="21"/>
        <v>177</v>
      </c>
      <c r="S151" s="3">
        <f t="shared" si="24"/>
        <v>1.55</v>
      </c>
      <c r="T151" s="3">
        <v>0.68181818181818177</v>
      </c>
      <c r="U151" s="3">
        <v>0.5</v>
      </c>
      <c r="V151" s="5">
        <v>1</v>
      </c>
      <c r="W151" s="5" t="s">
        <v>122</v>
      </c>
      <c r="X151" s="5" t="s">
        <v>46</v>
      </c>
      <c r="Y151" s="5" t="s">
        <v>122</v>
      </c>
      <c r="AB151" s="29" t="str">
        <f t="shared" si="22"/>
        <v>Poly</v>
      </c>
      <c r="AC151" s="5">
        <v>100</v>
      </c>
      <c r="AD151" s="78">
        <f>6.41895/508.247</f>
        <v>1.2629587582415636E-2</v>
      </c>
      <c r="AE151" s="13">
        <v>1</v>
      </c>
      <c r="AF151" s="45" t="s">
        <v>103</v>
      </c>
      <c r="AG151" s="2" t="s">
        <v>102</v>
      </c>
      <c r="AH151" s="1" t="s">
        <v>132</v>
      </c>
      <c r="AI151" s="1"/>
      <c r="AJ151" s="2"/>
      <c r="AK151" s="1"/>
    </row>
    <row r="152" spans="1:37" ht="15" customHeight="1" x14ac:dyDescent="0.35">
      <c r="A152" s="4">
        <v>44700</v>
      </c>
      <c r="B152" s="86">
        <v>22</v>
      </c>
      <c r="C152" s="5" t="s">
        <v>130</v>
      </c>
      <c r="D152" s="24" t="s">
        <v>121</v>
      </c>
      <c r="E152" s="5"/>
      <c r="F152" s="5">
        <v>1000</v>
      </c>
      <c r="G152" s="5">
        <v>200</v>
      </c>
      <c r="H152" s="64" t="s">
        <v>133</v>
      </c>
      <c r="O152" s="5">
        <v>93</v>
      </c>
      <c r="P152" s="5">
        <v>60</v>
      </c>
      <c r="Q152" s="5">
        <v>24</v>
      </c>
      <c r="R152" s="29">
        <f t="shared" si="21"/>
        <v>177</v>
      </c>
      <c r="S152" s="3">
        <f t="shared" si="24"/>
        <v>1.55</v>
      </c>
      <c r="T152" s="3">
        <v>0.68181818181818177</v>
      </c>
      <c r="U152" s="3">
        <v>0.5</v>
      </c>
      <c r="V152" s="5">
        <v>1</v>
      </c>
      <c r="W152" s="5" t="s">
        <v>122</v>
      </c>
      <c r="X152" s="5" t="s">
        <v>46</v>
      </c>
      <c r="Y152" s="5" t="s">
        <v>122</v>
      </c>
      <c r="AB152" s="29" t="str">
        <f t="shared" si="22"/>
        <v>Poly</v>
      </c>
      <c r="AC152" s="5">
        <v>100</v>
      </c>
      <c r="AD152" s="78">
        <f>27.5262/1988.68</f>
        <v>1.3841442564917431E-2</v>
      </c>
      <c r="AE152" s="13">
        <v>1</v>
      </c>
      <c r="AF152" s="45" t="s">
        <v>104</v>
      </c>
      <c r="AG152" s="2" t="s">
        <v>102</v>
      </c>
      <c r="AH152" s="1"/>
      <c r="AI152" s="1"/>
      <c r="AJ152" s="2"/>
      <c r="AK152" s="1"/>
    </row>
    <row r="153" spans="1:37" ht="15" customHeight="1" x14ac:dyDescent="0.35">
      <c r="A153" s="4">
        <v>44700</v>
      </c>
      <c r="B153" s="86">
        <v>22</v>
      </c>
      <c r="C153" s="5" t="s">
        <v>134</v>
      </c>
      <c r="D153" s="24" t="s">
        <v>121</v>
      </c>
      <c r="E153" s="5"/>
      <c r="F153" s="5">
        <v>1000</v>
      </c>
      <c r="G153" s="5">
        <v>400</v>
      </c>
      <c r="H153" s="64" t="s">
        <v>131</v>
      </c>
      <c r="O153" s="5">
        <v>93</v>
      </c>
      <c r="P153" s="5">
        <v>60</v>
      </c>
      <c r="Q153" s="5">
        <v>24</v>
      </c>
      <c r="R153" s="29">
        <f t="shared" si="21"/>
        <v>177</v>
      </c>
      <c r="S153" s="3">
        <f t="shared" si="24"/>
        <v>1.55</v>
      </c>
      <c r="T153" s="3">
        <v>0.68181818181818177</v>
      </c>
      <c r="U153" s="3">
        <v>0.5</v>
      </c>
      <c r="V153" s="5">
        <v>1</v>
      </c>
      <c r="W153" s="5" t="s">
        <v>122</v>
      </c>
      <c r="X153" s="5" t="s">
        <v>46</v>
      </c>
      <c r="Y153" s="5" t="s">
        <v>122</v>
      </c>
      <c r="AB153" s="29" t="str">
        <f t="shared" si="22"/>
        <v>Poly</v>
      </c>
      <c r="AC153" s="5">
        <v>80</v>
      </c>
      <c r="AD153" s="78"/>
      <c r="AE153" s="14">
        <v>1</v>
      </c>
      <c r="AF153" s="45" t="s">
        <v>103</v>
      </c>
      <c r="AG153" s="2" t="s">
        <v>104</v>
      </c>
      <c r="AH153" s="1"/>
      <c r="AI153" s="1"/>
      <c r="AJ153" s="2"/>
      <c r="AK153" s="1"/>
    </row>
    <row r="154" spans="1:37" ht="15" customHeight="1" x14ac:dyDescent="0.35">
      <c r="A154" s="4"/>
      <c r="B154" s="86"/>
      <c r="C154" s="5"/>
      <c r="D154" s="24"/>
      <c r="E154" s="5"/>
      <c r="F154" s="5"/>
      <c r="G154" s="5"/>
      <c r="O154" s="5"/>
      <c r="P154" s="5"/>
      <c r="Q154" s="5"/>
      <c r="S154" s="3"/>
      <c r="T154" s="3"/>
      <c r="U154" s="3"/>
      <c r="V154" s="5"/>
      <c r="W154" s="5"/>
      <c r="X154" s="5"/>
      <c r="Y154" s="5"/>
      <c r="AB154" s="29" t="str">
        <f t="shared" si="22"/>
        <v>Poly</v>
      </c>
      <c r="AC154" s="5"/>
      <c r="AD154" s="78"/>
      <c r="AE154" s="13">
        <v>0</v>
      </c>
      <c r="AF154" s="45"/>
      <c r="AG154" s="2"/>
      <c r="AH154" s="1"/>
      <c r="AI154" s="1"/>
      <c r="AJ154" s="2"/>
      <c r="AK154" s="1"/>
    </row>
    <row r="155" spans="1:37" ht="15" customHeight="1" x14ac:dyDescent="0.35">
      <c r="A155" s="4">
        <v>44701</v>
      </c>
      <c r="B155" s="86">
        <v>23</v>
      </c>
      <c r="C155" s="5" t="s">
        <v>48</v>
      </c>
      <c r="D155" s="24" t="s">
        <v>94</v>
      </c>
      <c r="E155" s="5" t="s">
        <v>135</v>
      </c>
      <c r="F155" s="5">
        <v>1050</v>
      </c>
      <c r="G155" s="5">
        <v>200</v>
      </c>
      <c r="H155" s="64" t="s">
        <v>49</v>
      </c>
      <c r="O155" s="5">
        <v>84</v>
      </c>
      <c r="P155" s="5">
        <v>48</v>
      </c>
      <c r="Q155" s="5">
        <v>24</v>
      </c>
      <c r="R155" s="29">
        <f t="shared" si="21"/>
        <v>156</v>
      </c>
      <c r="S155" s="3">
        <v>1.75</v>
      </c>
      <c r="T155" s="3">
        <v>1.07</v>
      </c>
      <c r="U155" s="3">
        <v>0.64</v>
      </c>
      <c r="V155" s="5">
        <v>5</v>
      </c>
      <c r="W155" s="5" t="s">
        <v>52</v>
      </c>
      <c r="X155" s="5" t="s">
        <v>45</v>
      </c>
      <c r="Y155" s="5"/>
      <c r="AB155" s="29" t="str">
        <f t="shared" si="22"/>
        <v>Single</v>
      </c>
      <c r="AC155" s="5">
        <v>100</v>
      </c>
      <c r="AD155" s="78">
        <f>(52.0631/1087.39+77.9505/1020.36+51.5211/1087.66+61.3062/1023.15+52.6867/1048.55+63.8561/998.721+26.0451/1752.03)/7</f>
        <v>5.1516089610898139E-2</v>
      </c>
      <c r="AE155" s="13">
        <v>1</v>
      </c>
      <c r="AF155" s="45" t="s">
        <v>102</v>
      </c>
      <c r="AG155" s="2" t="s">
        <v>102</v>
      </c>
      <c r="AH155" s="1"/>
      <c r="AI155" s="1"/>
      <c r="AJ155" s="2"/>
      <c r="AK155" s="1"/>
    </row>
    <row r="156" spans="1:37" ht="15" customHeight="1" x14ac:dyDescent="0.35">
      <c r="A156" s="4">
        <v>44701</v>
      </c>
      <c r="B156" s="87">
        <v>23</v>
      </c>
      <c r="C156" s="6" t="s">
        <v>48</v>
      </c>
      <c r="D156" s="24" t="s">
        <v>94</v>
      </c>
      <c r="E156" s="5" t="s">
        <v>135</v>
      </c>
      <c r="F156" s="5">
        <v>1050</v>
      </c>
      <c r="G156" s="5">
        <v>200</v>
      </c>
      <c r="H156" s="64" t="s">
        <v>49</v>
      </c>
      <c r="O156" s="5">
        <v>84</v>
      </c>
      <c r="P156" s="5">
        <v>48</v>
      </c>
      <c r="Q156" s="5">
        <v>24</v>
      </c>
      <c r="R156" s="29">
        <f t="shared" si="21"/>
        <v>156</v>
      </c>
      <c r="S156" s="3">
        <v>1.75</v>
      </c>
      <c r="T156" s="3">
        <v>1.07</v>
      </c>
      <c r="U156" s="3">
        <v>0.64</v>
      </c>
      <c r="V156" s="5">
        <v>5</v>
      </c>
      <c r="W156" s="5" t="s">
        <v>52</v>
      </c>
      <c r="X156" s="5" t="s">
        <v>46</v>
      </c>
      <c r="Y156" s="5"/>
      <c r="AB156" s="29" t="str">
        <f t="shared" si="22"/>
        <v>Poly</v>
      </c>
      <c r="AC156" s="5">
        <v>100</v>
      </c>
      <c r="AD156" s="96">
        <f>(7.5565/633.723+15.1457/850.155+7.54938/633.733+7.71842/520.431+10.4686/744.111)/5</f>
        <v>1.411023609261668E-2</v>
      </c>
      <c r="AE156" s="13">
        <v>1</v>
      </c>
      <c r="AF156" s="45" t="s">
        <v>110</v>
      </c>
      <c r="AG156" s="2" t="s">
        <v>102</v>
      </c>
      <c r="AH156" s="1"/>
      <c r="AI156" s="1"/>
      <c r="AJ156" s="2"/>
      <c r="AK156" s="1"/>
    </row>
    <row r="157" spans="1:37" ht="15" customHeight="1" x14ac:dyDescent="0.35">
      <c r="A157" s="4">
        <v>44702</v>
      </c>
      <c r="B157" s="86">
        <v>24</v>
      </c>
      <c r="C157" s="5" t="s">
        <v>136</v>
      </c>
      <c r="D157" s="24" t="s">
        <v>42</v>
      </c>
      <c r="E157" s="5"/>
      <c r="F157" s="5">
        <v>1050</v>
      </c>
      <c r="G157" s="5">
        <v>200</v>
      </c>
      <c r="H157" s="64" t="s">
        <v>137</v>
      </c>
      <c r="O157" s="5">
        <v>93</v>
      </c>
      <c r="P157" s="5">
        <v>60</v>
      </c>
      <c r="Q157" s="5">
        <v>24</v>
      </c>
      <c r="R157" s="29">
        <f t="shared" si="21"/>
        <v>177</v>
      </c>
      <c r="S157" s="3">
        <v>1.55</v>
      </c>
      <c r="T157" s="3">
        <v>0.68</v>
      </c>
      <c r="U157" s="3">
        <v>0.5</v>
      </c>
      <c r="V157" s="5">
        <v>1</v>
      </c>
      <c r="W157" s="5" t="s">
        <v>52</v>
      </c>
      <c r="X157" s="5" t="s">
        <v>45</v>
      </c>
      <c r="Y157" s="5"/>
      <c r="AB157" s="29" t="str">
        <f t="shared" si="22"/>
        <v>Single</v>
      </c>
      <c r="AC157" s="5">
        <v>100</v>
      </c>
      <c r="AD157" s="78">
        <f>22.0432/1153.85</f>
        <v>1.9104042986523379E-2</v>
      </c>
      <c r="AE157" s="13">
        <v>0</v>
      </c>
      <c r="AF157" s="45" t="s">
        <v>104</v>
      </c>
      <c r="AG157" s="2" t="s">
        <v>102</v>
      </c>
      <c r="AH157" s="1"/>
      <c r="AI157" s="1"/>
      <c r="AJ157" s="2"/>
      <c r="AK157" s="1"/>
    </row>
    <row r="158" spans="1:37" ht="15" customHeight="1" x14ac:dyDescent="0.35">
      <c r="A158" s="4">
        <v>44702</v>
      </c>
      <c r="B158" s="86">
        <v>24</v>
      </c>
      <c r="C158" s="5" t="s">
        <v>136</v>
      </c>
      <c r="D158" s="24" t="s">
        <v>42</v>
      </c>
      <c r="E158" s="5"/>
      <c r="F158" s="5">
        <v>1050</v>
      </c>
      <c r="G158" s="5">
        <v>200</v>
      </c>
      <c r="H158" s="64" t="s">
        <v>137</v>
      </c>
      <c r="O158" s="5">
        <v>93</v>
      </c>
      <c r="P158" s="5">
        <v>60</v>
      </c>
      <c r="Q158" s="5">
        <v>24</v>
      </c>
      <c r="R158" s="29">
        <f t="shared" si="21"/>
        <v>177</v>
      </c>
      <c r="S158" s="3">
        <v>1.55</v>
      </c>
      <c r="T158" s="3">
        <v>0.68</v>
      </c>
      <c r="U158" s="3">
        <v>0.5</v>
      </c>
      <c r="V158" s="5">
        <v>1</v>
      </c>
      <c r="W158" s="5" t="s">
        <v>52</v>
      </c>
      <c r="X158" s="5" t="s">
        <v>46</v>
      </c>
      <c r="Y158" s="5"/>
      <c r="AB158" s="29" t="str">
        <f t="shared" si="22"/>
        <v>Poly</v>
      </c>
      <c r="AC158" s="5">
        <v>100</v>
      </c>
      <c r="AD158" s="78">
        <f>6.04522/796.406</f>
        <v>7.5906258867964333E-3</v>
      </c>
      <c r="AE158" s="13">
        <v>0</v>
      </c>
      <c r="AF158" s="45" t="s">
        <v>103</v>
      </c>
      <c r="AG158" s="2" t="s">
        <v>102</v>
      </c>
      <c r="AH158" s="1"/>
      <c r="AI158" s="1"/>
      <c r="AJ158" s="2"/>
      <c r="AK158" s="1"/>
    </row>
    <row r="159" spans="1:37" ht="15" customHeight="1" x14ac:dyDescent="0.35">
      <c r="A159" s="4">
        <v>44702</v>
      </c>
      <c r="B159" s="86">
        <v>25</v>
      </c>
      <c r="C159" s="5" t="s">
        <v>134</v>
      </c>
      <c r="D159" s="24" t="s">
        <v>42</v>
      </c>
      <c r="E159" s="5"/>
      <c r="F159" s="5">
        <v>1050</v>
      </c>
      <c r="G159" s="5">
        <v>100</v>
      </c>
      <c r="H159" s="64" t="s">
        <v>49</v>
      </c>
      <c r="O159" s="5">
        <v>93</v>
      </c>
      <c r="P159" s="5">
        <v>36</v>
      </c>
      <c r="Q159" s="5">
        <v>24</v>
      </c>
      <c r="R159" s="29">
        <f t="shared" si="21"/>
        <v>153</v>
      </c>
      <c r="S159" s="3">
        <f>O159/P159</f>
        <v>2.5833333333333335</v>
      </c>
      <c r="T159" s="3">
        <v>5.6</v>
      </c>
      <c r="U159" s="3">
        <v>1.1111111111111112</v>
      </c>
      <c r="V159" s="5">
        <v>1</v>
      </c>
      <c r="W159" s="29" t="s">
        <v>44</v>
      </c>
      <c r="X159" s="5" t="s">
        <v>46</v>
      </c>
      <c r="Y159" s="5"/>
      <c r="AB159" s="29" t="str">
        <f t="shared" si="22"/>
        <v>Poly</v>
      </c>
      <c r="AC159" s="5">
        <v>100</v>
      </c>
      <c r="AD159" s="78">
        <f>88.282/6140.22</f>
        <v>1.4377660735283099E-2</v>
      </c>
      <c r="AE159" s="63">
        <v>25</v>
      </c>
      <c r="AF159" s="45" t="s">
        <v>104</v>
      </c>
      <c r="AG159" s="1" t="s">
        <v>104</v>
      </c>
      <c r="AH159" s="1"/>
      <c r="AI159" s="1"/>
      <c r="AJ159" s="2"/>
      <c r="AK159" s="1"/>
    </row>
    <row r="160" spans="1:37" ht="15" customHeight="1" thickBot="1" x14ac:dyDescent="0.4">
      <c r="A160" s="4"/>
      <c r="B160" s="86"/>
      <c r="C160" s="5"/>
      <c r="D160" s="24"/>
      <c r="E160" s="5"/>
      <c r="F160" s="5"/>
      <c r="G160" s="5"/>
      <c r="O160" s="5"/>
      <c r="P160" s="5"/>
      <c r="Q160" s="5"/>
      <c r="S160" s="3"/>
      <c r="T160" s="3"/>
      <c r="U160" s="3"/>
      <c r="V160" s="5"/>
      <c r="W160" s="5"/>
      <c r="X160" s="5"/>
      <c r="Y160" s="5"/>
      <c r="AC160" s="5"/>
      <c r="AD160" s="78"/>
      <c r="AE160" s="63"/>
      <c r="AF160" s="45"/>
      <c r="AG160" s="1"/>
      <c r="AH160" s="1"/>
      <c r="AI160" s="1"/>
      <c r="AJ160" s="2"/>
      <c r="AK160" s="1"/>
    </row>
    <row r="161" spans="1:42" ht="15" customHeight="1" thickBot="1" x14ac:dyDescent="0.4">
      <c r="A161" s="102"/>
      <c r="B161" s="88"/>
      <c r="C161" s="34"/>
      <c r="D161" s="49"/>
      <c r="E161" s="34"/>
      <c r="F161" s="34"/>
      <c r="G161" s="34"/>
      <c r="H161" s="73"/>
      <c r="I161" s="39"/>
      <c r="J161" s="66"/>
      <c r="K161" s="66"/>
      <c r="L161" s="66"/>
      <c r="M161" s="39"/>
      <c r="N161" s="39"/>
      <c r="O161" s="34"/>
      <c r="P161" s="34"/>
      <c r="Q161" s="34"/>
      <c r="R161" s="39"/>
      <c r="S161" s="37"/>
      <c r="T161" s="37"/>
      <c r="U161" s="37"/>
      <c r="V161" s="34"/>
      <c r="W161" s="34"/>
      <c r="X161" s="34"/>
      <c r="Y161" s="34"/>
      <c r="Z161" s="80"/>
      <c r="AA161" s="30"/>
      <c r="AB161" s="39"/>
      <c r="AC161" s="34"/>
      <c r="AD161" s="98"/>
      <c r="AE161" s="35"/>
      <c r="AF161" s="54"/>
      <c r="AG161" s="42"/>
      <c r="AH161" s="41"/>
      <c r="AI161" s="41"/>
      <c r="AJ161" s="42"/>
      <c r="AK161" s="41"/>
      <c r="AL161" s="30"/>
      <c r="AM161" s="30"/>
      <c r="AN161" s="30"/>
      <c r="AO161" s="30"/>
      <c r="AP161" s="30"/>
    </row>
    <row r="162" spans="1:42" ht="15" customHeight="1" x14ac:dyDescent="0.35">
      <c r="A162" s="4"/>
      <c r="B162" s="86"/>
      <c r="C162" s="5"/>
      <c r="D162" s="24"/>
      <c r="E162" s="5"/>
      <c r="F162" s="5"/>
      <c r="G162" s="5"/>
      <c r="O162" s="5"/>
      <c r="P162" s="5"/>
      <c r="Q162" s="5"/>
      <c r="R162" s="3"/>
      <c r="S162" s="3"/>
      <c r="T162" s="3"/>
      <c r="U162" s="3"/>
      <c r="V162" s="5"/>
      <c r="W162" s="5"/>
      <c r="X162" s="5"/>
      <c r="Y162" s="5"/>
      <c r="Z162" s="81"/>
      <c r="AA162" s="40"/>
      <c r="AB162" s="6"/>
      <c r="AC162" s="5"/>
      <c r="AD162" s="97"/>
      <c r="AE162" s="6"/>
      <c r="AF162" s="45"/>
      <c r="AG162" s="1"/>
    </row>
    <row r="163" spans="1:42" ht="15" customHeight="1" x14ac:dyDescent="0.35">
      <c r="A163" s="4">
        <v>44718</v>
      </c>
      <c r="B163" s="86">
        <v>1</v>
      </c>
      <c r="C163" s="5" t="s">
        <v>48</v>
      </c>
      <c r="D163" s="24" t="s">
        <v>42</v>
      </c>
      <c r="E163" s="5"/>
      <c r="F163" s="5">
        <v>1000</v>
      </c>
      <c r="G163" s="5">
        <v>200</v>
      </c>
      <c r="M163" s="29" t="s">
        <v>16</v>
      </c>
      <c r="O163" s="5">
        <v>84</v>
      </c>
      <c r="P163" s="5">
        <v>48</v>
      </c>
      <c r="Q163" s="5">
        <v>24</v>
      </c>
      <c r="R163" s="5">
        <f t="shared" ref="R163:R173" si="25">O163+P163+Q163</f>
        <v>156</v>
      </c>
      <c r="S163" s="3">
        <f t="shared" ref="S163:S173" si="26">O163/P163</f>
        <v>1.75</v>
      </c>
      <c r="T163" s="3">
        <v>1.06666666666667</v>
      </c>
      <c r="U163" s="3">
        <v>0.63829787234042556</v>
      </c>
      <c r="V163" s="5">
        <v>1</v>
      </c>
      <c r="W163" s="29" t="s">
        <v>44</v>
      </c>
      <c r="X163" s="5" t="s">
        <v>45</v>
      </c>
      <c r="Y163" s="5"/>
      <c r="AB163" s="5" t="s">
        <v>138</v>
      </c>
      <c r="AC163" s="5">
        <v>100</v>
      </c>
      <c r="AD163" s="78">
        <v>0.09</v>
      </c>
      <c r="AE163" s="13">
        <v>1</v>
      </c>
      <c r="AF163" s="45" t="s">
        <v>104</v>
      </c>
      <c r="AG163" s="2" t="s">
        <v>104</v>
      </c>
      <c r="AH163" s="6" t="s">
        <v>139</v>
      </c>
      <c r="AI163" s="7"/>
      <c r="AJ163" s="2"/>
      <c r="AK163" s="6"/>
      <c r="AL163" s="6"/>
      <c r="AM163" s="6"/>
      <c r="AN163" s="6"/>
    </row>
    <row r="164" spans="1:42" ht="15" customHeight="1" x14ac:dyDescent="0.35">
      <c r="A164" s="4">
        <v>44718</v>
      </c>
      <c r="B164" s="86">
        <v>1</v>
      </c>
      <c r="C164" s="5" t="s">
        <v>48</v>
      </c>
      <c r="D164" s="24" t="s">
        <v>42</v>
      </c>
      <c r="E164" s="5"/>
      <c r="F164" s="5">
        <v>1000</v>
      </c>
      <c r="G164" s="5">
        <v>200</v>
      </c>
      <c r="M164" s="29" t="s">
        <v>16</v>
      </c>
      <c r="O164" s="5">
        <v>84</v>
      </c>
      <c r="P164" s="5">
        <v>48</v>
      </c>
      <c r="Q164" s="5">
        <v>24</v>
      </c>
      <c r="R164" s="5">
        <f t="shared" si="25"/>
        <v>156</v>
      </c>
      <c r="S164" s="3">
        <f t="shared" si="26"/>
        <v>1.75</v>
      </c>
      <c r="T164" s="3">
        <v>1.06666666666667</v>
      </c>
      <c r="U164" s="3">
        <v>0.63829787234042556</v>
      </c>
      <c r="V164" s="5">
        <v>1</v>
      </c>
      <c r="W164" s="29" t="s">
        <v>44</v>
      </c>
      <c r="X164" s="5" t="s">
        <v>46</v>
      </c>
      <c r="Y164" s="5"/>
      <c r="AB164" s="5" t="s">
        <v>138</v>
      </c>
      <c r="AC164" s="5">
        <v>100</v>
      </c>
      <c r="AD164" s="78">
        <v>0.02</v>
      </c>
      <c r="AE164" s="13">
        <v>1</v>
      </c>
      <c r="AF164" s="45" t="s">
        <v>102</v>
      </c>
      <c r="AG164" s="2" t="s">
        <v>104</v>
      </c>
      <c r="AH164" s="6"/>
      <c r="AI164" s="7"/>
      <c r="AJ164" s="2"/>
      <c r="AK164" s="6"/>
      <c r="AL164" s="6"/>
      <c r="AM164" s="6"/>
      <c r="AN164" s="6"/>
    </row>
    <row r="165" spans="1:42" ht="15" customHeight="1" x14ac:dyDescent="0.35">
      <c r="A165" s="4">
        <v>44718</v>
      </c>
      <c r="B165" s="86">
        <v>2</v>
      </c>
      <c r="C165" s="5" t="s">
        <v>74</v>
      </c>
      <c r="D165" s="24" t="s">
        <v>42</v>
      </c>
      <c r="E165" s="5"/>
      <c r="F165" s="5">
        <v>1000</v>
      </c>
      <c r="G165" s="5">
        <v>100</v>
      </c>
      <c r="M165" s="29" t="s">
        <v>16</v>
      </c>
      <c r="O165" s="5">
        <v>123</v>
      </c>
      <c r="P165" s="5">
        <v>36</v>
      </c>
      <c r="Q165" s="5">
        <v>24</v>
      </c>
      <c r="R165" s="5">
        <f t="shared" si="25"/>
        <v>183</v>
      </c>
      <c r="S165" s="3">
        <f t="shared" si="26"/>
        <v>3.4166666666666665</v>
      </c>
      <c r="T165" s="3">
        <f>43/4.6</f>
        <v>9.3478260869565233</v>
      </c>
      <c r="U165" s="3">
        <f>54/33</f>
        <v>1.6363636363636365</v>
      </c>
      <c r="V165" s="5">
        <v>1</v>
      </c>
      <c r="W165" s="29" t="s">
        <v>44</v>
      </c>
      <c r="X165" s="5" t="s">
        <v>45</v>
      </c>
      <c r="Y165" s="5"/>
      <c r="AB165" s="5" t="s">
        <v>138</v>
      </c>
      <c r="AC165" s="5">
        <v>99</v>
      </c>
      <c r="AD165" s="78">
        <v>0.04</v>
      </c>
      <c r="AE165" s="13">
        <v>5</v>
      </c>
      <c r="AF165" s="45" t="s">
        <v>104</v>
      </c>
      <c r="AG165" s="2" t="s">
        <v>102</v>
      </c>
      <c r="AH165" s="6"/>
      <c r="AI165" s="7"/>
      <c r="AJ165" s="2"/>
      <c r="AK165" s="6"/>
      <c r="AL165" s="6"/>
      <c r="AM165" s="6"/>
      <c r="AN165" s="6"/>
    </row>
    <row r="166" spans="1:42" ht="15" customHeight="1" x14ac:dyDescent="0.35">
      <c r="A166" s="4">
        <v>44718</v>
      </c>
      <c r="B166" s="86">
        <v>2</v>
      </c>
      <c r="C166" s="5" t="s">
        <v>74</v>
      </c>
      <c r="D166" s="24" t="s">
        <v>42</v>
      </c>
      <c r="E166" s="5"/>
      <c r="F166" s="5">
        <v>1000</v>
      </c>
      <c r="G166" s="5">
        <v>100</v>
      </c>
      <c r="M166" s="29" t="s">
        <v>16</v>
      </c>
      <c r="O166" s="5">
        <v>123</v>
      </c>
      <c r="P166" s="5">
        <v>36</v>
      </c>
      <c r="Q166" s="5">
        <v>24</v>
      </c>
      <c r="R166" s="5">
        <f t="shared" si="25"/>
        <v>183</v>
      </c>
      <c r="S166" s="3">
        <f t="shared" si="26"/>
        <v>3.4166666666666665</v>
      </c>
      <c r="T166" s="3">
        <f>43/4.6</f>
        <v>9.3478260869565233</v>
      </c>
      <c r="U166" s="3">
        <f>54/33</f>
        <v>1.6363636363636365</v>
      </c>
      <c r="V166" s="5">
        <v>1</v>
      </c>
      <c r="W166" s="29" t="s">
        <v>44</v>
      </c>
      <c r="X166" s="5" t="s">
        <v>46</v>
      </c>
      <c r="Y166" s="5"/>
      <c r="AB166" s="5" t="s">
        <v>138</v>
      </c>
      <c r="AC166" s="5">
        <v>100</v>
      </c>
      <c r="AD166" s="96">
        <v>0.03</v>
      </c>
      <c r="AE166" s="13">
        <v>5</v>
      </c>
      <c r="AF166" s="45" t="s">
        <v>104</v>
      </c>
      <c r="AG166" s="2" t="s">
        <v>102</v>
      </c>
      <c r="AH166" s="6"/>
      <c r="AI166" s="7"/>
      <c r="AJ166" s="2"/>
      <c r="AK166" s="6"/>
      <c r="AL166" s="6"/>
      <c r="AM166" s="6"/>
      <c r="AN166" s="6"/>
    </row>
    <row r="167" spans="1:42" ht="15" customHeight="1" x14ac:dyDescent="0.35">
      <c r="A167" s="4">
        <v>44718</v>
      </c>
      <c r="B167" s="86">
        <v>3</v>
      </c>
      <c r="C167" s="5" t="s">
        <v>130</v>
      </c>
      <c r="D167" s="24" t="s">
        <v>42</v>
      </c>
      <c r="E167" s="5"/>
      <c r="F167" s="5">
        <v>1000</v>
      </c>
      <c r="G167" s="5">
        <v>200</v>
      </c>
      <c r="M167" s="29" t="s">
        <v>16</v>
      </c>
      <c r="O167" s="5">
        <v>93</v>
      </c>
      <c r="P167" s="5">
        <v>60</v>
      </c>
      <c r="Q167" s="5">
        <v>24</v>
      </c>
      <c r="R167" s="5">
        <f t="shared" si="25"/>
        <v>177</v>
      </c>
      <c r="S167" s="3">
        <f t="shared" si="26"/>
        <v>1.55</v>
      </c>
      <c r="T167" s="3">
        <v>0.68181818181818177</v>
      </c>
      <c r="U167" s="3">
        <v>0.5</v>
      </c>
      <c r="V167" s="5">
        <v>1</v>
      </c>
      <c r="W167" s="29" t="s">
        <v>44</v>
      </c>
      <c r="X167" s="5" t="s">
        <v>45</v>
      </c>
      <c r="Y167" s="5"/>
      <c r="AB167" s="5" t="s">
        <v>138</v>
      </c>
      <c r="AC167" s="5">
        <v>100</v>
      </c>
      <c r="AD167" s="78">
        <v>0.04</v>
      </c>
      <c r="AE167" s="13">
        <v>0</v>
      </c>
      <c r="AF167" s="45" t="s">
        <v>104</v>
      </c>
      <c r="AG167" s="2" t="s">
        <v>104</v>
      </c>
      <c r="AH167" s="6"/>
      <c r="AI167" s="7"/>
      <c r="AJ167" s="2"/>
      <c r="AK167" s="6"/>
      <c r="AL167" s="6"/>
      <c r="AM167" s="6"/>
      <c r="AN167" s="6"/>
    </row>
    <row r="168" spans="1:42" ht="15" customHeight="1" x14ac:dyDescent="0.35">
      <c r="A168" s="4">
        <v>44718</v>
      </c>
      <c r="B168" s="86">
        <v>3</v>
      </c>
      <c r="C168" s="5" t="s">
        <v>130</v>
      </c>
      <c r="D168" s="24" t="s">
        <v>42</v>
      </c>
      <c r="E168" s="5"/>
      <c r="F168" s="5">
        <v>1000</v>
      </c>
      <c r="G168" s="5">
        <v>200</v>
      </c>
      <c r="M168" s="29" t="s">
        <v>16</v>
      </c>
      <c r="O168" s="5">
        <v>93</v>
      </c>
      <c r="P168" s="5">
        <v>60</v>
      </c>
      <c r="Q168" s="5">
        <v>24</v>
      </c>
      <c r="R168" s="5">
        <f t="shared" si="25"/>
        <v>177</v>
      </c>
      <c r="S168" s="3">
        <f t="shared" si="26"/>
        <v>1.55</v>
      </c>
      <c r="T168" s="3">
        <v>0.68181818181818177</v>
      </c>
      <c r="U168" s="3">
        <v>0.5</v>
      </c>
      <c r="V168" s="5">
        <v>1</v>
      </c>
      <c r="W168" s="29" t="s">
        <v>44</v>
      </c>
      <c r="X168" s="5" t="s">
        <v>46</v>
      </c>
      <c r="Y168" s="5"/>
      <c r="AB168" s="5" t="s">
        <v>138</v>
      </c>
      <c r="AC168" s="5">
        <v>100</v>
      </c>
      <c r="AD168" s="78">
        <v>0.2</v>
      </c>
      <c r="AE168" s="13">
        <v>0</v>
      </c>
      <c r="AF168" s="45" t="s">
        <v>104</v>
      </c>
      <c r="AG168" s="2" t="s">
        <v>104</v>
      </c>
      <c r="AH168" s="6"/>
      <c r="AI168" s="7"/>
      <c r="AL168" s="2"/>
      <c r="AM168" s="6"/>
      <c r="AN168" s="6"/>
    </row>
    <row r="169" spans="1:42" ht="15" customHeight="1" x14ac:dyDescent="0.35">
      <c r="A169" s="4">
        <v>44718</v>
      </c>
      <c r="B169" s="86">
        <v>4</v>
      </c>
      <c r="C169" s="5" t="s">
        <v>140</v>
      </c>
      <c r="D169" s="24" t="s">
        <v>42</v>
      </c>
      <c r="E169" s="5"/>
      <c r="F169" s="5">
        <v>1000</v>
      </c>
      <c r="G169" s="5">
        <v>200</v>
      </c>
      <c r="M169" s="29" t="s">
        <v>16</v>
      </c>
      <c r="O169" s="5">
        <v>117</v>
      </c>
      <c r="P169" s="5">
        <v>60</v>
      </c>
      <c r="Q169" s="5">
        <v>0</v>
      </c>
      <c r="R169" s="5">
        <f t="shared" si="25"/>
        <v>177</v>
      </c>
      <c r="S169" s="3">
        <f t="shared" si="26"/>
        <v>1.95</v>
      </c>
      <c r="T169" s="3">
        <f>16/23</f>
        <v>0.69565217391304346</v>
      </c>
      <c r="U169" s="3">
        <f>28.5/60</f>
        <v>0.47499999999999998</v>
      </c>
      <c r="V169" s="5">
        <v>1</v>
      </c>
      <c r="W169" s="29" t="s">
        <v>44</v>
      </c>
      <c r="X169" s="5" t="s">
        <v>45</v>
      </c>
      <c r="Y169" s="5"/>
      <c r="AB169" s="5" t="s">
        <v>138</v>
      </c>
      <c r="AC169" s="5">
        <v>100</v>
      </c>
      <c r="AD169" s="78">
        <v>0.26</v>
      </c>
      <c r="AE169" s="13">
        <v>0</v>
      </c>
      <c r="AF169" s="45" t="s">
        <v>104</v>
      </c>
      <c r="AG169" s="2" t="s">
        <v>104</v>
      </c>
      <c r="AH169" s="6"/>
      <c r="AI169" s="7"/>
      <c r="AL169" s="2" t="s">
        <v>141</v>
      </c>
      <c r="AM169" s="6"/>
      <c r="AN169" s="6"/>
    </row>
    <row r="170" spans="1:42" ht="15" customHeight="1" x14ac:dyDescent="0.35">
      <c r="A170" s="4">
        <v>44718</v>
      </c>
      <c r="B170" s="86">
        <v>4</v>
      </c>
      <c r="C170" s="5" t="s">
        <v>140</v>
      </c>
      <c r="D170" s="24" t="s">
        <v>42</v>
      </c>
      <c r="E170" s="5"/>
      <c r="F170" s="5">
        <v>1000</v>
      </c>
      <c r="G170" s="5">
        <v>200</v>
      </c>
      <c r="M170" s="29" t="s">
        <v>16</v>
      </c>
      <c r="O170" s="5">
        <v>117</v>
      </c>
      <c r="P170" s="5">
        <v>60</v>
      </c>
      <c r="Q170" s="5">
        <v>0</v>
      </c>
      <c r="R170" s="5">
        <f t="shared" si="25"/>
        <v>177</v>
      </c>
      <c r="S170" s="3">
        <f t="shared" si="26"/>
        <v>1.95</v>
      </c>
      <c r="T170" s="3">
        <f>16/23</f>
        <v>0.69565217391304346</v>
      </c>
      <c r="U170" s="3">
        <f>28.5/60</f>
        <v>0.47499999999999998</v>
      </c>
      <c r="V170" s="5">
        <v>1</v>
      </c>
      <c r="W170" s="29" t="s">
        <v>44</v>
      </c>
      <c r="X170" s="5" t="s">
        <v>46</v>
      </c>
      <c r="Y170" s="5"/>
      <c r="AB170" s="5" t="s">
        <v>138</v>
      </c>
      <c r="AC170" s="5">
        <v>100</v>
      </c>
      <c r="AD170" s="96">
        <v>0.17</v>
      </c>
      <c r="AE170" s="13">
        <v>0</v>
      </c>
      <c r="AF170" s="45" t="s">
        <v>104</v>
      </c>
      <c r="AG170" s="2" t="s">
        <v>104</v>
      </c>
      <c r="AH170" s="6"/>
      <c r="AI170" s="7"/>
      <c r="AL170" s="2" t="s">
        <v>142</v>
      </c>
      <c r="AM170" s="6"/>
      <c r="AN170" s="6"/>
    </row>
    <row r="171" spans="1:42" ht="15" customHeight="1" x14ac:dyDescent="0.35">
      <c r="A171" s="4">
        <v>44718</v>
      </c>
      <c r="B171" s="86">
        <v>5</v>
      </c>
      <c r="C171" s="5" t="s">
        <v>143</v>
      </c>
      <c r="D171" s="24" t="s">
        <v>144</v>
      </c>
      <c r="E171" s="5"/>
      <c r="F171" s="5">
        <v>1000</v>
      </c>
      <c r="G171" s="5">
        <v>200</v>
      </c>
      <c r="M171" s="29" t="s">
        <v>145</v>
      </c>
      <c r="O171" s="5">
        <v>93</v>
      </c>
      <c r="P171" s="5">
        <v>60</v>
      </c>
      <c r="Q171" s="5">
        <v>24</v>
      </c>
      <c r="R171" s="5">
        <f t="shared" si="25"/>
        <v>177</v>
      </c>
      <c r="S171" s="3">
        <f t="shared" si="26"/>
        <v>1.55</v>
      </c>
      <c r="T171" s="3">
        <v>0.68181818181818177</v>
      </c>
      <c r="U171" s="3">
        <v>0.5</v>
      </c>
      <c r="V171" s="5">
        <v>1</v>
      </c>
      <c r="W171" s="6" t="s">
        <v>122</v>
      </c>
      <c r="X171" s="5" t="s">
        <v>46</v>
      </c>
      <c r="Y171" s="5"/>
      <c r="AB171" s="5" t="s">
        <v>138</v>
      </c>
      <c r="AC171" s="5">
        <v>99</v>
      </c>
      <c r="AD171" s="96">
        <v>0.05</v>
      </c>
      <c r="AE171" s="13">
        <v>5</v>
      </c>
      <c r="AF171" s="45" t="s">
        <v>103</v>
      </c>
      <c r="AG171" s="2" t="s">
        <v>102</v>
      </c>
      <c r="AH171" s="6"/>
      <c r="AI171" s="7"/>
      <c r="AL171" s="2" t="s">
        <v>146</v>
      </c>
      <c r="AM171" s="6"/>
      <c r="AN171" s="6"/>
    </row>
    <row r="172" spans="1:42" ht="15" customHeight="1" x14ac:dyDescent="0.35">
      <c r="A172" s="4">
        <v>44718</v>
      </c>
      <c r="B172" s="86">
        <v>5</v>
      </c>
      <c r="C172" s="5" t="s">
        <v>130</v>
      </c>
      <c r="D172" s="24" t="s">
        <v>144</v>
      </c>
      <c r="E172" s="5"/>
      <c r="F172" s="5">
        <v>1000</v>
      </c>
      <c r="G172" s="5">
        <v>200</v>
      </c>
      <c r="M172" s="29" t="s">
        <v>16</v>
      </c>
      <c r="O172" s="5">
        <v>93</v>
      </c>
      <c r="P172" s="5">
        <v>60</v>
      </c>
      <c r="Q172" s="5">
        <v>24</v>
      </c>
      <c r="R172" s="5">
        <f t="shared" si="25"/>
        <v>177</v>
      </c>
      <c r="S172" s="3">
        <f t="shared" si="26"/>
        <v>1.55</v>
      </c>
      <c r="T172" s="3">
        <v>0.68181818181818177</v>
      </c>
      <c r="U172" s="3">
        <v>0.5</v>
      </c>
      <c r="V172" s="5">
        <v>1</v>
      </c>
      <c r="W172" s="6" t="s">
        <v>122</v>
      </c>
      <c r="X172" s="6" t="s">
        <v>46</v>
      </c>
      <c r="Y172" s="6"/>
      <c r="AB172" s="5" t="s">
        <v>138</v>
      </c>
      <c r="AC172" s="5">
        <v>99</v>
      </c>
      <c r="AD172" s="78">
        <v>0.05</v>
      </c>
      <c r="AE172" s="13">
        <v>5</v>
      </c>
      <c r="AF172" s="45" t="s">
        <v>102</v>
      </c>
      <c r="AG172" s="2" t="s">
        <v>104</v>
      </c>
      <c r="AH172" s="6"/>
      <c r="AI172" s="7"/>
      <c r="AL172" s="2"/>
      <c r="AM172" s="6"/>
      <c r="AN172" s="6"/>
    </row>
    <row r="173" spans="1:42" ht="15" customHeight="1" x14ac:dyDescent="0.35">
      <c r="A173" s="4">
        <v>44718</v>
      </c>
      <c r="B173" s="86">
        <v>5</v>
      </c>
      <c r="C173" s="5" t="s">
        <v>130</v>
      </c>
      <c r="D173" s="24" t="s">
        <v>144</v>
      </c>
      <c r="E173" s="5"/>
      <c r="F173" s="5">
        <v>1000</v>
      </c>
      <c r="G173" s="5">
        <v>200</v>
      </c>
      <c r="M173" s="29" t="s">
        <v>145</v>
      </c>
      <c r="O173" s="5">
        <v>93</v>
      </c>
      <c r="P173" s="5">
        <v>60</v>
      </c>
      <c r="Q173" s="5">
        <v>24</v>
      </c>
      <c r="R173" s="5">
        <f t="shared" si="25"/>
        <v>177</v>
      </c>
      <c r="S173" s="3">
        <f t="shared" si="26"/>
        <v>1.55</v>
      </c>
      <c r="T173" s="3">
        <v>0.68181818181818199</v>
      </c>
      <c r="U173" s="3">
        <v>0.5</v>
      </c>
      <c r="V173" s="5">
        <v>1</v>
      </c>
      <c r="W173" s="6" t="s">
        <v>122</v>
      </c>
      <c r="X173" s="6" t="s">
        <v>46</v>
      </c>
      <c r="Y173" s="6"/>
      <c r="AB173" s="5" t="s">
        <v>138</v>
      </c>
      <c r="AC173" s="5">
        <v>99</v>
      </c>
      <c r="AD173" s="78">
        <v>0.14000000000000001</v>
      </c>
      <c r="AE173" s="13">
        <v>5</v>
      </c>
      <c r="AF173" s="45" t="s">
        <v>110</v>
      </c>
      <c r="AG173" s="2" t="s">
        <v>104</v>
      </c>
      <c r="AH173" s="6"/>
      <c r="AI173" s="7"/>
      <c r="AL173" s="2" t="s">
        <v>146</v>
      </c>
      <c r="AM173" s="6"/>
      <c r="AN173" s="6"/>
    </row>
    <row r="174" spans="1:42" ht="15" customHeight="1" x14ac:dyDescent="0.35">
      <c r="A174" s="4"/>
      <c r="B174" s="86"/>
      <c r="C174" s="5"/>
      <c r="D174" s="24"/>
      <c r="E174" s="5"/>
      <c r="F174" s="5"/>
      <c r="G174" s="5"/>
      <c r="H174" s="74" t="s">
        <v>147</v>
      </c>
      <c r="O174" s="5"/>
      <c r="P174" s="5"/>
      <c r="Q174" s="5"/>
      <c r="R174" s="5"/>
      <c r="S174" s="3"/>
      <c r="T174" s="3"/>
      <c r="U174" s="3"/>
      <c r="V174" s="5"/>
      <c r="W174" s="5"/>
      <c r="X174" s="5"/>
      <c r="Y174" s="5"/>
      <c r="AB174" s="5"/>
      <c r="AC174" s="5"/>
      <c r="AD174" s="78"/>
      <c r="AE174" s="13">
        <v>0</v>
      </c>
      <c r="AF174" s="45"/>
      <c r="AG174" s="2"/>
      <c r="AH174" s="6"/>
      <c r="AI174" s="7"/>
      <c r="AL174" s="2"/>
      <c r="AM174" s="6"/>
      <c r="AN174" s="6"/>
    </row>
    <row r="175" spans="1:42" ht="15" customHeight="1" x14ac:dyDescent="0.35">
      <c r="A175" s="4">
        <v>44719</v>
      </c>
      <c r="B175" s="86">
        <v>6</v>
      </c>
      <c r="C175" s="5" t="s">
        <v>48</v>
      </c>
      <c r="D175" s="24" t="s">
        <v>42</v>
      </c>
      <c r="E175" s="5"/>
      <c r="F175" s="5">
        <v>1000</v>
      </c>
      <c r="G175" s="5">
        <v>200</v>
      </c>
      <c r="M175" s="29" t="s">
        <v>16</v>
      </c>
      <c r="O175" s="5">
        <v>84</v>
      </c>
      <c r="P175" s="5">
        <v>48</v>
      </c>
      <c r="Q175" s="5">
        <v>24</v>
      </c>
      <c r="R175" s="5">
        <f t="shared" ref="R175:R186" si="27">O175+P175+Q175</f>
        <v>156</v>
      </c>
      <c r="S175" s="3">
        <f>O175/P175</f>
        <v>1.75</v>
      </c>
      <c r="T175" s="3">
        <v>1.06666666666667</v>
      </c>
      <c r="U175" s="3">
        <v>0.63829787234042556</v>
      </c>
      <c r="V175" s="5">
        <v>1</v>
      </c>
      <c r="W175" s="29" t="s">
        <v>44</v>
      </c>
      <c r="X175" s="5" t="s">
        <v>45</v>
      </c>
      <c r="Y175" s="5"/>
      <c r="AB175" s="5" t="s">
        <v>138</v>
      </c>
      <c r="AC175" s="5">
        <v>100</v>
      </c>
      <c r="AD175" s="78">
        <v>0.31</v>
      </c>
      <c r="AE175" s="13">
        <v>0</v>
      </c>
      <c r="AF175" s="45" t="s">
        <v>104</v>
      </c>
      <c r="AG175" s="2" t="s">
        <v>104</v>
      </c>
      <c r="AH175" s="6"/>
      <c r="AI175" s="7"/>
      <c r="AL175" s="2"/>
      <c r="AM175" s="6"/>
      <c r="AN175" s="6"/>
    </row>
    <row r="176" spans="1:42" ht="15" customHeight="1" x14ac:dyDescent="0.35">
      <c r="A176" s="4">
        <v>44719</v>
      </c>
      <c r="B176" s="86">
        <v>6</v>
      </c>
      <c r="C176" s="5" t="s">
        <v>48</v>
      </c>
      <c r="D176" s="24" t="s">
        <v>42</v>
      </c>
      <c r="E176" s="5"/>
      <c r="F176" s="5">
        <v>1000</v>
      </c>
      <c r="G176" s="5">
        <v>200</v>
      </c>
      <c r="M176" s="29" t="s">
        <v>16</v>
      </c>
      <c r="O176" s="5">
        <v>84</v>
      </c>
      <c r="P176" s="5">
        <v>48</v>
      </c>
      <c r="Q176" s="5">
        <v>24</v>
      </c>
      <c r="R176" s="5">
        <f t="shared" si="27"/>
        <v>156</v>
      </c>
      <c r="S176" s="3">
        <f>O176/P176</f>
        <v>1.75</v>
      </c>
      <c r="T176" s="3">
        <v>1.06666666666667</v>
      </c>
      <c r="U176" s="3">
        <v>0.63829787234042556</v>
      </c>
      <c r="V176" s="5">
        <v>1</v>
      </c>
      <c r="W176" s="29" t="s">
        <v>44</v>
      </c>
      <c r="X176" s="5" t="s">
        <v>46</v>
      </c>
      <c r="Y176" s="5"/>
      <c r="AB176" s="5" t="s">
        <v>138</v>
      </c>
      <c r="AC176" s="5">
        <v>100</v>
      </c>
      <c r="AD176" s="78">
        <v>0.09</v>
      </c>
      <c r="AE176" s="13">
        <v>0</v>
      </c>
      <c r="AF176" s="45" t="s">
        <v>104</v>
      </c>
      <c r="AG176" s="2" t="s">
        <v>104</v>
      </c>
      <c r="AH176" s="6"/>
      <c r="AI176" s="7"/>
      <c r="AL176" s="2" t="s">
        <v>148</v>
      </c>
      <c r="AM176" s="6"/>
      <c r="AN176" s="6"/>
    </row>
    <row r="177" spans="1:40" ht="15" customHeight="1" x14ac:dyDescent="0.35">
      <c r="A177" s="4">
        <v>44719</v>
      </c>
      <c r="B177" s="86">
        <v>7</v>
      </c>
      <c r="C177" s="5" t="s">
        <v>48</v>
      </c>
      <c r="D177" s="24" t="s">
        <v>42</v>
      </c>
      <c r="E177" s="5"/>
      <c r="F177" s="5">
        <v>1000</v>
      </c>
      <c r="G177" s="5">
        <v>200</v>
      </c>
      <c r="M177" s="29" t="s">
        <v>145</v>
      </c>
      <c r="O177" s="5">
        <v>84</v>
      </c>
      <c r="P177" s="5">
        <v>48</v>
      </c>
      <c r="Q177" s="5">
        <v>24</v>
      </c>
      <c r="R177" s="5">
        <f t="shared" si="27"/>
        <v>156</v>
      </c>
      <c r="S177" s="3">
        <f>O177/P177</f>
        <v>1.75</v>
      </c>
      <c r="T177" s="3">
        <v>1.06666666666667</v>
      </c>
      <c r="U177" s="3">
        <v>0.63829787234042556</v>
      </c>
      <c r="V177" s="5">
        <v>1</v>
      </c>
      <c r="W177" s="29" t="s">
        <v>44</v>
      </c>
      <c r="X177" s="5" t="s">
        <v>45</v>
      </c>
      <c r="Y177" s="5"/>
      <c r="AB177" s="5" t="s">
        <v>138</v>
      </c>
      <c r="AC177" s="5">
        <v>100</v>
      </c>
      <c r="AD177" s="78">
        <v>0.28999999999999998</v>
      </c>
      <c r="AE177" s="13">
        <v>0</v>
      </c>
      <c r="AF177" s="45" t="s">
        <v>104</v>
      </c>
      <c r="AG177" s="2" t="s">
        <v>104</v>
      </c>
      <c r="AH177" s="6"/>
      <c r="AI177" s="7"/>
      <c r="AL177" s="2"/>
      <c r="AM177" s="6"/>
      <c r="AN177" s="6"/>
    </row>
    <row r="178" spans="1:40" ht="15" customHeight="1" x14ac:dyDescent="0.35">
      <c r="A178" s="4">
        <v>44719</v>
      </c>
      <c r="B178" s="86">
        <v>7</v>
      </c>
      <c r="C178" s="5" t="s">
        <v>48</v>
      </c>
      <c r="D178" s="24" t="s">
        <v>42</v>
      </c>
      <c r="E178" s="5"/>
      <c r="F178" s="5">
        <v>1000</v>
      </c>
      <c r="G178" s="5">
        <v>200</v>
      </c>
      <c r="M178" s="29" t="s">
        <v>145</v>
      </c>
      <c r="O178" s="5">
        <v>93</v>
      </c>
      <c r="P178" s="5">
        <v>60</v>
      </c>
      <c r="Q178" s="5">
        <v>24</v>
      </c>
      <c r="R178" s="5">
        <f t="shared" si="27"/>
        <v>177</v>
      </c>
      <c r="S178" s="3">
        <v>1.55</v>
      </c>
      <c r="T178" s="3">
        <v>0.68181818181818177</v>
      </c>
      <c r="U178" s="3">
        <v>0.5</v>
      </c>
      <c r="V178" s="5">
        <v>1</v>
      </c>
      <c r="W178" s="29" t="s">
        <v>44</v>
      </c>
      <c r="X178" s="5" t="s">
        <v>46</v>
      </c>
      <c r="Y178" s="5"/>
      <c r="AB178" s="5" t="s">
        <v>138</v>
      </c>
      <c r="AC178" s="5">
        <v>100</v>
      </c>
      <c r="AD178" s="96">
        <v>0.24</v>
      </c>
      <c r="AE178" s="13">
        <v>0</v>
      </c>
      <c r="AF178" s="45" t="s">
        <v>104</v>
      </c>
      <c r="AG178" s="2" t="s">
        <v>104</v>
      </c>
      <c r="AH178" s="6"/>
      <c r="AI178" s="7"/>
      <c r="AL178" s="2" t="s">
        <v>148</v>
      </c>
      <c r="AM178" s="6"/>
      <c r="AN178" s="6"/>
    </row>
    <row r="179" spans="1:40" ht="15" customHeight="1" x14ac:dyDescent="0.35">
      <c r="A179" s="4">
        <v>44719</v>
      </c>
      <c r="B179" s="86">
        <v>8</v>
      </c>
      <c r="C179" s="5" t="s">
        <v>130</v>
      </c>
      <c r="D179" s="24" t="s">
        <v>144</v>
      </c>
      <c r="E179" s="5"/>
      <c r="F179" s="5">
        <v>1000</v>
      </c>
      <c r="G179" s="5">
        <v>200</v>
      </c>
      <c r="M179" s="29" t="s">
        <v>16</v>
      </c>
      <c r="O179" s="5">
        <v>93</v>
      </c>
      <c r="P179" s="5">
        <v>60</v>
      </c>
      <c r="Q179" s="5">
        <v>24</v>
      </c>
      <c r="R179" s="5">
        <f t="shared" si="27"/>
        <v>177</v>
      </c>
      <c r="S179" s="3">
        <v>1.55</v>
      </c>
      <c r="T179" s="3">
        <v>0.68181818181818177</v>
      </c>
      <c r="U179" s="3">
        <v>0.5</v>
      </c>
      <c r="V179" s="5">
        <v>1</v>
      </c>
      <c r="W179" s="6" t="s">
        <v>122</v>
      </c>
      <c r="X179" s="6" t="s">
        <v>46</v>
      </c>
      <c r="Y179" s="6"/>
      <c r="AB179" s="5" t="s">
        <v>138</v>
      </c>
      <c r="AC179" s="5">
        <v>100</v>
      </c>
      <c r="AD179" s="78">
        <v>0.05</v>
      </c>
      <c r="AE179" s="13">
        <v>0</v>
      </c>
      <c r="AF179" s="45" t="s">
        <v>104</v>
      </c>
      <c r="AG179" s="2" t="s">
        <v>104</v>
      </c>
      <c r="AH179" s="6"/>
      <c r="AI179" s="7"/>
      <c r="AL179" s="2" t="s">
        <v>148</v>
      </c>
      <c r="AM179" s="6"/>
      <c r="AN179" s="6"/>
    </row>
    <row r="180" spans="1:40" ht="15" customHeight="1" x14ac:dyDescent="0.35">
      <c r="A180" s="4">
        <v>44719</v>
      </c>
      <c r="B180" s="86">
        <v>8</v>
      </c>
      <c r="C180" s="5" t="s">
        <v>48</v>
      </c>
      <c r="D180" s="24" t="s">
        <v>144</v>
      </c>
      <c r="E180" s="5"/>
      <c r="F180" s="5">
        <v>1000</v>
      </c>
      <c r="G180" s="5">
        <v>200</v>
      </c>
      <c r="M180" s="29" t="s">
        <v>16</v>
      </c>
      <c r="O180" s="5">
        <v>84</v>
      </c>
      <c r="P180" s="5">
        <v>48</v>
      </c>
      <c r="Q180" s="5">
        <v>24</v>
      </c>
      <c r="R180" s="5">
        <f t="shared" si="27"/>
        <v>156</v>
      </c>
      <c r="S180" s="8">
        <v>1.75</v>
      </c>
      <c r="T180" s="8">
        <v>1.06666666666667</v>
      </c>
      <c r="U180" s="8">
        <v>0.63829787234042556</v>
      </c>
      <c r="V180" s="5">
        <v>1</v>
      </c>
      <c r="W180" s="6" t="s">
        <v>122</v>
      </c>
      <c r="X180" s="6" t="s">
        <v>46</v>
      </c>
      <c r="Y180" s="6"/>
      <c r="AB180" s="5" t="s">
        <v>138</v>
      </c>
      <c r="AC180" s="5">
        <v>100</v>
      </c>
      <c r="AD180" s="78">
        <v>0.02</v>
      </c>
      <c r="AE180" s="13">
        <v>5</v>
      </c>
      <c r="AF180" s="45" t="s">
        <v>104</v>
      </c>
      <c r="AG180" s="2" t="s">
        <v>104</v>
      </c>
      <c r="AH180" s="6"/>
      <c r="AI180" s="7"/>
      <c r="AL180" s="2"/>
      <c r="AM180" s="6"/>
      <c r="AN180" s="6"/>
    </row>
    <row r="181" spans="1:40" ht="15" customHeight="1" x14ac:dyDescent="0.35">
      <c r="A181" s="4">
        <v>44719</v>
      </c>
      <c r="B181" s="86">
        <v>8</v>
      </c>
      <c r="C181" s="5" t="s">
        <v>130</v>
      </c>
      <c r="D181" s="24" t="s">
        <v>144</v>
      </c>
      <c r="E181" s="5"/>
      <c r="F181" s="5">
        <v>1000</v>
      </c>
      <c r="G181" s="5">
        <v>200</v>
      </c>
      <c r="M181" s="29" t="s">
        <v>16</v>
      </c>
      <c r="O181" s="5">
        <v>93</v>
      </c>
      <c r="P181" s="5">
        <v>60</v>
      </c>
      <c r="Q181" s="5">
        <v>24</v>
      </c>
      <c r="R181" s="5">
        <f t="shared" si="27"/>
        <v>177</v>
      </c>
      <c r="S181" s="8">
        <v>1.55</v>
      </c>
      <c r="T181" s="8">
        <v>0.68181818181818177</v>
      </c>
      <c r="U181" s="8">
        <v>0.5</v>
      </c>
      <c r="V181" s="5">
        <v>1</v>
      </c>
      <c r="W181" s="6" t="s">
        <v>122</v>
      </c>
      <c r="X181" s="6" t="s">
        <v>46</v>
      </c>
      <c r="Y181" s="6"/>
      <c r="AB181" s="5" t="s">
        <v>138</v>
      </c>
      <c r="AC181" s="5">
        <v>100</v>
      </c>
      <c r="AD181" s="78">
        <v>0.02</v>
      </c>
      <c r="AE181" s="13">
        <v>5</v>
      </c>
      <c r="AF181" s="45" t="s">
        <v>102</v>
      </c>
      <c r="AG181" s="2" t="s">
        <v>104</v>
      </c>
      <c r="AH181" s="6"/>
      <c r="AI181" s="7"/>
      <c r="AL181" s="2" t="s">
        <v>148</v>
      </c>
      <c r="AM181" s="6"/>
      <c r="AN181" s="6"/>
    </row>
    <row r="182" spans="1:40" ht="15" customHeight="1" x14ac:dyDescent="0.35">
      <c r="A182" s="4">
        <v>44719</v>
      </c>
      <c r="B182" s="86">
        <v>8</v>
      </c>
      <c r="C182" s="5" t="s">
        <v>48</v>
      </c>
      <c r="D182" s="24" t="s">
        <v>144</v>
      </c>
      <c r="E182" s="5"/>
      <c r="F182" s="5">
        <v>1000</v>
      </c>
      <c r="G182" s="5">
        <v>100</v>
      </c>
      <c r="M182" s="29" t="s">
        <v>16</v>
      </c>
      <c r="O182" s="5">
        <v>84</v>
      </c>
      <c r="P182" s="5">
        <v>48</v>
      </c>
      <c r="Q182" s="5">
        <v>24</v>
      </c>
      <c r="R182" s="5">
        <f t="shared" si="27"/>
        <v>156</v>
      </c>
      <c r="S182" s="8">
        <v>1.75</v>
      </c>
      <c r="T182" s="8">
        <v>1.06666666666667</v>
      </c>
      <c r="U182" s="8">
        <v>0.63829787234042556</v>
      </c>
      <c r="V182" s="5">
        <v>1</v>
      </c>
      <c r="W182" s="6" t="s">
        <v>122</v>
      </c>
      <c r="X182" s="6" t="s">
        <v>46</v>
      </c>
      <c r="Y182" s="6"/>
      <c r="AB182" s="5" t="s">
        <v>138</v>
      </c>
      <c r="AC182" s="5">
        <v>100</v>
      </c>
      <c r="AD182" s="78">
        <v>0.03</v>
      </c>
      <c r="AE182" s="13">
        <v>1</v>
      </c>
      <c r="AF182" s="45" t="s">
        <v>102</v>
      </c>
      <c r="AG182" s="2" t="s">
        <v>104</v>
      </c>
      <c r="AH182" s="6"/>
      <c r="AI182" s="7"/>
      <c r="AL182" s="2"/>
      <c r="AM182" s="6"/>
      <c r="AN182" s="6"/>
    </row>
    <row r="183" spans="1:40" ht="15" customHeight="1" x14ac:dyDescent="0.35">
      <c r="A183" s="4">
        <v>44719</v>
      </c>
      <c r="B183" s="86">
        <v>9</v>
      </c>
      <c r="C183" s="5" t="s">
        <v>130</v>
      </c>
      <c r="D183" s="24" t="s">
        <v>42</v>
      </c>
      <c r="E183" s="5"/>
      <c r="F183" s="5">
        <v>1000</v>
      </c>
      <c r="G183" s="5">
        <v>200</v>
      </c>
      <c r="M183" s="29" t="s">
        <v>16</v>
      </c>
      <c r="O183" s="5">
        <v>93</v>
      </c>
      <c r="P183" s="5">
        <v>60</v>
      </c>
      <c r="Q183" s="5">
        <v>24</v>
      </c>
      <c r="R183" s="5">
        <f t="shared" si="27"/>
        <v>177</v>
      </c>
      <c r="S183" s="3">
        <v>1.55</v>
      </c>
      <c r="T183" s="3">
        <v>0.68181818181818177</v>
      </c>
      <c r="U183" s="3">
        <v>0.5</v>
      </c>
      <c r="V183" s="5">
        <v>1</v>
      </c>
      <c r="W183" s="29" t="s">
        <v>44</v>
      </c>
      <c r="X183" s="5" t="s">
        <v>45</v>
      </c>
      <c r="Y183" s="5"/>
      <c r="AB183" s="5" t="s">
        <v>138</v>
      </c>
      <c r="AC183" s="5">
        <v>100</v>
      </c>
      <c r="AD183" s="78">
        <v>0.28000000000000003</v>
      </c>
      <c r="AE183" s="13">
        <v>1</v>
      </c>
      <c r="AF183" s="45" t="s">
        <v>104</v>
      </c>
      <c r="AG183" s="2" t="s">
        <v>104</v>
      </c>
      <c r="AH183" s="6"/>
      <c r="AI183" s="7"/>
      <c r="AL183" s="2"/>
      <c r="AM183" s="6"/>
      <c r="AN183" s="6"/>
    </row>
    <row r="184" spans="1:40" ht="15" customHeight="1" x14ac:dyDescent="0.35">
      <c r="A184" s="4">
        <v>44719</v>
      </c>
      <c r="B184" s="86">
        <v>9</v>
      </c>
      <c r="C184" s="5" t="s">
        <v>130</v>
      </c>
      <c r="D184" s="24" t="s">
        <v>42</v>
      </c>
      <c r="E184" s="5"/>
      <c r="F184" s="5">
        <v>1000</v>
      </c>
      <c r="G184" s="5">
        <v>200</v>
      </c>
      <c r="M184" s="29" t="s">
        <v>16</v>
      </c>
      <c r="O184" s="5">
        <v>93</v>
      </c>
      <c r="P184" s="5">
        <v>60</v>
      </c>
      <c r="Q184" s="5">
        <v>24</v>
      </c>
      <c r="R184" s="5">
        <f t="shared" si="27"/>
        <v>177</v>
      </c>
      <c r="S184" s="3">
        <v>1.55</v>
      </c>
      <c r="T184" s="3">
        <v>0.68181818181818177</v>
      </c>
      <c r="U184" s="3">
        <v>0.5</v>
      </c>
      <c r="V184" s="5">
        <v>1</v>
      </c>
      <c r="W184" s="29" t="s">
        <v>44</v>
      </c>
      <c r="X184" s="5" t="s">
        <v>46</v>
      </c>
      <c r="Y184" s="5"/>
      <c r="AB184" s="5" t="s">
        <v>138</v>
      </c>
      <c r="AC184" s="5">
        <v>100</v>
      </c>
      <c r="AD184" s="78">
        <v>0.08</v>
      </c>
      <c r="AE184" s="13">
        <v>0</v>
      </c>
      <c r="AF184" s="45" t="s">
        <v>104</v>
      </c>
      <c r="AG184" s="2" t="s">
        <v>104</v>
      </c>
      <c r="AH184" s="6"/>
      <c r="AI184" s="7"/>
      <c r="AL184" s="2"/>
      <c r="AM184" s="6"/>
      <c r="AN184" s="6"/>
    </row>
    <row r="185" spans="1:40" ht="15" customHeight="1" x14ac:dyDescent="0.35">
      <c r="A185" s="4">
        <v>44719</v>
      </c>
      <c r="B185" s="86">
        <v>10</v>
      </c>
      <c r="C185" s="5" t="s">
        <v>130</v>
      </c>
      <c r="D185" s="24" t="s">
        <v>42</v>
      </c>
      <c r="E185" s="5"/>
      <c r="F185" s="5">
        <v>1000</v>
      </c>
      <c r="G185" s="5">
        <v>200</v>
      </c>
      <c r="I185" s="29">
        <v>10</v>
      </c>
      <c r="M185" s="29" t="s">
        <v>16</v>
      </c>
      <c r="O185" s="5">
        <v>93</v>
      </c>
      <c r="P185" s="5">
        <v>60</v>
      </c>
      <c r="Q185" s="5">
        <v>24</v>
      </c>
      <c r="R185" s="5">
        <f t="shared" si="27"/>
        <v>177</v>
      </c>
      <c r="S185" s="8">
        <v>1.55</v>
      </c>
      <c r="T185" s="8">
        <v>0.68181818181818177</v>
      </c>
      <c r="U185" s="8">
        <v>0.5</v>
      </c>
      <c r="V185" s="5">
        <v>1</v>
      </c>
      <c r="W185" s="29" t="s">
        <v>44</v>
      </c>
      <c r="X185" s="5" t="s">
        <v>45</v>
      </c>
      <c r="Y185" s="5"/>
      <c r="AB185" s="5" t="s">
        <v>138</v>
      </c>
      <c r="AC185" s="5">
        <v>100</v>
      </c>
      <c r="AD185" s="96">
        <v>0.1</v>
      </c>
      <c r="AE185" s="13">
        <v>4</v>
      </c>
      <c r="AF185" s="45" t="s">
        <v>104</v>
      </c>
      <c r="AG185" s="2" t="s">
        <v>104</v>
      </c>
      <c r="AH185" s="6"/>
      <c r="AI185" s="7"/>
      <c r="AL185" s="2"/>
      <c r="AM185" s="6"/>
      <c r="AN185" s="6"/>
    </row>
    <row r="186" spans="1:40" ht="15" customHeight="1" x14ac:dyDescent="0.35">
      <c r="A186" s="4">
        <v>44719</v>
      </c>
      <c r="B186" s="86">
        <v>10</v>
      </c>
      <c r="C186" s="5" t="s">
        <v>130</v>
      </c>
      <c r="D186" s="24" t="s">
        <v>42</v>
      </c>
      <c r="E186" s="5"/>
      <c r="F186" s="5">
        <v>1000</v>
      </c>
      <c r="G186" s="5">
        <v>200</v>
      </c>
      <c r="I186" s="29">
        <v>10</v>
      </c>
      <c r="M186" s="29" t="s">
        <v>16</v>
      </c>
      <c r="O186" s="5">
        <v>93</v>
      </c>
      <c r="P186" s="5">
        <v>60</v>
      </c>
      <c r="Q186" s="5">
        <v>24</v>
      </c>
      <c r="R186" s="5">
        <f t="shared" si="27"/>
        <v>177</v>
      </c>
      <c r="S186" s="8">
        <v>1.55</v>
      </c>
      <c r="T186" s="8">
        <v>0.68181818181818177</v>
      </c>
      <c r="U186" s="8">
        <v>0.5</v>
      </c>
      <c r="V186" s="5">
        <v>1</v>
      </c>
      <c r="W186" s="29" t="s">
        <v>44</v>
      </c>
      <c r="X186" s="5" t="s">
        <v>46</v>
      </c>
      <c r="Y186" s="5"/>
      <c r="AB186" s="5" t="s">
        <v>138</v>
      </c>
      <c r="AC186" s="5">
        <v>100</v>
      </c>
      <c r="AD186" s="96">
        <v>0.09</v>
      </c>
      <c r="AE186" s="13">
        <v>2</v>
      </c>
      <c r="AF186" s="45" t="s">
        <v>103</v>
      </c>
      <c r="AG186" s="2" t="s">
        <v>104</v>
      </c>
      <c r="AH186" s="6"/>
      <c r="AI186" s="7"/>
      <c r="AL186" s="2"/>
      <c r="AM186" s="6"/>
      <c r="AN186" s="6"/>
    </row>
    <row r="187" spans="1:40" ht="15" customHeight="1" x14ac:dyDescent="0.35">
      <c r="A187" s="4"/>
      <c r="B187" s="86"/>
      <c r="C187" s="5"/>
      <c r="D187" s="24"/>
      <c r="E187" s="5"/>
      <c r="F187" s="5"/>
      <c r="G187" s="5"/>
      <c r="H187" s="74" t="s">
        <v>149</v>
      </c>
      <c r="M187" s="29" t="s">
        <v>16</v>
      </c>
      <c r="O187" s="5"/>
      <c r="P187" s="5"/>
      <c r="Q187" s="5"/>
      <c r="R187" s="5"/>
      <c r="S187" s="8"/>
      <c r="T187" s="8"/>
      <c r="U187" s="8"/>
      <c r="V187" s="5">
        <v>1</v>
      </c>
      <c r="W187" s="5"/>
      <c r="X187" s="5"/>
      <c r="Y187" s="5"/>
      <c r="AB187" s="5"/>
      <c r="AC187" s="5"/>
      <c r="AD187" s="96"/>
      <c r="AE187" s="13">
        <v>0</v>
      </c>
      <c r="AF187" s="45"/>
      <c r="AG187" s="2"/>
      <c r="AH187" s="6"/>
      <c r="AI187" s="7"/>
      <c r="AL187" s="2"/>
      <c r="AM187" s="6"/>
      <c r="AN187" s="6"/>
    </row>
    <row r="188" spans="1:40" ht="15" customHeight="1" x14ac:dyDescent="0.35">
      <c r="A188" s="4">
        <v>44720</v>
      </c>
      <c r="B188" s="86">
        <v>11</v>
      </c>
      <c r="C188" s="5" t="s">
        <v>48</v>
      </c>
      <c r="D188" s="24" t="s">
        <v>42</v>
      </c>
      <c r="E188" s="5"/>
      <c r="F188" s="5">
        <v>1000</v>
      </c>
      <c r="G188" s="5">
        <v>200</v>
      </c>
      <c r="I188" s="29">
        <v>2</v>
      </c>
      <c r="M188" s="29" t="s">
        <v>16</v>
      </c>
      <c r="O188" s="5">
        <v>84</v>
      </c>
      <c r="P188" s="5">
        <v>48</v>
      </c>
      <c r="Q188" s="5">
        <v>24</v>
      </c>
      <c r="R188" s="5">
        <f t="shared" ref="R188:R201" si="28">O188+P188+Q188</f>
        <v>156</v>
      </c>
      <c r="S188" s="8">
        <v>1.75</v>
      </c>
      <c r="T188" s="8">
        <v>1.06666666666667</v>
      </c>
      <c r="U188" s="8">
        <v>0.63829787234042556</v>
      </c>
      <c r="V188" s="5">
        <v>1</v>
      </c>
      <c r="W188" s="29" t="s">
        <v>44</v>
      </c>
      <c r="X188" s="5" t="s">
        <v>45</v>
      </c>
      <c r="Y188" s="5"/>
      <c r="AB188" s="5" t="s">
        <v>138</v>
      </c>
      <c r="AC188" s="5">
        <v>100</v>
      </c>
      <c r="AD188" s="96">
        <v>0.26</v>
      </c>
      <c r="AE188" s="13">
        <v>5</v>
      </c>
      <c r="AF188" s="45" t="s">
        <v>104</v>
      </c>
      <c r="AG188" s="2" t="s">
        <v>104</v>
      </c>
      <c r="AH188" s="6"/>
      <c r="AI188" s="7"/>
      <c r="AL188" s="2"/>
      <c r="AM188" s="6"/>
      <c r="AN188" s="6"/>
    </row>
    <row r="189" spans="1:40" ht="15" customHeight="1" x14ac:dyDescent="0.35">
      <c r="A189" s="4">
        <v>44720</v>
      </c>
      <c r="B189" s="86">
        <v>11</v>
      </c>
      <c r="C189" s="5" t="s">
        <v>48</v>
      </c>
      <c r="D189" s="24" t="s">
        <v>42</v>
      </c>
      <c r="E189" s="5"/>
      <c r="F189" s="5">
        <v>1000</v>
      </c>
      <c r="G189" s="5">
        <v>200</v>
      </c>
      <c r="I189" s="29">
        <v>2</v>
      </c>
      <c r="M189" s="29" t="s">
        <v>16</v>
      </c>
      <c r="O189" s="5">
        <v>84</v>
      </c>
      <c r="P189" s="5">
        <v>48</v>
      </c>
      <c r="Q189" s="5">
        <v>24</v>
      </c>
      <c r="R189" s="5">
        <f t="shared" si="28"/>
        <v>156</v>
      </c>
      <c r="S189" s="8">
        <v>1.75</v>
      </c>
      <c r="T189" s="8">
        <v>1.06666666666667</v>
      </c>
      <c r="U189" s="8">
        <v>0.63829787234042556</v>
      </c>
      <c r="V189" s="5">
        <v>1</v>
      </c>
      <c r="W189" s="29" t="s">
        <v>44</v>
      </c>
      <c r="X189" s="5" t="s">
        <v>46</v>
      </c>
      <c r="Y189" s="5"/>
      <c r="AB189" s="5" t="s">
        <v>138</v>
      </c>
      <c r="AC189" s="5">
        <v>100</v>
      </c>
      <c r="AD189" s="96">
        <v>0.08</v>
      </c>
      <c r="AE189" s="13">
        <v>1</v>
      </c>
      <c r="AF189" s="45" t="s">
        <v>102</v>
      </c>
      <c r="AG189" s="2" t="s">
        <v>104</v>
      </c>
      <c r="AH189" s="6"/>
      <c r="AI189" s="7"/>
      <c r="AL189" s="2"/>
      <c r="AM189" s="6"/>
      <c r="AN189" s="6"/>
    </row>
    <row r="190" spans="1:40" ht="15" customHeight="1" x14ac:dyDescent="0.35">
      <c r="A190" s="4">
        <v>44720</v>
      </c>
      <c r="B190" s="86">
        <v>12</v>
      </c>
      <c r="C190" s="5" t="s">
        <v>48</v>
      </c>
      <c r="D190" s="24" t="s">
        <v>42</v>
      </c>
      <c r="E190" s="5"/>
      <c r="F190" s="5">
        <v>1000</v>
      </c>
      <c r="G190" s="5">
        <v>200</v>
      </c>
      <c r="I190" s="29">
        <v>10</v>
      </c>
      <c r="M190" s="29" t="s">
        <v>16</v>
      </c>
      <c r="O190" s="5">
        <v>84</v>
      </c>
      <c r="P190" s="5">
        <v>48</v>
      </c>
      <c r="Q190" s="5">
        <v>24</v>
      </c>
      <c r="R190" s="5">
        <f t="shared" si="28"/>
        <v>156</v>
      </c>
      <c r="S190" s="8">
        <v>1.75</v>
      </c>
      <c r="T190" s="8">
        <v>1.06666666666667</v>
      </c>
      <c r="U190" s="8">
        <v>0.63829787234042556</v>
      </c>
      <c r="V190" s="5">
        <v>1</v>
      </c>
      <c r="W190" s="29" t="s">
        <v>44</v>
      </c>
      <c r="X190" s="5" t="s">
        <v>45</v>
      </c>
      <c r="Y190" s="5"/>
      <c r="AB190" s="5" t="s">
        <v>138</v>
      </c>
      <c r="AC190" s="5">
        <v>100</v>
      </c>
      <c r="AD190" s="96">
        <v>0.15</v>
      </c>
      <c r="AE190" s="13">
        <v>5</v>
      </c>
      <c r="AF190" s="45" t="s">
        <v>104</v>
      </c>
      <c r="AG190" s="2" t="s">
        <v>104</v>
      </c>
      <c r="AH190" s="6"/>
      <c r="AI190" s="7"/>
      <c r="AL190" s="2"/>
      <c r="AM190" s="6"/>
      <c r="AN190" s="6"/>
    </row>
    <row r="191" spans="1:40" ht="15" customHeight="1" x14ac:dyDescent="0.35">
      <c r="A191" s="4">
        <v>44720</v>
      </c>
      <c r="B191" s="86">
        <v>12</v>
      </c>
      <c r="C191" s="5" t="s">
        <v>48</v>
      </c>
      <c r="D191" s="24" t="s">
        <v>42</v>
      </c>
      <c r="E191" s="5"/>
      <c r="F191" s="5">
        <v>1000</v>
      </c>
      <c r="G191" s="5">
        <v>200</v>
      </c>
      <c r="I191" s="29">
        <v>10</v>
      </c>
      <c r="M191" s="29" t="s">
        <v>16</v>
      </c>
      <c r="O191" s="5">
        <v>84</v>
      </c>
      <c r="P191" s="5">
        <v>48</v>
      </c>
      <c r="Q191" s="5">
        <v>24</v>
      </c>
      <c r="R191" s="5">
        <f t="shared" si="28"/>
        <v>156</v>
      </c>
      <c r="S191" s="8">
        <v>1.75</v>
      </c>
      <c r="T191" s="8">
        <v>1.06666666666667</v>
      </c>
      <c r="U191" s="8">
        <v>0.63829787234042556</v>
      </c>
      <c r="V191" s="5">
        <v>1</v>
      </c>
      <c r="W191" s="29" t="s">
        <v>44</v>
      </c>
      <c r="X191" s="5" t="s">
        <v>46</v>
      </c>
      <c r="Y191" s="5"/>
      <c r="AB191" s="5" t="s">
        <v>138</v>
      </c>
      <c r="AC191" s="5">
        <v>100</v>
      </c>
      <c r="AD191" s="96">
        <v>0.1</v>
      </c>
      <c r="AE191" s="13">
        <v>1</v>
      </c>
      <c r="AF191" s="45" t="s">
        <v>102</v>
      </c>
      <c r="AG191" s="2" t="s">
        <v>104</v>
      </c>
      <c r="AH191" s="6"/>
      <c r="AI191" s="7"/>
      <c r="AL191" s="2"/>
      <c r="AM191" s="6"/>
      <c r="AN191" s="6"/>
    </row>
    <row r="192" spans="1:40" ht="15" customHeight="1" x14ac:dyDescent="0.35">
      <c r="A192" s="4">
        <v>44720</v>
      </c>
      <c r="B192" s="86">
        <v>13</v>
      </c>
      <c r="C192" s="5" t="s">
        <v>150</v>
      </c>
      <c r="D192" s="24" t="s">
        <v>42</v>
      </c>
      <c r="E192" s="5"/>
      <c r="F192" s="5">
        <v>1000</v>
      </c>
      <c r="G192" s="5">
        <v>200</v>
      </c>
      <c r="I192" s="29">
        <v>10</v>
      </c>
      <c r="M192" s="29" t="s">
        <v>16</v>
      </c>
      <c r="O192" s="5">
        <v>108</v>
      </c>
      <c r="P192" s="5">
        <v>48</v>
      </c>
      <c r="Q192" s="5">
        <v>0</v>
      </c>
      <c r="R192" s="5">
        <f t="shared" si="28"/>
        <v>156</v>
      </c>
      <c r="S192" s="3">
        <f>O192/P192</f>
        <v>2.25</v>
      </c>
      <c r="T192" s="3">
        <v>1.25</v>
      </c>
      <c r="U192" s="3">
        <v>1</v>
      </c>
      <c r="V192" s="5">
        <v>1</v>
      </c>
      <c r="W192" s="29" t="s">
        <v>44</v>
      </c>
      <c r="X192" s="5" t="s">
        <v>45</v>
      </c>
      <c r="Y192" s="5"/>
      <c r="AB192" s="5" t="s">
        <v>138</v>
      </c>
      <c r="AC192" s="5">
        <v>100</v>
      </c>
      <c r="AD192" s="78">
        <v>0.3</v>
      </c>
      <c r="AE192" s="13">
        <v>4</v>
      </c>
      <c r="AF192" s="45" t="s">
        <v>104</v>
      </c>
      <c r="AG192" s="2" t="s">
        <v>104</v>
      </c>
      <c r="AH192" s="6"/>
      <c r="AI192" s="7"/>
      <c r="AL192" s="57" t="s">
        <v>151</v>
      </c>
      <c r="AM192" s="6"/>
      <c r="AN192" s="6"/>
    </row>
    <row r="193" spans="1:40" ht="15" customHeight="1" x14ac:dyDescent="0.35">
      <c r="A193" s="4">
        <v>44720</v>
      </c>
      <c r="B193" s="86">
        <v>13</v>
      </c>
      <c r="C193" s="5" t="s">
        <v>150</v>
      </c>
      <c r="D193" s="24" t="s">
        <v>42</v>
      </c>
      <c r="E193" s="5"/>
      <c r="F193" s="5">
        <v>1000</v>
      </c>
      <c r="G193" s="5">
        <v>200</v>
      </c>
      <c r="I193" s="29">
        <v>10</v>
      </c>
      <c r="M193" s="29" t="s">
        <v>16</v>
      </c>
      <c r="O193" s="5">
        <v>108</v>
      </c>
      <c r="P193" s="5">
        <v>48</v>
      </c>
      <c r="Q193" s="5">
        <v>0</v>
      </c>
      <c r="R193" s="5">
        <f t="shared" si="28"/>
        <v>156</v>
      </c>
      <c r="S193" s="3">
        <f>O193/P193</f>
        <v>2.25</v>
      </c>
      <c r="T193" s="3">
        <v>1.25</v>
      </c>
      <c r="U193" s="3">
        <v>1</v>
      </c>
      <c r="V193" s="5">
        <v>1</v>
      </c>
      <c r="W193" s="29" t="s">
        <v>44</v>
      </c>
      <c r="X193" s="5" t="s">
        <v>46</v>
      </c>
      <c r="Y193" s="5"/>
      <c r="AB193" s="5" t="s">
        <v>138</v>
      </c>
      <c r="AC193" s="5">
        <v>100</v>
      </c>
      <c r="AD193" s="78">
        <v>0.4</v>
      </c>
      <c r="AE193" s="13">
        <v>1</v>
      </c>
      <c r="AF193" s="45" t="s">
        <v>102</v>
      </c>
      <c r="AG193" s="2" t="s">
        <v>104</v>
      </c>
      <c r="AH193" s="6"/>
      <c r="AI193" s="7"/>
      <c r="AL193" s="57" t="s">
        <v>151</v>
      </c>
      <c r="AM193" s="6"/>
      <c r="AN193" s="6"/>
    </row>
    <row r="194" spans="1:40" ht="15" customHeight="1" x14ac:dyDescent="0.35">
      <c r="A194" s="4">
        <v>44720</v>
      </c>
      <c r="B194" s="86">
        <v>14</v>
      </c>
      <c r="C194" s="5" t="s">
        <v>152</v>
      </c>
      <c r="D194" s="24" t="s">
        <v>42</v>
      </c>
      <c r="E194" s="5"/>
      <c r="F194" s="5">
        <v>1000</v>
      </c>
      <c r="G194" s="5">
        <v>200</v>
      </c>
      <c r="I194" s="29">
        <v>10</v>
      </c>
      <c r="M194" s="29" t="s">
        <v>16</v>
      </c>
      <c r="O194" s="5">
        <v>105</v>
      </c>
      <c r="P194" s="5">
        <v>35</v>
      </c>
      <c r="Q194" s="5">
        <v>0</v>
      </c>
      <c r="R194" s="5">
        <f t="shared" si="28"/>
        <v>140</v>
      </c>
      <c r="S194" s="3">
        <v>2.5</v>
      </c>
      <c r="T194" s="3">
        <v>2.5</v>
      </c>
      <c r="U194" s="3">
        <v>1.35</v>
      </c>
      <c r="V194" s="5">
        <v>1</v>
      </c>
      <c r="W194" s="29" t="s">
        <v>44</v>
      </c>
      <c r="X194" s="5" t="s">
        <v>45</v>
      </c>
      <c r="Y194" s="5"/>
      <c r="AB194" s="5" t="s">
        <v>138</v>
      </c>
      <c r="AC194" s="5">
        <v>100</v>
      </c>
      <c r="AD194" s="78">
        <v>0.21</v>
      </c>
      <c r="AE194" s="13">
        <v>1</v>
      </c>
      <c r="AF194" s="45" t="s">
        <v>104</v>
      </c>
      <c r="AG194" s="2" t="s">
        <v>104</v>
      </c>
      <c r="AH194" s="6"/>
      <c r="AI194" s="7"/>
      <c r="AL194" s="57" t="s">
        <v>151</v>
      </c>
      <c r="AM194" s="6"/>
      <c r="AN194" s="6"/>
    </row>
    <row r="195" spans="1:40" ht="15" customHeight="1" x14ac:dyDescent="0.35">
      <c r="A195" s="4">
        <v>44720</v>
      </c>
      <c r="B195" s="86">
        <v>14</v>
      </c>
      <c r="C195" s="5" t="s">
        <v>152</v>
      </c>
      <c r="D195" s="24" t="s">
        <v>42</v>
      </c>
      <c r="E195" s="5"/>
      <c r="F195" s="5">
        <v>1000</v>
      </c>
      <c r="G195" s="5">
        <v>200</v>
      </c>
      <c r="I195" s="29">
        <v>10</v>
      </c>
      <c r="M195" s="29" t="s">
        <v>16</v>
      </c>
      <c r="O195" s="5">
        <v>105</v>
      </c>
      <c r="P195" s="5">
        <v>35</v>
      </c>
      <c r="Q195" s="5">
        <v>0</v>
      </c>
      <c r="R195" s="5">
        <f t="shared" si="28"/>
        <v>140</v>
      </c>
      <c r="S195" s="3">
        <v>2.5</v>
      </c>
      <c r="T195" s="3">
        <v>2.5</v>
      </c>
      <c r="U195" s="3">
        <v>1.35</v>
      </c>
      <c r="V195" s="5">
        <v>1</v>
      </c>
      <c r="W195" s="29" t="s">
        <v>44</v>
      </c>
      <c r="X195" s="5" t="s">
        <v>46</v>
      </c>
      <c r="Y195" s="5"/>
      <c r="AB195" s="5" t="s">
        <v>138</v>
      </c>
      <c r="AC195" s="5">
        <v>100</v>
      </c>
      <c r="AD195" s="78">
        <v>0.28999999999999998</v>
      </c>
      <c r="AE195" s="13">
        <v>1</v>
      </c>
      <c r="AF195" s="45" t="s">
        <v>103</v>
      </c>
      <c r="AG195" s="2" t="s">
        <v>104</v>
      </c>
      <c r="AH195" s="6"/>
      <c r="AI195" s="7"/>
      <c r="AL195" s="57" t="s">
        <v>151</v>
      </c>
      <c r="AM195" s="6"/>
      <c r="AN195" s="6"/>
    </row>
    <row r="196" spans="1:40" ht="15" customHeight="1" x14ac:dyDescent="0.35">
      <c r="A196" s="4">
        <v>44720</v>
      </c>
      <c r="B196" s="86">
        <v>15</v>
      </c>
      <c r="C196" s="5" t="s">
        <v>48</v>
      </c>
      <c r="D196" s="24" t="s">
        <v>144</v>
      </c>
      <c r="E196" s="5"/>
      <c r="F196" s="5">
        <v>1000</v>
      </c>
      <c r="G196" s="5">
        <v>100</v>
      </c>
      <c r="I196" s="29">
        <v>10</v>
      </c>
      <c r="M196" s="29" t="s">
        <v>16</v>
      </c>
      <c r="O196" s="5">
        <v>84</v>
      </c>
      <c r="P196" s="5">
        <v>48</v>
      </c>
      <c r="Q196" s="5">
        <v>24</v>
      </c>
      <c r="R196" s="5">
        <f t="shared" si="28"/>
        <v>156</v>
      </c>
      <c r="S196" s="8">
        <v>1.75</v>
      </c>
      <c r="T196" s="8">
        <v>1.06666666666667</v>
      </c>
      <c r="U196" s="8">
        <v>0.63829787234042556</v>
      </c>
      <c r="V196" s="5">
        <v>1</v>
      </c>
      <c r="W196" s="6" t="s">
        <v>122</v>
      </c>
      <c r="X196" s="5" t="s">
        <v>46</v>
      </c>
      <c r="Y196" s="5"/>
      <c r="AB196" s="5" t="s">
        <v>138</v>
      </c>
      <c r="AC196" s="5">
        <v>100</v>
      </c>
      <c r="AD196" s="97">
        <v>0.04</v>
      </c>
      <c r="AE196" s="13">
        <v>1</v>
      </c>
      <c r="AF196" s="45" t="s">
        <v>103</v>
      </c>
      <c r="AG196" s="2" t="s">
        <v>102</v>
      </c>
      <c r="AH196" s="6"/>
      <c r="AI196" s="7"/>
      <c r="AL196" s="2"/>
      <c r="AM196" s="6"/>
      <c r="AN196" s="6"/>
    </row>
    <row r="197" spans="1:40" ht="15" customHeight="1" x14ac:dyDescent="0.35">
      <c r="A197" s="4">
        <v>44720</v>
      </c>
      <c r="B197" s="86">
        <v>15</v>
      </c>
      <c r="C197" s="5" t="s">
        <v>48</v>
      </c>
      <c r="D197" s="24" t="s">
        <v>144</v>
      </c>
      <c r="E197" s="5"/>
      <c r="F197" s="5">
        <v>1000</v>
      </c>
      <c r="G197" s="5">
        <v>100</v>
      </c>
      <c r="I197" s="29">
        <v>10</v>
      </c>
      <c r="M197" s="29" t="s">
        <v>16</v>
      </c>
      <c r="O197" s="5">
        <v>84</v>
      </c>
      <c r="P197" s="5">
        <v>48</v>
      </c>
      <c r="Q197" s="5">
        <v>24</v>
      </c>
      <c r="R197" s="5">
        <f t="shared" si="28"/>
        <v>156</v>
      </c>
      <c r="S197" s="8">
        <v>1.75</v>
      </c>
      <c r="T197" s="8">
        <v>1.06666666666667</v>
      </c>
      <c r="U197" s="8">
        <v>0.63829787234042556</v>
      </c>
      <c r="V197" s="5">
        <v>1</v>
      </c>
      <c r="W197" s="6" t="s">
        <v>122</v>
      </c>
      <c r="X197" s="5" t="s">
        <v>46</v>
      </c>
      <c r="Y197" s="5"/>
      <c r="AB197" s="5" t="s">
        <v>138</v>
      </c>
      <c r="AC197" s="5">
        <v>100</v>
      </c>
      <c r="AD197" s="97">
        <v>0.14000000000000001</v>
      </c>
      <c r="AE197" s="13">
        <v>2</v>
      </c>
      <c r="AF197" s="45" t="s">
        <v>103</v>
      </c>
      <c r="AG197" s="2" t="s">
        <v>102</v>
      </c>
      <c r="AH197" s="6"/>
      <c r="AI197" s="7"/>
      <c r="AL197" s="2"/>
      <c r="AM197" s="6"/>
      <c r="AN197" s="6"/>
    </row>
    <row r="198" spans="1:40" ht="15" customHeight="1" x14ac:dyDescent="0.35">
      <c r="A198" s="4">
        <v>44720</v>
      </c>
      <c r="B198" s="86">
        <v>15</v>
      </c>
      <c r="C198" s="5" t="s">
        <v>48</v>
      </c>
      <c r="D198" s="24" t="s">
        <v>144</v>
      </c>
      <c r="E198" s="5"/>
      <c r="F198" s="5">
        <v>1000</v>
      </c>
      <c r="G198" s="5">
        <v>100</v>
      </c>
      <c r="I198" s="29">
        <v>10</v>
      </c>
      <c r="M198" s="29" t="s">
        <v>16</v>
      </c>
      <c r="O198" s="5">
        <v>84</v>
      </c>
      <c r="P198" s="5">
        <v>48</v>
      </c>
      <c r="Q198" s="5">
        <v>24</v>
      </c>
      <c r="R198" s="5">
        <f t="shared" si="28"/>
        <v>156</v>
      </c>
      <c r="S198" s="8">
        <v>1.75</v>
      </c>
      <c r="T198" s="8">
        <v>1.06666666666667</v>
      </c>
      <c r="U198" s="8">
        <v>0.63829787234042556</v>
      </c>
      <c r="V198" s="5">
        <v>1</v>
      </c>
      <c r="W198" s="6" t="s">
        <v>122</v>
      </c>
      <c r="X198" s="5" t="s">
        <v>46</v>
      </c>
      <c r="Y198" s="5"/>
      <c r="AB198" s="5" t="s">
        <v>138</v>
      </c>
      <c r="AC198" s="5">
        <v>100</v>
      </c>
      <c r="AD198" s="97">
        <v>0.08</v>
      </c>
      <c r="AE198" s="13">
        <v>2</v>
      </c>
      <c r="AF198" s="45" t="s">
        <v>103</v>
      </c>
      <c r="AG198" s="2" t="s">
        <v>102</v>
      </c>
      <c r="AH198" s="6"/>
      <c r="AI198" s="7"/>
      <c r="AL198" s="2"/>
      <c r="AM198" s="6"/>
      <c r="AN198" s="6"/>
    </row>
    <row r="199" spans="1:40" ht="15" customHeight="1" x14ac:dyDescent="0.35">
      <c r="A199" s="4">
        <v>44720</v>
      </c>
      <c r="B199" s="86">
        <v>16</v>
      </c>
      <c r="C199" s="5" t="s">
        <v>48</v>
      </c>
      <c r="D199" s="24" t="s">
        <v>42</v>
      </c>
      <c r="E199" s="5"/>
      <c r="F199" s="5">
        <v>1000</v>
      </c>
      <c r="G199" s="5">
        <v>100</v>
      </c>
      <c r="I199" s="29">
        <v>10</v>
      </c>
      <c r="M199" s="29" t="s">
        <v>16</v>
      </c>
      <c r="O199" s="5">
        <v>84</v>
      </c>
      <c r="P199" s="5">
        <v>48</v>
      </c>
      <c r="Q199" s="5">
        <v>24</v>
      </c>
      <c r="R199" s="5">
        <f t="shared" si="28"/>
        <v>156</v>
      </c>
      <c r="S199" s="8">
        <v>1.75</v>
      </c>
      <c r="T199" s="8">
        <v>1.06666666666667</v>
      </c>
      <c r="U199" s="8">
        <v>0.63829787234042556</v>
      </c>
      <c r="V199" s="5">
        <v>1</v>
      </c>
      <c r="W199" s="29" t="s">
        <v>44</v>
      </c>
      <c r="X199" s="5" t="s">
        <v>45</v>
      </c>
      <c r="Y199" s="5"/>
      <c r="AB199" s="5" t="s">
        <v>138</v>
      </c>
      <c r="AC199" s="5">
        <v>100</v>
      </c>
      <c r="AD199" s="78">
        <v>0.04</v>
      </c>
      <c r="AE199" s="13">
        <v>5</v>
      </c>
      <c r="AF199" s="45" t="s">
        <v>104</v>
      </c>
      <c r="AG199" s="2" t="s">
        <v>104</v>
      </c>
      <c r="AH199" s="6"/>
      <c r="AI199" s="7"/>
      <c r="AL199" s="2" t="s">
        <v>153</v>
      </c>
      <c r="AM199" s="6"/>
      <c r="AN199" s="6"/>
    </row>
    <row r="200" spans="1:40" ht="15" customHeight="1" x14ac:dyDescent="0.35">
      <c r="A200" s="4">
        <v>44720</v>
      </c>
      <c r="B200" s="86">
        <v>16</v>
      </c>
      <c r="C200" s="5" t="s">
        <v>48</v>
      </c>
      <c r="D200" s="24" t="s">
        <v>42</v>
      </c>
      <c r="E200" s="5"/>
      <c r="F200" s="5">
        <v>1000</v>
      </c>
      <c r="G200" s="5">
        <v>100</v>
      </c>
      <c r="I200" s="29">
        <v>10</v>
      </c>
      <c r="M200" s="29" t="s">
        <v>16</v>
      </c>
      <c r="O200" s="5">
        <v>84</v>
      </c>
      <c r="P200" s="5">
        <v>48</v>
      </c>
      <c r="Q200" s="5">
        <v>24</v>
      </c>
      <c r="R200" s="5">
        <f t="shared" si="28"/>
        <v>156</v>
      </c>
      <c r="S200" s="8">
        <v>1.75</v>
      </c>
      <c r="T200" s="8">
        <v>1.06666666666667</v>
      </c>
      <c r="U200" s="8">
        <v>0.63829787234042556</v>
      </c>
      <c r="V200" s="5">
        <v>1</v>
      </c>
      <c r="W200" s="29" t="s">
        <v>44</v>
      </c>
      <c r="X200" s="5" t="s">
        <v>46</v>
      </c>
      <c r="Y200" s="5"/>
      <c r="AB200" s="5" t="s">
        <v>138</v>
      </c>
      <c r="AC200" s="5">
        <v>100</v>
      </c>
      <c r="AD200" s="78">
        <v>0.02</v>
      </c>
      <c r="AE200" s="13">
        <v>5</v>
      </c>
      <c r="AF200" s="45" t="s">
        <v>103</v>
      </c>
      <c r="AG200" s="2" t="s">
        <v>102</v>
      </c>
      <c r="AH200" s="6"/>
      <c r="AI200" s="7"/>
      <c r="AL200" s="2" t="s">
        <v>153</v>
      </c>
      <c r="AM200" s="6"/>
      <c r="AN200" s="6"/>
    </row>
    <row r="201" spans="1:40" ht="15" customHeight="1" x14ac:dyDescent="0.35">
      <c r="A201" s="4">
        <v>44720</v>
      </c>
      <c r="B201" s="86">
        <v>16</v>
      </c>
      <c r="C201" s="5" t="s">
        <v>48</v>
      </c>
      <c r="D201" s="24" t="s">
        <v>42</v>
      </c>
      <c r="E201" s="5"/>
      <c r="F201" s="5">
        <v>1000</v>
      </c>
      <c r="G201" s="5">
        <v>100</v>
      </c>
      <c r="I201" s="29">
        <v>10</v>
      </c>
      <c r="M201" s="29" t="s">
        <v>16</v>
      </c>
      <c r="O201" s="5">
        <v>84</v>
      </c>
      <c r="P201" s="5">
        <v>48</v>
      </c>
      <c r="Q201" s="5">
        <v>24</v>
      </c>
      <c r="R201" s="5">
        <f t="shared" si="28"/>
        <v>156</v>
      </c>
      <c r="S201" s="8">
        <v>1.75</v>
      </c>
      <c r="T201" s="8">
        <v>1.06666666666667</v>
      </c>
      <c r="U201" s="8">
        <v>0.63829787234042556</v>
      </c>
      <c r="V201" s="5">
        <v>1</v>
      </c>
      <c r="W201" s="29" t="s">
        <v>44</v>
      </c>
      <c r="X201" s="5" t="s">
        <v>46</v>
      </c>
      <c r="Y201" s="5" t="s">
        <v>122</v>
      </c>
      <c r="AB201" s="5" t="s">
        <v>138</v>
      </c>
      <c r="AC201" s="5">
        <v>100</v>
      </c>
      <c r="AD201" s="78">
        <v>0.04</v>
      </c>
      <c r="AE201" s="13">
        <v>2</v>
      </c>
      <c r="AF201" s="45" t="s">
        <v>103</v>
      </c>
      <c r="AG201" s="2" t="s">
        <v>102</v>
      </c>
      <c r="AH201" s="6"/>
      <c r="AI201" s="7"/>
      <c r="AL201" s="2" t="s">
        <v>153</v>
      </c>
      <c r="AM201" s="6"/>
      <c r="AN201" s="6"/>
    </row>
    <row r="202" spans="1:40" ht="15" customHeight="1" x14ac:dyDescent="0.35">
      <c r="A202" s="4"/>
      <c r="B202" s="86"/>
      <c r="C202" s="5"/>
      <c r="D202" s="24"/>
      <c r="E202" s="5"/>
      <c r="F202" s="5"/>
      <c r="G202" s="5"/>
      <c r="H202" s="74" t="s">
        <v>154</v>
      </c>
      <c r="O202" s="5"/>
      <c r="P202" s="5"/>
      <c r="Q202" s="5"/>
      <c r="R202" s="5"/>
      <c r="S202" s="8"/>
      <c r="T202" s="8"/>
      <c r="U202" s="8"/>
      <c r="V202" s="5"/>
      <c r="W202" s="5"/>
      <c r="X202" s="5"/>
      <c r="Y202" s="5"/>
      <c r="AB202" s="5"/>
      <c r="AC202" s="5"/>
      <c r="AD202" s="96"/>
      <c r="AE202" s="13">
        <v>0</v>
      </c>
      <c r="AF202" s="45"/>
      <c r="AG202" s="2"/>
      <c r="AH202" s="6"/>
      <c r="AI202" s="7"/>
      <c r="AL202" s="2"/>
      <c r="AM202" s="6"/>
      <c r="AN202" s="6"/>
    </row>
    <row r="203" spans="1:40" ht="15" customHeight="1" x14ac:dyDescent="0.35">
      <c r="A203" s="4">
        <v>44721</v>
      </c>
      <c r="B203" s="86">
        <v>17</v>
      </c>
      <c r="C203" s="5" t="s">
        <v>48</v>
      </c>
      <c r="D203" s="24" t="s">
        <v>42</v>
      </c>
      <c r="E203" s="5"/>
      <c r="F203" s="5">
        <v>1050</v>
      </c>
      <c r="G203" s="5">
        <v>200</v>
      </c>
      <c r="I203" s="29">
        <v>10</v>
      </c>
      <c r="M203" s="29" t="s">
        <v>16</v>
      </c>
      <c r="O203" s="5">
        <v>84</v>
      </c>
      <c r="P203" s="5">
        <v>48</v>
      </c>
      <c r="Q203" s="5">
        <v>24</v>
      </c>
      <c r="R203" s="5">
        <f t="shared" ref="R203:R212" si="29">O203+P203+Q203</f>
        <v>156</v>
      </c>
      <c r="S203" s="8">
        <v>1.75</v>
      </c>
      <c r="T203" s="8">
        <v>1.06666666666667</v>
      </c>
      <c r="U203" s="8">
        <v>0.63829787234042556</v>
      </c>
      <c r="V203" s="5">
        <v>1</v>
      </c>
      <c r="W203" s="29" t="s">
        <v>44</v>
      </c>
      <c r="X203" s="5" t="s">
        <v>45</v>
      </c>
      <c r="Y203" s="5"/>
      <c r="AB203" s="5" t="s">
        <v>155</v>
      </c>
      <c r="AC203" s="5">
        <v>100</v>
      </c>
      <c r="AD203" s="78">
        <v>0.14000000000000001</v>
      </c>
      <c r="AE203" s="13">
        <v>0</v>
      </c>
      <c r="AF203" s="45" t="s">
        <v>104</v>
      </c>
      <c r="AG203" s="2" t="s">
        <v>104</v>
      </c>
      <c r="AH203" s="6"/>
      <c r="AI203" s="7"/>
      <c r="AL203" s="2" t="s">
        <v>156</v>
      </c>
      <c r="AM203" s="6"/>
      <c r="AN203" s="6"/>
    </row>
    <row r="204" spans="1:40" ht="15" customHeight="1" x14ac:dyDescent="0.35">
      <c r="A204" s="4">
        <v>44721</v>
      </c>
      <c r="B204" s="86">
        <v>17</v>
      </c>
      <c r="C204" s="5" t="s">
        <v>48</v>
      </c>
      <c r="D204" s="24" t="s">
        <v>42</v>
      </c>
      <c r="E204" s="5"/>
      <c r="F204" s="5">
        <v>1050</v>
      </c>
      <c r="G204" s="5">
        <v>200</v>
      </c>
      <c r="I204" s="29">
        <v>10</v>
      </c>
      <c r="M204" s="29" t="s">
        <v>16</v>
      </c>
      <c r="O204" s="5">
        <v>84</v>
      </c>
      <c r="P204" s="5">
        <v>48</v>
      </c>
      <c r="Q204" s="5">
        <v>24</v>
      </c>
      <c r="R204" s="5">
        <f t="shared" si="29"/>
        <v>156</v>
      </c>
      <c r="S204" s="8">
        <v>1.75</v>
      </c>
      <c r="T204" s="8">
        <v>1.06666666666667</v>
      </c>
      <c r="U204" s="8">
        <v>0.63829787234042556</v>
      </c>
      <c r="V204" s="5">
        <v>1</v>
      </c>
      <c r="W204" s="29" t="s">
        <v>44</v>
      </c>
      <c r="X204" s="5" t="s">
        <v>46</v>
      </c>
      <c r="Y204" s="5"/>
      <c r="AB204" s="5" t="s">
        <v>138</v>
      </c>
      <c r="AC204" s="5">
        <v>100</v>
      </c>
      <c r="AD204" s="78">
        <v>0.01</v>
      </c>
      <c r="AE204" s="13">
        <v>1</v>
      </c>
      <c r="AF204" s="45" t="s">
        <v>102</v>
      </c>
      <c r="AG204" s="2" t="s">
        <v>102</v>
      </c>
      <c r="AH204" s="6"/>
      <c r="AI204" s="7"/>
      <c r="AL204" s="2"/>
      <c r="AM204" s="6"/>
      <c r="AN204" s="6"/>
    </row>
    <row r="205" spans="1:40" ht="15" customHeight="1" x14ac:dyDescent="0.35">
      <c r="A205" s="4">
        <v>44721</v>
      </c>
      <c r="B205" s="86">
        <v>18</v>
      </c>
      <c r="C205" s="5" t="s">
        <v>157</v>
      </c>
      <c r="D205" s="24" t="s">
        <v>42</v>
      </c>
      <c r="E205" s="5"/>
      <c r="F205" s="5">
        <v>1050</v>
      </c>
      <c r="G205" s="5">
        <v>100</v>
      </c>
      <c r="I205" s="29">
        <v>12</v>
      </c>
      <c r="M205" s="29" t="s">
        <v>16</v>
      </c>
      <c r="O205" s="5">
        <v>91</v>
      </c>
      <c r="P205" s="5">
        <v>25</v>
      </c>
      <c r="Q205" s="5">
        <v>0</v>
      </c>
      <c r="R205" s="5">
        <f t="shared" si="29"/>
        <v>116</v>
      </c>
      <c r="S205" s="3">
        <f>O205/P205</f>
        <v>3.64</v>
      </c>
      <c r="T205" s="3">
        <v>4.6500000000000004</v>
      </c>
      <c r="U205" s="3">
        <v>1.45</v>
      </c>
      <c r="V205" s="5">
        <v>1</v>
      </c>
      <c r="W205" s="29" t="s">
        <v>44</v>
      </c>
      <c r="X205" s="5" t="s">
        <v>45</v>
      </c>
      <c r="Y205" s="5"/>
      <c r="AB205" s="5" t="s">
        <v>155</v>
      </c>
      <c r="AC205" s="5">
        <v>100</v>
      </c>
      <c r="AD205" s="78">
        <v>0.03</v>
      </c>
      <c r="AE205" s="13">
        <v>1</v>
      </c>
      <c r="AF205" s="45" t="s">
        <v>104</v>
      </c>
      <c r="AG205" s="2" t="s">
        <v>104</v>
      </c>
      <c r="AH205" s="6"/>
      <c r="AI205" s="7"/>
      <c r="AL205" s="2" t="s">
        <v>158</v>
      </c>
      <c r="AM205" s="6"/>
      <c r="AN205" s="6"/>
    </row>
    <row r="206" spans="1:40" ht="15" customHeight="1" x14ac:dyDescent="0.35">
      <c r="A206" s="4">
        <v>44721</v>
      </c>
      <c r="B206" s="86">
        <v>18</v>
      </c>
      <c r="C206" s="5" t="s">
        <v>157</v>
      </c>
      <c r="D206" s="24" t="s">
        <v>42</v>
      </c>
      <c r="E206" s="5"/>
      <c r="F206" s="5">
        <v>1050</v>
      </c>
      <c r="G206" s="5">
        <v>100</v>
      </c>
      <c r="I206" s="29">
        <v>12</v>
      </c>
      <c r="M206" s="29" t="s">
        <v>16</v>
      </c>
      <c r="O206" s="5">
        <v>91</v>
      </c>
      <c r="P206" s="5">
        <v>25</v>
      </c>
      <c r="Q206" s="5">
        <v>0</v>
      </c>
      <c r="R206" s="5">
        <f t="shared" si="29"/>
        <v>116</v>
      </c>
      <c r="S206" s="3">
        <f>O206/P206</f>
        <v>3.64</v>
      </c>
      <c r="T206" s="3">
        <v>4.6500000000000004</v>
      </c>
      <c r="U206" s="3">
        <v>1.45</v>
      </c>
      <c r="V206" s="5">
        <v>1</v>
      </c>
      <c r="W206" s="29" t="s">
        <v>44</v>
      </c>
      <c r="X206" s="5" t="s">
        <v>46</v>
      </c>
      <c r="Y206" s="5"/>
      <c r="AB206" s="5" t="s">
        <v>138</v>
      </c>
      <c r="AC206" s="5">
        <v>100</v>
      </c>
      <c r="AD206" s="78">
        <v>0.01</v>
      </c>
      <c r="AE206" s="13">
        <v>1</v>
      </c>
      <c r="AF206" s="45" t="s">
        <v>104</v>
      </c>
      <c r="AG206" s="2" t="s">
        <v>102</v>
      </c>
      <c r="AH206" s="6"/>
      <c r="AI206" s="7"/>
      <c r="AL206" s="2"/>
      <c r="AM206" s="6"/>
      <c r="AN206" s="6"/>
    </row>
    <row r="207" spans="1:40" ht="15" customHeight="1" x14ac:dyDescent="0.35">
      <c r="A207" s="4">
        <v>44721</v>
      </c>
      <c r="B207" s="86">
        <v>19</v>
      </c>
      <c r="C207" s="5" t="s">
        <v>157</v>
      </c>
      <c r="D207" s="24" t="s">
        <v>50</v>
      </c>
      <c r="E207" s="5"/>
      <c r="F207" s="5">
        <v>1050</v>
      </c>
      <c r="G207" s="5">
        <v>100</v>
      </c>
      <c r="I207" s="29">
        <v>12</v>
      </c>
      <c r="M207" s="29" t="s">
        <v>16</v>
      </c>
      <c r="O207" s="5">
        <v>91</v>
      </c>
      <c r="P207" s="5">
        <v>25</v>
      </c>
      <c r="Q207" s="5">
        <v>0</v>
      </c>
      <c r="R207" s="5">
        <f t="shared" si="29"/>
        <v>116</v>
      </c>
      <c r="S207" s="3">
        <f>O207/P207</f>
        <v>3.64</v>
      </c>
      <c r="T207" s="3">
        <v>4.6500000000000004</v>
      </c>
      <c r="U207" s="3">
        <v>1.45</v>
      </c>
      <c r="V207" s="5">
        <v>5</v>
      </c>
      <c r="W207" s="5" t="s">
        <v>52</v>
      </c>
      <c r="X207" s="5" t="s">
        <v>45</v>
      </c>
      <c r="Y207" s="5"/>
      <c r="AB207" s="5" t="s">
        <v>155</v>
      </c>
      <c r="AC207" s="5">
        <v>100</v>
      </c>
      <c r="AD207" s="78">
        <v>0.03</v>
      </c>
      <c r="AE207" s="13">
        <v>0</v>
      </c>
      <c r="AF207" s="45" t="s">
        <v>104</v>
      </c>
      <c r="AG207" s="2" t="s">
        <v>102</v>
      </c>
      <c r="AH207" s="6"/>
      <c r="AI207" s="7"/>
      <c r="AL207" s="2"/>
      <c r="AM207" s="6"/>
      <c r="AN207" s="6"/>
    </row>
    <row r="208" spans="1:40" ht="15" customHeight="1" x14ac:dyDescent="0.35">
      <c r="A208" s="4">
        <v>44721</v>
      </c>
      <c r="B208" s="86">
        <v>19</v>
      </c>
      <c r="C208" s="5" t="s">
        <v>157</v>
      </c>
      <c r="D208" s="24" t="s">
        <v>50</v>
      </c>
      <c r="E208" s="5"/>
      <c r="F208" s="5">
        <v>1050</v>
      </c>
      <c r="G208" s="5">
        <v>100</v>
      </c>
      <c r="I208" s="29">
        <v>12</v>
      </c>
      <c r="M208" s="29" t="s">
        <v>16</v>
      </c>
      <c r="O208" s="5">
        <v>91</v>
      </c>
      <c r="P208" s="5">
        <v>25</v>
      </c>
      <c r="Q208" s="5">
        <v>0</v>
      </c>
      <c r="R208" s="5">
        <f t="shared" si="29"/>
        <v>116</v>
      </c>
      <c r="S208" s="3">
        <f>O208/P208</f>
        <v>3.64</v>
      </c>
      <c r="T208" s="3">
        <v>4.6500000000000004</v>
      </c>
      <c r="U208" s="3">
        <v>1.45</v>
      </c>
      <c r="V208" s="5">
        <v>2</v>
      </c>
      <c r="W208" s="5" t="s">
        <v>52</v>
      </c>
      <c r="X208" s="5" t="s">
        <v>46</v>
      </c>
      <c r="Y208" s="5"/>
      <c r="AB208" s="5" t="s">
        <v>138</v>
      </c>
      <c r="AC208" s="5">
        <v>100</v>
      </c>
      <c r="AD208" s="78">
        <v>0.01</v>
      </c>
      <c r="AE208" s="13">
        <v>1</v>
      </c>
      <c r="AF208" s="45" t="s">
        <v>103</v>
      </c>
      <c r="AG208" s="2" t="s">
        <v>102</v>
      </c>
      <c r="AH208" s="6"/>
      <c r="AI208" s="7"/>
      <c r="AL208" s="2"/>
      <c r="AM208" s="6"/>
      <c r="AN208" s="6"/>
    </row>
    <row r="209" spans="1:40" ht="15" customHeight="1" x14ac:dyDescent="0.35">
      <c r="A209" s="4">
        <v>44721</v>
      </c>
      <c r="B209" s="86">
        <v>20</v>
      </c>
      <c r="C209" s="5" t="s">
        <v>48</v>
      </c>
      <c r="D209" s="24" t="s">
        <v>42</v>
      </c>
      <c r="E209" s="5"/>
      <c r="F209" s="5">
        <v>1050</v>
      </c>
      <c r="G209" s="5">
        <v>200</v>
      </c>
      <c r="H209" s="75" t="s">
        <v>159</v>
      </c>
      <c r="I209" s="29">
        <v>10</v>
      </c>
      <c r="M209" s="29" t="s">
        <v>16</v>
      </c>
      <c r="O209" s="5">
        <v>84</v>
      </c>
      <c r="P209" s="5">
        <v>48</v>
      </c>
      <c r="Q209" s="5">
        <v>24</v>
      </c>
      <c r="R209" s="5">
        <f t="shared" si="29"/>
        <v>156</v>
      </c>
      <c r="S209" s="8">
        <v>1.75</v>
      </c>
      <c r="T209" s="8">
        <v>1.06666666666667</v>
      </c>
      <c r="U209" s="8">
        <v>0.63829787234042556</v>
      </c>
      <c r="V209" s="5">
        <v>1</v>
      </c>
      <c r="W209" s="29" t="s">
        <v>44</v>
      </c>
      <c r="X209" s="5" t="s">
        <v>45</v>
      </c>
      <c r="Y209" s="5"/>
      <c r="AB209" s="5" t="s">
        <v>155</v>
      </c>
      <c r="AC209" s="5">
        <v>100</v>
      </c>
      <c r="AD209" s="78">
        <v>0.02</v>
      </c>
      <c r="AE209" s="13">
        <v>1</v>
      </c>
      <c r="AF209" s="45" t="s">
        <v>102</v>
      </c>
      <c r="AG209" s="2" t="s">
        <v>102</v>
      </c>
      <c r="AH209" s="6"/>
      <c r="AI209" s="7"/>
      <c r="AL209" s="2"/>
      <c r="AM209" s="6"/>
      <c r="AN209" s="6"/>
    </row>
    <row r="210" spans="1:40" ht="15" customHeight="1" x14ac:dyDescent="0.35">
      <c r="A210" s="4">
        <v>44721</v>
      </c>
      <c r="B210" s="86">
        <v>20</v>
      </c>
      <c r="C210" s="5" t="s">
        <v>48</v>
      </c>
      <c r="D210" s="24" t="s">
        <v>42</v>
      </c>
      <c r="E210" s="5"/>
      <c r="F210" s="5">
        <v>1050</v>
      </c>
      <c r="G210" s="5">
        <v>200</v>
      </c>
      <c r="H210" s="75" t="s">
        <v>159</v>
      </c>
      <c r="I210" s="29">
        <v>10</v>
      </c>
      <c r="M210" s="29" t="s">
        <v>16</v>
      </c>
      <c r="O210" s="5">
        <v>84</v>
      </c>
      <c r="P210" s="5">
        <v>48</v>
      </c>
      <c r="Q210" s="5">
        <v>24</v>
      </c>
      <c r="R210" s="5">
        <f t="shared" si="29"/>
        <v>156</v>
      </c>
      <c r="S210" s="8">
        <v>1.75</v>
      </c>
      <c r="T210" s="8">
        <v>1.06666666666667</v>
      </c>
      <c r="U210" s="8">
        <v>0.63829787234042556</v>
      </c>
      <c r="V210" s="5">
        <v>1</v>
      </c>
      <c r="W210" s="29" t="s">
        <v>44</v>
      </c>
      <c r="X210" s="5" t="s">
        <v>46</v>
      </c>
      <c r="Y210" s="5"/>
      <c r="AB210" s="5" t="s">
        <v>138</v>
      </c>
      <c r="AC210" s="5">
        <v>100</v>
      </c>
      <c r="AD210" s="78">
        <v>0.01</v>
      </c>
      <c r="AE210" s="13">
        <v>1</v>
      </c>
      <c r="AF210" s="45" t="s">
        <v>103</v>
      </c>
      <c r="AG210" s="2" t="s">
        <v>102</v>
      </c>
      <c r="AH210" s="6"/>
      <c r="AI210" s="7"/>
      <c r="AL210" s="2"/>
      <c r="AM210" s="6"/>
      <c r="AN210" s="6"/>
    </row>
    <row r="211" spans="1:40" ht="15" customHeight="1" x14ac:dyDescent="0.35">
      <c r="A211" s="4">
        <v>44721</v>
      </c>
      <c r="B211" s="86">
        <v>21</v>
      </c>
      <c r="C211" s="5" t="s">
        <v>157</v>
      </c>
      <c r="D211" s="24" t="s">
        <v>57</v>
      </c>
      <c r="E211" s="5"/>
      <c r="F211" s="5">
        <v>1050</v>
      </c>
      <c r="G211" s="5">
        <v>100</v>
      </c>
      <c r="I211" s="29">
        <v>12</v>
      </c>
      <c r="M211" s="29" t="s">
        <v>16</v>
      </c>
      <c r="O211" s="5">
        <v>91</v>
      </c>
      <c r="P211" s="5">
        <v>25</v>
      </c>
      <c r="Q211" s="5">
        <v>0</v>
      </c>
      <c r="R211" s="5">
        <f t="shared" si="29"/>
        <v>116</v>
      </c>
      <c r="S211" s="3">
        <f>O211/P211</f>
        <v>3.64</v>
      </c>
      <c r="T211" s="3">
        <v>4.6500000000000004</v>
      </c>
      <c r="U211" s="3">
        <v>1.45</v>
      </c>
      <c r="V211" s="5">
        <v>5</v>
      </c>
      <c r="W211" s="5" t="s">
        <v>52</v>
      </c>
      <c r="X211" s="5" t="s">
        <v>45</v>
      </c>
      <c r="Y211" s="5"/>
      <c r="AB211" s="5" t="s">
        <v>155</v>
      </c>
      <c r="AC211" s="5">
        <v>100</v>
      </c>
      <c r="AD211" s="96">
        <v>0.02</v>
      </c>
      <c r="AE211" s="13">
        <v>0</v>
      </c>
      <c r="AF211" s="45" t="s">
        <v>104</v>
      </c>
      <c r="AG211" s="2" t="s">
        <v>104</v>
      </c>
      <c r="AH211" s="6"/>
      <c r="AI211" s="7"/>
      <c r="AL211" s="2"/>
      <c r="AM211" s="6"/>
      <c r="AN211" s="6"/>
    </row>
    <row r="212" spans="1:40" ht="15" customHeight="1" x14ac:dyDescent="0.35">
      <c r="A212" s="4">
        <v>44721</v>
      </c>
      <c r="B212" s="86">
        <v>21</v>
      </c>
      <c r="C212" s="5" t="s">
        <v>157</v>
      </c>
      <c r="D212" s="24" t="s">
        <v>57</v>
      </c>
      <c r="E212" s="5"/>
      <c r="F212" s="5">
        <v>1050</v>
      </c>
      <c r="G212" s="5">
        <v>100</v>
      </c>
      <c r="I212" s="29">
        <v>12</v>
      </c>
      <c r="M212" s="29" t="s">
        <v>16</v>
      </c>
      <c r="O212" s="5">
        <v>91</v>
      </c>
      <c r="P212" s="5">
        <v>25</v>
      </c>
      <c r="Q212" s="5">
        <v>0</v>
      </c>
      <c r="R212" s="5">
        <f t="shared" si="29"/>
        <v>116</v>
      </c>
      <c r="S212" s="3">
        <f>O212/P212</f>
        <v>3.64</v>
      </c>
      <c r="T212" s="3">
        <v>4.6500000000000004</v>
      </c>
      <c r="U212" s="3">
        <v>1.45</v>
      </c>
      <c r="V212" s="5">
        <v>5</v>
      </c>
      <c r="W212" s="5" t="s">
        <v>52</v>
      </c>
      <c r="X212" s="5" t="s">
        <v>46</v>
      </c>
      <c r="Y212" s="5"/>
      <c r="AB212" s="5" t="s">
        <v>138</v>
      </c>
      <c r="AC212" s="5">
        <v>100</v>
      </c>
      <c r="AD212" s="78">
        <v>0.01</v>
      </c>
      <c r="AE212" s="13">
        <v>0</v>
      </c>
      <c r="AF212" s="45" t="s">
        <v>103</v>
      </c>
      <c r="AG212" s="2" t="s">
        <v>102</v>
      </c>
      <c r="AH212" s="6"/>
      <c r="AI212" s="7"/>
      <c r="AL212" s="2"/>
      <c r="AM212" s="6"/>
      <c r="AN212" s="6"/>
    </row>
    <row r="213" spans="1:40" ht="15" customHeight="1" x14ac:dyDescent="0.35">
      <c r="A213" s="4"/>
      <c r="B213" s="86"/>
      <c r="C213" s="5"/>
      <c r="D213" s="24"/>
      <c r="E213" s="5"/>
      <c r="F213" s="5"/>
      <c r="G213" s="5"/>
      <c r="H213" s="74" t="s">
        <v>160</v>
      </c>
      <c r="M213" s="29" t="s">
        <v>16</v>
      </c>
      <c r="O213" s="5"/>
      <c r="P213" s="5"/>
      <c r="Q213" s="5"/>
      <c r="R213" s="5"/>
      <c r="S213" s="3"/>
      <c r="T213" s="3"/>
      <c r="U213" s="3"/>
      <c r="V213" s="5"/>
      <c r="W213" s="5"/>
      <c r="X213" s="5"/>
      <c r="Y213" s="5"/>
      <c r="AB213" s="5"/>
      <c r="AC213" s="5"/>
      <c r="AD213" s="78"/>
      <c r="AE213" s="13">
        <v>0</v>
      </c>
      <c r="AF213" s="45"/>
      <c r="AG213" s="2"/>
      <c r="AH213" s="6"/>
      <c r="AI213" s="7"/>
      <c r="AL213" s="2"/>
      <c r="AM213" s="6"/>
      <c r="AN213" s="6"/>
    </row>
    <row r="214" spans="1:40" ht="15" customHeight="1" x14ac:dyDescent="0.35">
      <c r="A214" s="4">
        <v>44722</v>
      </c>
      <c r="B214" s="86">
        <v>24</v>
      </c>
      <c r="C214" s="5" t="s">
        <v>48</v>
      </c>
      <c r="D214" s="24" t="s">
        <v>42</v>
      </c>
      <c r="E214" s="5"/>
      <c r="F214" s="5">
        <v>1050</v>
      </c>
      <c r="G214" s="5">
        <v>200</v>
      </c>
      <c r="I214" s="29">
        <v>10</v>
      </c>
      <c r="M214" s="29" t="s">
        <v>16</v>
      </c>
      <c r="O214" s="5">
        <v>84</v>
      </c>
      <c r="P214" s="5">
        <v>48</v>
      </c>
      <c r="Q214" s="5">
        <v>24</v>
      </c>
      <c r="R214" s="5">
        <f t="shared" ref="R214:R221" si="30">O214+P214+Q214</f>
        <v>156</v>
      </c>
      <c r="S214" s="8">
        <v>1.75</v>
      </c>
      <c r="T214" s="8">
        <v>1.06666666666667</v>
      </c>
      <c r="U214" s="8">
        <v>0.63829787234042556</v>
      </c>
      <c r="V214" s="5">
        <v>1</v>
      </c>
      <c r="W214" s="29" t="s">
        <v>44</v>
      </c>
      <c r="X214" s="5" t="s">
        <v>45</v>
      </c>
      <c r="Y214" s="5"/>
      <c r="AB214" s="5" t="s">
        <v>155</v>
      </c>
      <c r="AC214" s="5">
        <v>100</v>
      </c>
      <c r="AD214" s="78">
        <v>7.0000000000000007E-2</v>
      </c>
      <c r="AE214" s="13">
        <v>1</v>
      </c>
      <c r="AF214" s="45" t="s">
        <v>103</v>
      </c>
      <c r="AG214" s="2" t="s">
        <v>102</v>
      </c>
      <c r="AH214" s="6"/>
      <c r="AI214" s="7"/>
      <c r="AL214" s="2"/>
      <c r="AM214" s="6"/>
      <c r="AN214" s="6"/>
    </row>
    <row r="215" spans="1:40" ht="15" customHeight="1" x14ac:dyDescent="0.35">
      <c r="A215" s="4">
        <v>44722</v>
      </c>
      <c r="B215" s="86">
        <v>24</v>
      </c>
      <c r="C215" s="5" t="s">
        <v>48</v>
      </c>
      <c r="D215" s="24" t="s">
        <v>42</v>
      </c>
      <c r="E215" s="5"/>
      <c r="F215" s="5">
        <v>1050</v>
      </c>
      <c r="G215" s="5">
        <v>200</v>
      </c>
      <c r="I215" s="29">
        <v>10</v>
      </c>
      <c r="M215" s="29" t="s">
        <v>16</v>
      </c>
      <c r="O215" s="5">
        <v>84</v>
      </c>
      <c r="P215" s="5">
        <v>48</v>
      </c>
      <c r="Q215" s="5">
        <v>24</v>
      </c>
      <c r="R215" s="5">
        <f t="shared" si="30"/>
        <v>156</v>
      </c>
      <c r="S215" s="8">
        <v>1.75</v>
      </c>
      <c r="T215" s="8">
        <v>1.06666666666667</v>
      </c>
      <c r="U215" s="8">
        <v>0.63829787234042556</v>
      </c>
      <c r="V215" s="5">
        <v>1</v>
      </c>
      <c r="W215" s="29" t="s">
        <v>44</v>
      </c>
      <c r="X215" s="5" t="s">
        <v>46</v>
      </c>
      <c r="Y215" s="5"/>
      <c r="AB215" s="5" t="s">
        <v>138</v>
      </c>
      <c r="AC215" s="5">
        <v>100</v>
      </c>
      <c r="AD215" s="78">
        <v>0.02</v>
      </c>
      <c r="AE215" s="13">
        <v>0</v>
      </c>
      <c r="AF215" s="45" t="s">
        <v>104</v>
      </c>
      <c r="AG215" s="2" t="s">
        <v>104</v>
      </c>
      <c r="AH215" s="6"/>
      <c r="AI215" s="7"/>
      <c r="AL215" s="2"/>
      <c r="AM215" s="6"/>
      <c r="AN215" s="6"/>
    </row>
    <row r="216" spans="1:40" ht="15" customHeight="1" x14ac:dyDescent="0.35">
      <c r="A216" s="4">
        <v>44722</v>
      </c>
      <c r="B216" s="86">
        <v>25</v>
      </c>
      <c r="C216" s="5" t="s">
        <v>157</v>
      </c>
      <c r="D216" s="24" t="s">
        <v>144</v>
      </c>
      <c r="E216" s="5"/>
      <c r="F216" s="5">
        <v>1050</v>
      </c>
      <c r="G216" s="5">
        <v>100</v>
      </c>
      <c r="I216" s="29">
        <v>12</v>
      </c>
      <c r="M216" s="29" t="s">
        <v>16</v>
      </c>
      <c r="O216" s="5">
        <v>83</v>
      </c>
      <c r="P216" s="5">
        <v>25</v>
      </c>
      <c r="Q216" s="5">
        <v>8</v>
      </c>
      <c r="R216" s="5">
        <f t="shared" si="30"/>
        <v>116</v>
      </c>
      <c r="S216" s="3">
        <f t="shared" ref="S216:S221" si="31">O216/P216</f>
        <v>3.32</v>
      </c>
      <c r="T216" s="3">
        <v>4.6500000000000004</v>
      </c>
      <c r="U216" s="3">
        <v>1.45</v>
      </c>
      <c r="V216" s="5">
        <v>1</v>
      </c>
      <c r="W216" s="6" t="s">
        <v>122</v>
      </c>
      <c r="X216" s="5" t="s">
        <v>46</v>
      </c>
      <c r="Y216" s="5"/>
      <c r="AB216" s="5" t="s">
        <v>155</v>
      </c>
      <c r="AC216" s="5">
        <v>100</v>
      </c>
      <c r="AD216" s="78">
        <v>0.02</v>
      </c>
      <c r="AE216" s="13">
        <v>1</v>
      </c>
      <c r="AF216" s="45" t="s">
        <v>110</v>
      </c>
      <c r="AG216" s="2" t="s">
        <v>102</v>
      </c>
      <c r="AH216" s="6"/>
      <c r="AI216" s="7"/>
      <c r="AL216" s="2"/>
      <c r="AM216" s="6"/>
      <c r="AN216" s="6"/>
    </row>
    <row r="217" spans="1:40" ht="15" customHeight="1" x14ac:dyDescent="0.35">
      <c r="A217" s="4">
        <v>44722</v>
      </c>
      <c r="B217" s="86">
        <v>25</v>
      </c>
      <c r="C217" s="5" t="s">
        <v>157</v>
      </c>
      <c r="D217" s="24" t="s">
        <v>144</v>
      </c>
      <c r="E217" s="5"/>
      <c r="F217" s="5">
        <v>1050</v>
      </c>
      <c r="G217" s="5">
        <v>100</v>
      </c>
      <c r="I217" s="29">
        <v>12</v>
      </c>
      <c r="M217" s="29" t="s">
        <v>16</v>
      </c>
      <c r="O217" s="5">
        <v>83</v>
      </c>
      <c r="P217" s="5">
        <v>25</v>
      </c>
      <c r="Q217" s="5">
        <v>8</v>
      </c>
      <c r="R217" s="5">
        <f t="shared" si="30"/>
        <v>116</v>
      </c>
      <c r="S217" s="3">
        <f t="shared" si="31"/>
        <v>3.32</v>
      </c>
      <c r="T217" s="3">
        <v>4.6500000000000004</v>
      </c>
      <c r="U217" s="3">
        <v>1.45</v>
      </c>
      <c r="V217" s="5">
        <v>1</v>
      </c>
      <c r="W217" s="6" t="s">
        <v>122</v>
      </c>
      <c r="X217" s="5" t="s">
        <v>46</v>
      </c>
      <c r="Y217" s="5"/>
      <c r="AB217" s="5" t="s">
        <v>138</v>
      </c>
      <c r="AC217" s="5">
        <v>100</v>
      </c>
      <c r="AD217" s="78">
        <v>0.02</v>
      </c>
      <c r="AE217" s="13">
        <v>1</v>
      </c>
      <c r="AF217" s="45" t="s">
        <v>110</v>
      </c>
      <c r="AG217" s="2" t="s">
        <v>102</v>
      </c>
      <c r="AH217" s="6"/>
      <c r="AI217" s="7"/>
      <c r="AL217" s="2"/>
      <c r="AM217" s="6"/>
      <c r="AN217" s="6"/>
    </row>
    <row r="218" spans="1:40" ht="15" customHeight="1" x14ac:dyDescent="0.35">
      <c r="A218" s="4">
        <v>44721</v>
      </c>
      <c r="B218" s="86">
        <v>23</v>
      </c>
      <c r="C218" s="5" t="s">
        <v>161</v>
      </c>
      <c r="D218" s="24" t="s">
        <v>42</v>
      </c>
      <c r="E218" s="5"/>
      <c r="F218" s="5">
        <v>1050</v>
      </c>
      <c r="G218" s="5">
        <v>200</v>
      </c>
      <c r="H218" s="75" t="s">
        <v>162</v>
      </c>
      <c r="I218" s="29">
        <v>10</v>
      </c>
      <c r="M218" s="29" t="s">
        <v>16</v>
      </c>
      <c r="O218" s="5">
        <v>160</v>
      </c>
      <c r="P218" s="5">
        <v>96</v>
      </c>
      <c r="Q218" s="5">
        <v>40</v>
      </c>
      <c r="R218" s="5">
        <f t="shared" si="30"/>
        <v>296</v>
      </c>
      <c r="S218" s="3">
        <f t="shared" si="31"/>
        <v>1.6666666666666667</v>
      </c>
      <c r="T218" s="3">
        <f>27/37</f>
        <v>0.72972972972972971</v>
      </c>
      <c r="U218" s="3">
        <f>49/90</f>
        <v>0.5444444444444444</v>
      </c>
      <c r="V218" s="5">
        <v>1</v>
      </c>
      <c r="W218" s="29" t="s">
        <v>44</v>
      </c>
      <c r="X218" s="5" t="s">
        <v>45</v>
      </c>
      <c r="Y218" s="5"/>
      <c r="AB218" s="5" t="s">
        <v>155</v>
      </c>
      <c r="AC218" s="5">
        <v>100</v>
      </c>
      <c r="AD218" s="78">
        <v>0.09</v>
      </c>
      <c r="AE218" s="13">
        <v>0</v>
      </c>
      <c r="AF218" s="45" t="s">
        <v>104</v>
      </c>
      <c r="AG218" s="2" t="s">
        <v>104</v>
      </c>
      <c r="AH218" s="6"/>
      <c r="AI218" s="7"/>
      <c r="AL218" s="2" t="s">
        <v>156</v>
      </c>
      <c r="AM218" s="6"/>
      <c r="AN218" s="6"/>
    </row>
    <row r="219" spans="1:40" ht="15" customHeight="1" x14ac:dyDescent="0.35">
      <c r="A219" s="4">
        <v>44721</v>
      </c>
      <c r="B219" s="86">
        <v>23</v>
      </c>
      <c r="C219" s="5" t="s">
        <v>161</v>
      </c>
      <c r="D219" s="24" t="s">
        <v>42</v>
      </c>
      <c r="E219" s="5"/>
      <c r="F219" s="5">
        <v>1050</v>
      </c>
      <c r="G219" s="5">
        <v>200</v>
      </c>
      <c r="H219" s="75" t="s">
        <v>162</v>
      </c>
      <c r="I219" s="29">
        <v>10</v>
      </c>
      <c r="M219" s="29" t="s">
        <v>16</v>
      </c>
      <c r="O219" s="5">
        <v>160</v>
      </c>
      <c r="P219" s="5">
        <v>96</v>
      </c>
      <c r="Q219" s="5">
        <v>40</v>
      </c>
      <c r="R219" s="5">
        <f t="shared" si="30"/>
        <v>296</v>
      </c>
      <c r="S219" s="3">
        <f t="shared" si="31"/>
        <v>1.6666666666666667</v>
      </c>
      <c r="T219" s="3">
        <f>27/37</f>
        <v>0.72972972972972971</v>
      </c>
      <c r="U219" s="3">
        <f>49/90</f>
        <v>0.5444444444444444</v>
      </c>
      <c r="V219" s="5">
        <v>1</v>
      </c>
      <c r="W219" s="29" t="s">
        <v>44</v>
      </c>
      <c r="X219" s="5" t="s">
        <v>46</v>
      </c>
      <c r="Y219" s="5"/>
      <c r="AB219" s="5" t="s">
        <v>138</v>
      </c>
      <c r="AC219" s="5">
        <v>100</v>
      </c>
      <c r="AD219" s="78">
        <v>0.01</v>
      </c>
      <c r="AE219" s="13">
        <v>1</v>
      </c>
      <c r="AF219" s="45" t="s">
        <v>104</v>
      </c>
      <c r="AG219" s="2" t="s">
        <v>102</v>
      </c>
      <c r="AH219" s="6"/>
      <c r="AI219" s="7"/>
      <c r="AL219" s="2"/>
      <c r="AM219" s="6"/>
      <c r="AN219" s="6"/>
    </row>
    <row r="220" spans="1:40" ht="15" customHeight="1" x14ac:dyDescent="0.35">
      <c r="A220" s="4">
        <v>44721</v>
      </c>
      <c r="B220" s="86">
        <v>22</v>
      </c>
      <c r="C220" s="5" t="s">
        <v>163</v>
      </c>
      <c r="D220" s="24" t="s">
        <v>42</v>
      </c>
      <c r="E220" s="5"/>
      <c r="F220" s="5">
        <v>1050</v>
      </c>
      <c r="G220" s="5">
        <v>100</v>
      </c>
      <c r="H220" s="76" t="s">
        <v>164</v>
      </c>
      <c r="I220" s="29">
        <v>12</v>
      </c>
      <c r="M220" s="29" t="s">
        <v>16</v>
      </c>
      <c r="O220" s="5">
        <v>83</v>
      </c>
      <c r="P220" s="5">
        <v>25</v>
      </c>
      <c r="Q220" s="5">
        <v>8</v>
      </c>
      <c r="R220" s="5">
        <f t="shared" si="30"/>
        <v>116</v>
      </c>
      <c r="S220" s="3">
        <f t="shared" si="31"/>
        <v>3.32</v>
      </c>
      <c r="T220" s="3">
        <v>4.6500000000000004</v>
      </c>
      <c r="U220" s="3">
        <v>1.45</v>
      </c>
      <c r="V220" s="5">
        <v>1</v>
      </c>
      <c r="W220" s="29" t="s">
        <v>44</v>
      </c>
      <c r="X220" s="5" t="s">
        <v>45</v>
      </c>
      <c r="Y220" s="5"/>
      <c r="AB220" s="5" t="s">
        <v>155</v>
      </c>
      <c r="AC220" s="5">
        <v>100</v>
      </c>
      <c r="AD220" s="78">
        <v>0.02</v>
      </c>
      <c r="AE220" s="13">
        <v>1</v>
      </c>
      <c r="AF220" s="45" t="s">
        <v>104</v>
      </c>
      <c r="AG220" s="2" t="s">
        <v>104</v>
      </c>
      <c r="AH220" s="5"/>
      <c r="AI220" s="7"/>
      <c r="AL220" s="2" t="s">
        <v>156</v>
      </c>
      <c r="AM220" s="5"/>
      <c r="AN220" s="3"/>
    </row>
    <row r="221" spans="1:40" ht="15" customHeight="1" x14ac:dyDescent="0.35">
      <c r="A221" s="4">
        <v>44721</v>
      </c>
      <c r="B221" s="86">
        <v>22</v>
      </c>
      <c r="C221" s="5" t="s">
        <v>163</v>
      </c>
      <c r="D221" s="24" t="s">
        <v>42</v>
      </c>
      <c r="E221" s="5"/>
      <c r="F221" s="5">
        <v>1050</v>
      </c>
      <c r="G221" s="5">
        <v>100</v>
      </c>
      <c r="H221" s="76" t="s">
        <v>164</v>
      </c>
      <c r="I221" s="29">
        <v>12</v>
      </c>
      <c r="M221" s="29" t="s">
        <v>16</v>
      </c>
      <c r="O221" s="5">
        <v>83</v>
      </c>
      <c r="P221" s="5">
        <v>25</v>
      </c>
      <c r="Q221" s="5">
        <v>8</v>
      </c>
      <c r="R221" s="5">
        <f t="shared" si="30"/>
        <v>116</v>
      </c>
      <c r="S221" s="3">
        <f t="shared" si="31"/>
        <v>3.32</v>
      </c>
      <c r="T221" s="3">
        <v>4.6500000000000004</v>
      </c>
      <c r="U221" s="3">
        <v>1.45</v>
      </c>
      <c r="V221" s="5">
        <v>1</v>
      </c>
      <c r="W221" s="5" t="s">
        <v>52</v>
      </c>
      <c r="X221" s="5" t="s">
        <v>46</v>
      </c>
      <c r="Y221" s="5"/>
      <c r="AB221" s="5" t="s">
        <v>138</v>
      </c>
      <c r="AC221" s="5">
        <v>100</v>
      </c>
      <c r="AD221" s="78">
        <v>0.03</v>
      </c>
      <c r="AE221" s="13">
        <v>3</v>
      </c>
      <c r="AF221" s="45" t="s">
        <v>104</v>
      </c>
      <c r="AG221" s="2" t="s">
        <v>102</v>
      </c>
      <c r="AH221" s="5"/>
      <c r="AI221" s="7"/>
      <c r="AL221" s="2"/>
      <c r="AM221" s="5"/>
      <c r="AN221" s="3"/>
    </row>
    <row r="222" spans="1:40" ht="15" customHeight="1" thickBot="1" x14ac:dyDescent="0.4">
      <c r="A222" s="4"/>
      <c r="B222" s="86"/>
      <c r="C222" s="5"/>
      <c r="D222" s="24"/>
      <c r="E222" s="5"/>
      <c r="F222" s="5"/>
      <c r="G222" s="5"/>
      <c r="O222" s="5"/>
      <c r="P222" s="5"/>
      <c r="Q222" s="5"/>
      <c r="R222" s="5"/>
      <c r="S222" s="3"/>
      <c r="T222" s="3"/>
      <c r="U222" s="3"/>
      <c r="V222" s="5"/>
      <c r="W222" s="5"/>
      <c r="X222" s="5"/>
      <c r="Y222" s="5"/>
      <c r="AB222" s="5"/>
      <c r="AC222" s="5"/>
      <c r="AD222" s="78"/>
      <c r="AE222" s="12"/>
      <c r="AF222" s="45"/>
      <c r="AG222" s="2"/>
      <c r="AH222" s="6"/>
      <c r="AI222" s="7"/>
      <c r="AL222" s="2"/>
      <c r="AM222" s="6"/>
      <c r="AN222" s="6"/>
    </row>
    <row r="223" spans="1:40" s="30" customFormat="1" ht="15" customHeight="1" thickBot="1" x14ac:dyDescent="0.4">
      <c r="A223" s="102"/>
      <c r="B223" s="88"/>
      <c r="C223" s="34"/>
      <c r="D223" s="49"/>
      <c r="E223" s="34"/>
      <c r="F223" s="34"/>
      <c r="G223" s="34"/>
      <c r="H223" s="73"/>
      <c r="I223" s="39"/>
      <c r="J223" s="66"/>
      <c r="K223" s="66"/>
      <c r="L223" s="66"/>
      <c r="M223" s="39"/>
      <c r="N223" s="39"/>
      <c r="O223" s="34"/>
      <c r="P223" s="34"/>
      <c r="Q223" s="34"/>
      <c r="R223" s="34"/>
      <c r="S223" s="37"/>
      <c r="T223" s="37"/>
      <c r="U223" s="37"/>
      <c r="V223" s="34"/>
      <c r="W223" s="34"/>
      <c r="X223" s="34"/>
      <c r="Y223" s="34"/>
      <c r="Z223" s="80"/>
      <c r="AB223" s="34"/>
      <c r="AC223" s="34"/>
      <c r="AD223" s="98"/>
      <c r="AE223" s="38"/>
      <c r="AF223" s="54"/>
      <c r="AG223" s="42"/>
      <c r="AH223" s="31"/>
      <c r="AI223" s="33"/>
      <c r="AL223" s="42"/>
      <c r="AM223" s="31"/>
      <c r="AN223" s="31"/>
    </row>
    <row r="224" spans="1:40" ht="15" customHeight="1" x14ac:dyDescent="0.35">
      <c r="A224" s="4"/>
      <c r="B224" s="86"/>
      <c r="C224" s="5"/>
      <c r="D224" s="24"/>
      <c r="E224" s="5"/>
      <c r="F224" s="5"/>
      <c r="G224" s="5"/>
      <c r="O224" s="5"/>
      <c r="P224" s="5"/>
      <c r="Q224" s="5"/>
      <c r="R224" s="5"/>
      <c r="S224" s="3"/>
      <c r="T224" s="3"/>
      <c r="U224" s="3"/>
      <c r="V224" s="5"/>
      <c r="W224" s="5"/>
      <c r="X224" s="5"/>
      <c r="Y224" s="5"/>
      <c r="AB224" s="5"/>
      <c r="AC224" s="5"/>
      <c r="AD224" s="78"/>
      <c r="AE224" s="12"/>
      <c r="AF224" s="45"/>
      <c r="AG224" s="2"/>
      <c r="AH224" s="6"/>
      <c r="AI224" s="7"/>
      <c r="AL224" s="2"/>
      <c r="AM224" s="6"/>
      <c r="AN224" s="6"/>
    </row>
    <row r="225" spans="1:39" ht="15" customHeight="1" x14ac:dyDescent="0.35">
      <c r="A225" s="4">
        <v>44732</v>
      </c>
      <c r="B225" s="86">
        <v>1</v>
      </c>
      <c r="C225" s="5" t="s">
        <v>48</v>
      </c>
      <c r="D225" s="24" t="s">
        <v>42</v>
      </c>
      <c r="E225" s="5"/>
      <c r="F225" s="5">
        <v>1050</v>
      </c>
      <c r="G225" s="5">
        <v>200</v>
      </c>
      <c r="I225" s="5">
        <v>10</v>
      </c>
      <c r="J225" s="67">
        <v>0.5</v>
      </c>
      <c r="K225" s="67">
        <v>3.6</v>
      </c>
      <c r="L225" s="67">
        <v>0.03</v>
      </c>
      <c r="M225" s="5" t="s">
        <v>16</v>
      </c>
      <c r="N225" s="6">
        <v>5</v>
      </c>
      <c r="O225" s="5">
        <v>84</v>
      </c>
      <c r="P225" s="5">
        <v>48</v>
      </c>
      <c r="Q225" s="5">
        <v>24</v>
      </c>
      <c r="R225" s="5">
        <f t="shared" ref="R225:R236" si="32">O225+P225+Q225</f>
        <v>156</v>
      </c>
      <c r="S225" s="3">
        <f t="shared" ref="S225:S236" si="33">O225/P225</f>
        <v>1.75</v>
      </c>
      <c r="T225" s="3">
        <v>1.06666666666667</v>
      </c>
      <c r="U225" s="3">
        <v>0.63829787234042556</v>
      </c>
      <c r="V225" s="5">
        <v>1</v>
      </c>
      <c r="W225" s="29" t="s">
        <v>44</v>
      </c>
      <c r="X225" s="5" t="s">
        <v>45</v>
      </c>
      <c r="Y225" s="5"/>
      <c r="AB225" s="5" t="s">
        <v>155</v>
      </c>
      <c r="AC225" s="5">
        <v>100</v>
      </c>
      <c r="AD225" s="78">
        <v>0.03</v>
      </c>
      <c r="AE225" s="13">
        <v>0</v>
      </c>
      <c r="AF225" s="45" t="s">
        <v>104</v>
      </c>
      <c r="AG225" s="2" t="s">
        <v>104</v>
      </c>
      <c r="AH225" s="6"/>
      <c r="AI225" s="7"/>
      <c r="AL225" s="2"/>
      <c r="AM225" s="15" t="str">
        <f t="shared" ref="AM225:AM256" si="34">IF(AND(AB225="Single", AC225&gt;99,AD225&lt;0.06,AE225&lt;5, OR(AF225="None","Low"),AG225="None"), "TYPE A", IF(AND(AB225="Poly", AC225&gt;99,AD225&lt;0.06,AE225&lt;1,AF225="None"), "TYPE B",IF(AND(AB225="Poly", AC225&gt;99,AD225&lt;0.06,AE225&gt;1,AF225="None"), "TYPE C",IF(AND(AB225="Poly", AC225&gt;99,AD225&lt;0.06,AF225="Yes"), "TYPE D", "FAIL"))))</f>
        <v>TYPE A</v>
      </c>
    </row>
    <row r="226" spans="1:39" ht="15" customHeight="1" x14ac:dyDescent="0.35">
      <c r="A226" s="4">
        <v>44732</v>
      </c>
      <c r="B226" s="86">
        <v>1</v>
      </c>
      <c r="C226" s="5" t="s">
        <v>48</v>
      </c>
      <c r="D226" s="24" t="s">
        <v>42</v>
      </c>
      <c r="E226" s="5"/>
      <c r="F226" s="5">
        <v>1050</v>
      </c>
      <c r="G226" s="5">
        <v>200</v>
      </c>
      <c r="I226" s="5">
        <v>10</v>
      </c>
      <c r="J226" s="67">
        <v>0.5</v>
      </c>
      <c r="K226" s="67">
        <v>3.6</v>
      </c>
      <c r="L226" s="67">
        <v>0.03</v>
      </c>
      <c r="M226" s="5" t="s">
        <v>16</v>
      </c>
      <c r="N226" s="6">
        <v>5</v>
      </c>
      <c r="O226" s="5">
        <v>84</v>
      </c>
      <c r="P226" s="5">
        <v>48</v>
      </c>
      <c r="Q226" s="5">
        <v>24</v>
      </c>
      <c r="R226" s="5">
        <f t="shared" si="32"/>
        <v>156</v>
      </c>
      <c r="S226" s="3">
        <f t="shared" si="33"/>
        <v>1.75</v>
      </c>
      <c r="T226" s="3">
        <v>1.06666666666667</v>
      </c>
      <c r="U226" s="3">
        <v>0.63829787234042556</v>
      </c>
      <c r="V226" s="5">
        <v>1</v>
      </c>
      <c r="W226" s="29" t="s">
        <v>44</v>
      </c>
      <c r="X226" s="5" t="s">
        <v>46</v>
      </c>
      <c r="Y226" s="5"/>
      <c r="AB226" s="5" t="s">
        <v>138</v>
      </c>
      <c r="AC226" s="5">
        <v>100</v>
      </c>
      <c r="AD226" s="78">
        <v>0.01</v>
      </c>
      <c r="AE226" s="13">
        <v>5</v>
      </c>
      <c r="AF226" s="45" t="s">
        <v>103</v>
      </c>
      <c r="AG226" s="2" t="s">
        <v>102</v>
      </c>
      <c r="AH226" s="6"/>
      <c r="AI226" s="7"/>
      <c r="AL226" s="2"/>
      <c r="AM226" s="15" t="str">
        <f t="shared" si="34"/>
        <v>FAIL</v>
      </c>
    </row>
    <row r="227" spans="1:39" ht="15" customHeight="1" x14ac:dyDescent="0.35">
      <c r="A227" s="4">
        <v>44732</v>
      </c>
      <c r="B227" s="86">
        <v>2</v>
      </c>
      <c r="C227" s="5" t="s">
        <v>157</v>
      </c>
      <c r="D227" s="24" t="s">
        <v>42</v>
      </c>
      <c r="E227" s="5"/>
      <c r="F227" s="5">
        <v>1050</v>
      </c>
      <c r="G227" s="5">
        <v>100</v>
      </c>
      <c r="I227" s="6">
        <v>12</v>
      </c>
      <c r="J227" s="67">
        <v>0.49</v>
      </c>
      <c r="K227" s="67">
        <v>3.6</v>
      </c>
      <c r="L227" s="67">
        <v>0.03</v>
      </c>
      <c r="M227" s="5" t="s">
        <v>16</v>
      </c>
      <c r="N227" s="6">
        <v>5</v>
      </c>
      <c r="O227" s="5">
        <v>91</v>
      </c>
      <c r="P227" s="5">
        <v>25</v>
      </c>
      <c r="Q227" s="5">
        <v>0</v>
      </c>
      <c r="R227" s="5">
        <f t="shared" si="32"/>
        <v>116</v>
      </c>
      <c r="S227" s="3">
        <f t="shared" si="33"/>
        <v>3.64</v>
      </c>
      <c r="T227" s="3">
        <v>4.6500000000000004</v>
      </c>
      <c r="U227" s="3">
        <v>1.45</v>
      </c>
      <c r="V227" s="5">
        <v>1</v>
      </c>
      <c r="W227" s="29" t="s">
        <v>44</v>
      </c>
      <c r="X227" s="5" t="s">
        <v>45</v>
      </c>
      <c r="Y227" s="5"/>
      <c r="AB227" s="5" t="s">
        <v>155</v>
      </c>
      <c r="AC227" s="5">
        <v>100</v>
      </c>
      <c r="AD227" s="78">
        <v>0.04</v>
      </c>
      <c r="AE227" s="13">
        <v>0</v>
      </c>
      <c r="AF227" s="45" t="s">
        <v>104</v>
      </c>
      <c r="AG227" s="2" t="s">
        <v>104</v>
      </c>
      <c r="AH227" s="6"/>
      <c r="AI227" s="7"/>
      <c r="AL227" s="2"/>
      <c r="AM227" s="15" t="str">
        <f t="shared" si="34"/>
        <v>TYPE A</v>
      </c>
    </row>
    <row r="228" spans="1:39" ht="15" customHeight="1" x14ac:dyDescent="0.35">
      <c r="A228" s="4">
        <v>44732</v>
      </c>
      <c r="B228" s="86">
        <v>2</v>
      </c>
      <c r="C228" s="5" t="s">
        <v>157</v>
      </c>
      <c r="D228" s="24" t="s">
        <v>42</v>
      </c>
      <c r="E228" s="5"/>
      <c r="F228" s="5">
        <v>1050</v>
      </c>
      <c r="G228" s="5">
        <v>100</v>
      </c>
      <c r="I228" s="6">
        <v>12</v>
      </c>
      <c r="J228" s="67">
        <v>0.49</v>
      </c>
      <c r="K228" s="67">
        <v>3.6</v>
      </c>
      <c r="L228" s="67">
        <v>0.03</v>
      </c>
      <c r="M228" s="5" t="s">
        <v>16</v>
      </c>
      <c r="N228" s="6">
        <v>5</v>
      </c>
      <c r="O228" s="5">
        <v>91</v>
      </c>
      <c r="P228" s="5">
        <v>25</v>
      </c>
      <c r="Q228" s="5">
        <v>0</v>
      </c>
      <c r="R228" s="5">
        <f t="shared" si="32"/>
        <v>116</v>
      </c>
      <c r="S228" s="3">
        <f t="shared" si="33"/>
        <v>3.64</v>
      </c>
      <c r="T228" s="3">
        <v>4.6500000000000004</v>
      </c>
      <c r="U228" s="3">
        <v>1.45</v>
      </c>
      <c r="V228" s="5">
        <v>1</v>
      </c>
      <c r="W228" s="29" t="s">
        <v>44</v>
      </c>
      <c r="X228" s="5" t="s">
        <v>46</v>
      </c>
      <c r="Y228" s="5"/>
      <c r="AB228" s="5" t="s">
        <v>138</v>
      </c>
      <c r="AC228" s="5">
        <v>100</v>
      </c>
      <c r="AD228" s="96">
        <v>0.01</v>
      </c>
      <c r="AE228" s="13">
        <v>3</v>
      </c>
      <c r="AF228" s="45" t="s">
        <v>104</v>
      </c>
      <c r="AG228" s="2" t="s">
        <v>102</v>
      </c>
      <c r="AH228" s="6"/>
      <c r="AI228" s="9"/>
      <c r="AL228" s="2"/>
      <c r="AM228" s="15" t="str">
        <f t="shared" si="34"/>
        <v>TYPE C</v>
      </c>
    </row>
    <row r="229" spans="1:39" ht="15" customHeight="1" x14ac:dyDescent="0.35">
      <c r="A229" s="4">
        <v>44732</v>
      </c>
      <c r="B229" s="86">
        <v>3</v>
      </c>
      <c r="C229" s="5" t="s">
        <v>48</v>
      </c>
      <c r="D229" s="24" t="s">
        <v>42</v>
      </c>
      <c r="E229" s="5"/>
      <c r="F229" s="5">
        <v>1050</v>
      </c>
      <c r="G229" s="5">
        <v>200</v>
      </c>
      <c r="I229" s="5">
        <v>10</v>
      </c>
      <c r="J229" s="67">
        <v>0.49</v>
      </c>
      <c r="K229" s="67">
        <v>3.6</v>
      </c>
      <c r="L229" s="67">
        <v>0.02</v>
      </c>
      <c r="M229" s="5" t="s">
        <v>16</v>
      </c>
      <c r="N229" s="6">
        <v>2.5</v>
      </c>
      <c r="O229" s="5">
        <v>84</v>
      </c>
      <c r="P229" s="5">
        <v>48</v>
      </c>
      <c r="Q229" s="5">
        <v>24</v>
      </c>
      <c r="R229" s="5">
        <f t="shared" si="32"/>
        <v>156</v>
      </c>
      <c r="S229" s="3">
        <f t="shared" si="33"/>
        <v>1.75</v>
      </c>
      <c r="T229" s="3">
        <v>1.06666666666667</v>
      </c>
      <c r="U229" s="3">
        <v>0.63829787234042556</v>
      </c>
      <c r="V229" s="5">
        <v>1</v>
      </c>
      <c r="W229" s="29" t="s">
        <v>44</v>
      </c>
      <c r="X229" s="5" t="s">
        <v>45</v>
      </c>
      <c r="Y229" s="5"/>
      <c r="AB229" s="5" t="s">
        <v>155</v>
      </c>
      <c r="AC229" s="5">
        <v>100</v>
      </c>
      <c r="AD229" s="78">
        <v>0.05</v>
      </c>
      <c r="AE229" s="13">
        <v>0</v>
      </c>
      <c r="AF229" s="45" t="s">
        <v>104</v>
      </c>
      <c r="AG229" s="2" t="s">
        <v>102</v>
      </c>
      <c r="AH229" s="6"/>
      <c r="AI229" s="7"/>
      <c r="AL229" s="2"/>
      <c r="AM229" s="15" t="str">
        <f t="shared" si="34"/>
        <v>FAIL</v>
      </c>
    </row>
    <row r="230" spans="1:39" ht="15" customHeight="1" x14ac:dyDescent="0.35">
      <c r="A230" s="4">
        <v>44732</v>
      </c>
      <c r="B230" s="86">
        <v>3</v>
      </c>
      <c r="C230" s="5" t="s">
        <v>48</v>
      </c>
      <c r="D230" s="24" t="s">
        <v>42</v>
      </c>
      <c r="E230" s="5"/>
      <c r="F230" s="5">
        <v>1050</v>
      </c>
      <c r="G230" s="5">
        <v>200</v>
      </c>
      <c r="I230" s="5">
        <v>10</v>
      </c>
      <c r="J230" s="67">
        <v>0.49</v>
      </c>
      <c r="K230" s="67">
        <v>3.6</v>
      </c>
      <c r="L230" s="67">
        <v>0.02</v>
      </c>
      <c r="M230" s="5" t="s">
        <v>16</v>
      </c>
      <c r="N230" s="6">
        <v>2.5</v>
      </c>
      <c r="O230" s="5">
        <v>84</v>
      </c>
      <c r="P230" s="5">
        <v>48</v>
      </c>
      <c r="Q230" s="5">
        <v>24</v>
      </c>
      <c r="R230" s="5">
        <f t="shared" si="32"/>
        <v>156</v>
      </c>
      <c r="S230" s="3">
        <f t="shared" si="33"/>
        <v>1.75</v>
      </c>
      <c r="T230" s="3">
        <v>1.06666666666667</v>
      </c>
      <c r="U230" s="3">
        <v>0.63829787234042556</v>
      </c>
      <c r="V230" s="5">
        <v>1</v>
      </c>
      <c r="W230" s="29" t="s">
        <v>44</v>
      </c>
      <c r="X230" s="5" t="s">
        <v>46</v>
      </c>
      <c r="Y230" s="5"/>
      <c r="AB230" s="5" t="s">
        <v>138</v>
      </c>
      <c r="AC230" s="5">
        <v>100</v>
      </c>
      <c r="AD230" s="78">
        <v>0.03</v>
      </c>
      <c r="AE230" s="13">
        <v>3</v>
      </c>
      <c r="AF230" s="45" t="s">
        <v>102</v>
      </c>
      <c r="AG230" s="2" t="s">
        <v>102</v>
      </c>
      <c r="AH230" s="6"/>
      <c r="AI230" s="7"/>
      <c r="AL230" s="2"/>
      <c r="AM230" s="15" t="str">
        <f t="shared" si="34"/>
        <v>FAIL</v>
      </c>
    </row>
    <row r="231" spans="1:39" ht="15" customHeight="1" x14ac:dyDescent="0.35">
      <c r="A231" s="4">
        <v>44732</v>
      </c>
      <c r="B231" s="86">
        <v>4</v>
      </c>
      <c r="C231" s="5" t="s">
        <v>157</v>
      </c>
      <c r="D231" s="24" t="s">
        <v>165</v>
      </c>
      <c r="E231" s="5"/>
      <c r="F231" s="5">
        <v>1050</v>
      </c>
      <c r="G231" s="5">
        <v>100</v>
      </c>
      <c r="I231" s="6">
        <v>12</v>
      </c>
      <c r="J231" s="67">
        <v>0.49</v>
      </c>
      <c r="K231" s="67">
        <v>3.6</v>
      </c>
      <c r="L231" s="67">
        <v>0.03</v>
      </c>
      <c r="M231" s="5" t="s">
        <v>16</v>
      </c>
      <c r="N231" s="6">
        <v>5</v>
      </c>
      <c r="O231" s="5">
        <v>91</v>
      </c>
      <c r="P231" s="5">
        <v>25</v>
      </c>
      <c r="Q231" s="5">
        <v>0</v>
      </c>
      <c r="R231" s="5">
        <f t="shared" si="32"/>
        <v>116</v>
      </c>
      <c r="S231" s="3">
        <f t="shared" si="33"/>
        <v>3.64</v>
      </c>
      <c r="T231" s="3">
        <v>4.6500000000000004</v>
      </c>
      <c r="U231" s="3">
        <v>1.45</v>
      </c>
      <c r="V231" s="5">
        <v>5</v>
      </c>
      <c r="W231" s="5" t="s">
        <v>52</v>
      </c>
      <c r="X231" s="5" t="s">
        <v>45</v>
      </c>
      <c r="Y231" s="5"/>
      <c r="AB231" s="5" t="s">
        <v>155</v>
      </c>
      <c r="AC231" s="5">
        <v>100</v>
      </c>
      <c r="AD231" s="78">
        <v>0.02</v>
      </c>
      <c r="AE231" s="13">
        <v>0</v>
      </c>
      <c r="AF231" s="45" t="s">
        <v>104</v>
      </c>
      <c r="AG231" s="2" t="s">
        <v>104</v>
      </c>
      <c r="AH231" s="6"/>
      <c r="AI231" s="7"/>
      <c r="AL231" s="2"/>
      <c r="AM231" s="15" t="str">
        <f t="shared" si="34"/>
        <v>TYPE A</v>
      </c>
    </row>
    <row r="232" spans="1:39" ht="15" customHeight="1" x14ac:dyDescent="0.35">
      <c r="A232" s="4">
        <v>44732</v>
      </c>
      <c r="B232" s="86">
        <v>4</v>
      </c>
      <c r="C232" s="5" t="s">
        <v>157</v>
      </c>
      <c r="D232" s="24" t="s">
        <v>165</v>
      </c>
      <c r="E232" s="5"/>
      <c r="F232" s="5">
        <v>1050</v>
      </c>
      <c r="G232" s="5">
        <v>100</v>
      </c>
      <c r="I232" s="6">
        <v>12</v>
      </c>
      <c r="J232" s="67">
        <v>0.49</v>
      </c>
      <c r="K232" s="67">
        <v>3.6</v>
      </c>
      <c r="L232" s="67">
        <v>0.03</v>
      </c>
      <c r="M232" s="5" t="s">
        <v>16</v>
      </c>
      <c r="N232" s="6">
        <v>5</v>
      </c>
      <c r="O232" s="5">
        <v>91</v>
      </c>
      <c r="P232" s="5">
        <v>25</v>
      </c>
      <c r="Q232" s="5">
        <v>0</v>
      </c>
      <c r="R232" s="5">
        <f t="shared" si="32"/>
        <v>116</v>
      </c>
      <c r="S232" s="3">
        <f t="shared" si="33"/>
        <v>3.64</v>
      </c>
      <c r="T232" s="3">
        <v>4.6500000000000004</v>
      </c>
      <c r="U232" s="3">
        <v>1.45</v>
      </c>
      <c r="V232" s="5">
        <v>5</v>
      </c>
      <c r="W232" s="5" t="s">
        <v>52</v>
      </c>
      <c r="X232" s="5" t="s">
        <v>45</v>
      </c>
      <c r="Y232" s="5"/>
      <c r="AB232" s="5" t="s">
        <v>155</v>
      </c>
      <c r="AC232" s="5">
        <v>100</v>
      </c>
      <c r="AD232" s="96">
        <v>0.02</v>
      </c>
      <c r="AE232" s="13">
        <v>0</v>
      </c>
      <c r="AF232" s="45" t="s">
        <v>104</v>
      </c>
      <c r="AG232" s="2" t="s">
        <v>104</v>
      </c>
      <c r="AH232" s="6"/>
      <c r="AI232" s="9"/>
      <c r="AL232" s="2"/>
      <c r="AM232" s="15" t="str">
        <f t="shared" si="34"/>
        <v>TYPE A</v>
      </c>
    </row>
    <row r="233" spans="1:39" ht="15" customHeight="1" x14ac:dyDescent="0.35">
      <c r="A233" s="4">
        <v>44732</v>
      </c>
      <c r="B233" s="86">
        <v>5</v>
      </c>
      <c r="C233" s="5" t="s">
        <v>48</v>
      </c>
      <c r="D233" s="24" t="s">
        <v>42</v>
      </c>
      <c r="E233" s="5"/>
      <c r="F233" s="5">
        <v>1050</v>
      </c>
      <c r="G233" s="5">
        <v>200</v>
      </c>
      <c r="H233" s="64" t="s">
        <v>166</v>
      </c>
      <c r="I233" s="5">
        <v>10</v>
      </c>
      <c r="J233" s="67">
        <v>0.44</v>
      </c>
      <c r="K233" s="67">
        <v>4.72</v>
      </c>
      <c r="L233" s="67">
        <v>0.01</v>
      </c>
      <c r="M233" s="5" t="s">
        <v>16</v>
      </c>
      <c r="N233" s="6">
        <v>1</v>
      </c>
      <c r="O233" s="5">
        <v>84</v>
      </c>
      <c r="P233" s="5">
        <v>48</v>
      </c>
      <c r="Q233" s="5">
        <v>24</v>
      </c>
      <c r="R233" s="5">
        <f t="shared" si="32"/>
        <v>156</v>
      </c>
      <c r="S233" s="3">
        <f t="shared" si="33"/>
        <v>1.75</v>
      </c>
      <c r="T233" s="3">
        <v>1.06666666666667</v>
      </c>
      <c r="U233" s="3">
        <v>0.63829787234042556</v>
      </c>
      <c r="V233" s="5">
        <v>1</v>
      </c>
      <c r="W233" s="29" t="s">
        <v>44</v>
      </c>
      <c r="X233" s="5" t="s">
        <v>45</v>
      </c>
      <c r="Y233" s="5"/>
      <c r="AB233" s="5" t="s">
        <v>155</v>
      </c>
      <c r="AC233" s="5">
        <v>100</v>
      </c>
      <c r="AD233" s="96">
        <v>0.09</v>
      </c>
      <c r="AE233" s="13">
        <v>0</v>
      </c>
      <c r="AF233" s="45" t="s">
        <v>104</v>
      </c>
      <c r="AG233" s="2" t="s">
        <v>104</v>
      </c>
      <c r="AH233" s="6"/>
      <c r="AI233" s="9"/>
      <c r="AL233" s="55"/>
      <c r="AM233" s="15" t="str">
        <f t="shared" si="34"/>
        <v>FAIL</v>
      </c>
    </row>
    <row r="234" spans="1:39" ht="15" customHeight="1" x14ac:dyDescent="0.35">
      <c r="A234" s="4">
        <v>44732</v>
      </c>
      <c r="B234" s="86">
        <v>5</v>
      </c>
      <c r="C234" s="5" t="s">
        <v>48</v>
      </c>
      <c r="D234" s="24" t="s">
        <v>42</v>
      </c>
      <c r="E234" s="5"/>
      <c r="F234" s="5">
        <v>1050</v>
      </c>
      <c r="G234" s="5">
        <v>200</v>
      </c>
      <c r="H234" s="64" t="s">
        <v>166</v>
      </c>
      <c r="I234" s="5">
        <v>10</v>
      </c>
      <c r="J234" s="67">
        <v>0.44</v>
      </c>
      <c r="K234" s="67">
        <v>4.72</v>
      </c>
      <c r="L234" s="67">
        <v>0.01</v>
      </c>
      <c r="M234" s="5" t="s">
        <v>16</v>
      </c>
      <c r="N234" s="6">
        <v>1</v>
      </c>
      <c r="O234" s="5">
        <v>84</v>
      </c>
      <c r="P234" s="5">
        <v>48</v>
      </c>
      <c r="Q234" s="5">
        <v>24</v>
      </c>
      <c r="R234" s="5">
        <f t="shared" si="32"/>
        <v>156</v>
      </c>
      <c r="S234" s="3">
        <f t="shared" si="33"/>
        <v>1.75</v>
      </c>
      <c r="T234" s="3">
        <v>1.06666666666667</v>
      </c>
      <c r="U234" s="3">
        <v>0.63829787234042556</v>
      </c>
      <c r="V234" s="5">
        <v>1</v>
      </c>
      <c r="W234" s="29" t="s">
        <v>44</v>
      </c>
      <c r="X234" s="5" t="s">
        <v>46</v>
      </c>
      <c r="Y234" s="5"/>
      <c r="AB234" s="5" t="s">
        <v>138</v>
      </c>
      <c r="AC234" s="5">
        <v>100</v>
      </c>
      <c r="AD234" s="78">
        <v>0.01</v>
      </c>
      <c r="AE234" s="13">
        <v>1</v>
      </c>
      <c r="AF234" s="45" t="s">
        <v>102</v>
      </c>
      <c r="AG234" s="2" t="s">
        <v>110</v>
      </c>
      <c r="AH234" s="6"/>
      <c r="AI234" s="7"/>
      <c r="AL234" s="55"/>
      <c r="AM234" s="15" t="str">
        <f t="shared" si="34"/>
        <v>FAIL</v>
      </c>
    </row>
    <row r="235" spans="1:39" ht="15" customHeight="1" x14ac:dyDescent="0.35">
      <c r="A235" s="4">
        <v>44732</v>
      </c>
      <c r="B235" s="86">
        <v>6</v>
      </c>
      <c r="C235" s="5" t="s">
        <v>157</v>
      </c>
      <c r="D235" s="24" t="s">
        <v>42</v>
      </c>
      <c r="E235" s="5"/>
      <c r="F235" s="5">
        <v>1050</v>
      </c>
      <c r="G235" s="5">
        <v>200</v>
      </c>
      <c r="I235" s="5">
        <v>10</v>
      </c>
      <c r="J235" s="67">
        <v>0.45</v>
      </c>
      <c r="K235" s="67">
        <v>5.47</v>
      </c>
      <c r="L235" s="67">
        <v>0.02</v>
      </c>
      <c r="M235" s="5" t="s">
        <v>145</v>
      </c>
      <c r="N235" s="6">
        <v>2.5</v>
      </c>
      <c r="O235" s="5">
        <v>91</v>
      </c>
      <c r="P235" s="5">
        <v>25</v>
      </c>
      <c r="Q235" s="5">
        <v>0</v>
      </c>
      <c r="R235" s="5">
        <f t="shared" si="32"/>
        <v>116</v>
      </c>
      <c r="S235" s="3">
        <f t="shared" si="33"/>
        <v>3.64</v>
      </c>
      <c r="T235" s="3">
        <v>4.6500000000000004</v>
      </c>
      <c r="U235" s="3">
        <v>1.45</v>
      </c>
      <c r="V235" s="5">
        <v>1</v>
      </c>
      <c r="W235" s="29" t="s">
        <v>44</v>
      </c>
      <c r="X235" s="5" t="s">
        <v>45</v>
      </c>
      <c r="Y235" s="5"/>
      <c r="AB235" s="5" t="s">
        <v>155</v>
      </c>
      <c r="AC235" s="5">
        <v>100</v>
      </c>
      <c r="AD235" s="78">
        <v>0.02</v>
      </c>
      <c r="AE235" s="13">
        <v>0</v>
      </c>
      <c r="AF235" s="45" t="s">
        <v>104</v>
      </c>
      <c r="AG235" s="2" t="s">
        <v>104</v>
      </c>
      <c r="AH235" s="6"/>
      <c r="AI235" s="7"/>
      <c r="AL235" s="2"/>
      <c r="AM235" s="15" t="str">
        <f t="shared" si="34"/>
        <v>TYPE A</v>
      </c>
    </row>
    <row r="236" spans="1:39" ht="15" customHeight="1" x14ac:dyDescent="0.35">
      <c r="A236" s="4">
        <v>44732</v>
      </c>
      <c r="B236" s="86">
        <v>6</v>
      </c>
      <c r="C236" s="5" t="s">
        <v>157</v>
      </c>
      <c r="D236" s="24" t="s">
        <v>42</v>
      </c>
      <c r="E236" s="5"/>
      <c r="F236" s="5">
        <v>1050</v>
      </c>
      <c r="G236" s="5">
        <v>200</v>
      </c>
      <c r="I236" s="5">
        <v>10</v>
      </c>
      <c r="J236" s="67">
        <v>0.45</v>
      </c>
      <c r="K236" s="67">
        <v>5.47</v>
      </c>
      <c r="L236" s="67">
        <v>0.02</v>
      </c>
      <c r="M236" s="5" t="s">
        <v>145</v>
      </c>
      <c r="N236" s="6">
        <v>2.5</v>
      </c>
      <c r="O236" s="5">
        <v>91</v>
      </c>
      <c r="P236" s="5">
        <v>25</v>
      </c>
      <c r="Q236" s="5">
        <v>0</v>
      </c>
      <c r="R236" s="5">
        <f t="shared" si="32"/>
        <v>116</v>
      </c>
      <c r="S236" s="3">
        <f t="shared" si="33"/>
        <v>3.64</v>
      </c>
      <c r="T236" s="3">
        <v>4.6500000000000004</v>
      </c>
      <c r="U236" s="3">
        <v>1.45</v>
      </c>
      <c r="V236" s="5">
        <v>3</v>
      </c>
      <c r="W236" s="5" t="s">
        <v>52</v>
      </c>
      <c r="X236" s="5" t="s">
        <v>46</v>
      </c>
      <c r="Y236" s="5"/>
      <c r="AB236" s="5" t="s">
        <v>138</v>
      </c>
      <c r="AC236" s="5">
        <v>100</v>
      </c>
      <c r="AD236" s="78">
        <v>0.01</v>
      </c>
      <c r="AE236" s="13">
        <v>1</v>
      </c>
      <c r="AF236" s="45" t="s">
        <v>104</v>
      </c>
      <c r="AG236" s="2" t="s">
        <v>102</v>
      </c>
      <c r="AH236" s="6"/>
      <c r="AI236" s="7"/>
      <c r="AL236" s="2"/>
      <c r="AM236" s="15" t="str">
        <f t="shared" si="34"/>
        <v>FAIL</v>
      </c>
    </row>
    <row r="237" spans="1:39" ht="15" customHeight="1" x14ac:dyDescent="0.35">
      <c r="A237" s="4"/>
      <c r="B237" s="86"/>
      <c r="C237" s="5"/>
      <c r="D237" s="24"/>
      <c r="E237" s="5"/>
      <c r="F237" s="5"/>
      <c r="G237" s="5"/>
      <c r="I237" s="5"/>
      <c r="J237" s="67"/>
      <c r="K237" s="67"/>
      <c r="L237" s="67"/>
      <c r="M237" s="5"/>
      <c r="N237" s="6"/>
      <c r="O237" s="5"/>
      <c r="P237" s="5"/>
      <c r="Q237" s="5"/>
      <c r="R237" s="5"/>
      <c r="S237" s="3"/>
      <c r="T237" s="3"/>
      <c r="U237" s="3"/>
      <c r="V237" s="5"/>
      <c r="W237" s="5"/>
      <c r="X237" s="5"/>
      <c r="Y237" s="5"/>
      <c r="AB237" s="5"/>
      <c r="AC237" s="5"/>
      <c r="AD237" s="78"/>
      <c r="AE237" s="13"/>
      <c r="AF237" s="45"/>
      <c r="AG237" s="2"/>
      <c r="AH237" s="6"/>
      <c r="AI237" s="7"/>
      <c r="AL237" s="2"/>
      <c r="AM237" s="15" t="str">
        <f t="shared" si="34"/>
        <v>FAIL</v>
      </c>
    </row>
    <row r="238" spans="1:39" ht="15" customHeight="1" x14ac:dyDescent="0.35">
      <c r="A238" s="4">
        <v>44733</v>
      </c>
      <c r="B238" s="86">
        <v>7</v>
      </c>
      <c r="C238" s="5" t="s">
        <v>48</v>
      </c>
      <c r="D238" s="24" t="s">
        <v>42</v>
      </c>
      <c r="E238" s="5"/>
      <c r="F238" s="5">
        <v>1050</v>
      </c>
      <c r="G238" s="5">
        <v>200</v>
      </c>
      <c r="I238" s="5">
        <v>10</v>
      </c>
      <c r="J238" s="67"/>
      <c r="K238" s="67"/>
      <c r="L238" s="67"/>
      <c r="M238" s="5" t="s">
        <v>16</v>
      </c>
      <c r="N238" s="6">
        <v>5</v>
      </c>
      <c r="O238" s="5">
        <v>84</v>
      </c>
      <c r="P238" s="5">
        <v>48</v>
      </c>
      <c r="Q238" s="5">
        <v>24</v>
      </c>
      <c r="R238" s="5">
        <f t="shared" ref="R238:R248" si="35">O238+P238+Q238</f>
        <v>156</v>
      </c>
      <c r="S238" s="3">
        <f t="shared" ref="S238:S247" si="36">O238/P238</f>
        <v>1.75</v>
      </c>
      <c r="T238" s="3">
        <v>1.06666666666667</v>
      </c>
      <c r="U238" s="3">
        <v>0.63829787234042556</v>
      </c>
      <c r="V238" s="5">
        <v>1</v>
      </c>
      <c r="W238" s="29" t="s">
        <v>44</v>
      </c>
      <c r="X238" s="5" t="s">
        <v>45</v>
      </c>
      <c r="Y238" s="5"/>
      <c r="AB238" s="5" t="s">
        <v>155</v>
      </c>
      <c r="AC238" s="5">
        <v>100</v>
      </c>
      <c r="AD238" s="78">
        <v>0.02</v>
      </c>
      <c r="AE238" s="13">
        <v>0</v>
      </c>
      <c r="AF238" s="45" t="s">
        <v>104</v>
      </c>
      <c r="AG238" s="2" t="s">
        <v>104</v>
      </c>
      <c r="AH238" s="6"/>
      <c r="AI238" s="7"/>
      <c r="AL238" s="2"/>
      <c r="AM238" s="15" t="str">
        <f t="shared" si="34"/>
        <v>TYPE A</v>
      </c>
    </row>
    <row r="239" spans="1:39" ht="15" customHeight="1" x14ac:dyDescent="0.35">
      <c r="A239" s="4">
        <v>44733</v>
      </c>
      <c r="B239" s="86">
        <v>7</v>
      </c>
      <c r="C239" s="5" t="s">
        <v>48</v>
      </c>
      <c r="D239" s="24" t="s">
        <v>42</v>
      </c>
      <c r="E239" s="5"/>
      <c r="F239" s="5">
        <v>1050</v>
      </c>
      <c r="G239" s="5">
        <v>200</v>
      </c>
      <c r="I239" s="5">
        <v>10</v>
      </c>
      <c r="J239" s="67"/>
      <c r="K239" s="67"/>
      <c r="L239" s="67"/>
      <c r="M239" s="5" t="s">
        <v>16</v>
      </c>
      <c r="N239" s="6">
        <v>5</v>
      </c>
      <c r="O239" s="5">
        <v>84</v>
      </c>
      <c r="P239" s="5">
        <v>48</v>
      </c>
      <c r="Q239" s="5">
        <v>24</v>
      </c>
      <c r="R239" s="5">
        <f t="shared" si="35"/>
        <v>156</v>
      </c>
      <c r="S239" s="3">
        <f t="shared" si="36"/>
        <v>1.75</v>
      </c>
      <c r="T239" s="3">
        <v>1.06666666666667</v>
      </c>
      <c r="U239" s="3">
        <v>0.63829787234042556</v>
      </c>
      <c r="V239" s="5">
        <v>1</v>
      </c>
      <c r="W239" s="29" t="s">
        <v>44</v>
      </c>
      <c r="X239" s="5" t="s">
        <v>46</v>
      </c>
      <c r="Y239" s="5"/>
      <c r="AB239" s="5" t="s">
        <v>138</v>
      </c>
      <c r="AC239" s="5">
        <v>100</v>
      </c>
      <c r="AD239" s="78">
        <v>0.01</v>
      </c>
      <c r="AE239" s="13">
        <v>3</v>
      </c>
      <c r="AF239" s="45" t="s">
        <v>102</v>
      </c>
      <c r="AG239" s="2" t="s">
        <v>102</v>
      </c>
      <c r="AH239" s="6"/>
      <c r="AI239" s="7"/>
      <c r="AL239" s="2"/>
      <c r="AM239" s="15" t="str">
        <f t="shared" si="34"/>
        <v>FAIL</v>
      </c>
    </row>
    <row r="240" spans="1:39" ht="15" customHeight="1" x14ac:dyDescent="0.35">
      <c r="A240" s="4">
        <v>44733</v>
      </c>
      <c r="B240" s="86">
        <v>8</v>
      </c>
      <c r="C240" s="5" t="s">
        <v>157</v>
      </c>
      <c r="D240" s="24" t="s">
        <v>42</v>
      </c>
      <c r="E240" s="5"/>
      <c r="F240" s="5">
        <v>1050</v>
      </c>
      <c r="G240" s="5">
        <v>100</v>
      </c>
      <c r="I240" s="5">
        <v>12</v>
      </c>
      <c r="J240" s="67"/>
      <c r="K240" s="67"/>
      <c r="L240" s="67"/>
      <c r="M240" s="5" t="s">
        <v>145</v>
      </c>
      <c r="N240" s="6">
        <v>1</v>
      </c>
      <c r="O240" s="5">
        <v>91</v>
      </c>
      <c r="P240" s="5">
        <v>25</v>
      </c>
      <c r="Q240" s="5">
        <v>0</v>
      </c>
      <c r="R240" s="5">
        <f t="shared" si="35"/>
        <v>116</v>
      </c>
      <c r="S240" s="3">
        <f t="shared" si="36"/>
        <v>3.64</v>
      </c>
      <c r="T240" s="3">
        <v>4.6500000000000004</v>
      </c>
      <c r="U240" s="3">
        <v>1.45</v>
      </c>
      <c r="V240" s="5">
        <v>1</v>
      </c>
      <c r="W240" s="29" t="s">
        <v>44</v>
      </c>
      <c r="X240" s="5" t="s">
        <v>45</v>
      </c>
      <c r="Y240" s="5"/>
      <c r="AB240" s="5" t="s">
        <v>155</v>
      </c>
      <c r="AC240" s="5">
        <v>100</v>
      </c>
      <c r="AD240" s="78">
        <v>0.01</v>
      </c>
      <c r="AE240" s="13">
        <v>0</v>
      </c>
      <c r="AF240" s="45" t="s">
        <v>104</v>
      </c>
      <c r="AG240" s="2" t="s">
        <v>104</v>
      </c>
      <c r="AH240" s="6"/>
      <c r="AI240" s="7"/>
      <c r="AL240" s="2"/>
      <c r="AM240" s="15" t="str">
        <f t="shared" si="34"/>
        <v>TYPE A</v>
      </c>
    </row>
    <row r="241" spans="1:39" ht="15" customHeight="1" x14ac:dyDescent="0.35">
      <c r="A241" s="4">
        <v>44733</v>
      </c>
      <c r="B241" s="86">
        <v>8</v>
      </c>
      <c r="C241" s="5" t="s">
        <v>157</v>
      </c>
      <c r="D241" s="24" t="s">
        <v>42</v>
      </c>
      <c r="E241" s="5"/>
      <c r="F241" s="5">
        <v>1050</v>
      </c>
      <c r="G241" s="5">
        <v>100</v>
      </c>
      <c r="I241" s="5">
        <v>12</v>
      </c>
      <c r="J241" s="67"/>
      <c r="K241" s="67"/>
      <c r="L241" s="67"/>
      <c r="M241" s="5" t="s">
        <v>145</v>
      </c>
      <c r="N241" s="6">
        <v>1</v>
      </c>
      <c r="O241" s="5">
        <v>91</v>
      </c>
      <c r="P241" s="5">
        <v>25</v>
      </c>
      <c r="Q241" s="5">
        <v>0</v>
      </c>
      <c r="R241" s="5">
        <f t="shared" si="35"/>
        <v>116</v>
      </c>
      <c r="S241" s="3">
        <f t="shared" si="36"/>
        <v>3.64</v>
      </c>
      <c r="T241" s="3">
        <v>4.6500000000000004</v>
      </c>
      <c r="U241" s="3">
        <v>1.45</v>
      </c>
      <c r="V241" s="5">
        <v>1</v>
      </c>
      <c r="W241" s="29" t="s">
        <v>44</v>
      </c>
      <c r="X241" s="5" t="s">
        <v>46</v>
      </c>
      <c r="Y241" s="5"/>
      <c r="AB241" s="5" t="s">
        <v>138</v>
      </c>
      <c r="AC241" s="5">
        <v>100</v>
      </c>
      <c r="AD241" s="96">
        <v>0.01</v>
      </c>
      <c r="AE241" s="13">
        <v>1</v>
      </c>
      <c r="AF241" s="45" t="s">
        <v>104</v>
      </c>
      <c r="AG241" s="2" t="s">
        <v>102</v>
      </c>
      <c r="AH241" s="6"/>
      <c r="AI241" s="7"/>
      <c r="AL241" s="2"/>
      <c r="AM241" s="15" t="str">
        <f t="shared" si="34"/>
        <v>FAIL</v>
      </c>
    </row>
    <row r="242" spans="1:39" ht="15" customHeight="1" x14ac:dyDescent="0.35">
      <c r="A242" s="4">
        <v>44733</v>
      </c>
      <c r="B242" s="86">
        <v>8</v>
      </c>
      <c r="C242" s="5" t="s">
        <v>157</v>
      </c>
      <c r="D242" s="24" t="s">
        <v>42</v>
      </c>
      <c r="E242" s="5"/>
      <c r="F242" s="5">
        <v>1050</v>
      </c>
      <c r="G242" s="5">
        <v>100</v>
      </c>
      <c r="I242" s="5">
        <v>12</v>
      </c>
      <c r="J242" s="67"/>
      <c r="K242" s="67"/>
      <c r="L242" s="67"/>
      <c r="M242" s="5" t="s">
        <v>145</v>
      </c>
      <c r="N242" s="6">
        <v>1</v>
      </c>
      <c r="O242" s="5">
        <v>91</v>
      </c>
      <c r="P242" s="5">
        <v>25</v>
      </c>
      <c r="Q242" s="5">
        <v>0</v>
      </c>
      <c r="R242" s="5">
        <f t="shared" si="35"/>
        <v>116</v>
      </c>
      <c r="S242" s="3">
        <f t="shared" si="36"/>
        <v>3.64</v>
      </c>
      <c r="T242" s="3">
        <v>4.6500000000000004</v>
      </c>
      <c r="U242" s="3">
        <v>1.45</v>
      </c>
      <c r="V242" s="5">
        <v>1</v>
      </c>
      <c r="W242" s="6" t="s">
        <v>122</v>
      </c>
      <c r="X242" s="5" t="s">
        <v>46</v>
      </c>
      <c r="Y242" s="6" t="s">
        <v>167</v>
      </c>
      <c r="AB242" s="5" t="s">
        <v>138</v>
      </c>
      <c r="AC242" s="5">
        <v>100</v>
      </c>
      <c r="AD242" s="78">
        <v>0.02</v>
      </c>
      <c r="AE242" s="13">
        <v>0</v>
      </c>
      <c r="AF242" s="45" t="s">
        <v>104</v>
      </c>
      <c r="AG242" s="2" t="s">
        <v>102</v>
      </c>
      <c r="AH242" s="6"/>
      <c r="AI242" s="7"/>
      <c r="AL242" s="2"/>
      <c r="AM242" s="15" t="str">
        <f t="shared" si="34"/>
        <v>TYPE B</v>
      </c>
    </row>
    <row r="243" spans="1:39" ht="15" customHeight="1" x14ac:dyDescent="0.35">
      <c r="A243" s="4">
        <v>44733</v>
      </c>
      <c r="B243" s="86">
        <v>8</v>
      </c>
      <c r="C243" s="5" t="s">
        <v>157</v>
      </c>
      <c r="D243" s="24" t="s">
        <v>42</v>
      </c>
      <c r="E243" s="5"/>
      <c r="F243" s="5">
        <v>1050</v>
      </c>
      <c r="G243" s="5">
        <v>100</v>
      </c>
      <c r="I243" s="5">
        <v>12</v>
      </c>
      <c r="J243" s="67"/>
      <c r="K243" s="67"/>
      <c r="L243" s="67"/>
      <c r="M243" s="5" t="s">
        <v>145</v>
      </c>
      <c r="N243" s="6">
        <v>1</v>
      </c>
      <c r="O243" s="5">
        <v>91</v>
      </c>
      <c r="P243" s="5">
        <v>25</v>
      </c>
      <c r="Q243" s="5">
        <v>0</v>
      </c>
      <c r="R243" s="5">
        <f t="shared" si="35"/>
        <v>116</v>
      </c>
      <c r="S243" s="3">
        <f t="shared" si="36"/>
        <v>3.64</v>
      </c>
      <c r="T243" s="3">
        <v>4.6500000000000004</v>
      </c>
      <c r="U243" s="3">
        <v>1.45</v>
      </c>
      <c r="V243" s="5">
        <v>3</v>
      </c>
      <c r="W243" s="6" t="s">
        <v>52</v>
      </c>
      <c r="X243" s="6" t="s">
        <v>46</v>
      </c>
      <c r="Y243" s="6"/>
      <c r="AB243" s="5" t="s">
        <v>138</v>
      </c>
      <c r="AC243" s="5">
        <v>100</v>
      </c>
      <c r="AD243" s="78">
        <v>0.01</v>
      </c>
      <c r="AE243" s="13">
        <v>1</v>
      </c>
      <c r="AF243" s="45" t="s">
        <v>104</v>
      </c>
      <c r="AG243" s="2" t="s">
        <v>102</v>
      </c>
      <c r="AH243" s="6"/>
      <c r="AI243" s="7"/>
      <c r="AL243" s="2"/>
      <c r="AM243" s="15" t="str">
        <f t="shared" si="34"/>
        <v>FAIL</v>
      </c>
    </row>
    <row r="244" spans="1:39" ht="15" customHeight="1" x14ac:dyDescent="0.35">
      <c r="A244" s="4">
        <v>44733</v>
      </c>
      <c r="B244" s="86">
        <v>8</v>
      </c>
      <c r="C244" s="5" t="s">
        <v>157</v>
      </c>
      <c r="D244" s="24" t="s">
        <v>42</v>
      </c>
      <c r="E244" s="5"/>
      <c r="F244" s="5">
        <v>1050</v>
      </c>
      <c r="G244" s="5">
        <v>100</v>
      </c>
      <c r="I244" s="5">
        <v>12</v>
      </c>
      <c r="J244" s="67"/>
      <c r="K244" s="67"/>
      <c r="L244" s="67"/>
      <c r="M244" s="5">
        <v>10</v>
      </c>
      <c r="N244" s="6">
        <v>1</v>
      </c>
      <c r="O244" s="5">
        <v>91</v>
      </c>
      <c r="P244" s="5">
        <v>25</v>
      </c>
      <c r="Q244" s="5">
        <v>0</v>
      </c>
      <c r="R244" s="5">
        <f t="shared" si="35"/>
        <v>116</v>
      </c>
      <c r="S244" s="3">
        <f t="shared" si="36"/>
        <v>3.64</v>
      </c>
      <c r="T244" s="3">
        <v>4.6500000000000004</v>
      </c>
      <c r="U244" s="3">
        <v>1.45</v>
      </c>
      <c r="V244" s="5">
        <v>1</v>
      </c>
      <c r="W244" s="6" t="s">
        <v>52</v>
      </c>
      <c r="X244" s="6" t="s">
        <v>46</v>
      </c>
      <c r="Y244" s="6" t="s">
        <v>168</v>
      </c>
      <c r="AB244" s="5" t="s">
        <v>138</v>
      </c>
      <c r="AC244" s="5">
        <v>100</v>
      </c>
      <c r="AD244" s="78">
        <v>0.02</v>
      </c>
      <c r="AE244" s="13">
        <v>70</v>
      </c>
      <c r="AF244" s="45" t="s">
        <v>104</v>
      </c>
      <c r="AG244" s="2" t="s">
        <v>104</v>
      </c>
      <c r="AH244" s="6"/>
      <c r="AI244" s="7"/>
      <c r="AL244" s="2"/>
      <c r="AM244" s="15" t="str">
        <f t="shared" si="34"/>
        <v>TYPE C</v>
      </c>
    </row>
    <row r="245" spans="1:39" ht="15" customHeight="1" x14ac:dyDescent="0.35">
      <c r="A245" s="4">
        <v>44733</v>
      </c>
      <c r="B245" s="86">
        <v>9</v>
      </c>
      <c r="C245" s="5" t="s">
        <v>48</v>
      </c>
      <c r="D245" s="24" t="s">
        <v>42</v>
      </c>
      <c r="E245" s="5"/>
      <c r="F245" s="5">
        <v>1050</v>
      </c>
      <c r="G245" s="5">
        <v>200</v>
      </c>
      <c r="I245" s="5">
        <v>10</v>
      </c>
      <c r="J245" s="67">
        <v>0.43</v>
      </c>
      <c r="K245" s="67">
        <v>6.6</v>
      </c>
      <c r="L245" s="67">
        <v>0.01</v>
      </c>
      <c r="M245" s="5">
        <v>10</v>
      </c>
      <c r="N245" s="6">
        <v>1</v>
      </c>
      <c r="O245" s="5">
        <v>84</v>
      </c>
      <c r="P245" s="5">
        <v>48</v>
      </c>
      <c r="Q245" s="5">
        <v>24</v>
      </c>
      <c r="R245" s="5">
        <f t="shared" si="35"/>
        <v>156</v>
      </c>
      <c r="S245" s="3">
        <f t="shared" si="36"/>
        <v>1.75</v>
      </c>
      <c r="T245" s="3">
        <v>1.06666666666667</v>
      </c>
      <c r="U245" s="3">
        <v>0.63829787234042556</v>
      </c>
      <c r="V245" s="5">
        <v>1</v>
      </c>
      <c r="W245" s="6" t="s">
        <v>169</v>
      </c>
      <c r="X245" s="5" t="s">
        <v>45</v>
      </c>
      <c r="Y245" s="5"/>
      <c r="AB245" s="5" t="s">
        <v>155</v>
      </c>
      <c r="AC245" s="5">
        <v>100</v>
      </c>
      <c r="AD245" s="78">
        <v>0.02</v>
      </c>
      <c r="AE245" s="13">
        <v>1</v>
      </c>
      <c r="AF245" s="45" t="s">
        <v>103</v>
      </c>
      <c r="AG245" s="2" t="s">
        <v>102</v>
      </c>
      <c r="AH245" s="6"/>
      <c r="AI245" s="7"/>
      <c r="AL245" s="2"/>
      <c r="AM245" s="15" t="str">
        <f t="shared" si="34"/>
        <v>FAIL</v>
      </c>
    </row>
    <row r="246" spans="1:39" ht="15" customHeight="1" x14ac:dyDescent="0.35">
      <c r="A246" s="4">
        <v>44733</v>
      </c>
      <c r="B246" s="86">
        <v>9</v>
      </c>
      <c r="C246" s="5" t="s">
        <v>48</v>
      </c>
      <c r="D246" s="24" t="s">
        <v>42</v>
      </c>
      <c r="E246" s="5"/>
      <c r="F246" s="5">
        <v>1050</v>
      </c>
      <c r="G246" s="5">
        <v>200</v>
      </c>
      <c r="I246" s="5">
        <v>10</v>
      </c>
      <c r="J246" s="67">
        <v>0.43</v>
      </c>
      <c r="K246" s="67">
        <v>6.6</v>
      </c>
      <c r="L246" s="67">
        <v>0.01</v>
      </c>
      <c r="M246" s="5">
        <v>10</v>
      </c>
      <c r="N246" s="6">
        <v>1</v>
      </c>
      <c r="O246" s="5">
        <v>84</v>
      </c>
      <c r="P246" s="5">
        <v>48</v>
      </c>
      <c r="Q246" s="5">
        <v>24</v>
      </c>
      <c r="R246" s="5">
        <f t="shared" si="35"/>
        <v>156</v>
      </c>
      <c r="S246" s="3">
        <f t="shared" si="36"/>
        <v>1.75</v>
      </c>
      <c r="T246" s="3">
        <v>1.06666666666667</v>
      </c>
      <c r="U246" s="3">
        <v>0.63829787234042556</v>
      </c>
      <c r="V246" s="5">
        <v>3</v>
      </c>
      <c r="W246" s="6" t="s">
        <v>52</v>
      </c>
      <c r="X246" s="5" t="s">
        <v>46</v>
      </c>
      <c r="Y246" s="5"/>
      <c r="AB246" s="5" t="s">
        <v>138</v>
      </c>
      <c r="AC246" s="5">
        <v>100</v>
      </c>
      <c r="AD246" s="78">
        <v>0.01</v>
      </c>
      <c r="AE246" s="13">
        <v>3</v>
      </c>
      <c r="AF246" s="45" t="s">
        <v>103</v>
      </c>
      <c r="AG246" s="2" t="s">
        <v>102</v>
      </c>
      <c r="AH246" s="6"/>
      <c r="AI246" s="7"/>
      <c r="AL246" s="2"/>
      <c r="AM246" s="15" t="str">
        <f t="shared" si="34"/>
        <v>FAIL</v>
      </c>
    </row>
    <row r="247" spans="1:39" ht="15" customHeight="1" x14ac:dyDescent="0.35">
      <c r="A247" s="4">
        <v>44733</v>
      </c>
      <c r="B247" s="86">
        <v>9</v>
      </c>
      <c r="C247" s="5" t="s">
        <v>48</v>
      </c>
      <c r="D247" s="24" t="s">
        <v>42</v>
      </c>
      <c r="E247" s="5"/>
      <c r="F247" s="5">
        <v>1050</v>
      </c>
      <c r="G247" s="5">
        <v>200</v>
      </c>
      <c r="I247" s="5">
        <v>10</v>
      </c>
      <c r="J247" s="67">
        <v>0.43</v>
      </c>
      <c r="K247" s="67">
        <v>6.6</v>
      </c>
      <c r="L247" s="67">
        <v>0.01</v>
      </c>
      <c r="M247" s="5">
        <v>10</v>
      </c>
      <c r="N247" s="6">
        <v>1</v>
      </c>
      <c r="O247" s="5">
        <v>84</v>
      </c>
      <c r="P247" s="5">
        <v>48</v>
      </c>
      <c r="Q247" s="5">
        <v>24</v>
      </c>
      <c r="R247" s="5">
        <f t="shared" si="35"/>
        <v>156</v>
      </c>
      <c r="S247" s="3">
        <f t="shared" si="36"/>
        <v>1.75</v>
      </c>
      <c r="T247" s="3">
        <v>1.06666666666667</v>
      </c>
      <c r="U247" s="3">
        <v>0.63829787234042601</v>
      </c>
      <c r="V247" s="5">
        <v>1</v>
      </c>
      <c r="W247" s="6" t="s">
        <v>52</v>
      </c>
      <c r="X247" s="5" t="s">
        <v>46</v>
      </c>
      <c r="Y247" s="6" t="s">
        <v>168</v>
      </c>
      <c r="AB247" s="5" t="s">
        <v>138</v>
      </c>
      <c r="AC247" s="5">
        <v>100</v>
      </c>
      <c r="AD247" s="78">
        <v>0.23</v>
      </c>
      <c r="AE247" s="13">
        <v>1</v>
      </c>
      <c r="AF247" s="45" t="s">
        <v>102</v>
      </c>
      <c r="AG247" s="2" t="s">
        <v>104</v>
      </c>
      <c r="AH247" s="6"/>
      <c r="AI247" s="7"/>
      <c r="AL247" s="2"/>
      <c r="AM247" s="15" t="str">
        <f t="shared" si="34"/>
        <v>FAIL</v>
      </c>
    </row>
    <row r="248" spans="1:39" ht="15" customHeight="1" x14ac:dyDescent="0.35">
      <c r="A248" s="4">
        <v>44733</v>
      </c>
      <c r="B248" s="86">
        <v>10</v>
      </c>
      <c r="C248" s="5" t="s">
        <v>130</v>
      </c>
      <c r="D248" s="24" t="s">
        <v>144</v>
      </c>
      <c r="E248" s="5"/>
      <c r="F248" s="5">
        <v>1050</v>
      </c>
      <c r="G248" s="5">
        <v>200</v>
      </c>
      <c r="I248" s="5">
        <v>10</v>
      </c>
      <c r="J248" s="67"/>
      <c r="K248" s="67"/>
      <c r="L248" s="67"/>
      <c r="M248" s="5" t="s">
        <v>16</v>
      </c>
      <c r="N248" s="6">
        <v>5</v>
      </c>
      <c r="O248" s="5">
        <v>90</v>
      </c>
      <c r="P248" s="5">
        <v>60</v>
      </c>
      <c r="Q248" s="5">
        <v>25</v>
      </c>
      <c r="R248" s="5">
        <f t="shared" si="35"/>
        <v>175</v>
      </c>
      <c r="S248" s="8">
        <v>1.55</v>
      </c>
      <c r="T248" s="8">
        <v>0.68</v>
      </c>
      <c r="U248" s="8">
        <v>0.5</v>
      </c>
      <c r="V248" s="5">
        <v>1</v>
      </c>
      <c r="W248" s="5" t="s">
        <v>122</v>
      </c>
      <c r="X248" s="6" t="s">
        <v>46</v>
      </c>
      <c r="Y248" s="6"/>
      <c r="AB248" s="5" t="s">
        <v>138</v>
      </c>
      <c r="AC248" s="5">
        <v>100</v>
      </c>
      <c r="AD248" s="96">
        <v>0.04</v>
      </c>
      <c r="AE248" s="13">
        <v>1</v>
      </c>
      <c r="AF248" s="45" t="s">
        <v>102</v>
      </c>
      <c r="AG248" s="2" t="s">
        <v>102</v>
      </c>
      <c r="AH248" s="6"/>
      <c r="AI248" s="9"/>
      <c r="AL248" s="2"/>
      <c r="AM248" s="15" t="str">
        <f t="shared" si="34"/>
        <v>FAIL</v>
      </c>
    </row>
    <row r="249" spans="1:39" ht="15" customHeight="1" x14ac:dyDescent="0.35">
      <c r="A249" s="4"/>
      <c r="B249" s="86"/>
      <c r="C249" s="5"/>
      <c r="D249" s="24"/>
      <c r="E249" s="5"/>
      <c r="F249" s="5"/>
      <c r="G249" s="5"/>
      <c r="I249" s="5"/>
      <c r="J249" s="67"/>
      <c r="K249" s="67"/>
      <c r="L249" s="67"/>
      <c r="M249" s="5"/>
      <c r="N249" s="6"/>
      <c r="O249" s="5"/>
      <c r="P249" s="5"/>
      <c r="Q249" s="5"/>
      <c r="R249" s="3"/>
      <c r="S249" s="3"/>
      <c r="T249" s="3"/>
      <c r="U249" s="8"/>
      <c r="V249" s="5"/>
      <c r="W249" s="5"/>
      <c r="X249" s="5"/>
      <c r="Y249" s="5"/>
      <c r="AB249" s="5"/>
      <c r="AC249" s="5"/>
      <c r="AD249" s="96"/>
      <c r="AE249" s="13"/>
      <c r="AF249" s="45"/>
      <c r="AG249" s="2"/>
      <c r="AH249" s="6"/>
      <c r="AI249" s="9"/>
      <c r="AL249" s="2"/>
      <c r="AM249" s="15" t="str">
        <f t="shared" si="34"/>
        <v>FAIL</v>
      </c>
    </row>
    <row r="250" spans="1:39" ht="15" customHeight="1" x14ac:dyDescent="0.35">
      <c r="A250" s="4"/>
      <c r="B250" s="86"/>
      <c r="C250" s="5"/>
      <c r="D250" s="24"/>
      <c r="E250" s="5"/>
      <c r="F250" s="5"/>
      <c r="G250" s="5"/>
      <c r="I250" s="5"/>
      <c r="J250" s="67"/>
      <c r="K250" s="67"/>
      <c r="L250" s="67"/>
      <c r="M250" s="5"/>
      <c r="N250" s="6"/>
      <c r="O250" s="5"/>
      <c r="P250" s="5"/>
      <c r="Q250" s="5"/>
      <c r="R250" s="5"/>
      <c r="S250" s="8"/>
      <c r="T250" s="8"/>
      <c r="U250" s="8"/>
      <c r="V250" s="5"/>
      <c r="W250" s="5"/>
      <c r="X250" s="5"/>
      <c r="Y250" s="5"/>
      <c r="AB250" s="5"/>
      <c r="AC250" s="5"/>
      <c r="AD250" s="96"/>
      <c r="AE250" s="13"/>
      <c r="AF250" s="45"/>
      <c r="AG250" s="2"/>
      <c r="AH250" s="6"/>
      <c r="AI250" s="9"/>
      <c r="AL250" s="2"/>
      <c r="AM250" s="15" t="str">
        <f t="shared" si="34"/>
        <v>FAIL</v>
      </c>
    </row>
    <row r="251" spans="1:39" ht="15" customHeight="1" x14ac:dyDescent="0.35">
      <c r="A251" s="4">
        <v>44734</v>
      </c>
      <c r="B251" s="86">
        <v>11</v>
      </c>
      <c r="C251" s="5" t="s">
        <v>48</v>
      </c>
      <c r="D251" s="24" t="s">
        <v>42</v>
      </c>
      <c r="E251" s="5"/>
      <c r="F251" s="5">
        <v>1050</v>
      </c>
      <c r="G251" s="5">
        <v>200</v>
      </c>
      <c r="I251" s="5">
        <v>10</v>
      </c>
      <c r="J251" s="67">
        <v>0.28000000000000003</v>
      </c>
      <c r="K251" s="67">
        <v>2.91</v>
      </c>
      <c r="L251" s="67">
        <v>0.04</v>
      </c>
      <c r="M251" s="5" t="s">
        <v>145</v>
      </c>
      <c r="N251" s="6">
        <v>2.5</v>
      </c>
      <c r="O251" s="5">
        <v>84</v>
      </c>
      <c r="P251" s="5">
        <v>48</v>
      </c>
      <c r="Q251" s="5">
        <v>24</v>
      </c>
      <c r="R251" s="5">
        <f t="shared" ref="R251:R254" si="37">O251+P251+Q251</f>
        <v>156</v>
      </c>
      <c r="S251" s="3">
        <f>O251/P251</f>
        <v>1.75</v>
      </c>
      <c r="T251" s="3">
        <v>1.06666666666667</v>
      </c>
      <c r="U251" s="3">
        <v>0.63829787234042556</v>
      </c>
      <c r="V251" s="5">
        <v>1</v>
      </c>
      <c r="W251" s="6" t="s">
        <v>169</v>
      </c>
      <c r="X251" s="5" t="s">
        <v>45</v>
      </c>
      <c r="Y251" s="5"/>
      <c r="AB251" s="5" t="s">
        <v>155</v>
      </c>
      <c r="AC251" s="5">
        <v>100</v>
      </c>
      <c r="AD251" s="96">
        <v>0.12</v>
      </c>
      <c r="AE251" s="13">
        <v>3</v>
      </c>
      <c r="AF251" s="45" t="s">
        <v>104</v>
      </c>
      <c r="AG251" s="2" t="s">
        <v>102</v>
      </c>
      <c r="AH251" s="6"/>
      <c r="AI251" s="9"/>
      <c r="AL251" s="2"/>
      <c r="AM251" s="15" t="str">
        <f t="shared" si="34"/>
        <v>FAIL</v>
      </c>
    </row>
    <row r="252" spans="1:39" ht="15" customHeight="1" x14ac:dyDescent="0.35">
      <c r="A252" s="4">
        <v>44734</v>
      </c>
      <c r="B252" s="86">
        <v>11</v>
      </c>
      <c r="C252" s="5" t="s">
        <v>48</v>
      </c>
      <c r="D252" s="24" t="s">
        <v>42</v>
      </c>
      <c r="E252" s="5"/>
      <c r="F252" s="5">
        <v>1050</v>
      </c>
      <c r="G252" s="5">
        <v>200</v>
      </c>
      <c r="I252" s="5">
        <v>10</v>
      </c>
      <c r="J252" s="67">
        <v>0.28000000000000003</v>
      </c>
      <c r="K252" s="67">
        <v>2.91</v>
      </c>
      <c r="L252" s="67">
        <v>0.04</v>
      </c>
      <c r="M252" s="5" t="s">
        <v>145</v>
      </c>
      <c r="N252" s="6">
        <v>2.5</v>
      </c>
      <c r="O252" s="5">
        <v>84</v>
      </c>
      <c r="P252" s="5">
        <v>48</v>
      </c>
      <c r="Q252" s="5">
        <v>24</v>
      </c>
      <c r="R252" s="5">
        <f t="shared" si="37"/>
        <v>156</v>
      </c>
      <c r="S252" s="3">
        <f>O252/P252</f>
        <v>1.75</v>
      </c>
      <c r="T252" s="3">
        <v>1.06666666666667</v>
      </c>
      <c r="U252" s="3">
        <v>0.63829787234042556</v>
      </c>
      <c r="V252" s="5">
        <v>1</v>
      </c>
      <c r="W252" s="6" t="s">
        <v>52</v>
      </c>
      <c r="X252" s="5" t="s">
        <v>46</v>
      </c>
      <c r="Y252" s="5"/>
      <c r="AB252" s="5" t="s">
        <v>138</v>
      </c>
      <c r="AC252" s="5">
        <v>100</v>
      </c>
      <c r="AD252" s="96">
        <v>0.01</v>
      </c>
      <c r="AE252" s="13">
        <v>5</v>
      </c>
      <c r="AF252" s="45" t="s">
        <v>103</v>
      </c>
      <c r="AG252" s="2" t="s">
        <v>102</v>
      </c>
      <c r="AH252" s="6"/>
      <c r="AI252" s="9"/>
      <c r="AL252" s="2"/>
      <c r="AM252" s="15" t="str">
        <f t="shared" si="34"/>
        <v>FAIL</v>
      </c>
    </row>
    <row r="253" spans="1:39" ht="15" customHeight="1" x14ac:dyDescent="0.35">
      <c r="A253" s="4">
        <v>44734</v>
      </c>
      <c r="B253" s="86">
        <v>11</v>
      </c>
      <c r="C253" s="5" t="s">
        <v>48</v>
      </c>
      <c r="D253" s="24" t="s">
        <v>42</v>
      </c>
      <c r="E253" s="5"/>
      <c r="F253" s="5">
        <v>1050</v>
      </c>
      <c r="G253" s="5">
        <v>200</v>
      </c>
      <c r="I253" s="5">
        <v>10</v>
      </c>
      <c r="J253" s="67">
        <v>0.28000000000000003</v>
      </c>
      <c r="K253" s="67">
        <v>2.91</v>
      </c>
      <c r="L253" s="67">
        <v>0.04</v>
      </c>
      <c r="M253" s="5" t="s">
        <v>145</v>
      </c>
      <c r="N253" s="6">
        <v>2.5</v>
      </c>
      <c r="O253" s="5">
        <v>84</v>
      </c>
      <c r="P253" s="5">
        <v>48</v>
      </c>
      <c r="Q253" s="5">
        <v>24</v>
      </c>
      <c r="R253" s="5">
        <f t="shared" si="37"/>
        <v>156</v>
      </c>
      <c r="S253" s="3">
        <f>O253/P253</f>
        <v>1.75</v>
      </c>
      <c r="T253" s="3">
        <v>1.06666666666667</v>
      </c>
      <c r="U253" s="3">
        <v>0.63829787234042556</v>
      </c>
      <c r="V253" s="5">
        <v>1</v>
      </c>
      <c r="W253" s="6" t="s">
        <v>52</v>
      </c>
      <c r="X253" s="5" t="s">
        <v>46</v>
      </c>
      <c r="Y253" s="6" t="s">
        <v>168</v>
      </c>
      <c r="AB253" s="5" t="s">
        <v>138</v>
      </c>
      <c r="AC253" s="5">
        <v>100</v>
      </c>
      <c r="AD253" s="96">
        <v>0.33</v>
      </c>
      <c r="AE253" s="13">
        <v>1</v>
      </c>
      <c r="AF253" s="45" t="s">
        <v>104</v>
      </c>
      <c r="AG253" s="2" t="s">
        <v>104</v>
      </c>
      <c r="AH253" s="6"/>
      <c r="AI253" s="9"/>
      <c r="AL253" s="2"/>
      <c r="AM253" s="15" t="str">
        <f t="shared" si="34"/>
        <v>FAIL</v>
      </c>
    </row>
    <row r="254" spans="1:39" ht="15" customHeight="1" x14ac:dyDescent="0.35">
      <c r="A254" s="4">
        <v>44734</v>
      </c>
      <c r="B254" s="86">
        <v>11</v>
      </c>
      <c r="C254" s="5" t="s">
        <v>48</v>
      </c>
      <c r="D254" s="24" t="s">
        <v>42</v>
      </c>
      <c r="E254" s="5"/>
      <c r="F254" s="5">
        <v>1050</v>
      </c>
      <c r="G254" s="5">
        <v>200</v>
      </c>
      <c r="I254" s="5">
        <v>10</v>
      </c>
      <c r="J254" s="67">
        <v>0.28000000000000003</v>
      </c>
      <c r="K254" s="67">
        <v>2.91</v>
      </c>
      <c r="L254" s="67">
        <v>0.04</v>
      </c>
      <c r="M254" s="5" t="s">
        <v>145</v>
      </c>
      <c r="N254" s="6">
        <v>2.5</v>
      </c>
      <c r="O254" s="5">
        <v>84</v>
      </c>
      <c r="P254" s="5">
        <v>48</v>
      </c>
      <c r="Q254" s="5">
        <v>24</v>
      </c>
      <c r="R254" s="5">
        <f t="shared" si="37"/>
        <v>156</v>
      </c>
      <c r="S254" s="3">
        <f>O254/P254</f>
        <v>1.75</v>
      </c>
      <c r="T254" s="3">
        <v>1.06666666666667</v>
      </c>
      <c r="U254" s="3">
        <v>0.63829787234042556</v>
      </c>
      <c r="V254" s="5">
        <v>1</v>
      </c>
      <c r="W254" s="6" t="s">
        <v>52</v>
      </c>
      <c r="X254" s="5" t="s">
        <v>46</v>
      </c>
      <c r="Y254" s="6" t="s">
        <v>167</v>
      </c>
      <c r="AB254" s="5" t="s">
        <v>138</v>
      </c>
      <c r="AC254" s="5">
        <v>100</v>
      </c>
      <c r="AD254" s="96">
        <v>0.06</v>
      </c>
      <c r="AE254" s="13">
        <v>5</v>
      </c>
      <c r="AF254" s="45" t="s">
        <v>104</v>
      </c>
      <c r="AG254" s="2" t="s">
        <v>104</v>
      </c>
      <c r="AH254" s="6"/>
      <c r="AI254" s="9"/>
      <c r="AL254" s="2"/>
      <c r="AM254" s="15" t="str">
        <f t="shared" si="34"/>
        <v>FAIL</v>
      </c>
    </row>
    <row r="255" spans="1:39" ht="15" customHeight="1" x14ac:dyDescent="0.35">
      <c r="A255" s="4">
        <v>44734</v>
      </c>
      <c r="B255" s="86">
        <v>12</v>
      </c>
      <c r="C255" s="5" t="s">
        <v>157</v>
      </c>
      <c r="D255" s="24" t="s">
        <v>42</v>
      </c>
      <c r="E255" s="5"/>
      <c r="F255" s="5">
        <v>1050</v>
      </c>
      <c r="G255" s="5">
        <v>100</v>
      </c>
      <c r="I255" s="5">
        <v>12</v>
      </c>
      <c r="J255" s="67">
        <v>0.28000000000000003</v>
      </c>
      <c r="K255" s="67">
        <v>2.99</v>
      </c>
      <c r="L255" s="67">
        <v>0.06</v>
      </c>
      <c r="M255" s="5" t="s">
        <v>145</v>
      </c>
      <c r="N255" s="6">
        <v>5</v>
      </c>
      <c r="O255" s="5"/>
      <c r="P255" s="5"/>
      <c r="Q255" s="5"/>
      <c r="R255" s="5"/>
      <c r="S255" s="3"/>
      <c r="T255" s="3"/>
      <c r="U255" s="3"/>
      <c r="V255" s="5">
        <v>1</v>
      </c>
      <c r="W255" s="6" t="s">
        <v>169</v>
      </c>
      <c r="X255" s="5" t="s">
        <v>45</v>
      </c>
      <c r="Y255" s="5"/>
      <c r="AB255" s="5" t="s">
        <v>155</v>
      </c>
      <c r="AC255" s="5">
        <v>100</v>
      </c>
      <c r="AD255" s="78">
        <v>7.0000000000000007E-2</v>
      </c>
      <c r="AE255" s="13">
        <v>0</v>
      </c>
      <c r="AF255" s="45" t="s">
        <v>104</v>
      </c>
      <c r="AG255" s="2" t="s">
        <v>104</v>
      </c>
      <c r="AH255" s="6"/>
      <c r="AI255" s="7"/>
      <c r="AL255" s="2" t="s">
        <v>170</v>
      </c>
      <c r="AM255" s="15" t="str">
        <f t="shared" si="34"/>
        <v>FAIL</v>
      </c>
    </row>
    <row r="256" spans="1:39" ht="15" customHeight="1" x14ac:dyDescent="0.35">
      <c r="A256" s="4">
        <v>44734</v>
      </c>
      <c r="B256" s="86">
        <v>12</v>
      </c>
      <c r="C256" s="5" t="s">
        <v>157</v>
      </c>
      <c r="D256" s="24" t="s">
        <v>42</v>
      </c>
      <c r="E256" s="5"/>
      <c r="F256" s="5">
        <v>1050</v>
      </c>
      <c r="G256" s="5">
        <v>100</v>
      </c>
      <c r="I256" s="5">
        <v>12</v>
      </c>
      <c r="J256" s="67">
        <v>0.28000000000000003</v>
      </c>
      <c r="K256" s="67">
        <v>2.99</v>
      </c>
      <c r="L256" s="67">
        <v>0.06</v>
      </c>
      <c r="M256" s="5" t="s">
        <v>145</v>
      </c>
      <c r="N256" s="6">
        <v>5</v>
      </c>
      <c r="O256" s="5"/>
      <c r="P256" s="5"/>
      <c r="Q256" s="5"/>
      <c r="R256" s="5"/>
      <c r="S256" s="3"/>
      <c r="T256" s="3"/>
      <c r="U256" s="3"/>
      <c r="V256" s="5">
        <v>1</v>
      </c>
      <c r="W256" s="6" t="s">
        <v>52</v>
      </c>
      <c r="X256" s="5" t="s">
        <v>46</v>
      </c>
      <c r="Y256" s="5"/>
      <c r="AB256" s="5" t="s">
        <v>138</v>
      </c>
      <c r="AC256" s="5">
        <v>100</v>
      </c>
      <c r="AD256" s="78">
        <v>0.03</v>
      </c>
      <c r="AE256" s="13">
        <v>1</v>
      </c>
      <c r="AF256" s="45" t="s">
        <v>104</v>
      </c>
      <c r="AG256" s="2" t="s">
        <v>102</v>
      </c>
      <c r="AH256" s="6"/>
      <c r="AI256" s="7"/>
      <c r="AL256" s="2"/>
      <c r="AM256" s="15" t="str">
        <f t="shared" si="34"/>
        <v>FAIL</v>
      </c>
    </row>
    <row r="257" spans="1:39" ht="15" customHeight="1" x14ac:dyDescent="0.35">
      <c r="A257" s="4">
        <v>44734</v>
      </c>
      <c r="B257" s="86">
        <v>12</v>
      </c>
      <c r="C257" s="5" t="s">
        <v>157</v>
      </c>
      <c r="D257" s="24" t="s">
        <v>165</v>
      </c>
      <c r="E257" s="5"/>
      <c r="F257" s="5">
        <v>1050</v>
      </c>
      <c r="G257" s="5">
        <v>100</v>
      </c>
      <c r="I257" s="5">
        <v>12</v>
      </c>
      <c r="J257" s="67">
        <v>0.28000000000000003</v>
      </c>
      <c r="K257" s="67">
        <v>2.99</v>
      </c>
      <c r="L257" s="67">
        <v>0.06</v>
      </c>
      <c r="M257" s="5" t="s">
        <v>145</v>
      </c>
      <c r="N257" s="6">
        <v>5</v>
      </c>
      <c r="O257" s="5"/>
      <c r="P257" s="5"/>
      <c r="Q257" s="5"/>
      <c r="R257" s="5"/>
      <c r="S257" s="3"/>
      <c r="T257" s="3"/>
      <c r="U257" s="3"/>
      <c r="V257" s="5">
        <v>5</v>
      </c>
      <c r="W257" s="6" t="s">
        <v>52</v>
      </c>
      <c r="X257" s="5" t="s">
        <v>46</v>
      </c>
      <c r="Y257" s="6" t="s">
        <v>167</v>
      </c>
      <c r="AB257" s="5" t="s">
        <v>138</v>
      </c>
      <c r="AC257" s="5">
        <v>100</v>
      </c>
      <c r="AD257" s="78">
        <v>0.02</v>
      </c>
      <c r="AE257" s="13">
        <v>3</v>
      </c>
      <c r="AF257" s="45" t="s">
        <v>104</v>
      </c>
      <c r="AG257" s="2" t="s">
        <v>102</v>
      </c>
      <c r="AH257" s="6"/>
      <c r="AI257" s="7"/>
      <c r="AL257" s="2"/>
      <c r="AM257" s="15" t="str">
        <f t="shared" ref="AM257:AM275" si="38">IF(AND(AB257="Single", AC257&gt;99,AD257&lt;0.06,AE257&lt;5, OR(AF257="None","Low"),AG257="None"), "TYPE A", IF(AND(AB257="Poly", AC257&gt;99,AD257&lt;0.06,AE257&lt;1,AF257="None"), "TYPE B",IF(AND(AB257="Poly", AC257&gt;99,AD257&lt;0.06,AE257&gt;1,AF257="None"), "TYPE C",IF(AND(AB257="Poly", AC257&gt;99,AD257&lt;0.06,AF257="Yes"), "TYPE D", "FAIL"))))</f>
        <v>TYPE C</v>
      </c>
    </row>
    <row r="258" spans="1:39" ht="15" customHeight="1" x14ac:dyDescent="0.35">
      <c r="A258" s="4"/>
      <c r="B258" s="86"/>
      <c r="C258" s="5"/>
      <c r="D258" s="24"/>
      <c r="E258" s="5"/>
      <c r="F258" s="5"/>
      <c r="G258" s="5"/>
      <c r="I258" s="5"/>
      <c r="J258" s="67"/>
      <c r="K258" s="67"/>
      <c r="L258" s="67"/>
      <c r="M258" s="5"/>
      <c r="N258" s="6"/>
      <c r="O258" s="5"/>
      <c r="P258" s="5"/>
      <c r="Q258" s="5"/>
      <c r="R258" s="5"/>
      <c r="S258" s="8"/>
      <c r="T258" s="8"/>
      <c r="U258" s="8"/>
      <c r="V258" s="5"/>
      <c r="W258" s="5"/>
      <c r="X258" s="5"/>
      <c r="Y258" s="5"/>
      <c r="AB258" s="5"/>
      <c r="AC258" s="5"/>
      <c r="AD258" s="96"/>
      <c r="AE258" s="13"/>
      <c r="AF258" s="45"/>
      <c r="AG258" s="2"/>
      <c r="AH258" s="6"/>
      <c r="AI258" s="9"/>
      <c r="AL258" s="2"/>
      <c r="AM258" s="15" t="str">
        <f t="shared" si="38"/>
        <v>FAIL</v>
      </c>
    </row>
    <row r="259" spans="1:39" ht="15" customHeight="1" x14ac:dyDescent="0.35">
      <c r="A259" s="4">
        <v>44735</v>
      </c>
      <c r="B259" s="86">
        <v>13</v>
      </c>
      <c r="C259" s="5" t="s">
        <v>48</v>
      </c>
      <c r="D259" s="24" t="s">
        <v>42</v>
      </c>
      <c r="E259" s="5"/>
      <c r="F259" s="5">
        <v>1050</v>
      </c>
      <c r="G259" s="5">
        <v>200</v>
      </c>
      <c r="I259" s="5">
        <v>10</v>
      </c>
      <c r="J259" s="67">
        <v>0.25</v>
      </c>
      <c r="K259" s="67">
        <v>2.1800000000000002</v>
      </c>
      <c r="L259" s="67">
        <v>0.06</v>
      </c>
      <c r="M259" s="5" t="s">
        <v>145</v>
      </c>
      <c r="N259" s="6">
        <v>5</v>
      </c>
      <c r="O259" s="5">
        <v>84</v>
      </c>
      <c r="P259" s="5">
        <v>48</v>
      </c>
      <c r="Q259" s="5">
        <v>24</v>
      </c>
      <c r="R259" s="5">
        <f t="shared" ref="R259:R274" si="39">O259+P259+Q259</f>
        <v>156</v>
      </c>
      <c r="S259" s="3">
        <f>O259/P259</f>
        <v>1.75</v>
      </c>
      <c r="T259" s="3">
        <v>1.06666666666667</v>
      </c>
      <c r="U259" s="3">
        <v>0.63829787234042556</v>
      </c>
      <c r="V259" s="5">
        <v>1</v>
      </c>
      <c r="W259" s="6" t="s">
        <v>169</v>
      </c>
      <c r="X259" s="5" t="s">
        <v>45</v>
      </c>
      <c r="Y259" s="5"/>
      <c r="AB259" s="5" t="s">
        <v>155</v>
      </c>
      <c r="AC259" s="5">
        <v>100</v>
      </c>
      <c r="AD259" s="78">
        <v>0.03</v>
      </c>
      <c r="AE259" s="13">
        <v>3</v>
      </c>
      <c r="AF259" s="45" t="s">
        <v>104</v>
      </c>
      <c r="AG259" s="2" t="s">
        <v>104</v>
      </c>
      <c r="AH259" s="6"/>
      <c r="AI259" s="7"/>
      <c r="AL259" s="2"/>
      <c r="AM259" s="15" t="str">
        <f t="shared" si="38"/>
        <v>TYPE A</v>
      </c>
    </row>
    <row r="260" spans="1:39" ht="15" customHeight="1" x14ac:dyDescent="0.35">
      <c r="A260" s="4">
        <v>44735</v>
      </c>
      <c r="B260" s="86">
        <v>13</v>
      </c>
      <c r="C260" s="5" t="s">
        <v>48</v>
      </c>
      <c r="D260" s="24" t="s">
        <v>42</v>
      </c>
      <c r="E260" s="5"/>
      <c r="F260" s="5">
        <v>1050</v>
      </c>
      <c r="G260" s="5">
        <v>200</v>
      </c>
      <c r="I260" s="5">
        <v>10</v>
      </c>
      <c r="J260" s="67">
        <v>0.25</v>
      </c>
      <c r="K260" s="67">
        <v>2.1800000000000002</v>
      </c>
      <c r="L260" s="67">
        <v>0.06</v>
      </c>
      <c r="M260" s="5" t="s">
        <v>145</v>
      </c>
      <c r="N260" s="6">
        <v>5</v>
      </c>
      <c r="O260" s="5">
        <v>84</v>
      </c>
      <c r="P260" s="5">
        <v>48</v>
      </c>
      <c r="Q260" s="5">
        <v>24</v>
      </c>
      <c r="R260" s="5">
        <f t="shared" si="39"/>
        <v>156</v>
      </c>
      <c r="S260" s="3">
        <f>O260/P260</f>
        <v>1.75</v>
      </c>
      <c r="T260" s="3">
        <v>1.06666666666667</v>
      </c>
      <c r="U260" s="3">
        <v>0.63829787234042556</v>
      </c>
      <c r="V260" s="5">
        <v>1</v>
      </c>
      <c r="W260" s="6" t="s">
        <v>169</v>
      </c>
      <c r="X260" s="5" t="s">
        <v>46</v>
      </c>
      <c r="Y260" s="5"/>
      <c r="AB260" s="5" t="s">
        <v>138</v>
      </c>
      <c r="AC260" s="5">
        <v>100</v>
      </c>
      <c r="AD260" s="78">
        <v>0.02</v>
      </c>
      <c r="AE260" s="13">
        <v>3</v>
      </c>
      <c r="AF260" s="45" t="s">
        <v>103</v>
      </c>
      <c r="AG260" s="2" t="s">
        <v>102</v>
      </c>
      <c r="AH260" s="6"/>
      <c r="AI260" s="7"/>
      <c r="AL260" s="2"/>
      <c r="AM260" s="15" t="str">
        <f t="shared" si="38"/>
        <v>FAIL</v>
      </c>
    </row>
    <row r="261" spans="1:39" ht="15" customHeight="1" x14ac:dyDescent="0.35">
      <c r="A261" s="4">
        <v>44735</v>
      </c>
      <c r="B261" s="86">
        <v>14</v>
      </c>
      <c r="C261" s="5" t="s">
        <v>41</v>
      </c>
      <c r="D261" s="24" t="s">
        <v>42</v>
      </c>
      <c r="E261" s="5"/>
      <c r="F261" s="5">
        <v>1050</v>
      </c>
      <c r="G261" s="5">
        <v>200</v>
      </c>
      <c r="I261" s="5">
        <v>10</v>
      </c>
      <c r="J261" s="67">
        <v>0.24</v>
      </c>
      <c r="K261" s="67">
        <v>2.76</v>
      </c>
      <c r="L261" s="67">
        <v>0.06</v>
      </c>
      <c r="M261" s="5" t="s">
        <v>16</v>
      </c>
      <c r="N261" s="6">
        <v>5</v>
      </c>
      <c r="O261" s="5">
        <v>28</v>
      </c>
      <c r="P261" s="5">
        <v>26</v>
      </c>
      <c r="Q261" s="5">
        <v>8</v>
      </c>
      <c r="R261" s="5">
        <f t="shared" si="39"/>
        <v>62</v>
      </c>
      <c r="S261" s="3">
        <v>1.0769230769230769</v>
      </c>
      <c r="T261" s="3">
        <v>1</v>
      </c>
      <c r="U261" s="3">
        <v>0.625</v>
      </c>
      <c r="V261" s="5">
        <v>1</v>
      </c>
      <c r="W261" s="6" t="s">
        <v>169</v>
      </c>
      <c r="X261" s="5" t="s">
        <v>45</v>
      </c>
      <c r="Y261" s="5"/>
      <c r="AB261" s="5" t="s">
        <v>155</v>
      </c>
      <c r="AC261" s="5">
        <v>100</v>
      </c>
      <c r="AD261" s="78">
        <v>0.05</v>
      </c>
      <c r="AE261" s="13">
        <v>3</v>
      </c>
      <c r="AF261" s="45" t="s">
        <v>104</v>
      </c>
      <c r="AG261" s="2" t="s">
        <v>102</v>
      </c>
      <c r="AH261" s="6"/>
      <c r="AI261" s="7"/>
      <c r="AL261" s="2"/>
      <c r="AM261" s="15" t="str">
        <f t="shared" si="38"/>
        <v>FAIL</v>
      </c>
    </row>
    <row r="262" spans="1:39" ht="15" customHeight="1" x14ac:dyDescent="0.35">
      <c r="A262" s="4">
        <v>44735</v>
      </c>
      <c r="B262" s="86">
        <v>14</v>
      </c>
      <c r="C262" s="5" t="s">
        <v>41</v>
      </c>
      <c r="D262" s="24" t="s">
        <v>42</v>
      </c>
      <c r="E262" s="5"/>
      <c r="F262" s="5">
        <v>1050</v>
      </c>
      <c r="G262" s="5">
        <v>200</v>
      </c>
      <c r="I262" s="5">
        <v>10</v>
      </c>
      <c r="J262" s="67">
        <v>0.24</v>
      </c>
      <c r="K262" s="67">
        <v>2.76</v>
      </c>
      <c r="L262" s="67">
        <v>0.06</v>
      </c>
      <c r="M262" s="5" t="s">
        <v>16</v>
      </c>
      <c r="N262" s="6">
        <v>5</v>
      </c>
      <c r="O262" s="5">
        <v>28</v>
      </c>
      <c r="P262" s="5">
        <v>26</v>
      </c>
      <c r="Q262" s="5">
        <v>8</v>
      </c>
      <c r="R262" s="5">
        <f t="shared" si="39"/>
        <v>62</v>
      </c>
      <c r="S262" s="3">
        <v>1.0769230769230769</v>
      </c>
      <c r="T262" s="3">
        <v>1</v>
      </c>
      <c r="U262" s="3">
        <v>0.625</v>
      </c>
      <c r="V262" s="5">
        <v>1</v>
      </c>
      <c r="W262" s="6" t="s">
        <v>169</v>
      </c>
      <c r="X262" s="5" t="s">
        <v>46</v>
      </c>
      <c r="Y262" s="5"/>
      <c r="AB262" s="5" t="s">
        <v>138</v>
      </c>
      <c r="AC262" s="5">
        <v>100</v>
      </c>
      <c r="AD262" s="78">
        <v>0.02</v>
      </c>
      <c r="AE262" s="13">
        <v>1</v>
      </c>
      <c r="AF262" s="45" t="s">
        <v>102</v>
      </c>
      <c r="AG262" s="2" t="s">
        <v>102</v>
      </c>
      <c r="AH262" s="6"/>
      <c r="AI262" s="7"/>
      <c r="AL262" s="2"/>
      <c r="AM262" s="15" t="str">
        <f t="shared" si="38"/>
        <v>FAIL</v>
      </c>
    </row>
    <row r="263" spans="1:39" ht="15" customHeight="1" x14ac:dyDescent="0.35">
      <c r="A263" s="4">
        <v>44735</v>
      </c>
      <c r="B263" s="86">
        <v>15</v>
      </c>
      <c r="C263" s="5" t="s">
        <v>41</v>
      </c>
      <c r="D263" s="24" t="s">
        <v>42</v>
      </c>
      <c r="E263" s="5"/>
      <c r="F263" s="5">
        <v>1050</v>
      </c>
      <c r="G263" s="5">
        <v>200</v>
      </c>
      <c r="I263" s="5">
        <v>10</v>
      </c>
      <c r="J263" s="67">
        <v>0.24</v>
      </c>
      <c r="K263" s="67">
        <v>2.88</v>
      </c>
      <c r="L263" s="67">
        <v>0.06</v>
      </c>
      <c r="M263" s="5" t="s">
        <v>145</v>
      </c>
      <c r="N263" s="6">
        <v>5</v>
      </c>
      <c r="O263" s="5">
        <v>28</v>
      </c>
      <c r="P263" s="5">
        <v>26</v>
      </c>
      <c r="Q263" s="5">
        <v>8</v>
      </c>
      <c r="R263" s="5">
        <f t="shared" si="39"/>
        <v>62</v>
      </c>
      <c r="S263" s="3">
        <v>1.07692307692308</v>
      </c>
      <c r="T263" s="3">
        <v>1</v>
      </c>
      <c r="U263" s="3">
        <v>0.625</v>
      </c>
      <c r="V263" s="5">
        <v>1</v>
      </c>
      <c r="W263" s="6" t="s">
        <v>169</v>
      </c>
      <c r="X263" s="5" t="s">
        <v>45</v>
      </c>
      <c r="Y263" s="5"/>
      <c r="AB263" s="5" t="s">
        <v>155</v>
      </c>
      <c r="AC263" s="5">
        <v>100</v>
      </c>
      <c r="AD263" s="96">
        <v>0.04</v>
      </c>
      <c r="AE263" s="13">
        <v>1</v>
      </c>
      <c r="AF263" s="45" t="s">
        <v>104</v>
      </c>
      <c r="AG263" s="2" t="s">
        <v>102</v>
      </c>
      <c r="AH263" s="6"/>
      <c r="AI263" s="7"/>
      <c r="AL263" s="2" t="s">
        <v>111</v>
      </c>
      <c r="AM263" s="15" t="str">
        <f t="shared" si="38"/>
        <v>FAIL</v>
      </c>
    </row>
    <row r="264" spans="1:39" ht="15" customHeight="1" x14ac:dyDescent="0.35">
      <c r="A264" s="4">
        <v>44736</v>
      </c>
      <c r="B264" s="86">
        <v>15</v>
      </c>
      <c r="C264" s="5" t="s">
        <v>41</v>
      </c>
      <c r="D264" s="24" t="s">
        <v>42</v>
      </c>
      <c r="E264" s="5"/>
      <c r="F264" s="5">
        <v>1050</v>
      </c>
      <c r="G264" s="5">
        <v>200</v>
      </c>
      <c r="I264" s="5">
        <v>10</v>
      </c>
      <c r="J264" s="67">
        <v>0.24</v>
      </c>
      <c r="K264" s="67">
        <v>2.88</v>
      </c>
      <c r="L264" s="67">
        <v>0.06</v>
      </c>
      <c r="M264" s="5" t="s">
        <v>145</v>
      </c>
      <c r="N264" s="6">
        <v>5</v>
      </c>
      <c r="O264" s="5">
        <v>28</v>
      </c>
      <c r="P264" s="5">
        <v>26</v>
      </c>
      <c r="Q264" s="5">
        <v>8</v>
      </c>
      <c r="R264" s="5">
        <f t="shared" si="39"/>
        <v>62</v>
      </c>
      <c r="S264" s="3">
        <v>1.07692307692308</v>
      </c>
      <c r="T264" s="3">
        <v>1</v>
      </c>
      <c r="U264" s="3">
        <v>0.625</v>
      </c>
      <c r="V264" s="5">
        <v>1</v>
      </c>
      <c r="W264" s="6" t="s">
        <v>169</v>
      </c>
      <c r="X264" s="5" t="s">
        <v>46</v>
      </c>
      <c r="Y264" s="5"/>
      <c r="AB264" s="5" t="s">
        <v>138</v>
      </c>
      <c r="AC264" s="5">
        <v>100</v>
      </c>
      <c r="AD264" s="78">
        <v>0.01</v>
      </c>
      <c r="AE264" s="13">
        <v>0</v>
      </c>
      <c r="AF264" s="45" t="s">
        <v>102</v>
      </c>
      <c r="AG264" s="2" t="s">
        <v>102</v>
      </c>
      <c r="AH264" s="6"/>
      <c r="AI264" s="7"/>
      <c r="AL264" s="2"/>
      <c r="AM264" s="15" t="str">
        <f t="shared" si="38"/>
        <v>FAIL</v>
      </c>
    </row>
    <row r="265" spans="1:39" ht="15" customHeight="1" x14ac:dyDescent="0.35">
      <c r="A265" s="4">
        <v>44735</v>
      </c>
      <c r="B265" s="86">
        <v>15</v>
      </c>
      <c r="C265" s="5" t="s">
        <v>41</v>
      </c>
      <c r="D265" s="24" t="s">
        <v>42</v>
      </c>
      <c r="E265" s="5"/>
      <c r="F265" s="5">
        <v>1050</v>
      </c>
      <c r="G265" s="5">
        <v>200</v>
      </c>
      <c r="I265" s="5">
        <v>10</v>
      </c>
      <c r="J265" s="67">
        <v>0.24</v>
      </c>
      <c r="K265" s="67">
        <v>2.88</v>
      </c>
      <c r="L265" s="67">
        <v>0.06</v>
      </c>
      <c r="M265" s="5" t="s">
        <v>145</v>
      </c>
      <c r="N265" s="6">
        <v>5</v>
      </c>
      <c r="O265" s="5">
        <v>28</v>
      </c>
      <c r="P265" s="5">
        <v>26</v>
      </c>
      <c r="Q265" s="5">
        <v>8</v>
      </c>
      <c r="R265" s="5">
        <f t="shared" si="39"/>
        <v>62</v>
      </c>
      <c r="S265" s="3">
        <v>1.07692307692308</v>
      </c>
      <c r="T265" s="3">
        <v>1</v>
      </c>
      <c r="U265" s="3">
        <v>0.625</v>
      </c>
      <c r="V265" s="5">
        <v>1</v>
      </c>
      <c r="W265" s="6" t="s">
        <v>52</v>
      </c>
      <c r="X265" s="5" t="s">
        <v>46</v>
      </c>
      <c r="Y265" s="5"/>
      <c r="AB265" s="5" t="s">
        <v>138</v>
      </c>
      <c r="AC265" s="5">
        <v>100</v>
      </c>
      <c r="AD265" s="78">
        <v>0.01</v>
      </c>
      <c r="AE265" s="13">
        <v>1</v>
      </c>
      <c r="AF265" s="45" t="s">
        <v>103</v>
      </c>
      <c r="AG265" s="2" t="s">
        <v>102</v>
      </c>
      <c r="AH265" s="6"/>
      <c r="AI265" s="7"/>
      <c r="AL265" s="2"/>
      <c r="AM265" s="15" t="str">
        <f t="shared" si="38"/>
        <v>FAIL</v>
      </c>
    </row>
    <row r="266" spans="1:39" ht="15" customHeight="1" x14ac:dyDescent="0.35">
      <c r="A266" s="4">
        <v>44735</v>
      </c>
      <c r="B266" s="86">
        <v>16</v>
      </c>
      <c r="C266" s="5" t="s">
        <v>130</v>
      </c>
      <c r="D266" s="24" t="s">
        <v>42</v>
      </c>
      <c r="E266" s="5"/>
      <c r="F266" s="5">
        <v>1050</v>
      </c>
      <c r="G266" s="5">
        <v>200</v>
      </c>
      <c r="I266" s="5">
        <v>10</v>
      </c>
      <c r="J266" s="67">
        <v>0.24</v>
      </c>
      <c r="K266" s="67">
        <v>3</v>
      </c>
      <c r="L266" s="67">
        <v>0.06</v>
      </c>
      <c r="M266" s="5" t="s">
        <v>145</v>
      </c>
      <c r="N266" s="6">
        <v>5</v>
      </c>
      <c r="O266" s="5">
        <v>90</v>
      </c>
      <c r="P266" s="5">
        <v>60</v>
      </c>
      <c r="Q266" s="5">
        <v>25</v>
      </c>
      <c r="R266" s="5">
        <f t="shared" si="39"/>
        <v>175</v>
      </c>
      <c r="S266" s="8">
        <v>1.55</v>
      </c>
      <c r="T266" s="8">
        <v>0.68</v>
      </c>
      <c r="U266" s="8">
        <v>0.5</v>
      </c>
      <c r="V266" s="5">
        <v>1</v>
      </c>
      <c r="W266" s="6" t="s">
        <v>169</v>
      </c>
      <c r="X266" s="5" t="s">
        <v>45</v>
      </c>
      <c r="Y266" s="5"/>
      <c r="AB266" s="5" t="s">
        <v>155</v>
      </c>
      <c r="AC266" s="5">
        <v>100</v>
      </c>
      <c r="AD266" s="78">
        <v>0.02</v>
      </c>
      <c r="AE266" s="13">
        <v>3</v>
      </c>
      <c r="AF266" s="45" t="s">
        <v>104</v>
      </c>
      <c r="AG266" s="2" t="s">
        <v>102</v>
      </c>
      <c r="AH266" s="6"/>
      <c r="AI266" s="7"/>
      <c r="AL266" s="2"/>
      <c r="AM266" s="15" t="str">
        <f t="shared" si="38"/>
        <v>FAIL</v>
      </c>
    </row>
    <row r="267" spans="1:39" ht="15" customHeight="1" x14ac:dyDescent="0.35">
      <c r="A267" s="4">
        <v>44735</v>
      </c>
      <c r="B267" s="86">
        <v>16</v>
      </c>
      <c r="C267" s="5" t="s">
        <v>130</v>
      </c>
      <c r="D267" s="24" t="s">
        <v>42</v>
      </c>
      <c r="E267" s="5"/>
      <c r="F267" s="5">
        <v>1050</v>
      </c>
      <c r="G267" s="5">
        <v>200</v>
      </c>
      <c r="I267" s="5">
        <v>10</v>
      </c>
      <c r="J267" s="67">
        <v>0.24</v>
      </c>
      <c r="K267" s="67">
        <v>3</v>
      </c>
      <c r="L267" s="67">
        <v>0.06</v>
      </c>
      <c r="M267" s="5" t="s">
        <v>145</v>
      </c>
      <c r="N267" s="6">
        <v>5</v>
      </c>
      <c r="O267" s="5">
        <v>90</v>
      </c>
      <c r="P267" s="5">
        <v>60</v>
      </c>
      <c r="Q267" s="5">
        <v>25</v>
      </c>
      <c r="R267" s="5">
        <f t="shared" si="39"/>
        <v>175</v>
      </c>
      <c r="S267" s="8">
        <v>1.55</v>
      </c>
      <c r="T267" s="8">
        <v>0.68</v>
      </c>
      <c r="U267" s="8">
        <v>0.5</v>
      </c>
      <c r="V267" s="5">
        <v>1</v>
      </c>
      <c r="W267" s="6" t="s">
        <v>52</v>
      </c>
      <c r="X267" s="5" t="s">
        <v>45</v>
      </c>
      <c r="Y267" s="5" t="s">
        <v>168</v>
      </c>
      <c r="AB267" s="5" t="s">
        <v>155</v>
      </c>
      <c r="AC267" s="5">
        <v>100</v>
      </c>
      <c r="AD267" s="78">
        <v>0.38</v>
      </c>
      <c r="AE267" s="6">
        <v>3</v>
      </c>
      <c r="AF267" s="45" t="s">
        <v>104</v>
      </c>
      <c r="AG267" s="1" t="s">
        <v>104</v>
      </c>
      <c r="AH267" s="6"/>
      <c r="AI267" s="7"/>
      <c r="AL267" s="2"/>
      <c r="AM267" s="15" t="str">
        <f t="shared" si="38"/>
        <v>FAIL</v>
      </c>
    </row>
    <row r="268" spans="1:39" ht="15" customHeight="1" x14ac:dyDescent="0.35">
      <c r="A268" s="4">
        <v>44735</v>
      </c>
      <c r="B268" s="86">
        <v>16</v>
      </c>
      <c r="C268" s="5" t="s">
        <v>130</v>
      </c>
      <c r="D268" s="24" t="s">
        <v>42</v>
      </c>
      <c r="E268" s="5"/>
      <c r="F268" s="5">
        <v>1050</v>
      </c>
      <c r="G268" s="5">
        <v>200</v>
      </c>
      <c r="I268" s="5">
        <v>10</v>
      </c>
      <c r="J268" s="67">
        <v>0.24</v>
      </c>
      <c r="K268" s="67">
        <v>3</v>
      </c>
      <c r="L268" s="67">
        <v>0.06</v>
      </c>
      <c r="M268" s="5" t="s">
        <v>145</v>
      </c>
      <c r="N268" s="6">
        <v>5</v>
      </c>
      <c r="O268" s="5">
        <v>90</v>
      </c>
      <c r="P268" s="5">
        <v>60</v>
      </c>
      <c r="Q268" s="5">
        <v>25</v>
      </c>
      <c r="R268" s="5">
        <f t="shared" si="39"/>
        <v>175</v>
      </c>
      <c r="S268" s="8">
        <v>1.55</v>
      </c>
      <c r="T268" s="8">
        <v>0.68</v>
      </c>
      <c r="U268" s="8">
        <v>0.5</v>
      </c>
      <c r="V268" s="5">
        <v>1</v>
      </c>
      <c r="W268" s="6" t="s">
        <v>169</v>
      </c>
      <c r="X268" s="5" t="s">
        <v>46</v>
      </c>
      <c r="Y268" s="5"/>
      <c r="AB268" s="5" t="s">
        <v>138</v>
      </c>
      <c r="AC268" s="5">
        <v>100</v>
      </c>
      <c r="AD268" s="78">
        <v>0.02</v>
      </c>
      <c r="AE268" s="13">
        <v>1</v>
      </c>
      <c r="AF268" s="45" t="s">
        <v>102</v>
      </c>
      <c r="AG268" s="2" t="s">
        <v>102</v>
      </c>
      <c r="AH268" s="6"/>
      <c r="AI268" s="7"/>
      <c r="AL268" s="2"/>
      <c r="AM268" s="15" t="str">
        <f t="shared" si="38"/>
        <v>FAIL</v>
      </c>
    </row>
    <row r="269" spans="1:39" ht="15" customHeight="1" x14ac:dyDescent="0.35">
      <c r="A269" s="4">
        <v>44735</v>
      </c>
      <c r="B269" s="86">
        <v>17</v>
      </c>
      <c r="C269" s="5" t="s">
        <v>171</v>
      </c>
      <c r="D269" s="24" t="s">
        <v>42</v>
      </c>
      <c r="E269" s="5"/>
      <c r="F269" s="5">
        <v>1050</v>
      </c>
      <c r="G269" s="5">
        <v>100</v>
      </c>
      <c r="I269" s="5">
        <v>12</v>
      </c>
      <c r="J269" s="67">
        <v>0.38</v>
      </c>
      <c r="K269" s="67">
        <v>2.61</v>
      </c>
      <c r="L269" s="67">
        <v>0.06</v>
      </c>
      <c r="M269" s="5" t="s">
        <v>16</v>
      </c>
      <c r="N269" s="6">
        <v>5</v>
      </c>
      <c r="O269" s="5">
        <v>83</v>
      </c>
      <c r="P269" s="5">
        <v>25</v>
      </c>
      <c r="Q269" s="5">
        <v>8</v>
      </c>
      <c r="R269" s="5">
        <f t="shared" si="39"/>
        <v>116</v>
      </c>
      <c r="S269" s="8">
        <f t="shared" ref="S269:S274" si="40">O269/P269</f>
        <v>3.32</v>
      </c>
      <c r="T269" s="3">
        <v>4.6500000000000004</v>
      </c>
      <c r="U269" s="3">
        <v>1.45</v>
      </c>
      <c r="V269" s="5">
        <v>1</v>
      </c>
      <c r="W269" s="6" t="s">
        <v>169</v>
      </c>
      <c r="X269" s="5" t="s">
        <v>45</v>
      </c>
      <c r="Y269" s="5"/>
      <c r="AB269" s="5" t="s">
        <v>155</v>
      </c>
      <c r="AC269" s="5">
        <v>100</v>
      </c>
      <c r="AD269" s="78">
        <v>0.17</v>
      </c>
      <c r="AE269" s="13">
        <v>3</v>
      </c>
      <c r="AF269" s="45" t="s">
        <v>104</v>
      </c>
      <c r="AG269" s="2" t="s">
        <v>102</v>
      </c>
      <c r="AH269" s="6"/>
      <c r="AI269" s="7"/>
      <c r="AL269" s="2" t="s">
        <v>172</v>
      </c>
      <c r="AM269" s="15" t="str">
        <f t="shared" si="38"/>
        <v>FAIL</v>
      </c>
    </row>
    <row r="270" spans="1:39" ht="15" customHeight="1" x14ac:dyDescent="0.35">
      <c r="A270" s="4">
        <v>44735</v>
      </c>
      <c r="B270" s="86">
        <v>17</v>
      </c>
      <c r="C270" s="5" t="s">
        <v>171</v>
      </c>
      <c r="D270" s="24" t="s">
        <v>165</v>
      </c>
      <c r="E270" s="5"/>
      <c r="F270" s="5">
        <v>1050</v>
      </c>
      <c r="G270" s="5">
        <v>100</v>
      </c>
      <c r="I270" s="5">
        <v>12</v>
      </c>
      <c r="J270" s="67">
        <v>0.38</v>
      </c>
      <c r="K270" s="67">
        <v>2.61</v>
      </c>
      <c r="L270" s="67">
        <v>0.06</v>
      </c>
      <c r="M270" s="5" t="s">
        <v>16</v>
      </c>
      <c r="N270" s="6">
        <v>5</v>
      </c>
      <c r="O270" s="5">
        <v>83</v>
      </c>
      <c r="P270" s="5">
        <v>25</v>
      </c>
      <c r="Q270" s="5">
        <v>8</v>
      </c>
      <c r="R270" s="5">
        <f t="shared" si="39"/>
        <v>116</v>
      </c>
      <c r="S270" s="8">
        <f t="shared" si="40"/>
        <v>3.32</v>
      </c>
      <c r="T270" s="3">
        <v>4.6500000000000004</v>
      </c>
      <c r="U270" s="3">
        <v>1.45</v>
      </c>
      <c r="V270" s="5">
        <v>10</v>
      </c>
      <c r="W270" s="6" t="s">
        <v>52</v>
      </c>
      <c r="X270" s="5" t="s">
        <v>46</v>
      </c>
      <c r="Y270" s="5"/>
      <c r="AB270" s="5" t="s">
        <v>138</v>
      </c>
      <c r="AC270" s="5">
        <v>100</v>
      </c>
      <c r="AD270" s="78">
        <v>0.02</v>
      </c>
      <c r="AE270" s="13">
        <v>1</v>
      </c>
      <c r="AF270" s="45" t="s">
        <v>104</v>
      </c>
      <c r="AG270" s="2" t="s">
        <v>102</v>
      </c>
      <c r="AH270" s="6"/>
      <c r="AI270" s="7"/>
      <c r="AL270" s="2"/>
      <c r="AM270" s="15" t="str">
        <f t="shared" si="38"/>
        <v>FAIL</v>
      </c>
    </row>
    <row r="271" spans="1:39" ht="15" customHeight="1" x14ac:dyDescent="0.35">
      <c r="A271" s="4">
        <v>44735</v>
      </c>
      <c r="B271" s="86">
        <v>18</v>
      </c>
      <c r="C271" s="5" t="s">
        <v>53</v>
      </c>
      <c r="D271" s="24" t="s">
        <v>42</v>
      </c>
      <c r="E271" s="5"/>
      <c r="F271" s="5">
        <v>1050</v>
      </c>
      <c r="G271" s="5">
        <v>200</v>
      </c>
      <c r="I271" s="5">
        <v>10</v>
      </c>
      <c r="J271" s="67">
        <v>0.38</v>
      </c>
      <c r="K271" s="67">
        <v>2.56</v>
      </c>
      <c r="L271" s="67">
        <v>0.06</v>
      </c>
      <c r="M271" s="5" t="s">
        <v>16</v>
      </c>
      <c r="N271" s="6">
        <v>5</v>
      </c>
      <c r="O271" s="5">
        <v>42</v>
      </c>
      <c r="P271" s="5">
        <v>18</v>
      </c>
      <c r="Q271" s="5">
        <v>12</v>
      </c>
      <c r="R271" s="5">
        <f t="shared" si="39"/>
        <v>72</v>
      </c>
      <c r="S271" s="8">
        <f t="shared" si="40"/>
        <v>2.3333333333333335</v>
      </c>
      <c r="T271" s="3">
        <v>4</v>
      </c>
      <c r="U271" s="3">
        <v>1</v>
      </c>
      <c r="V271" s="5">
        <v>1</v>
      </c>
      <c r="W271" s="6" t="s">
        <v>169</v>
      </c>
      <c r="X271" s="5" t="s">
        <v>45</v>
      </c>
      <c r="Y271" s="5"/>
      <c r="AB271" s="5" t="s">
        <v>155</v>
      </c>
      <c r="AC271" s="5">
        <v>100</v>
      </c>
      <c r="AD271" s="78">
        <v>0.03</v>
      </c>
      <c r="AE271" s="13">
        <v>3</v>
      </c>
      <c r="AF271" s="45" t="s">
        <v>104</v>
      </c>
      <c r="AG271" s="2" t="s">
        <v>104</v>
      </c>
      <c r="AH271" s="6"/>
      <c r="AI271" s="7"/>
      <c r="AL271" s="2"/>
      <c r="AM271" s="15" t="str">
        <f t="shared" si="38"/>
        <v>TYPE A</v>
      </c>
    </row>
    <row r="272" spans="1:39" ht="15" customHeight="1" x14ac:dyDescent="0.35">
      <c r="A272" s="4">
        <v>44735</v>
      </c>
      <c r="B272" s="86">
        <v>18</v>
      </c>
      <c r="C272" s="5" t="s">
        <v>53</v>
      </c>
      <c r="D272" s="24" t="s">
        <v>42</v>
      </c>
      <c r="E272" s="5"/>
      <c r="F272" s="5">
        <v>1050</v>
      </c>
      <c r="G272" s="5">
        <v>200</v>
      </c>
      <c r="I272" s="5">
        <v>10</v>
      </c>
      <c r="J272" s="67">
        <v>0.38</v>
      </c>
      <c r="K272" s="67">
        <v>2.56</v>
      </c>
      <c r="L272" s="67">
        <v>0.06</v>
      </c>
      <c r="M272" s="5" t="s">
        <v>16</v>
      </c>
      <c r="N272" s="6">
        <v>5</v>
      </c>
      <c r="O272" s="5">
        <v>42</v>
      </c>
      <c r="P272" s="5">
        <v>18</v>
      </c>
      <c r="Q272" s="5">
        <v>12</v>
      </c>
      <c r="R272" s="5">
        <f t="shared" si="39"/>
        <v>72</v>
      </c>
      <c r="S272" s="8">
        <f t="shared" si="40"/>
        <v>2.3333333333333335</v>
      </c>
      <c r="T272" s="3">
        <v>4</v>
      </c>
      <c r="U272" s="3">
        <v>1</v>
      </c>
      <c r="V272" s="5">
        <v>1</v>
      </c>
      <c r="W272" s="6" t="s">
        <v>169</v>
      </c>
      <c r="X272" s="5" t="s">
        <v>46</v>
      </c>
      <c r="Y272" s="5"/>
      <c r="AB272" s="5" t="s">
        <v>138</v>
      </c>
      <c r="AC272" s="5">
        <v>100</v>
      </c>
      <c r="AD272" s="78">
        <v>0.03</v>
      </c>
      <c r="AE272" s="13">
        <v>5</v>
      </c>
      <c r="AF272" s="45" t="s">
        <v>103</v>
      </c>
      <c r="AG272" s="2" t="s">
        <v>102</v>
      </c>
      <c r="AH272" s="6"/>
      <c r="AI272" s="7"/>
      <c r="AL272" s="2"/>
      <c r="AM272" s="15" t="str">
        <f t="shared" si="38"/>
        <v>FAIL</v>
      </c>
    </row>
    <row r="273" spans="1:42" ht="15" customHeight="1" x14ac:dyDescent="0.35">
      <c r="A273" s="4">
        <v>44735</v>
      </c>
      <c r="B273" s="86">
        <v>19</v>
      </c>
      <c r="C273" s="5" t="s">
        <v>64</v>
      </c>
      <c r="D273" s="24" t="s">
        <v>42</v>
      </c>
      <c r="E273" s="5"/>
      <c r="F273" s="5">
        <v>1050</v>
      </c>
      <c r="G273" s="5">
        <v>200</v>
      </c>
      <c r="I273" s="5">
        <v>10</v>
      </c>
      <c r="J273" s="67">
        <v>0.37</v>
      </c>
      <c r="K273" s="67">
        <v>2.62</v>
      </c>
      <c r="L273" s="67">
        <v>0.06</v>
      </c>
      <c r="M273" s="5" t="s">
        <v>16</v>
      </c>
      <c r="N273" s="6">
        <v>5</v>
      </c>
      <c r="O273" s="5">
        <v>80</v>
      </c>
      <c r="P273" s="5">
        <v>36</v>
      </c>
      <c r="Q273" s="5">
        <v>20</v>
      </c>
      <c r="R273" s="5">
        <f t="shared" si="39"/>
        <v>136</v>
      </c>
      <c r="S273" s="8">
        <f t="shared" si="40"/>
        <v>2.2222222222222223</v>
      </c>
      <c r="T273" s="8">
        <v>3.3333333333333335</v>
      </c>
      <c r="U273" s="8">
        <v>0.88888888888888884</v>
      </c>
      <c r="V273" s="5">
        <v>1</v>
      </c>
      <c r="W273" s="6" t="s">
        <v>169</v>
      </c>
      <c r="X273" s="5" t="s">
        <v>45</v>
      </c>
      <c r="Y273" s="5"/>
      <c r="AB273" s="5" t="s">
        <v>155</v>
      </c>
      <c r="AC273" s="5">
        <v>100</v>
      </c>
      <c r="AD273" s="78">
        <v>0.11</v>
      </c>
      <c r="AE273" s="13">
        <v>3</v>
      </c>
      <c r="AF273" s="45" t="s">
        <v>104</v>
      </c>
      <c r="AG273" s="2" t="s">
        <v>102</v>
      </c>
      <c r="AH273" s="6"/>
      <c r="AI273" s="7"/>
      <c r="AL273" s="2"/>
      <c r="AM273" s="15" t="str">
        <f t="shared" si="38"/>
        <v>FAIL</v>
      </c>
    </row>
    <row r="274" spans="1:42" ht="15" customHeight="1" x14ac:dyDescent="0.35">
      <c r="A274" s="4">
        <v>44735</v>
      </c>
      <c r="B274" s="86">
        <v>19</v>
      </c>
      <c r="C274" s="5" t="s">
        <v>64</v>
      </c>
      <c r="D274" s="24" t="s">
        <v>42</v>
      </c>
      <c r="E274" s="5"/>
      <c r="F274" s="5">
        <v>1050</v>
      </c>
      <c r="G274" s="5">
        <v>200</v>
      </c>
      <c r="I274" s="5">
        <v>10</v>
      </c>
      <c r="J274" s="67">
        <v>0.37</v>
      </c>
      <c r="K274" s="67">
        <v>2.62</v>
      </c>
      <c r="L274" s="67">
        <v>0.06</v>
      </c>
      <c r="M274" s="5" t="s">
        <v>16</v>
      </c>
      <c r="N274" s="6">
        <v>5</v>
      </c>
      <c r="O274" s="5">
        <v>80</v>
      </c>
      <c r="P274" s="5">
        <v>36</v>
      </c>
      <c r="Q274" s="5">
        <v>20</v>
      </c>
      <c r="R274" s="5">
        <f t="shared" si="39"/>
        <v>136</v>
      </c>
      <c r="S274" s="8">
        <f t="shared" si="40"/>
        <v>2.2222222222222223</v>
      </c>
      <c r="T274" s="8">
        <v>3.3333333333333335</v>
      </c>
      <c r="U274" s="8">
        <v>0.88888888888888884</v>
      </c>
      <c r="V274" s="5">
        <v>1</v>
      </c>
      <c r="W274" s="6" t="s">
        <v>169</v>
      </c>
      <c r="X274" s="5" t="s">
        <v>46</v>
      </c>
      <c r="Y274" s="5"/>
      <c r="AB274" s="5" t="s">
        <v>138</v>
      </c>
      <c r="AC274" s="5">
        <v>100</v>
      </c>
      <c r="AD274" s="78">
        <v>0.02</v>
      </c>
      <c r="AE274" s="13">
        <v>3</v>
      </c>
      <c r="AF274" s="45" t="s">
        <v>102</v>
      </c>
      <c r="AG274" s="2" t="s">
        <v>102</v>
      </c>
      <c r="AH274" s="6"/>
      <c r="AI274" s="7"/>
      <c r="AL274" s="2"/>
      <c r="AM274" s="15" t="str">
        <f t="shared" si="38"/>
        <v>FAIL</v>
      </c>
    </row>
    <row r="275" spans="1:42" ht="15" customHeight="1" thickBot="1" x14ac:dyDescent="0.4">
      <c r="A275" s="4"/>
      <c r="B275" s="86"/>
      <c r="C275" s="5"/>
      <c r="D275" s="24"/>
      <c r="E275" s="5"/>
      <c r="F275" s="5"/>
      <c r="G275" s="5"/>
      <c r="I275" s="5"/>
      <c r="J275" s="67"/>
      <c r="K275" s="67"/>
      <c r="L275" s="67"/>
      <c r="M275" s="5"/>
      <c r="N275" s="6"/>
      <c r="O275" s="5"/>
      <c r="P275" s="5"/>
      <c r="Q275" s="5"/>
      <c r="R275" s="5"/>
      <c r="S275" s="3"/>
      <c r="T275" s="3"/>
      <c r="U275" s="3"/>
      <c r="V275" s="5"/>
      <c r="W275" s="6"/>
      <c r="X275" s="5"/>
      <c r="Y275" s="5"/>
      <c r="AB275" s="5"/>
      <c r="AC275" s="5"/>
      <c r="AD275" s="78"/>
      <c r="AE275" s="13"/>
      <c r="AF275" s="45"/>
      <c r="AG275" s="2"/>
      <c r="AH275" s="6"/>
      <c r="AI275" s="7"/>
      <c r="AL275" s="2"/>
      <c r="AM275" s="15" t="str">
        <f t="shared" si="38"/>
        <v>FAIL</v>
      </c>
    </row>
    <row r="276" spans="1:42" ht="15" customHeight="1" thickBot="1" x14ac:dyDescent="0.4">
      <c r="A276" s="102"/>
      <c r="B276" s="88"/>
      <c r="C276" s="34"/>
      <c r="D276" s="49"/>
      <c r="E276" s="34"/>
      <c r="F276" s="34"/>
      <c r="G276" s="34"/>
      <c r="H276" s="73"/>
      <c r="I276" s="34"/>
      <c r="J276" s="68"/>
      <c r="K276" s="68"/>
      <c r="L276" s="68"/>
      <c r="M276" s="34"/>
      <c r="N276" s="31"/>
      <c r="O276" s="34"/>
      <c r="P276" s="34"/>
      <c r="Q276" s="34"/>
      <c r="R276" s="34"/>
      <c r="S276" s="37"/>
      <c r="T276" s="37"/>
      <c r="U276" s="37"/>
      <c r="V276" s="34"/>
      <c r="W276" s="31"/>
      <c r="X276" s="34"/>
      <c r="Y276" s="34"/>
      <c r="Z276" s="80"/>
      <c r="AA276" s="30"/>
      <c r="AB276" s="34"/>
      <c r="AC276" s="34"/>
      <c r="AD276" s="98"/>
      <c r="AE276" s="35"/>
      <c r="AF276" s="54"/>
      <c r="AG276" s="42"/>
      <c r="AH276" s="31"/>
      <c r="AI276" s="33"/>
      <c r="AJ276" s="42"/>
      <c r="AK276" s="32"/>
      <c r="AL276" s="34"/>
      <c r="AM276" s="34"/>
      <c r="AN276" s="30"/>
      <c r="AO276" s="30"/>
      <c r="AP276" s="30"/>
    </row>
    <row r="278" spans="1:42" ht="15" customHeight="1" x14ac:dyDescent="0.35">
      <c r="A278" s="4">
        <v>44754</v>
      </c>
      <c r="B278" s="86">
        <v>1</v>
      </c>
      <c r="C278" s="5" t="s">
        <v>48</v>
      </c>
      <c r="D278" s="24" t="s">
        <v>42</v>
      </c>
      <c r="E278" s="5"/>
      <c r="F278" s="5">
        <v>1050</v>
      </c>
      <c r="G278" s="5">
        <v>200</v>
      </c>
      <c r="I278" s="5">
        <v>12</v>
      </c>
      <c r="J278" s="67">
        <v>1.1000000000000001</v>
      </c>
      <c r="K278" s="67">
        <v>4</v>
      </c>
      <c r="L278" s="67">
        <v>0.05</v>
      </c>
      <c r="M278" s="5" t="s">
        <v>16</v>
      </c>
      <c r="N278" s="6">
        <v>5</v>
      </c>
      <c r="O278" s="5">
        <v>84</v>
      </c>
      <c r="P278" s="5">
        <v>48</v>
      </c>
      <c r="Q278" s="5">
        <v>24</v>
      </c>
      <c r="R278" s="5">
        <f t="shared" ref="R278:R286" si="41">O278+P278+Q278</f>
        <v>156</v>
      </c>
      <c r="S278" s="3">
        <f t="shared" ref="S278:S286" si="42">O278/P278</f>
        <v>1.75</v>
      </c>
      <c r="T278" s="3">
        <f>16.8/18</f>
        <v>0.93333333333333335</v>
      </c>
      <c r="U278" s="3">
        <f>28.5/45</f>
        <v>0.6333333333333333</v>
      </c>
      <c r="V278" s="5">
        <v>1</v>
      </c>
      <c r="W278" s="6" t="s">
        <v>169</v>
      </c>
      <c r="X278" s="5" t="s">
        <v>45</v>
      </c>
      <c r="Y278" s="5"/>
      <c r="AB278" s="5" t="s">
        <v>155</v>
      </c>
      <c r="AC278" s="5">
        <v>100</v>
      </c>
      <c r="AD278" s="78">
        <v>0.02</v>
      </c>
      <c r="AE278" s="13">
        <v>5</v>
      </c>
      <c r="AF278" s="45" t="s">
        <v>104</v>
      </c>
      <c r="AG278" s="2" t="s">
        <v>102</v>
      </c>
      <c r="AH278" s="6"/>
      <c r="AI278" s="7"/>
      <c r="AJ278" s="2"/>
      <c r="AK278" s="15"/>
      <c r="AL278" s="89"/>
      <c r="AM278" s="89"/>
      <c r="AN278" s="6">
        <v>4.9000000000000004</v>
      </c>
      <c r="AO278">
        <v>0</v>
      </c>
    </row>
    <row r="279" spans="1:42" ht="15" customHeight="1" x14ac:dyDescent="0.35">
      <c r="A279" s="4">
        <v>44754</v>
      </c>
      <c r="B279" s="86">
        <v>1</v>
      </c>
      <c r="C279" s="5" t="s">
        <v>48</v>
      </c>
      <c r="D279" s="24" t="s">
        <v>42</v>
      </c>
      <c r="E279" s="5"/>
      <c r="F279" s="5">
        <v>1050</v>
      </c>
      <c r="G279" s="5">
        <v>200</v>
      </c>
      <c r="I279" s="5">
        <v>12</v>
      </c>
      <c r="J279" s="67">
        <v>1.1000000000000001</v>
      </c>
      <c r="K279" s="67">
        <v>4</v>
      </c>
      <c r="L279" s="67">
        <v>0.05</v>
      </c>
      <c r="M279" s="5" t="s">
        <v>16</v>
      </c>
      <c r="N279" s="6">
        <v>5</v>
      </c>
      <c r="O279" s="5">
        <v>84</v>
      </c>
      <c r="P279" s="5">
        <v>48</v>
      </c>
      <c r="Q279" s="5">
        <v>24</v>
      </c>
      <c r="R279" s="5">
        <f t="shared" si="41"/>
        <v>156</v>
      </c>
      <c r="S279" s="3">
        <f t="shared" si="42"/>
        <v>1.75</v>
      </c>
      <c r="T279" s="3">
        <f>16.8/18</f>
        <v>0.93333333333333335</v>
      </c>
      <c r="U279" s="3">
        <f>28.5/45</f>
        <v>0.6333333333333333</v>
      </c>
      <c r="V279" s="5">
        <v>1</v>
      </c>
      <c r="W279" s="6" t="s">
        <v>169</v>
      </c>
      <c r="X279" s="5" t="s">
        <v>46</v>
      </c>
      <c r="Y279" s="5"/>
      <c r="AB279" s="5" t="s">
        <v>138</v>
      </c>
      <c r="AC279" s="5">
        <v>100</v>
      </c>
      <c r="AD279" s="78">
        <v>0.01</v>
      </c>
      <c r="AE279" s="13">
        <v>3</v>
      </c>
      <c r="AF279" s="45" t="s">
        <v>103</v>
      </c>
      <c r="AG279" s="2" t="s">
        <v>103</v>
      </c>
      <c r="AH279" s="6"/>
      <c r="AI279" s="7"/>
      <c r="AJ279" s="2"/>
      <c r="AK279" s="15"/>
      <c r="AL279" s="89"/>
      <c r="AM279" s="89"/>
      <c r="AN279" s="6">
        <v>6</v>
      </c>
      <c r="AO279">
        <v>0</v>
      </c>
    </row>
    <row r="280" spans="1:42" ht="15" customHeight="1" x14ac:dyDescent="0.35">
      <c r="A280" s="4">
        <v>44754</v>
      </c>
      <c r="B280" s="86">
        <v>2</v>
      </c>
      <c r="C280" s="5" t="s">
        <v>157</v>
      </c>
      <c r="D280" s="24" t="s">
        <v>42</v>
      </c>
      <c r="E280" s="5"/>
      <c r="F280" s="5">
        <v>1050</v>
      </c>
      <c r="G280" s="5">
        <v>100</v>
      </c>
      <c r="I280" s="6">
        <v>10</v>
      </c>
      <c r="J280" s="67">
        <v>1.1000000000000001</v>
      </c>
      <c r="K280" s="67">
        <v>4</v>
      </c>
      <c r="L280" s="67">
        <v>0.05</v>
      </c>
      <c r="M280" s="5" t="s">
        <v>16</v>
      </c>
      <c r="N280" s="6">
        <v>5</v>
      </c>
      <c r="O280" s="5">
        <v>91</v>
      </c>
      <c r="P280" s="5">
        <v>25</v>
      </c>
      <c r="Q280" s="5">
        <v>0</v>
      </c>
      <c r="R280" s="5">
        <f t="shared" si="41"/>
        <v>116</v>
      </c>
      <c r="S280" s="3">
        <f t="shared" si="42"/>
        <v>3.64</v>
      </c>
      <c r="T280" s="3">
        <f>18.7/4</f>
        <v>4.6749999999999998</v>
      </c>
      <c r="U280" s="3">
        <f>32/22</f>
        <v>1.4545454545454546</v>
      </c>
      <c r="V280" s="5">
        <v>1</v>
      </c>
      <c r="W280" s="6" t="s">
        <v>169</v>
      </c>
      <c r="X280" s="5" t="s">
        <v>45</v>
      </c>
      <c r="Y280" s="5"/>
      <c r="AB280" s="5" t="s">
        <v>155</v>
      </c>
      <c r="AC280" s="5">
        <v>100</v>
      </c>
      <c r="AD280" s="78">
        <v>0.03</v>
      </c>
      <c r="AE280" s="13">
        <v>0</v>
      </c>
      <c r="AF280" s="45" t="s">
        <v>104</v>
      </c>
      <c r="AG280" s="2" t="s">
        <v>104</v>
      </c>
      <c r="AH280" s="6"/>
      <c r="AI280" s="7"/>
      <c r="AK280" s="15"/>
      <c r="AL280" s="2" t="s">
        <v>173</v>
      </c>
      <c r="AM280" s="89"/>
      <c r="AN280" s="6">
        <v>0</v>
      </c>
    </row>
    <row r="281" spans="1:42" ht="15" customHeight="1" x14ac:dyDescent="0.35">
      <c r="A281" s="4">
        <v>44754</v>
      </c>
      <c r="B281" s="86">
        <v>2</v>
      </c>
      <c r="C281" s="5" t="s">
        <v>157</v>
      </c>
      <c r="D281" s="24" t="s">
        <v>42</v>
      </c>
      <c r="E281" s="5"/>
      <c r="F281" s="5">
        <v>1050</v>
      </c>
      <c r="G281" s="5">
        <v>100</v>
      </c>
      <c r="I281" s="6">
        <v>10</v>
      </c>
      <c r="J281" s="67">
        <v>1.1000000000000001</v>
      </c>
      <c r="K281" s="67">
        <v>4</v>
      </c>
      <c r="L281" s="67">
        <v>0.05</v>
      </c>
      <c r="M281" s="5" t="s">
        <v>16</v>
      </c>
      <c r="N281" s="6">
        <v>5</v>
      </c>
      <c r="O281" s="5">
        <v>91</v>
      </c>
      <c r="P281" s="5">
        <v>25</v>
      </c>
      <c r="Q281" s="5">
        <v>0</v>
      </c>
      <c r="R281" s="5">
        <f t="shared" si="41"/>
        <v>116</v>
      </c>
      <c r="S281" s="3">
        <f t="shared" si="42"/>
        <v>3.64</v>
      </c>
      <c r="T281" s="3">
        <f>18.7/4</f>
        <v>4.6749999999999998</v>
      </c>
      <c r="U281" s="3">
        <f>32/22</f>
        <v>1.4545454545454546</v>
      </c>
      <c r="V281" s="5">
        <v>1</v>
      </c>
      <c r="W281" s="6" t="s">
        <v>169</v>
      </c>
      <c r="X281" s="5" t="s">
        <v>46</v>
      </c>
      <c r="Y281" s="5"/>
      <c r="AB281" s="5" t="s">
        <v>138</v>
      </c>
      <c r="AC281" s="5">
        <v>100</v>
      </c>
      <c r="AD281" s="96">
        <v>0.01</v>
      </c>
      <c r="AE281" s="13">
        <v>3</v>
      </c>
      <c r="AF281" s="45" t="s">
        <v>104</v>
      </c>
      <c r="AG281" s="2" t="s">
        <v>102</v>
      </c>
      <c r="AH281" s="6"/>
      <c r="AI281" s="9"/>
      <c r="AJ281" s="2"/>
      <c r="AK281" s="15"/>
      <c r="AL281" s="89"/>
      <c r="AM281" s="89"/>
      <c r="AN281" s="6">
        <v>2.6</v>
      </c>
      <c r="AO281">
        <v>1</v>
      </c>
    </row>
    <row r="282" spans="1:42" ht="15" customHeight="1" x14ac:dyDescent="0.35">
      <c r="A282" s="4">
        <v>44754</v>
      </c>
      <c r="B282" s="86">
        <v>3</v>
      </c>
      <c r="C282" s="5" t="s">
        <v>48</v>
      </c>
      <c r="D282" s="24" t="s">
        <v>42</v>
      </c>
      <c r="E282" s="5"/>
      <c r="F282" s="5">
        <v>1050</v>
      </c>
      <c r="G282" s="5">
        <v>200</v>
      </c>
      <c r="H282" s="64" t="s">
        <v>174</v>
      </c>
      <c r="I282" s="5">
        <v>12</v>
      </c>
      <c r="J282" s="67">
        <v>1.1000000000000001</v>
      </c>
      <c r="K282" s="67">
        <v>5.2</v>
      </c>
      <c r="L282" s="67">
        <v>0.05</v>
      </c>
      <c r="M282" s="5" t="s">
        <v>16</v>
      </c>
      <c r="N282" s="6">
        <v>5</v>
      </c>
      <c r="O282" s="5">
        <v>84</v>
      </c>
      <c r="P282" s="5">
        <v>48</v>
      </c>
      <c r="Q282" s="5">
        <v>24</v>
      </c>
      <c r="R282" s="5">
        <f t="shared" si="41"/>
        <v>156</v>
      </c>
      <c r="S282" s="3">
        <f t="shared" si="42"/>
        <v>1.75</v>
      </c>
      <c r="T282" s="3">
        <f>16.8/18</f>
        <v>0.93333333333333335</v>
      </c>
      <c r="U282" s="3">
        <f>28.5/45</f>
        <v>0.6333333333333333</v>
      </c>
      <c r="V282" s="5">
        <v>1</v>
      </c>
      <c r="W282" s="6" t="s">
        <v>169</v>
      </c>
      <c r="X282" s="5" t="s">
        <v>45</v>
      </c>
      <c r="Y282" s="5"/>
      <c r="AB282" s="5" t="s">
        <v>155</v>
      </c>
      <c r="AC282" s="5">
        <v>100</v>
      </c>
      <c r="AD282" s="96">
        <v>0.02</v>
      </c>
      <c r="AE282" s="13">
        <v>0</v>
      </c>
      <c r="AF282" s="45" t="s">
        <v>104</v>
      </c>
      <c r="AG282" s="2" t="s">
        <v>104</v>
      </c>
      <c r="AH282" s="6"/>
      <c r="AI282" s="9"/>
      <c r="AJ282" s="2"/>
      <c r="AK282" s="15"/>
      <c r="AL282" s="89"/>
      <c r="AM282" s="89"/>
      <c r="AN282" s="6">
        <v>0</v>
      </c>
    </row>
    <row r="283" spans="1:42" ht="15" customHeight="1" x14ac:dyDescent="0.35">
      <c r="A283" s="4">
        <v>44754</v>
      </c>
      <c r="B283" s="86">
        <v>3</v>
      </c>
      <c r="C283" s="5" t="s">
        <v>48</v>
      </c>
      <c r="D283" s="24" t="s">
        <v>42</v>
      </c>
      <c r="E283" s="5"/>
      <c r="F283" s="5">
        <v>1050</v>
      </c>
      <c r="G283" s="5">
        <v>200</v>
      </c>
      <c r="H283" s="64" t="s">
        <v>174</v>
      </c>
      <c r="I283" s="5">
        <v>12</v>
      </c>
      <c r="J283" s="67">
        <v>1.1000000000000001</v>
      </c>
      <c r="K283" s="67">
        <v>5.2</v>
      </c>
      <c r="L283" s="67">
        <v>0.05</v>
      </c>
      <c r="M283" s="5" t="s">
        <v>16</v>
      </c>
      <c r="N283" s="6">
        <v>5</v>
      </c>
      <c r="O283" s="5">
        <v>84</v>
      </c>
      <c r="P283" s="5">
        <v>48</v>
      </c>
      <c r="Q283" s="5">
        <v>24</v>
      </c>
      <c r="R283" s="5">
        <f t="shared" si="41"/>
        <v>156</v>
      </c>
      <c r="S283" s="3">
        <f t="shared" si="42"/>
        <v>1.75</v>
      </c>
      <c r="T283" s="3">
        <f>16.8/18</f>
        <v>0.93333333333333335</v>
      </c>
      <c r="U283" s="3">
        <f>28.5/45</f>
        <v>0.6333333333333333</v>
      </c>
      <c r="V283" s="5">
        <v>1</v>
      </c>
      <c r="W283" s="6" t="s">
        <v>169</v>
      </c>
      <c r="X283" s="5" t="s">
        <v>46</v>
      </c>
      <c r="Y283" s="5"/>
      <c r="AB283" s="5" t="s">
        <v>138</v>
      </c>
      <c r="AC283" s="5">
        <v>100</v>
      </c>
      <c r="AD283" s="96">
        <v>0.01</v>
      </c>
      <c r="AE283" s="13">
        <v>1</v>
      </c>
      <c r="AF283" s="45" t="s">
        <v>102</v>
      </c>
      <c r="AG283" s="2" t="s">
        <v>102</v>
      </c>
      <c r="AH283" s="6"/>
      <c r="AI283" s="9"/>
      <c r="AJ283" s="2"/>
      <c r="AK283" s="15"/>
      <c r="AL283" s="89"/>
      <c r="AM283" s="89"/>
      <c r="AN283" s="6">
        <v>2.6</v>
      </c>
      <c r="AO283">
        <v>0</v>
      </c>
    </row>
    <row r="284" spans="1:42" ht="15" customHeight="1" x14ac:dyDescent="0.35">
      <c r="A284" s="4">
        <v>44754</v>
      </c>
      <c r="B284" s="86">
        <v>4</v>
      </c>
      <c r="C284" s="5" t="s">
        <v>157</v>
      </c>
      <c r="D284" s="24" t="s">
        <v>42</v>
      </c>
      <c r="E284" s="5"/>
      <c r="F284" s="5">
        <v>1050</v>
      </c>
      <c r="G284" s="5">
        <v>100</v>
      </c>
      <c r="H284" s="64" t="s">
        <v>175</v>
      </c>
      <c r="I284" s="6">
        <v>10</v>
      </c>
      <c r="J284" s="67">
        <v>1.07</v>
      </c>
      <c r="K284" s="67">
        <v>4.67</v>
      </c>
      <c r="L284" s="67">
        <v>0.05</v>
      </c>
      <c r="M284" s="5" t="s">
        <v>16</v>
      </c>
      <c r="N284" s="6">
        <v>5</v>
      </c>
      <c r="O284" s="5">
        <v>91</v>
      </c>
      <c r="P284" s="5">
        <v>25</v>
      </c>
      <c r="Q284" s="5">
        <v>0</v>
      </c>
      <c r="R284" s="5">
        <f t="shared" si="41"/>
        <v>116</v>
      </c>
      <c r="S284" s="3">
        <f t="shared" si="42"/>
        <v>3.64</v>
      </c>
      <c r="T284" s="3">
        <f>18.7/4</f>
        <v>4.6749999999999998</v>
      </c>
      <c r="U284" s="3">
        <f>32/22</f>
        <v>1.4545454545454546</v>
      </c>
      <c r="V284" s="5">
        <v>1</v>
      </c>
      <c r="W284" s="6" t="s">
        <v>169</v>
      </c>
      <c r="X284" s="5" t="s">
        <v>45</v>
      </c>
      <c r="Y284" s="5"/>
      <c r="AB284" s="5" t="s">
        <v>155</v>
      </c>
      <c r="AC284" s="5">
        <v>100</v>
      </c>
      <c r="AD284" s="78">
        <v>0.02</v>
      </c>
      <c r="AE284" s="13">
        <v>0</v>
      </c>
      <c r="AF284" s="45" t="s">
        <v>104</v>
      </c>
      <c r="AG284" s="2" t="s">
        <v>104</v>
      </c>
      <c r="AH284" s="6"/>
      <c r="AI284" s="7"/>
      <c r="AJ284" s="2"/>
      <c r="AK284" s="15"/>
      <c r="AL284" s="89"/>
      <c r="AM284" s="89"/>
      <c r="AN284" s="6">
        <v>0</v>
      </c>
    </row>
    <row r="285" spans="1:42" ht="15" customHeight="1" x14ac:dyDescent="0.35">
      <c r="A285" s="4">
        <v>44754</v>
      </c>
      <c r="B285" s="86">
        <v>4</v>
      </c>
      <c r="C285" s="5" t="s">
        <v>157</v>
      </c>
      <c r="D285" s="24" t="s">
        <v>42</v>
      </c>
      <c r="E285" s="5"/>
      <c r="F285" s="5">
        <v>1050</v>
      </c>
      <c r="G285" s="5">
        <v>100</v>
      </c>
      <c r="H285" s="64" t="s">
        <v>175</v>
      </c>
      <c r="I285" s="6">
        <v>10</v>
      </c>
      <c r="J285" s="67">
        <v>1.07</v>
      </c>
      <c r="K285" s="67">
        <v>4.67</v>
      </c>
      <c r="L285" s="67">
        <v>0.05</v>
      </c>
      <c r="M285" s="5" t="s">
        <v>16</v>
      </c>
      <c r="N285" s="6">
        <v>5</v>
      </c>
      <c r="O285" s="5">
        <v>91</v>
      </c>
      <c r="P285" s="5">
        <v>25</v>
      </c>
      <c r="Q285" s="5">
        <v>0</v>
      </c>
      <c r="R285" s="5">
        <f t="shared" si="41"/>
        <v>116</v>
      </c>
      <c r="S285" s="3">
        <f t="shared" si="42"/>
        <v>3.64</v>
      </c>
      <c r="T285" s="3">
        <f>18.7/4</f>
        <v>4.6749999999999998</v>
      </c>
      <c r="U285" s="3">
        <f>32/22</f>
        <v>1.4545454545454546</v>
      </c>
      <c r="V285" s="5">
        <v>1</v>
      </c>
      <c r="W285" s="6" t="s">
        <v>169</v>
      </c>
      <c r="X285" s="5" t="s">
        <v>46</v>
      </c>
      <c r="Y285" s="5"/>
      <c r="AB285" s="5" t="s">
        <v>138</v>
      </c>
      <c r="AC285" s="5">
        <v>100</v>
      </c>
      <c r="AD285" s="96">
        <v>0.01</v>
      </c>
      <c r="AE285" s="13">
        <v>3</v>
      </c>
      <c r="AF285" s="45" t="s">
        <v>104</v>
      </c>
      <c r="AG285" s="2" t="s">
        <v>102</v>
      </c>
      <c r="AH285" s="6"/>
      <c r="AI285" s="9"/>
      <c r="AJ285" s="2"/>
      <c r="AK285" s="15"/>
      <c r="AL285" s="89"/>
      <c r="AM285" s="89"/>
      <c r="AN285" s="6">
        <v>3.2</v>
      </c>
      <c r="AO285">
        <v>0</v>
      </c>
    </row>
    <row r="286" spans="1:42" ht="15" customHeight="1" x14ac:dyDescent="0.35">
      <c r="A286" s="4">
        <v>44754</v>
      </c>
      <c r="B286" s="86">
        <v>5</v>
      </c>
      <c r="C286" s="5" t="s">
        <v>48</v>
      </c>
      <c r="D286" s="24" t="s">
        <v>165</v>
      </c>
      <c r="E286" s="6"/>
      <c r="F286" s="5">
        <v>1050</v>
      </c>
      <c r="G286" s="5">
        <v>200</v>
      </c>
      <c r="I286" s="5">
        <v>10</v>
      </c>
      <c r="J286" s="67">
        <v>1.02</v>
      </c>
      <c r="K286" s="67">
        <v>5.05</v>
      </c>
      <c r="L286" s="67">
        <v>0.05</v>
      </c>
      <c r="M286" s="5" t="s">
        <v>16</v>
      </c>
      <c r="N286" s="6">
        <v>5</v>
      </c>
      <c r="O286" s="5">
        <v>84</v>
      </c>
      <c r="P286" s="5">
        <v>48</v>
      </c>
      <c r="Q286" s="5">
        <v>24</v>
      </c>
      <c r="R286" s="5">
        <f t="shared" si="41"/>
        <v>156</v>
      </c>
      <c r="S286" s="3">
        <f t="shared" si="42"/>
        <v>1.75</v>
      </c>
      <c r="T286" s="3">
        <f>16.8/18</f>
        <v>0.93333333333333335</v>
      </c>
      <c r="U286" s="3">
        <f>28.5/45</f>
        <v>0.6333333333333333</v>
      </c>
      <c r="V286" s="5">
        <v>20</v>
      </c>
      <c r="W286" s="6" t="s">
        <v>52</v>
      </c>
      <c r="X286" s="5" t="s">
        <v>45</v>
      </c>
      <c r="Y286" s="5"/>
      <c r="AB286" s="5" t="s">
        <v>155</v>
      </c>
      <c r="AC286" s="5">
        <v>100</v>
      </c>
      <c r="AD286" s="78">
        <f>(0.02+0.04+0.03+0.02+0.02+0.02)/6</f>
        <v>2.4999999999999998E-2</v>
      </c>
      <c r="AE286" s="13">
        <v>0</v>
      </c>
      <c r="AF286" s="45" t="s">
        <v>104</v>
      </c>
      <c r="AG286" s="2" t="s">
        <v>102</v>
      </c>
      <c r="AH286" s="6"/>
      <c r="AI286" s="7"/>
      <c r="AJ286" s="2"/>
      <c r="AK286" s="15"/>
      <c r="AL286" s="89"/>
      <c r="AM286" s="89"/>
      <c r="AN286" s="6">
        <v>0</v>
      </c>
    </row>
    <row r="287" spans="1:42" ht="15" customHeight="1" x14ac:dyDescent="0.35">
      <c r="A287" s="11"/>
      <c r="B287" s="87"/>
      <c r="C287" s="6"/>
      <c r="D287" s="50"/>
      <c r="E287" s="6"/>
      <c r="F287" s="5"/>
      <c r="G287" s="6"/>
      <c r="I287" s="6"/>
      <c r="J287" s="69"/>
      <c r="K287" s="69"/>
      <c r="L287" s="69"/>
      <c r="M287" s="6"/>
      <c r="N287" s="6"/>
      <c r="O287" s="6"/>
      <c r="P287" s="6"/>
      <c r="Q287" s="6"/>
      <c r="R287" s="6"/>
      <c r="S287" s="8"/>
      <c r="T287" s="8"/>
      <c r="U287" s="8"/>
      <c r="V287" s="5"/>
      <c r="W287" s="6"/>
      <c r="X287" s="6"/>
      <c r="Y287" s="6"/>
      <c r="AB287" s="6"/>
      <c r="AC287" s="6"/>
      <c r="AD287" s="97"/>
      <c r="AE287" s="6"/>
      <c r="AF287" s="45"/>
      <c r="AG287" s="1"/>
      <c r="AH287" s="6"/>
      <c r="AI287" s="6"/>
      <c r="AJ287" s="2"/>
      <c r="AK287" s="6"/>
      <c r="AL287" s="89"/>
      <c r="AM287" s="89"/>
      <c r="AN287" s="6"/>
    </row>
    <row r="288" spans="1:42" ht="15" customHeight="1" x14ac:dyDescent="0.35">
      <c r="A288" s="11">
        <v>44755</v>
      </c>
      <c r="B288" s="87">
        <v>6</v>
      </c>
      <c r="C288" s="6" t="s">
        <v>130</v>
      </c>
      <c r="D288" s="50" t="s">
        <v>122</v>
      </c>
      <c r="E288" s="6"/>
      <c r="F288" s="5">
        <v>1050</v>
      </c>
      <c r="G288" s="5">
        <v>200</v>
      </c>
      <c r="H288" s="64" t="s">
        <v>176</v>
      </c>
      <c r="I288" s="6">
        <v>10</v>
      </c>
      <c r="J288" s="69">
        <v>1.4</v>
      </c>
      <c r="K288" s="69">
        <v>4.5</v>
      </c>
      <c r="L288" s="69">
        <v>0.05</v>
      </c>
      <c r="M288" s="6" t="s">
        <v>16</v>
      </c>
      <c r="N288" s="6">
        <v>5</v>
      </c>
      <c r="O288" s="6">
        <v>93</v>
      </c>
      <c r="P288" s="6">
        <v>60.1</v>
      </c>
      <c r="Q288" s="6">
        <v>24</v>
      </c>
      <c r="R288" s="5">
        <f t="shared" ref="R288:R294" si="43">O288+P288+Q288</f>
        <v>177.1</v>
      </c>
      <c r="S288" s="3">
        <f t="shared" ref="S288:S294" si="44">O288/P288</f>
        <v>1.5474209650582362</v>
      </c>
      <c r="T288" s="8">
        <f>15.2/22.6</f>
        <v>0.67256637168141586</v>
      </c>
      <c r="U288" s="8">
        <f>27/56.2</f>
        <v>0.48042704626334515</v>
      </c>
      <c r="V288" s="5">
        <v>1</v>
      </c>
      <c r="W288" s="6" t="s">
        <v>122</v>
      </c>
      <c r="X288" s="6" t="s">
        <v>46</v>
      </c>
      <c r="Y288" s="6"/>
      <c r="AB288" s="6" t="s">
        <v>138</v>
      </c>
      <c r="AC288" s="6">
        <v>100</v>
      </c>
      <c r="AD288" s="97">
        <f>(0.02+0.03+0.07)/3</f>
        <v>0.04</v>
      </c>
      <c r="AE288" s="6">
        <v>5</v>
      </c>
      <c r="AF288" s="45" t="s">
        <v>110</v>
      </c>
      <c r="AG288" s="1" t="s">
        <v>102</v>
      </c>
      <c r="AH288" s="6"/>
      <c r="AI288" s="6"/>
      <c r="AJ288" s="2"/>
      <c r="AK288" s="6"/>
      <c r="AL288" s="89"/>
      <c r="AM288" s="89"/>
      <c r="AN288" s="6">
        <v>2.4</v>
      </c>
      <c r="AO288">
        <v>1</v>
      </c>
    </row>
    <row r="289" spans="1:42" ht="15" customHeight="1" x14ac:dyDescent="0.35">
      <c r="A289" s="11">
        <v>44755</v>
      </c>
      <c r="B289" s="86">
        <v>7</v>
      </c>
      <c r="C289" s="5" t="s">
        <v>177</v>
      </c>
      <c r="D289" s="24" t="s">
        <v>42</v>
      </c>
      <c r="E289" s="5"/>
      <c r="F289" s="5">
        <v>1050</v>
      </c>
      <c r="G289" s="5">
        <v>200</v>
      </c>
      <c r="I289" s="6">
        <v>10</v>
      </c>
      <c r="J289" s="67">
        <v>2</v>
      </c>
      <c r="K289" s="67">
        <v>5.3</v>
      </c>
      <c r="L289" s="67">
        <v>0.05</v>
      </c>
      <c r="M289" s="5" t="s">
        <v>16</v>
      </c>
      <c r="N289" s="6">
        <v>5</v>
      </c>
      <c r="O289" s="5">
        <v>128</v>
      </c>
      <c r="P289" s="5">
        <v>36</v>
      </c>
      <c r="Q289" s="5">
        <v>20</v>
      </c>
      <c r="R289" s="5">
        <f t="shared" si="43"/>
        <v>184</v>
      </c>
      <c r="S289" s="3">
        <f t="shared" si="44"/>
        <v>3.5555555555555554</v>
      </c>
      <c r="T289" s="3">
        <f>32/6</f>
        <v>5.333333333333333</v>
      </c>
      <c r="U289" s="3">
        <f>56/36</f>
        <v>1.5555555555555556</v>
      </c>
      <c r="V289" s="5">
        <v>1</v>
      </c>
      <c r="W289" s="6" t="s">
        <v>52</v>
      </c>
      <c r="X289" s="5" t="s">
        <v>45</v>
      </c>
      <c r="Y289" s="5"/>
      <c r="AB289" s="5" t="s">
        <v>155</v>
      </c>
      <c r="AC289" s="5">
        <v>100</v>
      </c>
      <c r="AD289" s="78">
        <v>0.02</v>
      </c>
      <c r="AE289" s="13">
        <v>3</v>
      </c>
      <c r="AF289" s="45" t="s">
        <v>104</v>
      </c>
      <c r="AG289" s="2" t="s">
        <v>102</v>
      </c>
      <c r="AH289" s="6"/>
      <c r="AI289" s="7"/>
      <c r="AJ289" s="2"/>
      <c r="AK289" s="15"/>
      <c r="AL289" s="89"/>
      <c r="AM289" s="89"/>
      <c r="AN289" s="6">
        <v>3.3</v>
      </c>
      <c r="AO289">
        <v>1</v>
      </c>
    </row>
    <row r="290" spans="1:42" ht="15" customHeight="1" x14ac:dyDescent="0.35">
      <c r="A290" s="11">
        <v>44755</v>
      </c>
      <c r="B290" s="86">
        <v>7</v>
      </c>
      <c r="C290" s="5" t="s">
        <v>177</v>
      </c>
      <c r="D290" s="24" t="s">
        <v>42</v>
      </c>
      <c r="E290" s="5"/>
      <c r="F290" s="5">
        <v>1050</v>
      </c>
      <c r="G290" s="5">
        <v>200</v>
      </c>
      <c r="I290" s="6">
        <v>10</v>
      </c>
      <c r="J290" s="67">
        <v>2</v>
      </c>
      <c r="K290" s="67">
        <v>5.3</v>
      </c>
      <c r="L290" s="67">
        <v>0.05</v>
      </c>
      <c r="M290" s="5" t="s">
        <v>16</v>
      </c>
      <c r="N290" s="6">
        <v>5</v>
      </c>
      <c r="O290" s="5">
        <v>128</v>
      </c>
      <c r="P290" s="5">
        <v>36</v>
      </c>
      <c r="Q290" s="5">
        <v>20</v>
      </c>
      <c r="R290" s="5">
        <f t="shared" si="43"/>
        <v>184</v>
      </c>
      <c r="S290" s="3">
        <f t="shared" si="44"/>
        <v>3.5555555555555554</v>
      </c>
      <c r="T290" s="3">
        <f>32/6</f>
        <v>5.333333333333333</v>
      </c>
      <c r="U290" s="3">
        <f>56/36</f>
        <v>1.5555555555555556</v>
      </c>
      <c r="V290" s="5">
        <v>1</v>
      </c>
      <c r="W290" s="6" t="s">
        <v>52</v>
      </c>
      <c r="X290" s="5" t="s">
        <v>46</v>
      </c>
      <c r="Y290" s="5"/>
      <c r="AB290" s="6" t="s">
        <v>138</v>
      </c>
      <c r="AC290" s="6">
        <v>100</v>
      </c>
      <c r="AD290" s="96">
        <v>0.01</v>
      </c>
      <c r="AE290" s="13">
        <v>4</v>
      </c>
      <c r="AF290" s="45" t="s">
        <v>104</v>
      </c>
      <c r="AG290" s="2" t="s">
        <v>102</v>
      </c>
      <c r="AH290" s="6"/>
      <c r="AI290" s="9"/>
      <c r="AJ290" s="2"/>
      <c r="AK290" s="15"/>
      <c r="AL290" s="89"/>
      <c r="AM290" s="89"/>
      <c r="AN290" s="6">
        <v>4.7</v>
      </c>
      <c r="AO290">
        <v>1</v>
      </c>
    </row>
    <row r="291" spans="1:42" ht="15" customHeight="1" x14ac:dyDescent="0.35">
      <c r="A291" s="11">
        <v>44755</v>
      </c>
      <c r="B291" s="86">
        <v>8</v>
      </c>
      <c r="C291" s="5" t="s">
        <v>64</v>
      </c>
      <c r="D291" s="24" t="s">
        <v>42</v>
      </c>
      <c r="E291" s="5"/>
      <c r="F291" s="5">
        <v>1050</v>
      </c>
      <c r="G291" s="5">
        <v>200</v>
      </c>
      <c r="I291" s="5">
        <v>10</v>
      </c>
      <c r="J291" s="67">
        <v>1.95</v>
      </c>
      <c r="K291" s="67">
        <v>5.5</v>
      </c>
      <c r="L291" s="67">
        <v>0.05</v>
      </c>
      <c r="M291" s="5" t="s">
        <v>16</v>
      </c>
      <c r="N291" s="6">
        <v>5</v>
      </c>
      <c r="O291" s="5">
        <v>88</v>
      </c>
      <c r="P291" s="5">
        <v>36</v>
      </c>
      <c r="Q291" s="5">
        <v>21</v>
      </c>
      <c r="R291" s="5">
        <f t="shared" si="43"/>
        <v>145</v>
      </c>
      <c r="S291" s="3">
        <f t="shared" si="44"/>
        <v>2.4444444444444446</v>
      </c>
      <c r="T291" s="3">
        <f>22/6</f>
        <v>3.6666666666666665</v>
      </c>
      <c r="U291" s="3">
        <v>1</v>
      </c>
      <c r="V291" s="5">
        <v>1</v>
      </c>
      <c r="W291" s="6" t="s">
        <v>52</v>
      </c>
      <c r="X291" s="5" t="s">
        <v>45</v>
      </c>
      <c r="Y291" s="5"/>
      <c r="AB291" s="5" t="s">
        <v>155</v>
      </c>
      <c r="AC291" s="5">
        <v>100</v>
      </c>
      <c r="AD291" s="96">
        <v>0.03</v>
      </c>
      <c r="AE291" s="13">
        <v>0</v>
      </c>
      <c r="AF291" s="45" t="s">
        <v>104</v>
      </c>
      <c r="AG291" s="1" t="s">
        <v>104</v>
      </c>
      <c r="AH291" s="6"/>
      <c r="AI291" s="9"/>
      <c r="AJ291" s="2"/>
      <c r="AK291" s="15"/>
      <c r="AL291" s="6"/>
      <c r="AM291" s="6"/>
      <c r="AN291" s="6"/>
    </row>
    <row r="292" spans="1:42" ht="15" customHeight="1" x14ac:dyDescent="0.35">
      <c r="A292" s="11">
        <v>44755</v>
      </c>
      <c r="B292" s="86">
        <v>8</v>
      </c>
      <c r="C292" s="5" t="s">
        <v>64</v>
      </c>
      <c r="D292" s="24" t="s">
        <v>42</v>
      </c>
      <c r="E292" s="5"/>
      <c r="F292" s="5">
        <v>1050</v>
      </c>
      <c r="G292" s="5">
        <v>200</v>
      </c>
      <c r="I292" s="5">
        <v>10</v>
      </c>
      <c r="J292" s="67">
        <v>1.95</v>
      </c>
      <c r="K292" s="67">
        <v>5.5</v>
      </c>
      <c r="L292" s="67">
        <v>0.05</v>
      </c>
      <c r="M292" s="5" t="s">
        <v>16</v>
      </c>
      <c r="N292" s="6">
        <v>5</v>
      </c>
      <c r="O292" s="5">
        <v>88</v>
      </c>
      <c r="P292" s="5">
        <v>36</v>
      </c>
      <c r="Q292" s="5">
        <v>21</v>
      </c>
      <c r="R292" s="5">
        <f t="shared" si="43"/>
        <v>145</v>
      </c>
      <c r="S292" s="3">
        <f t="shared" si="44"/>
        <v>2.4444444444444446</v>
      </c>
      <c r="T292" s="3">
        <f>22/6</f>
        <v>3.6666666666666665</v>
      </c>
      <c r="U292" s="3">
        <v>1</v>
      </c>
      <c r="V292" s="5">
        <v>1</v>
      </c>
      <c r="W292" s="6" t="s">
        <v>52</v>
      </c>
      <c r="X292" s="5" t="s">
        <v>46</v>
      </c>
      <c r="Y292" s="5"/>
      <c r="AB292" s="6" t="s">
        <v>138</v>
      </c>
      <c r="AC292" s="6">
        <v>100</v>
      </c>
      <c r="AD292" s="78">
        <v>0.01</v>
      </c>
      <c r="AE292" s="13">
        <v>3</v>
      </c>
      <c r="AF292" s="45" t="s">
        <v>103</v>
      </c>
      <c r="AG292" s="2" t="s">
        <v>102</v>
      </c>
      <c r="AH292" s="6"/>
      <c r="AI292" s="7"/>
      <c r="AJ292" s="2"/>
      <c r="AK292" s="15"/>
      <c r="AL292" s="6"/>
      <c r="AM292" s="6"/>
      <c r="AN292" s="6"/>
    </row>
    <row r="293" spans="1:42" ht="15" customHeight="1" x14ac:dyDescent="0.35">
      <c r="A293" s="11">
        <v>44755</v>
      </c>
      <c r="B293" s="86">
        <v>9</v>
      </c>
      <c r="C293" s="5" t="s">
        <v>70</v>
      </c>
      <c r="D293" s="24" t="s">
        <v>42</v>
      </c>
      <c r="E293" s="5"/>
      <c r="F293" s="5">
        <v>1050</v>
      </c>
      <c r="G293" s="5">
        <v>200</v>
      </c>
      <c r="I293" s="5">
        <v>12</v>
      </c>
      <c r="J293" s="67">
        <v>1.93</v>
      </c>
      <c r="K293" s="67">
        <v>5.45</v>
      </c>
      <c r="L293" s="67">
        <v>0.05</v>
      </c>
      <c r="M293" s="5" t="s">
        <v>16</v>
      </c>
      <c r="N293" s="6">
        <v>5</v>
      </c>
      <c r="O293" s="5">
        <v>120</v>
      </c>
      <c r="P293" s="5">
        <v>36</v>
      </c>
      <c r="Q293" s="5">
        <v>20</v>
      </c>
      <c r="R293" s="5">
        <f t="shared" si="43"/>
        <v>176</v>
      </c>
      <c r="S293" s="3">
        <f t="shared" si="44"/>
        <v>3.3333333333333335</v>
      </c>
      <c r="T293" s="3">
        <f>28/6</f>
        <v>4.666666666666667</v>
      </c>
      <c r="U293" s="3">
        <f>52/36</f>
        <v>1.4444444444444444</v>
      </c>
      <c r="V293" s="5">
        <v>1</v>
      </c>
      <c r="W293" s="6" t="s">
        <v>169</v>
      </c>
      <c r="X293" s="5" t="s">
        <v>45</v>
      </c>
      <c r="Y293" s="5"/>
      <c r="AB293" s="5" t="s">
        <v>155</v>
      </c>
      <c r="AC293" s="5">
        <v>100</v>
      </c>
      <c r="AD293" s="78">
        <v>0.3</v>
      </c>
      <c r="AE293" s="13">
        <v>0</v>
      </c>
      <c r="AF293" s="45" t="s">
        <v>104</v>
      </c>
      <c r="AG293" s="2" t="s">
        <v>102</v>
      </c>
      <c r="AH293" s="6"/>
      <c r="AI293" s="7"/>
      <c r="AJ293" s="2"/>
      <c r="AK293" s="15"/>
      <c r="AL293" s="6"/>
      <c r="AM293" s="6"/>
      <c r="AN293" s="6"/>
    </row>
    <row r="294" spans="1:42" ht="15" customHeight="1" x14ac:dyDescent="0.35">
      <c r="A294" s="11">
        <v>44755</v>
      </c>
      <c r="B294" s="86">
        <v>9</v>
      </c>
      <c r="C294" s="5" t="s">
        <v>70</v>
      </c>
      <c r="D294" s="24" t="s">
        <v>42</v>
      </c>
      <c r="E294" s="5"/>
      <c r="F294" s="5">
        <v>1050</v>
      </c>
      <c r="G294" s="5">
        <v>200</v>
      </c>
      <c r="I294" s="5">
        <v>12</v>
      </c>
      <c r="J294" s="67">
        <v>1.93</v>
      </c>
      <c r="K294" s="67">
        <v>5.45</v>
      </c>
      <c r="L294" s="67">
        <v>0.05</v>
      </c>
      <c r="M294" s="5" t="s">
        <v>16</v>
      </c>
      <c r="N294" s="6">
        <v>5</v>
      </c>
      <c r="O294" s="5">
        <v>120</v>
      </c>
      <c r="P294" s="5">
        <v>36</v>
      </c>
      <c r="Q294" s="5">
        <v>20</v>
      </c>
      <c r="R294" s="5">
        <f t="shared" si="43"/>
        <v>176</v>
      </c>
      <c r="S294" s="3">
        <f t="shared" si="44"/>
        <v>3.3333333333333335</v>
      </c>
      <c r="T294" s="3">
        <f>28/6</f>
        <v>4.666666666666667</v>
      </c>
      <c r="U294" s="3">
        <f>52/36</f>
        <v>1.4444444444444444</v>
      </c>
      <c r="V294" s="5">
        <v>1</v>
      </c>
      <c r="W294" s="6" t="s">
        <v>169</v>
      </c>
      <c r="X294" s="5" t="s">
        <v>46</v>
      </c>
      <c r="Y294" s="5"/>
      <c r="AB294" s="5" t="s">
        <v>138</v>
      </c>
      <c r="AC294" s="6">
        <v>100</v>
      </c>
      <c r="AD294" s="78">
        <v>0.02</v>
      </c>
      <c r="AE294" s="13">
        <v>3</v>
      </c>
      <c r="AF294" s="45" t="s">
        <v>102</v>
      </c>
      <c r="AG294" s="2" t="s">
        <v>102</v>
      </c>
      <c r="AH294" s="6"/>
      <c r="AI294" s="7"/>
      <c r="AJ294" s="2"/>
      <c r="AK294" s="15"/>
      <c r="AL294" s="6"/>
      <c r="AM294" s="6"/>
      <c r="AN294" s="6"/>
    </row>
    <row r="295" spans="1:42" ht="15" customHeight="1" x14ac:dyDescent="0.35">
      <c r="A295" s="11"/>
      <c r="B295" s="86"/>
      <c r="C295" s="5"/>
      <c r="D295" s="24"/>
      <c r="E295" s="5"/>
      <c r="F295" s="5"/>
      <c r="G295" s="5"/>
      <c r="I295" s="5"/>
      <c r="J295" s="67"/>
      <c r="K295" s="67"/>
      <c r="L295" s="67"/>
      <c r="M295" s="5"/>
      <c r="N295" s="6"/>
      <c r="O295" s="5"/>
      <c r="P295" s="5"/>
      <c r="Q295" s="5"/>
      <c r="R295" s="5"/>
      <c r="S295" s="3"/>
      <c r="T295" s="3"/>
      <c r="U295" s="3"/>
      <c r="V295" s="5"/>
      <c r="W295" s="5"/>
      <c r="X295" s="5"/>
      <c r="Y295" s="5"/>
      <c r="AB295" s="5"/>
      <c r="AC295" s="5"/>
      <c r="AD295" s="78"/>
      <c r="AE295" s="13"/>
      <c r="AF295" s="45"/>
      <c r="AG295" s="2"/>
      <c r="AH295" s="6"/>
      <c r="AI295" s="7"/>
      <c r="AJ295" s="2"/>
      <c r="AK295" s="15"/>
      <c r="AL295" s="6"/>
      <c r="AM295" s="6"/>
      <c r="AN295" s="6"/>
    </row>
    <row r="296" spans="1:42" ht="15" customHeight="1" x14ac:dyDescent="0.35">
      <c r="A296" s="103"/>
      <c r="B296" s="88"/>
      <c r="C296" s="34"/>
      <c r="D296" s="49"/>
      <c r="E296" s="34"/>
      <c r="F296" s="34"/>
      <c r="G296" s="34"/>
      <c r="H296" s="73"/>
      <c r="I296" s="34"/>
      <c r="J296" s="68"/>
      <c r="K296" s="68"/>
      <c r="L296" s="68"/>
      <c r="M296" s="34"/>
      <c r="N296" s="31"/>
      <c r="O296" s="34"/>
      <c r="P296" s="34"/>
      <c r="Q296" s="34"/>
      <c r="R296" s="37"/>
      <c r="S296" s="37"/>
      <c r="T296" s="37"/>
      <c r="U296" s="37"/>
      <c r="V296" s="34"/>
      <c r="W296" s="34"/>
      <c r="X296" s="34"/>
      <c r="Y296" s="34"/>
      <c r="Z296" s="82"/>
      <c r="AA296" s="36"/>
      <c r="AB296" s="35"/>
      <c r="AC296" s="31"/>
      <c r="AD296" s="99"/>
      <c r="AE296" s="31"/>
      <c r="AF296" s="52"/>
      <c r="AG296" s="41"/>
      <c r="AH296" s="32"/>
      <c r="AI296" s="31"/>
      <c r="AJ296" s="42"/>
      <c r="AK296" s="31"/>
      <c r="AL296" s="30"/>
      <c r="AM296" s="30"/>
      <c r="AN296" s="30"/>
      <c r="AO296" s="30"/>
      <c r="AP296" s="30"/>
    </row>
    <row r="297" spans="1:42" ht="15" customHeight="1" x14ac:dyDescent="0.35">
      <c r="A297" s="11"/>
      <c r="B297" s="86"/>
      <c r="C297" s="5"/>
      <c r="D297" s="24"/>
      <c r="E297" s="5"/>
      <c r="F297" s="5"/>
      <c r="G297" s="5"/>
      <c r="I297" s="5"/>
      <c r="J297" s="67"/>
      <c r="K297" s="67"/>
      <c r="L297" s="67"/>
      <c r="M297" s="5"/>
      <c r="N297" s="6"/>
      <c r="O297" s="5"/>
      <c r="P297" s="5"/>
      <c r="Q297" s="5"/>
      <c r="R297" s="3"/>
      <c r="S297" s="3"/>
      <c r="T297" s="3"/>
      <c r="U297" s="8"/>
      <c r="V297" s="6"/>
      <c r="W297" s="5"/>
      <c r="X297" s="5"/>
      <c r="Y297" s="5"/>
      <c r="Z297" s="4"/>
      <c r="AA297" s="7"/>
      <c r="AB297" s="16"/>
      <c r="AC297" s="6"/>
      <c r="AD297" s="79"/>
      <c r="AE297" s="6"/>
      <c r="AF297" s="51"/>
      <c r="AG297" s="1"/>
      <c r="AH297" s="15"/>
      <c r="AI297" s="6"/>
      <c r="AJ297" s="2"/>
      <c r="AK297" s="6"/>
    </row>
    <row r="298" spans="1:42" ht="15" customHeight="1" x14ac:dyDescent="0.35">
      <c r="A298" s="4">
        <v>44776</v>
      </c>
      <c r="B298" s="86">
        <v>1</v>
      </c>
      <c r="C298" s="5" t="s">
        <v>48</v>
      </c>
      <c r="D298" s="24" t="s">
        <v>42</v>
      </c>
      <c r="E298" s="5" t="s">
        <v>178</v>
      </c>
      <c r="F298" s="5">
        <v>1050</v>
      </c>
      <c r="G298" s="5">
        <v>200</v>
      </c>
      <c r="I298" s="5">
        <v>10</v>
      </c>
      <c r="J298" s="69">
        <v>0.44</v>
      </c>
      <c r="K298" s="69">
        <v>5.3</v>
      </c>
      <c r="L298" s="69">
        <v>0.1</v>
      </c>
      <c r="M298" s="5" t="s">
        <v>16</v>
      </c>
      <c r="N298" s="6">
        <v>5</v>
      </c>
      <c r="O298" s="5">
        <v>84</v>
      </c>
      <c r="P298" s="5">
        <v>48</v>
      </c>
      <c r="Q298" s="5">
        <v>24</v>
      </c>
      <c r="R298" s="5">
        <f t="shared" ref="R298:R313" si="45">O298+P298+Q298</f>
        <v>156</v>
      </c>
      <c r="S298" s="3">
        <f t="shared" ref="S298:S313" si="46">O298/P298</f>
        <v>1.75</v>
      </c>
      <c r="T298" s="3">
        <f t="shared" ref="T298:T305" si="47">16.8/18</f>
        <v>0.93333333333333335</v>
      </c>
      <c r="U298" s="3">
        <f t="shared" ref="U298:U305" si="48">28.5/45</f>
        <v>0.6333333333333333</v>
      </c>
      <c r="V298" s="5">
        <v>1</v>
      </c>
      <c r="W298" s="6" t="s">
        <v>169</v>
      </c>
      <c r="X298" s="5" t="s">
        <v>45</v>
      </c>
      <c r="Y298" s="5"/>
      <c r="AB298" s="5" t="s">
        <v>155</v>
      </c>
      <c r="AC298" s="5">
        <v>100</v>
      </c>
      <c r="AD298" s="78">
        <v>5.1999999999999998E-2</v>
      </c>
      <c r="AE298" s="13">
        <v>1</v>
      </c>
      <c r="AF298" s="45" t="s">
        <v>104</v>
      </c>
      <c r="AG298" s="2" t="s">
        <v>102</v>
      </c>
      <c r="AH298" s="6"/>
      <c r="AI298" s="7"/>
      <c r="AJ298" s="2"/>
      <c r="AK298" s="15"/>
      <c r="AL298" s="6"/>
      <c r="AM298" s="6"/>
      <c r="AN298" s="6">
        <v>2</v>
      </c>
      <c r="AO298">
        <v>0</v>
      </c>
    </row>
    <row r="299" spans="1:42" ht="15" customHeight="1" x14ac:dyDescent="0.35">
      <c r="A299" s="4">
        <v>44776</v>
      </c>
      <c r="B299" s="86">
        <v>1</v>
      </c>
      <c r="C299" s="5" t="s">
        <v>48</v>
      </c>
      <c r="D299" s="24" t="s">
        <v>42</v>
      </c>
      <c r="E299" s="5"/>
      <c r="F299" s="5">
        <v>1050</v>
      </c>
      <c r="G299" s="5">
        <v>200</v>
      </c>
      <c r="I299" s="5">
        <v>10</v>
      </c>
      <c r="J299" s="69">
        <v>0.44</v>
      </c>
      <c r="K299" s="69">
        <v>5.3</v>
      </c>
      <c r="L299" s="69">
        <v>0.1</v>
      </c>
      <c r="M299" s="5" t="s">
        <v>16</v>
      </c>
      <c r="N299" s="6">
        <v>5</v>
      </c>
      <c r="O299" s="5">
        <v>84</v>
      </c>
      <c r="P299" s="5">
        <v>48</v>
      </c>
      <c r="Q299" s="5">
        <v>24</v>
      </c>
      <c r="R299" s="5">
        <f t="shared" si="45"/>
        <v>156</v>
      </c>
      <c r="S299" s="3">
        <f t="shared" si="46"/>
        <v>1.75</v>
      </c>
      <c r="T299" s="3">
        <f t="shared" si="47"/>
        <v>0.93333333333333335</v>
      </c>
      <c r="U299" s="3">
        <f t="shared" si="48"/>
        <v>0.6333333333333333</v>
      </c>
      <c r="V299" s="5">
        <v>1</v>
      </c>
      <c r="W299" s="6" t="s">
        <v>169</v>
      </c>
      <c r="X299" s="5" t="s">
        <v>179</v>
      </c>
      <c r="Y299" s="5"/>
      <c r="AB299" s="5" t="s">
        <v>138</v>
      </c>
      <c r="AC299" s="5">
        <v>100</v>
      </c>
      <c r="AD299" s="78">
        <v>0.12</v>
      </c>
      <c r="AE299" s="13">
        <v>3</v>
      </c>
      <c r="AF299" s="45" t="s">
        <v>104</v>
      </c>
      <c r="AG299" s="2" t="s">
        <v>103</v>
      </c>
      <c r="AH299" s="6"/>
      <c r="AI299" s="7"/>
      <c r="AJ299" s="2"/>
      <c r="AK299" s="15"/>
      <c r="AL299" s="6"/>
      <c r="AM299" s="6"/>
      <c r="AN299" s="6">
        <v>2.2999999999999998</v>
      </c>
      <c r="AO299">
        <v>0</v>
      </c>
    </row>
    <row r="300" spans="1:42" ht="15" customHeight="1" x14ac:dyDescent="0.35">
      <c r="A300" s="4">
        <v>44776</v>
      </c>
      <c r="B300" s="86">
        <v>1</v>
      </c>
      <c r="C300" s="5" t="s">
        <v>48</v>
      </c>
      <c r="D300" s="24" t="s">
        <v>42</v>
      </c>
      <c r="E300" s="5"/>
      <c r="F300" s="5">
        <v>1050</v>
      </c>
      <c r="G300" s="5">
        <v>200</v>
      </c>
      <c r="I300" s="5">
        <v>10</v>
      </c>
      <c r="J300" s="69">
        <v>0.44</v>
      </c>
      <c r="K300" s="69">
        <v>5.3</v>
      </c>
      <c r="L300" s="69">
        <v>0.1</v>
      </c>
      <c r="M300" s="5" t="s">
        <v>16</v>
      </c>
      <c r="N300" s="6">
        <v>5</v>
      </c>
      <c r="O300" s="5">
        <v>84</v>
      </c>
      <c r="P300" s="5">
        <v>48</v>
      </c>
      <c r="Q300" s="5">
        <v>24</v>
      </c>
      <c r="R300" s="5">
        <f t="shared" si="45"/>
        <v>156</v>
      </c>
      <c r="S300" s="3">
        <f t="shared" si="46"/>
        <v>1.75</v>
      </c>
      <c r="T300" s="3">
        <f t="shared" si="47"/>
        <v>0.93333333333333335</v>
      </c>
      <c r="U300" s="3">
        <f t="shared" si="48"/>
        <v>0.6333333333333333</v>
      </c>
      <c r="V300" s="5">
        <v>1</v>
      </c>
      <c r="W300" s="6" t="s">
        <v>169</v>
      </c>
      <c r="X300" s="5" t="s">
        <v>46</v>
      </c>
      <c r="Y300" s="5"/>
      <c r="AB300" s="5" t="s">
        <v>138</v>
      </c>
      <c r="AC300" s="5">
        <v>100</v>
      </c>
      <c r="AD300" s="78">
        <v>0.02</v>
      </c>
      <c r="AE300" s="13">
        <v>1</v>
      </c>
      <c r="AF300" s="45" t="s">
        <v>103</v>
      </c>
      <c r="AG300" s="2" t="s">
        <v>102</v>
      </c>
      <c r="AH300" s="6"/>
      <c r="AI300" s="7"/>
      <c r="AJ300" s="2"/>
      <c r="AK300" s="15"/>
      <c r="AL300" s="6"/>
      <c r="AM300" s="6"/>
      <c r="AN300" s="6">
        <v>3</v>
      </c>
      <c r="AO300">
        <v>0</v>
      </c>
    </row>
    <row r="301" spans="1:42" ht="15" customHeight="1" x14ac:dyDescent="0.35">
      <c r="A301" s="4">
        <v>44776</v>
      </c>
      <c r="B301" s="86">
        <v>1</v>
      </c>
      <c r="C301" s="5" t="s">
        <v>48</v>
      </c>
      <c r="D301" s="24" t="s">
        <v>42</v>
      </c>
      <c r="E301" s="5"/>
      <c r="F301" s="5">
        <v>1050</v>
      </c>
      <c r="G301" s="5">
        <v>200</v>
      </c>
      <c r="I301" s="5">
        <v>10</v>
      </c>
      <c r="J301" s="69">
        <v>0.44</v>
      </c>
      <c r="K301" s="69">
        <v>5.3</v>
      </c>
      <c r="L301" s="69">
        <v>0.1</v>
      </c>
      <c r="M301" s="5" t="s">
        <v>16</v>
      </c>
      <c r="N301" s="6">
        <v>5</v>
      </c>
      <c r="O301" s="5">
        <v>84</v>
      </c>
      <c r="P301" s="5">
        <v>48</v>
      </c>
      <c r="Q301" s="5">
        <v>24</v>
      </c>
      <c r="R301" s="5">
        <f t="shared" si="45"/>
        <v>156</v>
      </c>
      <c r="S301" s="3">
        <f t="shared" si="46"/>
        <v>1.75</v>
      </c>
      <c r="T301" s="3">
        <f t="shared" si="47"/>
        <v>0.93333333333333335</v>
      </c>
      <c r="U301" s="3">
        <f t="shared" si="48"/>
        <v>0.6333333333333333</v>
      </c>
      <c r="V301" s="5">
        <v>1</v>
      </c>
      <c r="W301" s="5" t="s">
        <v>52</v>
      </c>
      <c r="X301" s="5" t="s">
        <v>45</v>
      </c>
      <c r="Y301" s="5" t="s">
        <v>100</v>
      </c>
      <c r="AB301" s="5" t="s">
        <v>155</v>
      </c>
      <c r="AC301" s="5">
        <v>100</v>
      </c>
      <c r="AD301" s="78">
        <v>0.04</v>
      </c>
      <c r="AE301" s="13">
        <v>1</v>
      </c>
      <c r="AF301" s="45" t="s">
        <v>104</v>
      </c>
      <c r="AG301" s="2" t="s">
        <v>104</v>
      </c>
      <c r="AH301" s="6"/>
      <c r="AI301" s="7"/>
      <c r="AJ301" s="2"/>
      <c r="AK301" s="15"/>
      <c r="AL301" s="6"/>
      <c r="AM301" s="6"/>
      <c r="AN301" s="6">
        <v>2.1</v>
      </c>
      <c r="AO301">
        <v>0</v>
      </c>
    </row>
    <row r="302" spans="1:42" ht="15" customHeight="1" x14ac:dyDescent="0.35">
      <c r="A302" s="4">
        <v>44776</v>
      </c>
      <c r="B302" s="86">
        <v>1</v>
      </c>
      <c r="C302" s="5" t="s">
        <v>48</v>
      </c>
      <c r="D302" s="24" t="s">
        <v>42</v>
      </c>
      <c r="E302" s="5"/>
      <c r="F302" s="5">
        <v>1050</v>
      </c>
      <c r="G302" s="5">
        <v>200</v>
      </c>
      <c r="I302" s="5">
        <v>10</v>
      </c>
      <c r="J302" s="69">
        <v>0.44</v>
      </c>
      <c r="K302" s="69">
        <v>5.3</v>
      </c>
      <c r="L302" s="69">
        <v>0.1</v>
      </c>
      <c r="M302" s="5" t="s">
        <v>16</v>
      </c>
      <c r="N302" s="6">
        <v>5</v>
      </c>
      <c r="O302" s="5">
        <v>84</v>
      </c>
      <c r="P302" s="5">
        <v>48</v>
      </c>
      <c r="Q302" s="5">
        <v>24</v>
      </c>
      <c r="R302" s="5">
        <f t="shared" si="45"/>
        <v>156</v>
      </c>
      <c r="S302" s="3">
        <f t="shared" si="46"/>
        <v>1.75</v>
      </c>
      <c r="T302" s="3">
        <f t="shared" si="47"/>
        <v>0.93333333333333335</v>
      </c>
      <c r="U302" s="3">
        <f t="shared" si="48"/>
        <v>0.6333333333333333</v>
      </c>
      <c r="V302" s="5">
        <v>1</v>
      </c>
      <c r="W302" s="5" t="s">
        <v>52</v>
      </c>
      <c r="X302" s="5" t="s">
        <v>45</v>
      </c>
      <c r="Y302" s="5" t="s">
        <v>101</v>
      </c>
      <c r="AB302" s="5" t="s">
        <v>155</v>
      </c>
      <c r="AC302" s="5">
        <v>100</v>
      </c>
      <c r="AD302" s="78">
        <v>0.16300000000000001</v>
      </c>
      <c r="AE302" s="13">
        <v>3</v>
      </c>
      <c r="AF302" s="45" t="s">
        <v>104</v>
      </c>
      <c r="AG302" s="2" t="s">
        <v>102</v>
      </c>
      <c r="AH302" s="6"/>
      <c r="AI302" s="7"/>
      <c r="AJ302" s="2"/>
      <c r="AK302" s="15"/>
      <c r="AL302" s="6"/>
      <c r="AM302" s="6"/>
      <c r="AN302" s="6">
        <v>3</v>
      </c>
      <c r="AO302">
        <v>0</v>
      </c>
    </row>
    <row r="303" spans="1:42" ht="15" customHeight="1" x14ac:dyDescent="0.35">
      <c r="A303" s="4">
        <v>44776</v>
      </c>
      <c r="B303" s="86">
        <v>2</v>
      </c>
      <c r="C303" s="5" t="s">
        <v>48</v>
      </c>
      <c r="D303" s="24" t="s">
        <v>42</v>
      </c>
      <c r="E303" s="5"/>
      <c r="F303" s="5">
        <v>1050</v>
      </c>
      <c r="G303" s="5">
        <v>200</v>
      </c>
      <c r="I303" s="5">
        <v>10</v>
      </c>
      <c r="J303" s="69">
        <v>1.62</v>
      </c>
      <c r="K303" s="69">
        <v>6.62</v>
      </c>
      <c r="L303" s="69">
        <v>0.1</v>
      </c>
      <c r="M303" s="5" t="s">
        <v>16</v>
      </c>
      <c r="N303" s="6">
        <v>5</v>
      </c>
      <c r="O303" s="5">
        <v>84</v>
      </c>
      <c r="P303" s="5">
        <v>48</v>
      </c>
      <c r="Q303" s="5">
        <v>24</v>
      </c>
      <c r="R303" s="5">
        <f t="shared" si="45"/>
        <v>156</v>
      </c>
      <c r="S303" s="3">
        <f t="shared" si="46"/>
        <v>1.75</v>
      </c>
      <c r="T303" s="3">
        <f t="shared" si="47"/>
        <v>0.93333333333333335</v>
      </c>
      <c r="U303" s="3">
        <f t="shared" si="48"/>
        <v>0.6333333333333333</v>
      </c>
      <c r="V303" s="5">
        <v>1</v>
      </c>
      <c r="W303" s="6" t="s">
        <v>169</v>
      </c>
      <c r="X303" s="5" t="s">
        <v>45</v>
      </c>
      <c r="Y303" s="5"/>
      <c r="AB303" s="5" t="s">
        <v>155</v>
      </c>
      <c r="AC303" s="5">
        <v>100</v>
      </c>
      <c r="AD303" s="78">
        <v>2.1000000000000001E-2</v>
      </c>
      <c r="AE303" s="13">
        <v>1</v>
      </c>
      <c r="AF303" s="45" t="s">
        <v>104</v>
      </c>
      <c r="AG303" s="2" t="s">
        <v>102</v>
      </c>
      <c r="AH303" s="6"/>
      <c r="AI303" s="7"/>
      <c r="AJ303" s="2"/>
      <c r="AK303" s="15"/>
      <c r="AL303" s="6"/>
      <c r="AM303" s="6"/>
      <c r="AN303" s="6">
        <v>3.7</v>
      </c>
      <c r="AO303">
        <v>0</v>
      </c>
    </row>
    <row r="304" spans="1:42" ht="15" customHeight="1" x14ac:dyDescent="0.35">
      <c r="A304" s="4">
        <v>44776</v>
      </c>
      <c r="B304" s="86">
        <v>2</v>
      </c>
      <c r="C304" s="5" t="s">
        <v>48</v>
      </c>
      <c r="D304" s="24" t="s">
        <v>42</v>
      </c>
      <c r="E304" s="5"/>
      <c r="F304" s="5">
        <v>1050</v>
      </c>
      <c r="G304" s="5">
        <v>200</v>
      </c>
      <c r="I304" s="5">
        <v>10</v>
      </c>
      <c r="J304" s="69">
        <v>1.62</v>
      </c>
      <c r="K304" s="69">
        <v>6.62</v>
      </c>
      <c r="L304" s="69">
        <v>0.1</v>
      </c>
      <c r="M304" s="5" t="s">
        <v>16</v>
      </c>
      <c r="N304" s="6">
        <v>5</v>
      </c>
      <c r="O304" s="5">
        <v>84</v>
      </c>
      <c r="P304" s="5">
        <v>48</v>
      </c>
      <c r="Q304" s="5">
        <v>24</v>
      </c>
      <c r="R304" s="5">
        <f t="shared" si="45"/>
        <v>156</v>
      </c>
      <c r="S304" s="3">
        <f t="shared" si="46"/>
        <v>1.75</v>
      </c>
      <c r="T304" s="3">
        <f t="shared" si="47"/>
        <v>0.93333333333333335</v>
      </c>
      <c r="U304" s="3">
        <f t="shared" si="48"/>
        <v>0.6333333333333333</v>
      </c>
      <c r="V304" s="5">
        <v>1</v>
      </c>
      <c r="W304" s="6" t="s">
        <v>169</v>
      </c>
      <c r="X304" s="5" t="s">
        <v>179</v>
      </c>
      <c r="Y304" s="5"/>
      <c r="AB304" s="5" t="s">
        <v>138</v>
      </c>
      <c r="AC304" s="5">
        <v>100</v>
      </c>
      <c r="AD304" s="78">
        <v>1.2E-2</v>
      </c>
      <c r="AE304" s="13">
        <v>2</v>
      </c>
      <c r="AF304" s="45" t="s">
        <v>102</v>
      </c>
      <c r="AG304" s="2" t="s">
        <v>102</v>
      </c>
      <c r="AH304" s="6"/>
      <c r="AI304" s="9"/>
      <c r="AJ304" s="2"/>
      <c r="AK304" s="15"/>
      <c r="AL304" s="6"/>
      <c r="AM304" s="6"/>
      <c r="AN304" s="6">
        <v>2</v>
      </c>
      <c r="AO304">
        <v>0</v>
      </c>
    </row>
    <row r="305" spans="1:41" ht="15" customHeight="1" x14ac:dyDescent="0.35">
      <c r="A305" s="4">
        <v>44776</v>
      </c>
      <c r="B305" s="86">
        <v>2</v>
      </c>
      <c r="C305" s="5" t="s">
        <v>48</v>
      </c>
      <c r="D305" s="24" t="s">
        <v>42</v>
      </c>
      <c r="E305" s="5"/>
      <c r="F305" s="5">
        <v>1050</v>
      </c>
      <c r="G305" s="5">
        <v>200</v>
      </c>
      <c r="I305" s="5">
        <v>10</v>
      </c>
      <c r="J305" s="69">
        <v>1.62</v>
      </c>
      <c r="K305" s="69">
        <v>6.62</v>
      </c>
      <c r="L305" s="69">
        <v>0.1</v>
      </c>
      <c r="M305" s="5" t="s">
        <v>16</v>
      </c>
      <c r="N305" s="6">
        <v>5</v>
      </c>
      <c r="O305" s="5">
        <v>84</v>
      </c>
      <c r="P305" s="5">
        <v>48</v>
      </c>
      <c r="Q305" s="5">
        <v>24</v>
      </c>
      <c r="R305" s="5">
        <f t="shared" si="45"/>
        <v>156</v>
      </c>
      <c r="S305" s="3">
        <f t="shared" si="46"/>
        <v>1.75</v>
      </c>
      <c r="T305" s="3">
        <f t="shared" si="47"/>
        <v>0.93333333333333335</v>
      </c>
      <c r="U305" s="3">
        <f t="shared" si="48"/>
        <v>0.6333333333333333</v>
      </c>
      <c r="V305" s="5">
        <v>1</v>
      </c>
      <c r="W305" s="6" t="s">
        <v>169</v>
      </c>
      <c r="X305" s="5" t="s">
        <v>46</v>
      </c>
      <c r="Y305" s="5"/>
      <c r="AB305" s="5" t="s">
        <v>138</v>
      </c>
      <c r="AC305" s="5">
        <v>100</v>
      </c>
      <c r="AD305" s="78">
        <v>1.2999999999999999E-2</v>
      </c>
      <c r="AE305" s="13">
        <v>2</v>
      </c>
      <c r="AF305" s="45" t="s">
        <v>103</v>
      </c>
      <c r="AG305" s="2" t="s">
        <v>102</v>
      </c>
      <c r="AH305" s="6"/>
      <c r="AI305" s="9"/>
      <c r="AJ305" s="2"/>
      <c r="AK305" s="15"/>
      <c r="AL305" s="6"/>
      <c r="AM305" s="6"/>
      <c r="AN305" s="6">
        <v>4.0999999999999996</v>
      </c>
      <c r="AO305">
        <v>0</v>
      </c>
    </row>
    <row r="306" spans="1:41" ht="15" customHeight="1" x14ac:dyDescent="0.35">
      <c r="A306" s="4">
        <v>44776</v>
      </c>
      <c r="B306" s="86">
        <v>3</v>
      </c>
      <c r="C306" s="5" t="s">
        <v>157</v>
      </c>
      <c r="D306" s="24" t="s">
        <v>42</v>
      </c>
      <c r="E306" s="5"/>
      <c r="F306" s="5">
        <v>1050</v>
      </c>
      <c r="G306" s="5">
        <v>100</v>
      </c>
      <c r="I306" s="6">
        <v>12</v>
      </c>
      <c r="J306" s="69">
        <v>1.08</v>
      </c>
      <c r="K306" s="69">
        <v>5.72</v>
      </c>
      <c r="L306" s="69">
        <v>0.1</v>
      </c>
      <c r="M306" s="5" t="s">
        <v>16</v>
      </c>
      <c r="N306" s="6">
        <v>5</v>
      </c>
      <c r="O306" s="5">
        <v>91</v>
      </c>
      <c r="P306" s="5">
        <v>25</v>
      </c>
      <c r="Q306" s="5">
        <v>0</v>
      </c>
      <c r="R306" s="5">
        <f t="shared" si="45"/>
        <v>116</v>
      </c>
      <c r="S306" s="3">
        <f t="shared" si="46"/>
        <v>3.64</v>
      </c>
      <c r="T306" s="3">
        <f t="shared" ref="T306:T313" si="49">18.7/4</f>
        <v>4.6749999999999998</v>
      </c>
      <c r="U306" s="3">
        <f t="shared" ref="U306:U313" si="50">32/22</f>
        <v>1.4545454545454546</v>
      </c>
      <c r="V306" s="5">
        <v>1</v>
      </c>
      <c r="W306" s="6" t="s">
        <v>169</v>
      </c>
      <c r="X306" s="5" t="s">
        <v>45</v>
      </c>
      <c r="Y306" s="5"/>
      <c r="AB306" s="6" t="s">
        <v>155</v>
      </c>
      <c r="AC306" s="5">
        <v>100</v>
      </c>
      <c r="AD306" s="96">
        <v>1.9E-2</v>
      </c>
      <c r="AE306" s="13">
        <v>3</v>
      </c>
      <c r="AF306" s="45" t="s">
        <v>104</v>
      </c>
      <c r="AG306" s="1" t="s">
        <v>102</v>
      </c>
      <c r="AH306" s="6"/>
      <c r="AI306" s="6"/>
      <c r="AJ306" s="2"/>
      <c r="AK306" s="6"/>
      <c r="AL306" s="6"/>
      <c r="AM306" s="6"/>
      <c r="AN306" s="6">
        <v>3.7</v>
      </c>
      <c r="AO306">
        <v>0</v>
      </c>
    </row>
    <row r="307" spans="1:41" ht="15" customHeight="1" x14ac:dyDescent="0.35">
      <c r="A307" s="4">
        <v>44776</v>
      </c>
      <c r="B307" s="86">
        <v>3</v>
      </c>
      <c r="C307" s="5" t="s">
        <v>157</v>
      </c>
      <c r="D307" s="24" t="s">
        <v>42</v>
      </c>
      <c r="E307" s="5"/>
      <c r="F307" s="5">
        <v>1050</v>
      </c>
      <c r="G307" s="5">
        <v>100</v>
      </c>
      <c r="I307" s="6">
        <v>12</v>
      </c>
      <c r="J307" s="69">
        <v>1.08</v>
      </c>
      <c r="K307" s="69">
        <v>5.72</v>
      </c>
      <c r="L307" s="69">
        <v>0.1</v>
      </c>
      <c r="M307" s="5" t="s">
        <v>16</v>
      </c>
      <c r="N307" s="6">
        <v>5</v>
      </c>
      <c r="O307" s="5">
        <v>91</v>
      </c>
      <c r="P307" s="5">
        <v>25</v>
      </c>
      <c r="Q307" s="5">
        <v>0</v>
      </c>
      <c r="R307" s="5">
        <f t="shared" si="45"/>
        <v>116</v>
      </c>
      <c r="S307" s="3">
        <f t="shared" si="46"/>
        <v>3.64</v>
      </c>
      <c r="T307" s="3">
        <f t="shared" si="49"/>
        <v>4.6749999999999998</v>
      </c>
      <c r="U307" s="3">
        <f t="shared" si="50"/>
        <v>1.4545454545454546</v>
      </c>
      <c r="V307" s="5">
        <v>1</v>
      </c>
      <c r="W307" s="6" t="s">
        <v>169</v>
      </c>
      <c r="X307" s="5" t="s">
        <v>179</v>
      </c>
      <c r="Y307" s="5"/>
      <c r="AB307" s="6" t="s">
        <v>138</v>
      </c>
      <c r="AC307" s="5">
        <v>100</v>
      </c>
      <c r="AD307" s="96">
        <v>2.5999999999999999E-2</v>
      </c>
      <c r="AE307" s="13">
        <v>3</v>
      </c>
      <c r="AF307" s="45" t="s">
        <v>104</v>
      </c>
      <c r="AG307" s="1" t="s">
        <v>102</v>
      </c>
      <c r="AH307" s="6"/>
      <c r="AI307" s="6"/>
      <c r="AJ307" s="2"/>
      <c r="AK307" s="6"/>
      <c r="AL307" s="6"/>
      <c r="AM307" s="6"/>
      <c r="AN307" s="6">
        <v>3</v>
      </c>
      <c r="AO307">
        <v>0</v>
      </c>
    </row>
    <row r="308" spans="1:41" ht="15" customHeight="1" x14ac:dyDescent="0.35">
      <c r="A308" s="4">
        <v>44776</v>
      </c>
      <c r="B308" s="86">
        <v>3</v>
      </c>
      <c r="C308" s="5" t="s">
        <v>157</v>
      </c>
      <c r="D308" s="24" t="s">
        <v>42</v>
      </c>
      <c r="E308" s="5"/>
      <c r="F308" s="5">
        <v>1050</v>
      </c>
      <c r="G308" s="5">
        <v>100</v>
      </c>
      <c r="I308" s="6">
        <v>12</v>
      </c>
      <c r="J308" s="69">
        <v>1.08</v>
      </c>
      <c r="K308" s="69">
        <v>5.72</v>
      </c>
      <c r="L308" s="69">
        <v>0.1</v>
      </c>
      <c r="M308" s="5" t="s">
        <v>16</v>
      </c>
      <c r="N308" s="6">
        <v>5</v>
      </c>
      <c r="O308" s="5">
        <v>91</v>
      </c>
      <c r="P308" s="5">
        <v>25</v>
      </c>
      <c r="Q308" s="5">
        <v>0</v>
      </c>
      <c r="R308" s="5">
        <f t="shared" si="45"/>
        <v>116</v>
      </c>
      <c r="S308" s="3">
        <f t="shared" si="46"/>
        <v>3.64</v>
      </c>
      <c r="T308" s="3">
        <f t="shared" si="49"/>
        <v>4.6749999999999998</v>
      </c>
      <c r="U308" s="3">
        <f t="shared" si="50"/>
        <v>1.4545454545454546</v>
      </c>
      <c r="V308" s="5">
        <v>1</v>
      </c>
      <c r="W308" s="6" t="s">
        <v>169</v>
      </c>
      <c r="X308" s="5" t="s">
        <v>46</v>
      </c>
      <c r="Y308" s="5"/>
      <c r="AB308" s="6" t="s">
        <v>138</v>
      </c>
      <c r="AC308" s="5">
        <v>100</v>
      </c>
      <c r="AD308" s="96">
        <v>1.2999999999999999E-2</v>
      </c>
      <c r="AE308" s="13">
        <v>1</v>
      </c>
      <c r="AF308" s="45" t="s">
        <v>102</v>
      </c>
      <c r="AG308" s="1" t="s">
        <v>102</v>
      </c>
      <c r="AH308" s="6"/>
      <c r="AI308" s="6"/>
      <c r="AJ308" s="2"/>
      <c r="AK308" s="6"/>
      <c r="AL308" s="6"/>
      <c r="AM308" s="6"/>
      <c r="AN308" s="6">
        <v>3</v>
      </c>
      <c r="AO308">
        <v>0</v>
      </c>
    </row>
    <row r="309" spans="1:41" ht="15" customHeight="1" x14ac:dyDescent="0.35">
      <c r="A309" s="4">
        <v>44776</v>
      </c>
      <c r="B309" s="86">
        <v>3</v>
      </c>
      <c r="C309" s="5" t="s">
        <v>157</v>
      </c>
      <c r="D309" s="24" t="s">
        <v>42</v>
      </c>
      <c r="E309" s="5"/>
      <c r="F309" s="5">
        <v>1050</v>
      </c>
      <c r="G309" s="5">
        <v>100</v>
      </c>
      <c r="I309" s="6">
        <v>12</v>
      </c>
      <c r="J309" s="69">
        <v>1.08</v>
      </c>
      <c r="K309" s="69">
        <v>5.72</v>
      </c>
      <c r="L309" s="69">
        <v>0.1</v>
      </c>
      <c r="M309" s="5" t="s">
        <v>16</v>
      </c>
      <c r="N309" s="6">
        <v>5</v>
      </c>
      <c r="O309" s="5">
        <v>91</v>
      </c>
      <c r="P309" s="5">
        <v>25</v>
      </c>
      <c r="Q309" s="5">
        <v>0</v>
      </c>
      <c r="R309" s="5">
        <f t="shared" si="45"/>
        <v>116</v>
      </c>
      <c r="S309" s="3">
        <f t="shared" si="46"/>
        <v>3.64</v>
      </c>
      <c r="T309" s="3">
        <f t="shared" si="49"/>
        <v>4.6749999999999998</v>
      </c>
      <c r="U309" s="3">
        <f t="shared" si="50"/>
        <v>1.4545454545454546</v>
      </c>
      <c r="V309" s="5">
        <v>1</v>
      </c>
      <c r="W309" s="5" t="s">
        <v>52</v>
      </c>
      <c r="X309" s="5" t="s">
        <v>45</v>
      </c>
      <c r="Y309" s="5" t="s">
        <v>100</v>
      </c>
      <c r="AB309" s="5" t="s">
        <v>155</v>
      </c>
      <c r="AC309" s="5">
        <v>100</v>
      </c>
      <c r="AD309" s="78">
        <v>0.06</v>
      </c>
      <c r="AE309" s="13">
        <v>3</v>
      </c>
      <c r="AF309" s="45" t="s">
        <v>102</v>
      </c>
      <c r="AG309" s="2" t="s">
        <v>104</v>
      </c>
      <c r="AH309" s="6"/>
      <c r="AI309" s="7"/>
      <c r="AJ309" s="2"/>
      <c r="AK309" s="15"/>
      <c r="AL309" s="6"/>
      <c r="AM309" s="6"/>
      <c r="AN309" s="6">
        <v>2.6</v>
      </c>
      <c r="AO309">
        <v>0.1</v>
      </c>
    </row>
    <row r="310" spans="1:41" ht="15" customHeight="1" x14ac:dyDescent="0.35">
      <c r="A310" s="4">
        <v>44776</v>
      </c>
      <c r="B310" s="86">
        <v>3</v>
      </c>
      <c r="C310" s="5" t="s">
        <v>157</v>
      </c>
      <c r="D310" s="24" t="s">
        <v>42</v>
      </c>
      <c r="E310" s="5"/>
      <c r="F310" s="5">
        <v>1050</v>
      </c>
      <c r="G310" s="5">
        <v>100</v>
      </c>
      <c r="I310" s="6">
        <v>12</v>
      </c>
      <c r="J310" s="69">
        <v>1.08</v>
      </c>
      <c r="K310" s="69">
        <v>5.72</v>
      </c>
      <c r="L310" s="69">
        <v>0.1</v>
      </c>
      <c r="M310" s="5" t="s">
        <v>16</v>
      </c>
      <c r="N310" s="6">
        <v>5</v>
      </c>
      <c r="O310" s="5">
        <v>91</v>
      </c>
      <c r="P310" s="5">
        <v>25</v>
      </c>
      <c r="Q310" s="5">
        <v>0</v>
      </c>
      <c r="R310" s="5">
        <f t="shared" si="45"/>
        <v>116</v>
      </c>
      <c r="S310" s="3">
        <f t="shared" si="46"/>
        <v>3.64</v>
      </c>
      <c r="T310" s="3">
        <f t="shared" si="49"/>
        <v>4.6749999999999998</v>
      </c>
      <c r="U310" s="3">
        <f t="shared" si="50"/>
        <v>1.4545454545454546</v>
      </c>
      <c r="V310" s="5">
        <v>1</v>
      </c>
      <c r="W310" s="5" t="s">
        <v>52</v>
      </c>
      <c r="X310" s="5" t="s">
        <v>45</v>
      </c>
      <c r="Y310" s="5" t="s">
        <v>101</v>
      </c>
      <c r="AB310" s="5" t="s">
        <v>155</v>
      </c>
      <c r="AC310" s="5">
        <v>100</v>
      </c>
      <c r="AD310" s="78">
        <v>2.1000000000000001E-2</v>
      </c>
      <c r="AE310" s="13">
        <v>0</v>
      </c>
      <c r="AF310" s="45" t="s">
        <v>104</v>
      </c>
      <c r="AG310" s="2" t="s">
        <v>104</v>
      </c>
      <c r="AH310" s="6"/>
      <c r="AI310" s="9"/>
      <c r="AJ310" s="2"/>
      <c r="AK310" s="15"/>
      <c r="AL310" s="6"/>
      <c r="AM310" s="6"/>
      <c r="AN310" s="6">
        <v>1</v>
      </c>
      <c r="AO310">
        <v>0</v>
      </c>
    </row>
    <row r="311" spans="1:41" ht="15" customHeight="1" x14ac:dyDescent="0.35">
      <c r="A311" s="4">
        <v>44776</v>
      </c>
      <c r="B311" s="86">
        <v>3</v>
      </c>
      <c r="C311" s="5" t="s">
        <v>157</v>
      </c>
      <c r="D311" s="24" t="s">
        <v>42</v>
      </c>
      <c r="E311" s="5"/>
      <c r="F311" s="5">
        <v>1050</v>
      </c>
      <c r="G311" s="5">
        <v>100</v>
      </c>
      <c r="I311" s="6">
        <v>12</v>
      </c>
      <c r="J311" s="69">
        <v>1.08</v>
      </c>
      <c r="K311" s="69">
        <v>5.72</v>
      </c>
      <c r="L311" s="69">
        <v>0.1</v>
      </c>
      <c r="M311" s="5" t="s">
        <v>16</v>
      </c>
      <c r="N311" s="6">
        <v>5</v>
      </c>
      <c r="O311" s="5">
        <v>91</v>
      </c>
      <c r="P311" s="5">
        <v>25</v>
      </c>
      <c r="Q311" s="5">
        <v>0</v>
      </c>
      <c r="R311" s="5">
        <f t="shared" si="45"/>
        <v>116</v>
      </c>
      <c r="S311" s="3">
        <f t="shared" si="46"/>
        <v>3.64</v>
      </c>
      <c r="T311" s="3">
        <f t="shared" si="49"/>
        <v>4.6749999999999998</v>
      </c>
      <c r="U311" s="3">
        <f t="shared" si="50"/>
        <v>1.4545454545454546</v>
      </c>
      <c r="V311" s="5">
        <v>1</v>
      </c>
      <c r="W311" s="5" t="s">
        <v>52</v>
      </c>
      <c r="X311" s="5" t="s">
        <v>46</v>
      </c>
      <c r="Y311" s="5" t="s">
        <v>122</v>
      </c>
      <c r="AB311" s="5" t="s">
        <v>138</v>
      </c>
      <c r="AC311" s="5">
        <v>100</v>
      </c>
      <c r="AD311" s="78">
        <v>1.2999999999999999E-2</v>
      </c>
      <c r="AE311" s="13">
        <v>0</v>
      </c>
      <c r="AF311" s="45" t="s">
        <v>104</v>
      </c>
      <c r="AG311" s="2" t="s">
        <v>102</v>
      </c>
      <c r="AH311" s="6"/>
      <c r="AI311" s="9"/>
      <c r="AJ311" s="2"/>
      <c r="AK311" s="15"/>
      <c r="AL311" s="6"/>
      <c r="AM311" s="6"/>
      <c r="AN311" s="6">
        <v>0</v>
      </c>
      <c r="AO311">
        <v>0</v>
      </c>
    </row>
    <row r="312" spans="1:41" ht="15" customHeight="1" x14ac:dyDescent="0.35">
      <c r="A312" s="4">
        <v>44776</v>
      </c>
      <c r="B312" s="86">
        <v>4</v>
      </c>
      <c r="C312" s="5" t="s">
        <v>157</v>
      </c>
      <c r="D312" s="24" t="s">
        <v>165</v>
      </c>
      <c r="E312" s="5" t="s">
        <v>180</v>
      </c>
      <c r="F312" s="5">
        <v>1050</v>
      </c>
      <c r="G312" s="5">
        <v>100</v>
      </c>
      <c r="I312" s="5">
        <v>12</v>
      </c>
      <c r="J312" s="69">
        <v>1.06</v>
      </c>
      <c r="K312" s="69">
        <v>5.04</v>
      </c>
      <c r="L312" s="69">
        <v>0.8</v>
      </c>
      <c r="M312" s="5" t="s">
        <v>16</v>
      </c>
      <c r="N312" s="6">
        <v>5</v>
      </c>
      <c r="O312" s="5">
        <v>91</v>
      </c>
      <c r="P312" s="5">
        <v>25</v>
      </c>
      <c r="Q312" s="5">
        <v>0</v>
      </c>
      <c r="R312" s="5">
        <f t="shared" si="45"/>
        <v>116</v>
      </c>
      <c r="S312" s="3">
        <f t="shared" si="46"/>
        <v>3.64</v>
      </c>
      <c r="T312" s="3">
        <f t="shared" si="49"/>
        <v>4.6749999999999998</v>
      </c>
      <c r="U312" s="3">
        <f t="shared" si="50"/>
        <v>1.4545454545454546</v>
      </c>
      <c r="V312" s="5">
        <v>10</v>
      </c>
      <c r="W312" s="5" t="s">
        <v>52</v>
      </c>
      <c r="X312" s="5" t="s">
        <v>46</v>
      </c>
      <c r="Y312" s="5"/>
      <c r="AB312" s="5" t="s">
        <v>138</v>
      </c>
      <c r="AC312" s="5">
        <v>100</v>
      </c>
      <c r="AD312" s="78">
        <f>(0.012+0.006+0.0077)/3</f>
        <v>8.5666666666666669E-3</v>
      </c>
      <c r="AE312" s="13">
        <v>1</v>
      </c>
      <c r="AF312" s="45" t="s">
        <v>102</v>
      </c>
      <c r="AG312" s="2" t="s">
        <v>102</v>
      </c>
      <c r="AH312" s="6"/>
      <c r="AI312" s="9"/>
      <c r="AJ312" s="2"/>
      <c r="AK312" s="15"/>
      <c r="AL312" s="6"/>
      <c r="AM312" s="6"/>
      <c r="AN312" s="6">
        <v>2.2799999999999998</v>
      </c>
      <c r="AO312">
        <v>1.45</v>
      </c>
    </row>
    <row r="313" spans="1:41" ht="15" customHeight="1" x14ac:dyDescent="0.35">
      <c r="A313" s="4">
        <v>44776</v>
      </c>
      <c r="B313" s="86">
        <v>4</v>
      </c>
      <c r="C313" s="5" t="s">
        <v>157</v>
      </c>
      <c r="D313" s="24" t="s">
        <v>165</v>
      </c>
      <c r="E313" s="5"/>
      <c r="F313" s="5">
        <v>1050</v>
      </c>
      <c r="G313" s="5">
        <v>100</v>
      </c>
      <c r="I313" s="5">
        <v>12</v>
      </c>
      <c r="J313" s="69">
        <v>1.06</v>
      </c>
      <c r="K313" s="69">
        <v>5.04</v>
      </c>
      <c r="L313" s="69">
        <v>0.8</v>
      </c>
      <c r="M313" s="5" t="s">
        <v>16</v>
      </c>
      <c r="N313" s="6">
        <v>5</v>
      </c>
      <c r="O313" s="5">
        <v>91</v>
      </c>
      <c r="P313" s="5">
        <v>25</v>
      </c>
      <c r="Q313" s="5">
        <v>0</v>
      </c>
      <c r="R313" s="5">
        <f t="shared" si="45"/>
        <v>116</v>
      </c>
      <c r="S313" s="3">
        <f t="shared" si="46"/>
        <v>3.64</v>
      </c>
      <c r="T313" s="3">
        <f t="shared" si="49"/>
        <v>4.6749999999999998</v>
      </c>
      <c r="U313" s="3">
        <f t="shared" si="50"/>
        <v>1.4545454545454546</v>
      </c>
      <c r="V313" s="5">
        <v>20</v>
      </c>
      <c r="W313" s="5" t="s">
        <v>52</v>
      </c>
      <c r="X313" s="5" t="s">
        <v>46</v>
      </c>
      <c r="Y313" s="5"/>
      <c r="AB313" s="5" t="s">
        <v>138</v>
      </c>
      <c r="AC313" s="5">
        <v>100</v>
      </c>
      <c r="AD313" s="78">
        <f>(0.01+0.005+0.007+0.006)/4</f>
        <v>6.9999999999999993E-3</v>
      </c>
      <c r="AE313" s="13">
        <v>1</v>
      </c>
      <c r="AF313" s="45" t="s">
        <v>102</v>
      </c>
      <c r="AG313" s="2" t="s">
        <v>102</v>
      </c>
      <c r="AH313" s="6"/>
      <c r="AI313" s="9"/>
      <c r="AJ313" s="2"/>
      <c r="AK313" s="15"/>
      <c r="AL313" s="6"/>
      <c r="AM313" s="6"/>
      <c r="AN313" s="6">
        <v>3.2</v>
      </c>
      <c r="AO313">
        <v>1.3</v>
      </c>
    </row>
    <row r="314" spans="1:41" ht="15" customHeight="1" x14ac:dyDescent="0.35">
      <c r="A314" s="4"/>
      <c r="B314" s="86"/>
      <c r="C314" s="5"/>
      <c r="D314" s="24"/>
      <c r="E314" s="5"/>
      <c r="F314" s="5"/>
      <c r="G314" s="5"/>
      <c r="I314" s="5"/>
      <c r="J314" s="69"/>
      <c r="K314" s="69"/>
      <c r="L314" s="69"/>
      <c r="M314" s="5"/>
      <c r="N314" s="6"/>
      <c r="O314" s="5"/>
      <c r="P314" s="5"/>
      <c r="Q314" s="5"/>
      <c r="R314" s="5"/>
      <c r="S314" s="3"/>
      <c r="T314" s="3"/>
      <c r="U314" s="3"/>
      <c r="V314" s="5"/>
      <c r="W314" s="6"/>
      <c r="X314" s="5"/>
      <c r="Y314" s="5"/>
      <c r="AB314" s="5"/>
      <c r="AC314" s="5"/>
      <c r="AD314" s="78">
        <f>AVERAGE(AD298:AD313)</f>
        <v>3.8035416666666676E-2</v>
      </c>
      <c r="AE314" s="13"/>
      <c r="AF314" s="45"/>
      <c r="AG314" s="2"/>
      <c r="AH314" s="6"/>
      <c r="AI314" s="9"/>
      <c r="AJ314" s="2"/>
      <c r="AK314" s="15"/>
      <c r="AL314" s="6"/>
      <c r="AM314" s="6"/>
      <c r="AN314" s="6"/>
    </row>
    <row r="315" spans="1:41" ht="15" customHeight="1" x14ac:dyDescent="0.35">
      <c r="A315" s="4">
        <v>44777</v>
      </c>
      <c r="B315" s="86">
        <v>5</v>
      </c>
      <c r="C315" s="5" t="s">
        <v>48</v>
      </c>
      <c r="D315" s="24" t="s">
        <v>42</v>
      </c>
      <c r="E315" s="5"/>
      <c r="F315" s="5">
        <v>1050</v>
      </c>
      <c r="G315" s="5">
        <v>200</v>
      </c>
      <c r="I315" s="5">
        <v>10</v>
      </c>
      <c r="J315" s="69">
        <v>0.9</v>
      </c>
      <c r="K315" s="69">
        <v>3.5</v>
      </c>
      <c r="L315" s="69">
        <v>7.0000000000000007E-2</v>
      </c>
      <c r="M315" s="5" t="s">
        <v>16</v>
      </c>
      <c r="N315" s="6">
        <v>5</v>
      </c>
      <c r="O315" s="5">
        <v>84</v>
      </c>
      <c r="P315" s="5">
        <v>48</v>
      </c>
      <c r="Q315" s="5">
        <v>24</v>
      </c>
      <c r="R315" s="5">
        <f t="shared" ref="R315:R338" si="51">O315+P315+Q315</f>
        <v>156</v>
      </c>
      <c r="S315" s="3">
        <f t="shared" ref="S315:S338" si="52">O315/P315</f>
        <v>1.75</v>
      </c>
      <c r="T315" s="3">
        <f>16.8/18</f>
        <v>0.93333333333333335</v>
      </c>
      <c r="U315" s="3">
        <f>28.5/45</f>
        <v>0.6333333333333333</v>
      </c>
      <c r="V315" s="5">
        <v>1</v>
      </c>
      <c r="W315" s="6" t="s">
        <v>169</v>
      </c>
      <c r="X315" s="5" t="s">
        <v>45</v>
      </c>
      <c r="Y315" s="5"/>
      <c r="AB315" s="5" t="s">
        <v>155</v>
      </c>
      <c r="AC315" s="5">
        <v>100</v>
      </c>
      <c r="AD315" s="78">
        <v>2.3E-2</v>
      </c>
      <c r="AE315" s="13">
        <v>3</v>
      </c>
      <c r="AF315" s="45" t="s">
        <v>104</v>
      </c>
      <c r="AG315" s="2" t="s">
        <v>104</v>
      </c>
      <c r="AH315" s="6"/>
      <c r="AI315" s="9"/>
      <c r="AJ315" s="2"/>
      <c r="AK315" s="15"/>
      <c r="AL315" s="6"/>
      <c r="AM315" s="6"/>
      <c r="AN315" s="6">
        <v>3.5</v>
      </c>
      <c r="AO315">
        <v>0.42</v>
      </c>
    </row>
    <row r="316" spans="1:41" ht="15" customHeight="1" x14ac:dyDescent="0.35">
      <c r="A316" s="4">
        <v>44777</v>
      </c>
      <c r="B316" s="86">
        <v>5</v>
      </c>
      <c r="C316" s="5" t="s">
        <v>48</v>
      </c>
      <c r="D316" s="24" t="s">
        <v>42</v>
      </c>
      <c r="E316" s="5"/>
      <c r="F316" s="5">
        <v>1050</v>
      </c>
      <c r="G316" s="5">
        <v>200</v>
      </c>
      <c r="I316" s="5">
        <v>10</v>
      </c>
      <c r="J316" s="69">
        <v>0.9</v>
      </c>
      <c r="K316" s="69">
        <v>3.5</v>
      </c>
      <c r="L316" s="69">
        <v>7.0000000000000007E-2</v>
      </c>
      <c r="M316" s="5" t="s">
        <v>16</v>
      </c>
      <c r="N316" s="6">
        <v>5</v>
      </c>
      <c r="O316" s="5">
        <v>84</v>
      </c>
      <c r="P316" s="5">
        <v>48</v>
      </c>
      <c r="Q316" s="5">
        <v>24</v>
      </c>
      <c r="R316" s="5">
        <f t="shared" si="51"/>
        <v>156</v>
      </c>
      <c r="S316" s="3">
        <f t="shared" si="52"/>
        <v>1.75</v>
      </c>
      <c r="T316" s="3">
        <f>16.8/18</f>
        <v>0.93333333333333335</v>
      </c>
      <c r="U316" s="3">
        <f>28.5/45</f>
        <v>0.6333333333333333</v>
      </c>
      <c r="V316" s="5">
        <v>1</v>
      </c>
      <c r="W316" s="6" t="s">
        <v>169</v>
      </c>
      <c r="X316" s="5" t="s">
        <v>179</v>
      </c>
      <c r="Y316" s="5"/>
      <c r="AB316" s="5" t="s">
        <v>138</v>
      </c>
      <c r="AC316" s="5">
        <v>100</v>
      </c>
      <c r="AD316" s="96">
        <v>1.2999999999999999E-2</v>
      </c>
      <c r="AE316" s="13">
        <v>3</v>
      </c>
      <c r="AF316" s="45" t="s">
        <v>102</v>
      </c>
      <c r="AG316" s="2" t="s">
        <v>102</v>
      </c>
      <c r="AH316" s="6"/>
      <c r="AI316" s="7"/>
      <c r="AJ316" s="2"/>
      <c r="AK316" s="15"/>
      <c r="AL316" s="6"/>
      <c r="AM316" s="6"/>
      <c r="AN316" s="6">
        <v>5.9</v>
      </c>
      <c r="AO316">
        <v>0.69</v>
      </c>
    </row>
    <row r="317" spans="1:41" ht="15" customHeight="1" x14ac:dyDescent="0.35">
      <c r="A317" s="4">
        <v>44777</v>
      </c>
      <c r="B317" s="86">
        <v>5</v>
      </c>
      <c r="C317" s="5" t="s">
        <v>48</v>
      </c>
      <c r="D317" s="24" t="s">
        <v>42</v>
      </c>
      <c r="E317" s="5"/>
      <c r="F317" s="5">
        <v>1050</v>
      </c>
      <c r="G317" s="5">
        <v>200</v>
      </c>
      <c r="I317" s="5">
        <v>10</v>
      </c>
      <c r="J317" s="69">
        <v>0.9</v>
      </c>
      <c r="K317" s="69">
        <v>3.5</v>
      </c>
      <c r="L317" s="69">
        <v>7.0000000000000007E-2</v>
      </c>
      <c r="M317" s="5" t="s">
        <v>16</v>
      </c>
      <c r="N317" s="6">
        <v>5</v>
      </c>
      <c r="O317" s="5">
        <v>84</v>
      </c>
      <c r="P317" s="5">
        <v>48</v>
      </c>
      <c r="Q317" s="5">
        <v>24</v>
      </c>
      <c r="R317" s="5">
        <f t="shared" si="51"/>
        <v>156</v>
      </c>
      <c r="S317" s="3">
        <f t="shared" si="52"/>
        <v>1.75</v>
      </c>
      <c r="T317" s="3">
        <f>16.8/18</f>
        <v>0.93333333333333335</v>
      </c>
      <c r="U317" s="3">
        <f>28.5/45</f>
        <v>0.6333333333333333</v>
      </c>
      <c r="V317" s="5">
        <v>1</v>
      </c>
      <c r="W317" s="6" t="s">
        <v>169</v>
      </c>
      <c r="X317" s="5" t="s">
        <v>46</v>
      </c>
      <c r="Y317" s="5"/>
      <c r="AB317" s="5" t="s">
        <v>138</v>
      </c>
      <c r="AC317" s="5">
        <v>100</v>
      </c>
      <c r="AD317" s="96">
        <v>1.2E-2</v>
      </c>
      <c r="AE317" s="13">
        <v>3</v>
      </c>
      <c r="AF317" s="45" t="s">
        <v>102</v>
      </c>
      <c r="AG317" s="2" t="s">
        <v>102</v>
      </c>
      <c r="AH317" s="6"/>
      <c r="AI317" s="7"/>
      <c r="AJ317" s="2"/>
      <c r="AK317" s="15"/>
      <c r="AL317" s="6"/>
      <c r="AM317" s="6"/>
      <c r="AN317" s="6">
        <v>2.5</v>
      </c>
      <c r="AO317">
        <v>0.4</v>
      </c>
    </row>
    <row r="318" spans="1:41" ht="15" customHeight="1" x14ac:dyDescent="0.35">
      <c r="A318" s="4">
        <v>44777</v>
      </c>
      <c r="B318" s="86">
        <v>5</v>
      </c>
      <c r="C318" s="5" t="s">
        <v>48</v>
      </c>
      <c r="D318" s="24" t="s">
        <v>42</v>
      </c>
      <c r="E318" s="5"/>
      <c r="F318" s="5">
        <v>1050</v>
      </c>
      <c r="G318" s="5">
        <v>200</v>
      </c>
      <c r="I318" s="5">
        <v>10</v>
      </c>
      <c r="J318" s="69">
        <v>0.9</v>
      </c>
      <c r="K318" s="69">
        <v>3.5</v>
      </c>
      <c r="L318" s="69">
        <v>7.0000000000000007E-2</v>
      </c>
      <c r="M318" s="5" t="s">
        <v>16</v>
      </c>
      <c r="N318" s="6">
        <v>5</v>
      </c>
      <c r="O318" s="5">
        <v>84</v>
      </c>
      <c r="P318" s="5">
        <v>48</v>
      </c>
      <c r="Q318" s="5">
        <v>24</v>
      </c>
      <c r="R318" s="5">
        <f t="shared" si="51"/>
        <v>156</v>
      </c>
      <c r="S318" s="3">
        <f t="shared" si="52"/>
        <v>1.75</v>
      </c>
      <c r="T318" s="3">
        <f>16.8/18</f>
        <v>0.93333333333333335</v>
      </c>
      <c r="U318" s="3">
        <f>28.5/45</f>
        <v>0.6333333333333333</v>
      </c>
      <c r="V318" s="5">
        <v>1</v>
      </c>
      <c r="W318" s="6" t="s">
        <v>169</v>
      </c>
      <c r="X318" s="5" t="s">
        <v>45</v>
      </c>
      <c r="Y318" s="5" t="s">
        <v>100</v>
      </c>
      <c r="AB318" s="5" t="s">
        <v>155</v>
      </c>
      <c r="AC318" s="5">
        <v>100</v>
      </c>
      <c r="AD318" s="96">
        <v>5.5E-2</v>
      </c>
      <c r="AE318" s="13">
        <v>1</v>
      </c>
      <c r="AF318" s="45" t="s">
        <v>104</v>
      </c>
      <c r="AG318" s="2" t="s">
        <v>103</v>
      </c>
      <c r="AH318" s="6"/>
      <c r="AI318" s="9"/>
      <c r="AJ318" s="2"/>
      <c r="AK318" s="15"/>
      <c r="AL318" s="6"/>
      <c r="AM318" s="6"/>
      <c r="AN318" s="6">
        <v>2.2599999999999998</v>
      </c>
      <c r="AO318">
        <v>0.37</v>
      </c>
    </row>
    <row r="319" spans="1:41" ht="15" customHeight="1" x14ac:dyDescent="0.35">
      <c r="A319" s="4">
        <v>44777</v>
      </c>
      <c r="B319" s="86">
        <v>5</v>
      </c>
      <c r="C319" s="5" t="s">
        <v>48</v>
      </c>
      <c r="D319" s="24" t="s">
        <v>42</v>
      </c>
      <c r="E319" s="5"/>
      <c r="F319" s="5">
        <v>1050</v>
      </c>
      <c r="G319" s="5">
        <v>200</v>
      </c>
      <c r="I319" s="5">
        <v>10</v>
      </c>
      <c r="J319" s="69">
        <v>0.9</v>
      </c>
      <c r="K319" s="69">
        <v>3.5</v>
      </c>
      <c r="L319" s="69">
        <v>7.0000000000000007E-2</v>
      </c>
      <c r="M319" s="5" t="s">
        <v>16</v>
      </c>
      <c r="N319" s="6">
        <v>5</v>
      </c>
      <c r="O319" s="5">
        <v>84</v>
      </c>
      <c r="P319" s="5">
        <v>48</v>
      </c>
      <c r="Q319" s="5">
        <v>24</v>
      </c>
      <c r="R319" s="5">
        <f t="shared" si="51"/>
        <v>156</v>
      </c>
      <c r="S319" s="3">
        <f t="shared" si="52"/>
        <v>1.75</v>
      </c>
      <c r="T319" s="3">
        <f>16.8/18</f>
        <v>0.93333333333333335</v>
      </c>
      <c r="U319" s="3">
        <f>28.5/45</f>
        <v>0.6333333333333333</v>
      </c>
      <c r="V319" s="5">
        <v>1</v>
      </c>
      <c r="W319" s="6" t="s">
        <v>169</v>
      </c>
      <c r="X319" s="5" t="s">
        <v>45</v>
      </c>
      <c r="Y319" s="5" t="s">
        <v>101</v>
      </c>
      <c r="AB319" s="5" t="s">
        <v>155</v>
      </c>
      <c r="AC319" s="5">
        <v>100</v>
      </c>
      <c r="AD319" s="78">
        <v>3.2000000000000001E-2</v>
      </c>
      <c r="AE319" s="13">
        <v>1</v>
      </c>
      <c r="AF319" s="45" t="s">
        <v>104</v>
      </c>
      <c r="AG319" s="2" t="s">
        <v>102</v>
      </c>
      <c r="AH319" s="6"/>
      <c r="AI319" s="7"/>
      <c r="AJ319" s="2"/>
      <c r="AK319" s="15"/>
      <c r="AL319" s="6"/>
      <c r="AM319" s="6"/>
      <c r="AN319" s="6">
        <v>1.3</v>
      </c>
      <c r="AO319">
        <v>0.2</v>
      </c>
    </row>
    <row r="320" spans="1:41" ht="15" customHeight="1" x14ac:dyDescent="0.35">
      <c r="A320" s="4">
        <v>44777</v>
      </c>
      <c r="B320" s="86">
        <v>6</v>
      </c>
      <c r="C320" s="5" t="s">
        <v>157</v>
      </c>
      <c r="D320" s="24" t="s">
        <v>42</v>
      </c>
      <c r="E320" s="5"/>
      <c r="F320" s="5">
        <v>1050</v>
      </c>
      <c r="G320" s="5">
        <v>100</v>
      </c>
      <c r="I320" s="5">
        <v>12</v>
      </c>
      <c r="J320" s="69">
        <v>0.87</v>
      </c>
      <c r="K320" s="69">
        <v>3.51</v>
      </c>
      <c r="L320" s="69">
        <v>7.0000000000000007E-2</v>
      </c>
      <c r="M320" s="5" t="s">
        <v>16</v>
      </c>
      <c r="N320" s="6">
        <v>5</v>
      </c>
      <c r="O320" s="5">
        <v>91</v>
      </c>
      <c r="P320" s="5">
        <v>25</v>
      </c>
      <c r="Q320" s="5">
        <v>0</v>
      </c>
      <c r="R320" s="5">
        <f t="shared" si="51"/>
        <v>116</v>
      </c>
      <c r="S320" s="3">
        <f t="shared" si="52"/>
        <v>3.64</v>
      </c>
      <c r="T320" s="3">
        <f t="shared" ref="T320:T338" si="53">18.7/4</f>
        <v>4.6749999999999998</v>
      </c>
      <c r="U320" s="3">
        <f t="shared" ref="U320:U338" si="54">32/22</f>
        <v>1.4545454545454546</v>
      </c>
      <c r="V320" s="5">
        <v>1</v>
      </c>
      <c r="W320" s="6" t="s">
        <v>169</v>
      </c>
      <c r="X320" s="5" t="s">
        <v>45</v>
      </c>
      <c r="Y320" s="5"/>
      <c r="AB320" s="5" t="s">
        <v>155</v>
      </c>
      <c r="AC320" s="5">
        <v>100</v>
      </c>
      <c r="AD320" s="78">
        <v>6.3E-2</v>
      </c>
      <c r="AE320" s="13">
        <v>3</v>
      </c>
      <c r="AF320" s="45" t="s">
        <v>104</v>
      </c>
      <c r="AG320" s="2" t="s">
        <v>102</v>
      </c>
      <c r="AH320" s="6"/>
      <c r="AI320" s="7"/>
      <c r="AJ320" s="2"/>
      <c r="AK320" s="15"/>
      <c r="AL320" s="6"/>
      <c r="AM320" s="6"/>
      <c r="AN320" s="6">
        <v>3.4</v>
      </c>
      <c r="AO320">
        <v>1.35</v>
      </c>
    </row>
    <row r="321" spans="1:41" ht="15" customHeight="1" x14ac:dyDescent="0.35">
      <c r="A321" s="4">
        <v>44777</v>
      </c>
      <c r="B321" s="86">
        <v>6</v>
      </c>
      <c r="C321" s="5" t="s">
        <v>157</v>
      </c>
      <c r="D321" s="24" t="s">
        <v>42</v>
      </c>
      <c r="E321" s="5"/>
      <c r="F321" s="5">
        <v>1050</v>
      </c>
      <c r="G321" s="5">
        <v>100</v>
      </c>
      <c r="I321" s="5">
        <v>12</v>
      </c>
      <c r="J321" s="69">
        <v>0.87</v>
      </c>
      <c r="K321" s="69">
        <v>3.51</v>
      </c>
      <c r="L321" s="69">
        <v>7.0000000000000007E-2</v>
      </c>
      <c r="M321" s="5" t="s">
        <v>16</v>
      </c>
      <c r="N321" s="6">
        <v>5</v>
      </c>
      <c r="O321" s="5">
        <v>91</v>
      </c>
      <c r="P321" s="5">
        <v>25</v>
      </c>
      <c r="Q321" s="5">
        <v>0</v>
      </c>
      <c r="R321" s="5">
        <f t="shared" si="51"/>
        <v>116</v>
      </c>
      <c r="S321" s="3">
        <f t="shared" si="52"/>
        <v>3.64</v>
      </c>
      <c r="T321" s="3">
        <f t="shared" si="53"/>
        <v>4.6749999999999998</v>
      </c>
      <c r="U321" s="3">
        <f t="shared" si="54"/>
        <v>1.4545454545454546</v>
      </c>
      <c r="V321" s="5">
        <v>1</v>
      </c>
      <c r="W321" s="6" t="s">
        <v>169</v>
      </c>
      <c r="X321" s="5" t="s">
        <v>179</v>
      </c>
      <c r="Y321" s="5"/>
      <c r="AB321" s="5" t="s">
        <v>138</v>
      </c>
      <c r="AC321" s="5">
        <v>100</v>
      </c>
      <c r="AD321" s="78">
        <v>1.2999999999999999E-2</v>
      </c>
      <c r="AE321" s="13">
        <v>5</v>
      </c>
      <c r="AF321" s="45" t="s">
        <v>104</v>
      </c>
      <c r="AG321" s="2" t="s">
        <v>103</v>
      </c>
      <c r="AH321" s="6"/>
      <c r="AI321" s="7"/>
      <c r="AJ321" s="2"/>
      <c r="AK321" s="15"/>
      <c r="AL321" s="6"/>
      <c r="AM321" s="6"/>
      <c r="AN321" s="6">
        <v>6.6</v>
      </c>
      <c r="AO321">
        <v>0</v>
      </c>
    </row>
    <row r="322" spans="1:41" ht="15" customHeight="1" x14ac:dyDescent="0.35">
      <c r="A322" s="4">
        <v>44777</v>
      </c>
      <c r="B322" s="86">
        <v>6</v>
      </c>
      <c r="C322" s="5" t="s">
        <v>157</v>
      </c>
      <c r="D322" s="24" t="s">
        <v>42</v>
      </c>
      <c r="E322" s="5"/>
      <c r="F322" s="5">
        <v>1050</v>
      </c>
      <c r="G322" s="5">
        <v>100</v>
      </c>
      <c r="I322" s="5">
        <v>12</v>
      </c>
      <c r="J322" s="69">
        <v>0.87</v>
      </c>
      <c r="K322" s="69">
        <v>3.51</v>
      </c>
      <c r="L322" s="69">
        <v>7.0000000000000007E-2</v>
      </c>
      <c r="M322" s="5" t="s">
        <v>16</v>
      </c>
      <c r="N322" s="6">
        <v>5</v>
      </c>
      <c r="O322" s="5">
        <v>91</v>
      </c>
      <c r="P322" s="5">
        <v>25</v>
      </c>
      <c r="Q322" s="5">
        <v>0</v>
      </c>
      <c r="R322" s="5">
        <f t="shared" si="51"/>
        <v>116</v>
      </c>
      <c r="S322" s="3">
        <f t="shared" si="52"/>
        <v>3.64</v>
      </c>
      <c r="T322" s="3">
        <f t="shared" si="53"/>
        <v>4.6749999999999998</v>
      </c>
      <c r="U322" s="3">
        <f t="shared" si="54"/>
        <v>1.4545454545454546</v>
      </c>
      <c r="V322" s="5">
        <v>1</v>
      </c>
      <c r="W322" s="6" t="s">
        <v>169</v>
      </c>
      <c r="X322" s="5" t="s">
        <v>46</v>
      </c>
      <c r="Y322" s="5"/>
      <c r="AB322" s="5" t="s">
        <v>138</v>
      </c>
      <c r="AC322" s="5">
        <v>100</v>
      </c>
      <c r="AD322" s="78">
        <v>2.5000000000000001E-2</v>
      </c>
      <c r="AE322" s="13">
        <v>3</v>
      </c>
      <c r="AF322" s="45" t="s">
        <v>104</v>
      </c>
      <c r="AG322" s="2" t="s">
        <v>102</v>
      </c>
      <c r="AH322" s="6"/>
      <c r="AI322" s="7"/>
      <c r="AJ322" s="2"/>
      <c r="AK322" s="15"/>
      <c r="AL322" s="6"/>
      <c r="AM322" s="6"/>
      <c r="AN322" s="6">
        <v>3.5</v>
      </c>
      <c r="AO322">
        <v>0</v>
      </c>
    </row>
    <row r="323" spans="1:41" ht="15" customHeight="1" x14ac:dyDescent="0.35">
      <c r="A323" s="4">
        <v>44777</v>
      </c>
      <c r="B323" s="86">
        <v>6</v>
      </c>
      <c r="C323" s="5" t="s">
        <v>157</v>
      </c>
      <c r="D323" s="24" t="s">
        <v>42</v>
      </c>
      <c r="E323" s="5"/>
      <c r="F323" s="5">
        <v>1050</v>
      </c>
      <c r="G323" s="5">
        <v>100</v>
      </c>
      <c r="I323" s="5">
        <v>12</v>
      </c>
      <c r="J323" s="69">
        <v>0.87</v>
      </c>
      <c r="K323" s="69">
        <v>3.51</v>
      </c>
      <c r="L323" s="69">
        <v>7.0000000000000007E-2</v>
      </c>
      <c r="M323" s="5" t="s">
        <v>16</v>
      </c>
      <c r="N323" s="6">
        <v>5</v>
      </c>
      <c r="O323" s="5">
        <v>91</v>
      </c>
      <c r="P323" s="5">
        <v>25</v>
      </c>
      <c r="Q323" s="5">
        <v>0</v>
      </c>
      <c r="R323" s="5">
        <f t="shared" si="51"/>
        <v>116</v>
      </c>
      <c r="S323" s="3">
        <f t="shared" si="52"/>
        <v>3.64</v>
      </c>
      <c r="T323" s="3">
        <f t="shared" si="53"/>
        <v>4.6749999999999998</v>
      </c>
      <c r="U323" s="3">
        <f t="shared" si="54"/>
        <v>1.4545454545454546</v>
      </c>
      <c r="V323" s="5">
        <v>1</v>
      </c>
      <c r="W323" s="6" t="s">
        <v>169</v>
      </c>
      <c r="X323" s="5" t="s">
        <v>45</v>
      </c>
      <c r="Y323" s="5" t="s">
        <v>100</v>
      </c>
      <c r="AB323" s="5" t="s">
        <v>155</v>
      </c>
      <c r="AC323" s="5">
        <v>100</v>
      </c>
      <c r="AD323" s="96">
        <v>4.5999999999999999E-2</v>
      </c>
      <c r="AE323" s="13">
        <v>5</v>
      </c>
      <c r="AF323" s="45" t="s">
        <v>104</v>
      </c>
      <c r="AG323" s="1" t="s">
        <v>104</v>
      </c>
      <c r="AH323" s="6"/>
      <c r="AI323" s="10"/>
      <c r="AJ323" s="2"/>
      <c r="AK323" s="15"/>
      <c r="AL323" s="6"/>
      <c r="AM323" s="6"/>
      <c r="AN323" s="6">
        <v>3.3</v>
      </c>
      <c r="AO323">
        <v>0.5</v>
      </c>
    </row>
    <row r="324" spans="1:41" ht="15" customHeight="1" x14ac:dyDescent="0.35">
      <c r="A324" s="4">
        <v>44777</v>
      </c>
      <c r="B324" s="86">
        <v>6</v>
      </c>
      <c r="C324" s="5" t="s">
        <v>157</v>
      </c>
      <c r="D324" s="24" t="s">
        <v>42</v>
      </c>
      <c r="E324" s="5"/>
      <c r="F324" s="5">
        <v>1050</v>
      </c>
      <c r="G324" s="5">
        <v>100</v>
      </c>
      <c r="I324" s="5">
        <v>12</v>
      </c>
      <c r="J324" s="69">
        <v>0.87</v>
      </c>
      <c r="K324" s="69">
        <v>3.51</v>
      </c>
      <c r="L324" s="69">
        <v>7.0000000000000007E-2</v>
      </c>
      <c r="M324" s="5" t="s">
        <v>16</v>
      </c>
      <c r="N324" s="6">
        <v>5</v>
      </c>
      <c r="O324" s="5">
        <v>91</v>
      </c>
      <c r="P324" s="5">
        <v>25</v>
      </c>
      <c r="Q324" s="5">
        <v>0</v>
      </c>
      <c r="R324" s="5">
        <f t="shared" si="51"/>
        <v>116</v>
      </c>
      <c r="S324" s="3">
        <f t="shared" si="52"/>
        <v>3.64</v>
      </c>
      <c r="T324" s="3">
        <f t="shared" si="53"/>
        <v>4.6749999999999998</v>
      </c>
      <c r="U324" s="3">
        <f t="shared" si="54"/>
        <v>1.4545454545454546</v>
      </c>
      <c r="V324" s="5">
        <v>1</v>
      </c>
      <c r="W324" s="6" t="s">
        <v>169</v>
      </c>
      <c r="X324" s="5" t="s">
        <v>45</v>
      </c>
      <c r="Y324" s="5" t="s">
        <v>101</v>
      </c>
      <c r="AB324" s="5" t="s">
        <v>155</v>
      </c>
      <c r="AC324" s="5">
        <v>100</v>
      </c>
      <c r="AD324" s="78">
        <v>0.05</v>
      </c>
      <c r="AE324" s="13">
        <v>3</v>
      </c>
      <c r="AF324" s="45" t="s">
        <v>103</v>
      </c>
      <c r="AG324" s="2" t="s">
        <v>102</v>
      </c>
      <c r="AH324" s="6"/>
      <c r="AI324" s="7"/>
      <c r="AJ324" s="2"/>
      <c r="AK324" s="15"/>
      <c r="AL324" s="6"/>
      <c r="AM324" s="6"/>
      <c r="AN324" s="6">
        <v>1.75</v>
      </c>
      <c r="AO324">
        <v>0.55000000000000004</v>
      </c>
    </row>
    <row r="325" spans="1:41" ht="15" customHeight="1" x14ac:dyDescent="0.35">
      <c r="A325" s="4">
        <v>44777</v>
      </c>
      <c r="B325" s="86">
        <v>6</v>
      </c>
      <c r="C325" s="5" t="s">
        <v>157</v>
      </c>
      <c r="D325" s="24" t="s">
        <v>42</v>
      </c>
      <c r="E325" s="5"/>
      <c r="F325" s="5">
        <v>1050</v>
      </c>
      <c r="G325" s="5">
        <v>100</v>
      </c>
      <c r="I325" s="6">
        <v>12</v>
      </c>
      <c r="J325" s="69">
        <v>0.87</v>
      </c>
      <c r="K325" s="69">
        <v>3.51</v>
      </c>
      <c r="L325" s="69">
        <v>7.0000000000000007E-2</v>
      </c>
      <c r="M325" s="5" t="s">
        <v>16</v>
      </c>
      <c r="N325" s="6">
        <v>5</v>
      </c>
      <c r="O325" s="5">
        <v>91</v>
      </c>
      <c r="P325" s="5">
        <v>25</v>
      </c>
      <c r="Q325" s="5">
        <v>0</v>
      </c>
      <c r="R325" s="5">
        <f t="shared" si="51"/>
        <v>116</v>
      </c>
      <c r="S325" s="3">
        <f t="shared" si="52"/>
        <v>3.64</v>
      </c>
      <c r="T325" s="3">
        <f t="shared" si="53"/>
        <v>4.6749999999999998</v>
      </c>
      <c r="U325" s="3">
        <f t="shared" si="54"/>
        <v>1.4545454545454546</v>
      </c>
      <c r="V325" s="5">
        <v>1</v>
      </c>
      <c r="W325" s="6" t="s">
        <v>169</v>
      </c>
      <c r="X325" s="5" t="s">
        <v>46</v>
      </c>
      <c r="Y325" s="5" t="s">
        <v>122</v>
      </c>
      <c r="AB325" s="5" t="s">
        <v>138</v>
      </c>
      <c r="AC325" s="5">
        <v>100</v>
      </c>
      <c r="AD325" s="78">
        <v>2.5000000000000001E-2</v>
      </c>
      <c r="AE325" s="13">
        <v>3</v>
      </c>
      <c r="AF325" s="45" t="s">
        <v>104</v>
      </c>
      <c r="AG325" s="2" t="s">
        <v>102</v>
      </c>
      <c r="AH325" s="6"/>
      <c r="AI325" s="7"/>
      <c r="AJ325" s="2"/>
      <c r="AK325" s="15"/>
      <c r="AL325" s="6"/>
      <c r="AM325" s="6"/>
      <c r="AN325" s="6">
        <v>1.8</v>
      </c>
      <c r="AO325">
        <v>0</v>
      </c>
    </row>
    <row r="326" spans="1:41" ht="15" customHeight="1" x14ac:dyDescent="0.35">
      <c r="A326" s="4">
        <v>44777</v>
      </c>
      <c r="B326" s="86">
        <v>7</v>
      </c>
      <c r="C326" s="5" t="s">
        <v>157</v>
      </c>
      <c r="D326" s="24" t="s">
        <v>165</v>
      </c>
      <c r="E326" s="5"/>
      <c r="F326" s="5">
        <v>1050</v>
      </c>
      <c r="G326" s="5">
        <v>100</v>
      </c>
      <c r="I326" s="5">
        <v>12</v>
      </c>
      <c r="J326" s="69">
        <v>0.85</v>
      </c>
      <c r="K326" s="69">
        <v>3.69</v>
      </c>
      <c r="L326" s="69">
        <v>7.0000000000000007E-2</v>
      </c>
      <c r="M326" s="5" t="s">
        <v>16</v>
      </c>
      <c r="N326" s="6">
        <v>5</v>
      </c>
      <c r="O326" s="5">
        <v>91</v>
      </c>
      <c r="P326" s="5">
        <v>25</v>
      </c>
      <c r="Q326" s="5">
        <v>0</v>
      </c>
      <c r="R326" s="5">
        <f t="shared" si="51"/>
        <v>116</v>
      </c>
      <c r="S326" s="3">
        <f t="shared" si="52"/>
        <v>3.64</v>
      </c>
      <c r="T326" s="3">
        <f t="shared" si="53"/>
        <v>4.6749999999999998</v>
      </c>
      <c r="U326" s="3">
        <f t="shared" si="54"/>
        <v>1.4545454545454546</v>
      </c>
      <c r="V326" s="5">
        <v>10</v>
      </c>
      <c r="W326" s="5" t="s">
        <v>52</v>
      </c>
      <c r="X326" s="5" t="s">
        <v>46</v>
      </c>
      <c r="Y326" s="5"/>
      <c r="AB326" s="5" t="s">
        <v>138</v>
      </c>
      <c r="AC326" s="5">
        <v>100</v>
      </c>
      <c r="AD326" s="78">
        <f>(0.105+0.07+0.075)/3</f>
        <v>8.3333333333333329E-2</v>
      </c>
      <c r="AE326" s="13">
        <v>1</v>
      </c>
      <c r="AF326" s="45" t="s">
        <v>104</v>
      </c>
      <c r="AG326" s="2" t="s">
        <v>102</v>
      </c>
      <c r="AH326" s="6"/>
      <c r="AI326" s="7"/>
      <c r="AJ326" s="2"/>
      <c r="AK326" s="15"/>
      <c r="AL326" s="6"/>
      <c r="AM326" s="6"/>
      <c r="AN326" s="6">
        <v>3.05</v>
      </c>
      <c r="AO326">
        <v>0.35</v>
      </c>
    </row>
    <row r="327" spans="1:41" ht="15" customHeight="1" x14ac:dyDescent="0.35">
      <c r="A327" s="4">
        <v>44777</v>
      </c>
      <c r="B327" s="86">
        <v>7</v>
      </c>
      <c r="C327" s="5" t="s">
        <v>157</v>
      </c>
      <c r="D327" s="24" t="s">
        <v>165</v>
      </c>
      <c r="E327" s="5"/>
      <c r="F327" s="5">
        <v>1050</v>
      </c>
      <c r="G327" s="5">
        <v>100</v>
      </c>
      <c r="I327" s="5">
        <v>12</v>
      </c>
      <c r="J327" s="69">
        <v>0.85</v>
      </c>
      <c r="K327" s="69">
        <v>3.69</v>
      </c>
      <c r="L327" s="69">
        <v>7.0000000000000007E-2</v>
      </c>
      <c r="M327" s="5" t="s">
        <v>16</v>
      </c>
      <c r="N327" s="6">
        <v>5</v>
      </c>
      <c r="O327" s="5">
        <v>91</v>
      </c>
      <c r="P327" s="5">
        <v>25</v>
      </c>
      <c r="Q327" s="5">
        <v>0</v>
      </c>
      <c r="R327" s="5">
        <f t="shared" si="51"/>
        <v>116</v>
      </c>
      <c r="S327" s="3">
        <f t="shared" si="52"/>
        <v>3.64</v>
      </c>
      <c r="T327" s="3">
        <f t="shared" si="53"/>
        <v>4.6749999999999998</v>
      </c>
      <c r="U327" s="3">
        <f t="shared" si="54"/>
        <v>1.4545454545454546</v>
      </c>
      <c r="V327" s="5">
        <v>6</v>
      </c>
      <c r="W327" s="5" t="s">
        <v>52</v>
      </c>
      <c r="X327" s="5" t="s">
        <v>46</v>
      </c>
      <c r="Y327" s="5" t="s">
        <v>122</v>
      </c>
      <c r="AB327" s="5" t="s">
        <v>138</v>
      </c>
      <c r="AC327" s="5">
        <v>100</v>
      </c>
      <c r="AD327" s="78">
        <v>3.9E-2</v>
      </c>
      <c r="AE327" s="13">
        <v>1</v>
      </c>
      <c r="AF327" s="45" t="s">
        <v>104</v>
      </c>
      <c r="AG327" s="2" t="s">
        <v>102</v>
      </c>
      <c r="AH327" s="6"/>
      <c r="AI327" s="7"/>
      <c r="AJ327" s="2"/>
      <c r="AK327" s="15"/>
      <c r="AL327" s="6"/>
      <c r="AM327" s="6"/>
      <c r="AN327" s="6">
        <v>1.62</v>
      </c>
      <c r="AO327">
        <v>0.86</v>
      </c>
    </row>
    <row r="328" spans="1:41" ht="15" customHeight="1" x14ac:dyDescent="0.35">
      <c r="A328" s="4">
        <v>44777</v>
      </c>
      <c r="B328" s="86">
        <v>7</v>
      </c>
      <c r="C328" s="5" t="s">
        <v>157</v>
      </c>
      <c r="D328" s="24" t="s">
        <v>165</v>
      </c>
      <c r="E328" s="5"/>
      <c r="F328" s="5">
        <v>1050</v>
      </c>
      <c r="G328" s="5">
        <v>100</v>
      </c>
      <c r="I328" s="5">
        <v>12</v>
      </c>
      <c r="J328" s="69">
        <v>0.85</v>
      </c>
      <c r="K328" s="69">
        <v>3.69</v>
      </c>
      <c r="L328" s="69">
        <v>7.0000000000000007E-2</v>
      </c>
      <c r="M328" s="5" t="s">
        <v>16</v>
      </c>
      <c r="N328" s="6">
        <v>5</v>
      </c>
      <c r="O328" s="5">
        <v>91</v>
      </c>
      <c r="P328" s="5">
        <v>25</v>
      </c>
      <c r="Q328" s="5">
        <v>0</v>
      </c>
      <c r="R328" s="5">
        <f t="shared" si="51"/>
        <v>116</v>
      </c>
      <c r="S328" s="3">
        <f t="shared" si="52"/>
        <v>3.64</v>
      </c>
      <c r="T328" s="3">
        <f t="shared" si="53"/>
        <v>4.6749999999999998</v>
      </c>
      <c r="U328" s="3">
        <f t="shared" si="54"/>
        <v>1.4545454545454546</v>
      </c>
      <c r="V328" s="5">
        <v>3</v>
      </c>
      <c r="W328" s="6" t="s">
        <v>169</v>
      </c>
      <c r="X328" s="5" t="s">
        <v>45</v>
      </c>
      <c r="Y328" s="5" t="s">
        <v>181</v>
      </c>
      <c r="AB328" s="5" t="s">
        <v>138</v>
      </c>
      <c r="AC328" s="5">
        <v>100</v>
      </c>
      <c r="AD328" s="78">
        <v>2.3E-2</v>
      </c>
      <c r="AE328" s="14">
        <v>10</v>
      </c>
      <c r="AF328" s="45" t="s">
        <v>104</v>
      </c>
      <c r="AG328" s="2" t="s">
        <v>104</v>
      </c>
      <c r="AH328" s="6"/>
      <c r="AI328" s="7"/>
      <c r="AJ328" s="2"/>
      <c r="AK328" s="15"/>
      <c r="AL328" s="6"/>
      <c r="AM328" s="6"/>
      <c r="AN328" s="6">
        <v>14</v>
      </c>
      <c r="AO328">
        <v>0</v>
      </c>
    </row>
    <row r="329" spans="1:41" ht="15" customHeight="1" x14ac:dyDescent="0.35">
      <c r="A329" s="4">
        <v>44777</v>
      </c>
      <c r="B329" s="86">
        <v>7</v>
      </c>
      <c r="C329" s="5" t="s">
        <v>157</v>
      </c>
      <c r="D329" s="24" t="s">
        <v>165</v>
      </c>
      <c r="E329" s="5"/>
      <c r="F329" s="5">
        <v>1050</v>
      </c>
      <c r="G329" s="5">
        <v>100</v>
      </c>
      <c r="I329" s="5">
        <v>12</v>
      </c>
      <c r="J329" s="69">
        <v>0.85</v>
      </c>
      <c r="K329" s="69">
        <v>3.69</v>
      </c>
      <c r="L329" s="69">
        <v>7.0000000000000007E-2</v>
      </c>
      <c r="M329" s="5" t="s">
        <v>16</v>
      </c>
      <c r="N329" s="6">
        <v>5</v>
      </c>
      <c r="O329" s="5">
        <v>91</v>
      </c>
      <c r="P329" s="5">
        <v>25</v>
      </c>
      <c r="Q329" s="5">
        <v>0</v>
      </c>
      <c r="R329" s="5">
        <f t="shared" si="51"/>
        <v>116</v>
      </c>
      <c r="S329" s="3">
        <f t="shared" si="52"/>
        <v>3.64</v>
      </c>
      <c r="T329" s="3">
        <f t="shared" si="53"/>
        <v>4.6749999999999998</v>
      </c>
      <c r="U329" s="3">
        <f t="shared" si="54"/>
        <v>1.4545454545454546</v>
      </c>
      <c r="V329" s="5">
        <v>3</v>
      </c>
      <c r="W329" s="6" t="s">
        <v>169</v>
      </c>
      <c r="X329" s="5" t="s">
        <v>46</v>
      </c>
      <c r="Y329" s="5" t="s">
        <v>181</v>
      </c>
      <c r="AB329" s="5" t="s">
        <v>138</v>
      </c>
      <c r="AC329" s="5">
        <v>100</v>
      </c>
      <c r="AD329" s="96">
        <v>1.7999999999999999E-2</v>
      </c>
      <c r="AE329" s="14">
        <v>20</v>
      </c>
      <c r="AF329" s="45" t="s">
        <v>104</v>
      </c>
      <c r="AG329" s="2" t="s">
        <v>102</v>
      </c>
      <c r="AH329" s="6"/>
      <c r="AI329" s="7"/>
      <c r="AJ329" s="2"/>
      <c r="AK329" s="15"/>
      <c r="AL329" s="6"/>
      <c r="AM329" s="6"/>
      <c r="AN329" s="6">
        <v>12</v>
      </c>
      <c r="AO329">
        <v>0</v>
      </c>
    </row>
    <row r="330" spans="1:41" ht="15" customHeight="1" x14ac:dyDescent="0.35">
      <c r="A330" s="4">
        <v>44777</v>
      </c>
      <c r="B330" s="86">
        <v>7</v>
      </c>
      <c r="C330" s="5" t="s">
        <v>157</v>
      </c>
      <c r="D330" s="24" t="s">
        <v>165</v>
      </c>
      <c r="E330" s="5"/>
      <c r="F330" s="5">
        <v>1050</v>
      </c>
      <c r="G330" s="5">
        <v>100</v>
      </c>
      <c r="I330" s="5">
        <v>12</v>
      </c>
      <c r="J330" s="69">
        <v>0.85</v>
      </c>
      <c r="K330" s="69">
        <v>3.69</v>
      </c>
      <c r="L330" s="69">
        <v>7.0000000000000007E-2</v>
      </c>
      <c r="M330" s="5" t="s">
        <v>16</v>
      </c>
      <c r="N330" s="6">
        <v>5</v>
      </c>
      <c r="O330" s="5">
        <v>91</v>
      </c>
      <c r="P330" s="5">
        <v>25</v>
      </c>
      <c r="Q330" s="5">
        <v>0</v>
      </c>
      <c r="R330" s="5">
        <f t="shared" si="51"/>
        <v>116</v>
      </c>
      <c r="S330" s="3">
        <f t="shared" si="52"/>
        <v>3.64</v>
      </c>
      <c r="T330" s="3">
        <f t="shared" si="53"/>
        <v>4.6749999999999998</v>
      </c>
      <c r="U330" s="3">
        <f t="shared" si="54"/>
        <v>1.4545454545454546</v>
      </c>
      <c r="V330" s="5">
        <v>1</v>
      </c>
      <c r="W330" s="6" t="s">
        <v>169</v>
      </c>
      <c r="X330" s="5" t="s">
        <v>46</v>
      </c>
      <c r="Y330" s="5" t="s">
        <v>182</v>
      </c>
      <c r="AB330" s="5" t="s">
        <v>138</v>
      </c>
      <c r="AC330" s="5">
        <v>100</v>
      </c>
      <c r="AD330" s="78">
        <v>2.9000000000000001E-2</v>
      </c>
      <c r="AE330" s="13">
        <v>20</v>
      </c>
      <c r="AF330" s="45" t="s">
        <v>104</v>
      </c>
      <c r="AG330" s="2" t="s">
        <v>102</v>
      </c>
      <c r="AH330" s="6"/>
      <c r="AI330" s="9"/>
      <c r="AJ330" s="2"/>
      <c r="AK330" s="15"/>
      <c r="AL330" s="6"/>
      <c r="AM330" s="6"/>
      <c r="AN330" s="6">
        <v>20.6</v>
      </c>
      <c r="AO330">
        <v>0</v>
      </c>
    </row>
    <row r="331" spans="1:41" ht="15" customHeight="1" x14ac:dyDescent="0.35">
      <c r="A331" s="4">
        <v>44777</v>
      </c>
      <c r="B331" s="86">
        <v>8</v>
      </c>
      <c r="C331" s="5" t="s">
        <v>183</v>
      </c>
      <c r="D331" s="24" t="s">
        <v>42</v>
      </c>
      <c r="E331" s="5"/>
      <c r="F331" s="5">
        <v>1050</v>
      </c>
      <c r="G331" s="5">
        <v>75</v>
      </c>
      <c r="I331" s="5">
        <v>12</v>
      </c>
      <c r="J331" s="69"/>
      <c r="K331" s="69"/>
      <c r="L331" s="69"/>
      <c r="M331" s="5" t="s">
        <v>16</v>
      </c>
      <c r="N331" s="6">
        <v>5</v>
      </c>
      <c r="O331" s="5">
        <v>91</v>
      </c>
      <c r="P331" s="5">
        <v>25</v>
      </c>
      <c r="Q331" s="5">
        <v>0</v>
      </c>
      <c r="R331" s="5">
        <f t="shared" si="51"/>
        <v>116</v>
      </c>
      <c r="S331" s="3">
        <f t="shared" si="52"/>
        <v>3.64</v>
      </c>
      <c r="T331" s="3">
        <f t="shared" si="53"/>
        <v>4.6749999999999998</v>
      </c>
      <c r="U331" s="3">
        <f t="shared" si="54"/>
        <v>1.4545454545454546</v>
      </c>
      <c r="V331" s="5">
        <v>1</v>
      </c>
      <c r="W331" s="6" t="s">
        <v>169</v>
      </c>
      <c r="X331" s="5" t="s">
        <v>45</v>
      </c>
      <c r="Y331" s="5"/>
      <c r="AB331" s="5" t="s">
        <v>155</v>
      </c>
      <c r="AC331" s="5">
        <v>100</v>
      </c>
      <c r="AD331" s="96">
        <v>6.7000000000000004E-2</v>
      </c>
      <c r="AE331" s="13">
        <v>1</v>
      </c>
      <c r="AF331" s="45" t="s">
        <v>104</v>
      </c>
      <c r="AG331" s="2" t="s">
        <v>102</v>
      </c>
      <c r="AH331" s="6"/>
      <c r="AI331" s="7"/>
      <c r="AJ331" s="2"/>
      <c r="AK331" s="15"/>
      <c r="AL331" s="6"/>
      <c r="AM331" s="6"/>
      <c r="AN331" s="6">
        <v>2.83</v>
      </c>
      <c r="AO331">
        <v>1.0900000000000001</v>
      </c>
    </row>
    <row r="332" spans="1:41" ht="15" customHeight="1" x14ac:dyDescent="0.35">
      <c r="A332" s="4">
        <v>44777</v>
      </c>
      <c r="B332" s="86">
        <v>8</v>
      </c>
      <c r="C332" s="5" t="s">
        <v>183</v>
      </c>
      <c r="D332" s="24" t="s">
        <v>42</v>
      </c>
      <c r="E332" s="5"/>
      <c r="F332" s="5">
        <v>1050</v>
      </c>
      <c r="G332" s="5">
        <v>75</v>
      </c>
      <c r="I332" s="5">
        <v>12</v>
      </c>
      <c r="J332" s="69"/>
      <c r="K332" s="69"/>
      <c r="L332" s="69"/>
      <c r="M332" s="5" t="s">
        <v>16</v>
      </c>
      <c r="N332" s="6">
        <v>5</v>
      </c>
      <c r="O332" s="5">
        <v>91</v>
      </c>
      <c r="P332" s="5">
        <v>25</v>
      </c>
      <c r="Q332" s="5">
        <v>0</v>
      </c>
      <c r="R332" s="5">
        <f t="shared" si="51"/>
        <v>116</v>
      </c>
      <c r="S332" s="3">
        <f t="shared" si="52"/>
        <v>3.64</v>
      </c>
      <c r="T332" s="3">
        <f t="shared" si="53"/>
        <v>4.6749999999999998</v>
      </c>
      <c r="U332" s="3">
        <f t="shared" si="54"/>
        <v>1.4545454545454546</v>
      </c>
      <c r="V332" s="5">
        <v>1</v>
      </c>
      <c r="W332" s="6" t="s">
        <v>169</v>
      </c>
      <c r="X332" s="5" t="s">
        <v>46</v>
      </c>
      <c r="Y332" s="5"/>
      <c r="AB332" s="5" t="s">
        <v>138</v>
      </c>
      <c r="AC332" s="5">
        <v>100</v>
      </c>
      <c r="AD332" s="78">
        <v>4.8000000000000001E-2</v>
      </c>
      <c r="AE332" s="13">
        <v>5</v>
      </c>
      <c r="AF332" s="45" t="s">
        <v>104</v>
      </c>
      <c r="AG332" s="2" t="s">
        <v>103</v>
      </c>
      <c r="AH332" s="6"/>
      <c r="AI332" s="7"/>
      <c r="AJ332" s="2"/>
      <c r="AK332" s="15"/>
      <c r="AL332" s="6"/>
      <c r="AM332" s="6"/>
      <c r="AN332" s="6">
        <v>12.3</v>
      </c>
      <c r="AO332">
        <v>1</v>
      </c>
    </row>
    <row r="333" spans="1:41" ht="15" customHeight="1" x14ac:dyDescent="0.35">
      <c r="A333" s="4">
        <v>44777</v>
      </c>
      <c r="B333" s="86">
        <v>8</v>
      </c>
      <c r="C333" s="5" t="s">
        <v>183</v>
      </c>
      <c r="D333" s="24" t="s">
        <v>42</v>
      </c>
      <c r="E333" s="5"/>
      <c r="F333" s="5">
        <v>1050</v>
      </c>
      <c r="G333" s="5">
        <v>75</v>
      </c>
      <c r="I333" s="5">
        <v>12</v>
      </c>
      <c r="J333" s="69"/>
      <c r="K333" s="69"/>
      <c r="L333" s="69"/>
      <c r="M333" s="5" t="s">
        <v>16</v>
      </c>
      <c r="N333" s="6">
        <v>5</v>
      </c>
      <c r="O333" s="5">
        <v>91</v>
      </c>
      <c r="P333" s="5">
        <v>25</v>
      </c>
      <c r="Q333" s="5">
        <v>0</v>
      </c>
      <c r="R333" s="5">
        <f t="shared" si="51"/>
        <v>116</v>
      </c>
      <c r="S333" s="3">
        <f t="shared" si="52"/>
        <v>3.64</v>
      </c>
      <c r="T333" s="3">
        <f t="shared" si="53"/>
        <v>4.6749999999999998</v>
      </c>
      <c r="U333" s="3">
        <f t="shared" si="54"/>
        <v>1.4545454545454546</v>
      </c>
      <c r="V333" s="5">
        <v>1</v>
      </c>
      <c r="W333" s="6" t="s">
        <v>169</v>
      </c>
      <c r="X333" s="5" t="s">
        <v>46</v>
      </c>
      <c r="Y333" s="5" t="s">
        <v>122</v>
      </c>
      <c r="AB333" s="5" t="s">
        <v>138</v>
      </c>
      <c r="AC333" s="5">
        <v>100</v>
      </c>
      <c r="AD333" s="78">
        <v>4.1000000000000002E-2</v>
      </c>
      <c r="AE333" s="13">
        <v>1</v>
      </c>
      <c r="AF333" s="45" t="s">
        <v>102</v>
      </c>
      <c r="AG333" s="2" t="s">
        <v>102</v>
      </c>
      <c r="AH333" s="6"/>
      <c r="AI333" s="7"/>
      <c r="AJ333" s="2"/>
      <c r="AK333" s="15"/>
      <c r="AL333" s="6"/>
      <c r="AM333" s="6"/>
      <c r="AN333" s="6">
        <v>3</v>
      </c>
      <c r="AO333">
        <v>0.25</v>
      </c>
    </row>
    <row r="334" spans="1:41" ht="15" customHeight="1" x14ac:dyDescent="0.35">
      <c r="A334" s="4">
        <v>44777</v>
      </c>
      <c r="B334" s="86">
        <v>8</v>
      </c>
      <c r="C334" s="5" t="s">
        <v>183</v>
      </c>
      <c r="D334" s="24" t="s">
        <v>42</v>
      </c>
      <c r="E334" s="5"/>
      <c r="F334" s="5">
        <v>1050</v>
      </c>
      <c r="G334" s="5">
        <v>75</v>
      </c>
      <c r="I334" s="5">
        <v>12</v>
      </c>
      <c r="J334" s="69"/>
      <c r="K334" s="69"/>
      <c r="L334" s="69"/>
      <c r="M334" s="5" t="s">
        <v>16</v>
      </c>
      <c r="N334" s="6">
        <v>5</v>
      </c>
      <c r="O334" s="5">
        <v>91</v>
      </c>
      <c r="P334" s="5">
        <v>25</v>
      </c>
      <c r="Q334" s="5">
        <v>0</v>
      </c>
      <c r="R334" s="5">
        <f t="shared" si="51"/>
        <v>116</v>
      </c>
      <c r="S334" s="3">
        <f t="shared" si="52"/>
        <v>3.64</v>
      </c>
      <c r="T334" s="3">
        <f t="shared" si="53"/>
        <v>4.6749999999999998</v>
      </c>
      <c r="U334" s="3">
        <f t="shared" si="54"/>
        <v>1.4545454545454546</v>
      </c>
      <c r="V334" s="5">
        <v>1</v>
      </c>
      <c r="W334" s="6" t="s">
        <v>169</v>
      </c>
      <c r="X334" s="5" t="s">
        <v>46</v>
      </c>
      <c r="Y334" s="5" t="s">
        <v>122</v>
      </c>
      <c r="AB334" s="5" t="s">
        <v>138</v>
      </c>
      <c r="AC334" s="5">
        <v>100</v>
      </c>
      <c r="AD334" s="78">
        <v>4.3999999999999997E-2</v>
      </c>
      <c r="AE334" s="13">
        <v>3</v>
      </c>
      <c r="AF334" s="45" t="s">
        <v>102</v>
      </c>
      <c r="AG334" s="2" t="s">
        <v>102</v>
      </c>
      <c r="AH334" s="6"/>
      <c r="AI334" s="7"/>
      <c r="AK334" s="15"/>
      <c r="AL334" s="2" t="s">
        <v>106</v>
      </c>
      <c r="AM334" s="6"/>
      <c r="AN334" s="6">
        <v>3.2</v>
      </c>
      <c r="AO334">
        <v>0</v>
      </c>
    </row>
    <row r="335" spans="1:41" ht="15" customHeight="1" x14ac:dyDescent="0.35">
      <c r="A335" s="4">
        <v>44777</v>
      </c>
      <c r="B335" s="87">
        <v>9</v>
      </c>
      <c r="C335" s="5" t="s">
        <v>184</v>
      </c>
      <c r="D335" s="24" t="s">
        <v>42</v>
      </c>
      <c r="E335" s="5"/>
      <c r="F335" s="5">
        <v>1050</v>
      </c>
      <c r="G335" s="5">
        <v>150</v>
      </c>
      <c r="I335" s="5">
        <v>12</v>
      </c>
      <c r="J335" s="69"/>
      <c r="K335" s="69"/>
      <c r="L335" s="69"/>
      <c r="M335" s="5" t="s">
        <v>16</v>
      </c>
      <c r="N335" s="6">
        <v>5</v>
      </c>
      <c r="O335" s="5">
        <v>91</v>
      </c>
      <c r="P335" s="5">
        <v>25</v>
      </c>
      <c r="Q335" s="5">
        <v>0</v>
      </c>
      <c r="R335" s="5">
        <f t="shared" si="51"/>
        <v>116</v>
      </c>
      <c r="S335" s="3">
        <f t="shared" si="52"/>
        <v>3.64</v>
      </c>
      <c r="T335" s="3">
        <f t="shared" si="53"/>
        <v>4.6749999999999998</v>
      </c>
      <c r="U335" s="3">
        <f t="shared" si="54"/>
        <v>1.4545454545454546</v>
      </c>
      <c r="V335" s="5">
        <v>1</v>
      </c>
      <c r="W335" s="6" t="s">
        <v>169</v>
      </c>
      <c r="X335" s="5" t="s">
        <v>45</v>
      </c>
      <c r="Y335" s="5"/>
      <c r="AB335" s="5" t="s">
        <v>155</v>
      </c>
      <c r="AC335" s="5">
        <v>100</v>
      </c>
      <c r="AD335" s="78">
        <v>4.2000000000000003E-2</v>
      </c>
      <c r="AE335" s="13">
        <v>5</v>
      </c>
      <c r="AF335" s="45" t="s">
        <v>104</v>
      </c>
      <c r="AG335" s="2" t="s">
        <v>110</v>
      </c>
      <c r="AH335" s="6"/>
      <c r="AI335" s="7"/>
      <c r="AJ335" s="2"/>
      <c r="AK335" s="15"/>
      <c r="AL335" s="6"/>
      <c r="AM335" s="6"/>
      <c r="AN335" s="6">
        <v>8.33</v>
      </c>
      <c r="AO335">
        <v>0.44</v>
      </c>
    </row>
    <row r="336" spans="1:41" ht="15" customHeight="1" x14ac:dyDescent="0.35">
      <c r="A336" s="4">
        <v>44777</v>
      </c>
      <c r="B336" s="86">
        <v>9</v>
      </c>
      <c r="C336" s="5" t="s">
        <v>184</v>
      </c>
      <c r="D336" s="24" t="s">
        <v>42</v>
      </c>
      <c r="E336" s="5"/>
      <c r="F336" s="5">
        <v>1050</v>
      </c>
      <c r="G336" s="5">
        <v>150</v>
      </c>
      <c r="I336" s="5">
        <v>12</v>
      </c>
      <c r="J336" s="69"/>
      <c r="K336" s="69"/>
      <c r="L336" s="69"/>
      <c r="M336" s="5" t="s">
        <v>16</v>
      </c>
      <c r="N336" s="6">
        <v>5</v>
      </c>
      <c r="O336" s="5">
        <v>91</v>
      </c>
      <c r="P336" s="5">
        <v>25</v>
      </c>
      <c r="Q336" s="5">
        <v>0</v>
      </c>
      <c r="R336" s="5">
        <f t="shared" si="51"/>
        <v>116</v>
      </c>
      <c r="S336" s="3">
        <f t="shared" si="52"/>
        <v>3.64</v>
      </c>
      <c r="T336" s="3">
        <f t="shared" si="53"/>
        <v>4.6749999999999998</v>
      </c>
      <c r="U336" s="3">
        <f t="shared" si="54"/>
        <v>1.4545454545454546</v>
      </c>
      <c r="V336" s="5">
        <v>1</v>
      </c>
      <c r="W336" s="6" t="s">
        <v>169</v>
      </c>
      <c r="X336" s="5" t="s">
        <v>46</v>
      </c>
      <c r="Y336" s="5"/>
      <c r="AB336" s="5" t="s">
        <v>138</v>
      </c>
      <c r="AC336" s="5">
        <v>100</v>
      </c>
      <c r="AD336" s="78">
        <v>5.3999999999999999E-2</v>
      </c>
      <c r="AE336" s="13">
        <v>5</v>
      </c>
      <c r="AF336" s="45" t="s">
        <v>103</v>
      </c>
      <c r="AG336" s="2" t="s">
        <v>102</v>
      </c>
      <c r="AH336" s="6"/>
      <c r="AI336" s="7"/>
      <c r="AJ336" s="2"/>
      <c r="AK336" s="15"/>
      <c r="AL336" s="6"/>
      <c r="AM336" s="6"/>
      <c r="AN336" s="6">
        <v>5.85</v>
      </c>
      <c r="AO336">
        <v>0.95</v>
      </c>
    </row>
    <row r="337" spans="1:41" ht="15" customHeight="1" x14ac:dyDescent="0.35">
      <c r="A337" s="4">
        <v>44777</v>
      </c>
      <c r="B337" s="86">
        <v>9</v>
      </c>
      <c r="C337" s="5" t="s">
        <v>184</v>
      </c>
      <c r="D337" s="24" t="s">
        <v>42</v>
      </c>
      <c r="E337" s="5"/>
      <c r="F337" s="5">
        <v>1050</v>
      </c>
      <c r="G337" s="5">
        <v>150</v>
      </c>
      <c r="I337" s="5">
        <v>12</v>
      </c>
      <c r="J337" s="69"/>
      <c r="K337" s="69"/>
      <c r="L337" s="69"/>
      <c r="M337" s="5" t="s">
        <v>16</v>
      </c>
      <c r="N337" s="6">
        <v>5</v>
      </c>
      <c r="O337" s="5">
        <v>91</v>
      </c>
      <c r="P337" s="5">
        <v>25</v>
      </c>
      <c r="Q337" s="5">
        <v>0</v>
      </c>
      <c r="R337" s="5">
        <f t="shared" si="51"/>
        <v>116</v>
      </c>
      <c r="S337" s="3">
        <f t="shared" si="52"/>
        <v>3.64</v>
      </c>
      <c r="T337" s="3">
        <f t="shared" si="53"/>
        <v>4.6749999999999998</v>
      </c>
      <c r="U337" s="3">
        <f t="shared" si="54"/>
        <v>1.4545454545454546</v>
      </c>
      <c r="V337" s="5">
        <v>1</v>
      </c>
      <c r="W337" s="6" t="s">
        <v>169</v>
      </c>
      <c r="X337" s="5" t="s">
        <v>46</v>
      </c>
      <c r="Y337" s="5" t="s">
        <v>122</v>
      </c>
      <c r="AB337" s="5" t="s">
        <v>138</v>
      </c>
      <c r="AC337" s="5">
        <v>100</v>
      </c>
      <c r="AD337" s="78">
        <v>7.2999999999999995E-2</v>
      </c>
      <c r="AE337" s="13">
        <v>5</v>
      </c>
      <c r="AF337" s="45" t="s">
        <v>103</v>
      </c>
      <c r="AG337" s="1" t="s">
        <v>102</v>
      </c>
      <c r="AH337" s="6"/>
      <c r="AI337" s="7"/>
      <c r="AJ337" s="2"/>
      <c r="AK337" s="15"/>
      <c r="AL337" s="6"/>
      <c r="AM337" s="6"/>
      <c r="AN337" s="6">
        <v>4.55</v>
      </c>
      <c r="AO337">
        <v>1.55</v>
      </c>
    </row>
    <row r="338" spans="1:41" ht="15" customHeight="1" x14ac:dyDescent="0.35">
      <c r="A338" s="4">
        <v>44777</v>
      </c>
      <c r="B338" s="86">
        <v>9</v>
      </c>
      <c r="C338" s="5" t="s">
        <v>184</v>
      </c>
      <c r="D338" s="24" t="s">
        <v>42</v>
      </c>
      <c r="E338" s="5"/>
      <c r="F338" s="5">
        <v>1050</v>
      </c>
      <c r="G338" s="5">
        <v>150</v>
      </c>
      <c r="I338" s="5">
        <v>12</v>
      </c>
      <c r="J338" s="69"/>
      <c r="K338" s="69"/>
      <c r="L338" s="69"/>
      <c r="M338" s="5" t="s">
        <v>16</v>
      </c>
      <c r="N338" s="6">
        <v>5</v>
      </c>
      <c r="O338" s="5">
        <v>91</v>
      </c>
      <c r="P338" s="5">
        <v>25</v>
      </c>
      <c r="Q338" s="5">
        <v>0</v>
      </c>
      <c r="R338" s="5">
        <f t="shared" si="51"/>
        <v>116</v>
      </c>
      <c r="S338" s="3">
        <f t="shared" si="52"/>
        <v>3.64</v>
      </c>
      <c r="T338" s="3">
        <f t="shared" si="53"/>
        <v>4.6749999999999998</v>
      </c>
      <c r="U338" s="3">
        <f t="shared" si="54"/>
        <v>1.4545454545454546</v>
      </c>
      <c r="V338" s="5">
        <v>1</v>
      </c>
      <c r="W338" s="6" t="s">
        <v>169</v>
      </c>
      <c r="X338" s="5" t="s">
        <v>46</v>
      </c>
      <c r="Y338" s="5" t="s">
        <v>122</v>
      </c>
      <c r="AB338" s="5" t="s">
        <v>138</v>
      </c>
      <c r="AC338" s="5">
        <v>100</v>
      </c>
      <c r="AD338" s="78">
        <v>5.8999999999999997E-2</v>
      </c>
      <c r="AE338" s="13">
        <v>5</v>
      </c>
      <c r="AF338" s="45" t="s">
        <v>103</v>
      </c>
      <c r="AG338" s="1" t="s">
        <v>102</v>
      </c>
      <c r="AH338" s="6"/>
      <c r="AI338" s="7"/>
      <c r="AJ338" s="2"/>
      <c r="AK338" s="15"/>
      <c r="AL338" s="6"/>
      <c r="AM338" s="6"/>
      <c r="AN338" s="6">
        <v>5</v>
      </c>
      <c r="AO338">
        <v>0</v>
      </c>
    </row>
    <row r="339" spans="1:41" ht="15" customHeight="1" x14ac:dyDescent="0.35">
      <c r="A339" s="4"/>
      <c r="B339" s="86"/>
      <c r="C339" s="5"/>
      <c r="D339" s="24"/>
      <c r="E339" s="5"/>
      <c r="F339" s="5"/>
      <c r="G339" s="5"/>
      <c r="I339" s="5"/>
      <c r="J339" s="69"/>
      <c r="K339" s="69"/>
      <c r="L339" s="69"/>
      <c r="M339" s="5"/>
      <c r="N339" s="6"/>
      <c r="O339" s="5"/>
      <c r="P339" s="5"/>
      <c r="Q339" s="5"/>
      <c r="R339" s="5"/>
      <c r="S339" s="3"/>
      <c r="T339" s="3"/>
      <c r="U339" s="3"/>
      <c r="V339" s="5"/>
      <c r="W339" s="6"/>
      <c r="X339" s="5"/>
      <c r="Y339" s="5"/>
      <c r="AB339" s="5"/>
      <c r="AC339" s="5"/>
      <c r="AD339" s="78"/>
      <c r="AE339" s="14"/>
      <c r="AF339" s="44"/>
      <c r="AG339" s="2"/>
      <c r="AH339" s="6"/>
      <c r="AI339" s="7"/>
      <c r="AJ339" s="2"/>
      <c r="AK339" s="15"/>
      <c r="AL339" s="6"/>
      <c r="AM339" s="6"/>
      <c r="AN339" s="6"/>
    </row>
    <row r="340" spans="1:41" ht="15" customHeight="1" x14ac:dyDescent="0.35">
      <c r="A340" s="4">
        <v>44778</v>
      </c>
      <c r="B340" s="86">
        <v>10</v>
      </c>
      <c r="C340" s="5" t="s">
        <v>48</v>
      </c>
      <c r="D340" s="24" t="s">
        <v>42</v>
      </c>
      <c r="E340" s="5"/>
      <c r="F340" s="5">
        <v>1050</v>
      </c>
      <c r="G340" s="5">
        <v>200</v>
      </c>
      <c r="I340" s="5">
        <v>10</v>
      </c>
      <c r="J340" s="69">
        <v>0.75</v>
      </c>
      <c r="K340" s="69">
        <v>3.23</v>
      </c>
      <c r="L340" s="69">
        <v>0.8</v>
      </c>
      <c r="M340" s="5" t="s">
        <v>16</v>
      </c>
      <c r="N340" s="6">
        <v>5</v>
      </c>
      <c r="O340" s="5">
        <v>84</v>
      </c>
      <c r="P340" s="5">
        <v>48</v>
      </c>
      <c r="Q340" s="5">
        <v>24</v>
      </c>
      <c r="R340" s="5">
        <f t="shared" ref="R340:R359" si="55">O340+P340+Q340</f>
        <v>156</v>
      </c>
      <c r="S340" s="3">
        <f t="shared" ref="S340:S359" si="56">O340/P340</f>
        <v>1.75</v>
      </c>
      <c r="T340" s="3">
        <f t="shared" ref="T340:T347" si="57">16.8/18</f>
        <v>0.93333333333333335</v>
      </c>
      <c r="U340" s="3">
        <f t="shared" ref="U340:U347" si="58">28.5/45</f>
        <v>0.6333333333333333</v>
      </c>
      <c r="V340" s="5">
        <v>1</v>
      </c>
      <c r="W340" s="6" t="s">
        <v>169</v>
      </c>
      <c r="X340" s="5" t="s">
        <v>45</v>
      </c>
      <c r="Y340" s="5"/>
      <c r="AB340" s="5" t="s">
        <v>155</v>
      </c>
      <c r="AC340" s="5">
        <v>100</v>
      </c>
      <c r="AD340" s="78">
        <v>3.4000000000000002E-2</v>
      </c>
      <c r="AE340" s="14">
        <v>1</v>
      </c>
      <c r="AF340" s="44" t="s">
        <v>104</v>
      </c>
      <c r="AG340" s="2" t="s">
        <v>104</v>
      </c>
      <c r="AH340" s="6"/>
      <c r="AI340" s="7"/>
      <c r="AJ340" s="2"/>
      <c r="AK340" s="15"/>
      <c r="AL340" s="6"/>
      <c r="AM340" s="6"/>
      <c r="AN340" s="6"/>
    </row>
    <row r="341" spans="1:41" ht="15" customHeight="1" x14ac:dyDescent="0.35">
      <c r="A341" s="4">
        <v>44778</v>
      </c>
      <c r="B341" s="86">
        <v>10</v>
      </c>
      <c r="C341" s="5" t="s">
        <v>48</v>
      </c>
      <c r="D341" s="24" t="s">
        <v>42</v>
      </c>
      <c r="E341" s="5"/>
      <c r="F341" s="5">
        <v>1050</v>
      </c>
      <c r="G341" s="5">
        <v>200</v>
      </c>
      <c r="I341" s="5">
        <v>10</v>
      </c>
      <c r="J341" s="69">
        <v>0.75</v>
      </c>
      <c r="K341" s="69">
        <v>3.23</v>
      </c>
      <c r="L341" s="69">
        <v>0.8</v>
      </c>
      <c r="M341" s="5" t="s">
        <v>16</v>
      </c>
      <c r="N341" s="6">
        <v>5</v>
      </c>
      <c r="O341" s="5">
        <v>84</v>
      </c>
      <c r="P341" s="5">
        <v>48</v>
      </c>
      <c r="Q341" s="5">
        <v>24</v>
      </c>
      <c r="R341" s="5">
        <f t="shared" si="55"/>
        <v>156</v>
      </c>
      <c r="S341" s="3">
        <f t="shared" si="56"/>
        <v>1.75</v>
      </c>
      <c r="T341" s="3">
        <f t="shared" si="57"/>
        <v>0.93333333333333335</v>
      </c>
      <c r="U341" s="3">
        <f t="shared" si="58"/>
        <v>0.6333333333333333</v>
      </c>
      <c r="V341" s="5">
        <v>1</v>
      </c>
      <c r="W341" s="6" t="s">
        <v>169</v>
      </c>
      <c r="X341" s="5" t="s">
        <v>179</v>
      </c>
      <c r="Y341" s="5"/>
      <c r="AB341" s="5" t="s">
        <v>138</v>
      </c>
      <c r="AC341" s="5">
        <v>100</v>
      </c>
      <c r="AD341" s="96">
        <v>4.4999999999999998E-2</v>
      </c>
      <c r="AE341" s="14">
        <v>1</v>
      </c>
      <c r="AF341" s="44" t="s">
        <v>104</v>
      </c>
      <c r="AG341" s="2" t="s">
        <v>102</v>
      </c>
      <c r="AH341" s="6"/>
      <c r="AI341" s="7"/>
      <c r="AJ341" s="2"/>
      <c r="AK341" s="15"/>
      <c r="AL341" s="6"/>
      <c r="AM341" s="6"/>
      <c r="AN341" s="6"/>
    </row>
    <row r="342" spans="1:41" ht="15" customHeight="1" x14ac:dyDescent="0.35">
      <c r="A342" s="4">
        <v>44778</v>
      </c>
      <c r="B342" s="86">
        <v>10</v>
      </c>
      <c r="C342" s="5" t="s">
        <v>48</v>
      </c>
      <c r="D342" s="24" t="s">
        <v>42</v>
      </c>
      <c r="E342" s="5"/>
      <c r="F342" s="5">
        <v>1050</v>
      </c>
      <c r="G342" s="5">
        <v>200</v>
      </c>
      <c r="I342" s="5">
        <v>10</v>
      </c>
      <c r="J342" s="69">
        <v>0.75</v>
      </c>
      <c r="K342" s="69">
        <v>3.23</v>
      </c>
      <c r="L342" s="69">
        <v>0.8</v>
      </c>
      <c r="M342" s="5" t="s">
        <v>16</v>
      </c>
      <c r="N342" s="6">
        <v>5</v>
      </c>
      <c r="O342" s="5">
        <v>84</v>
      </c>
      <c r="P342" s="5">
        <v>48</v>
      </c>
      <c r="Q342" s="5">
        <v>24</v>
      </c>
      <c r="R342" s="5">
        <f t="shared" si="55"/>
        <v>156</v>
      </c>
      <c r="S342" s="3">
        <f t="shared" si="56"/>
        <v>1.75</v>
      </c>
      <c r="T342" s="3">
        <f t="shared" si="57"/>
        <v>0.93333333333333335</v>
      </c>
      <c r="U342" s="3">
        <f t="shared" si="58"/>
        <v>0.6333333333333333</v>
      </c>
      <c r="V342" s="5">
        <v>1</v>
      </c>
      <c r="W342" s="6" t="s">
        <v>169</v>
      </c>
      <c r="X342" s="5" t="s">
        <v>46</v>
      </c>
      <c r="Y342" s="5"/>
      <c r="AB342" s="5" t="s">
        <v>138</v>
      </c>
      <c r="AC342" s="5">
        <v>100</v>
      </c>
      <c r="AD342" s="78">
        <v>1.2E-2</v>
      </c>
      <c r="AE342" s="14">
        <v>3</v>
      </c>
      <c r="AF342" s="45" t="s">
        <v>103</v>
      </c>
      <c r="AG342" s="1" t="s">
        <v>102</v>
      </c>
      <c r="AH342" s="6"/>
      <c r="AI342" s="7"/>
      <c r="AJ342" s="2"/>
      <c r="AK342" s="15"/>
      <c r="AL342" s="6"/>
      <c r="AM342" s="6"/>
      <c r="AN342" s="6"/>
    </row>
    <row r="343" spans="1:41" ht="15" customHeight="1" x14ac:dyDescent="0.35">
      <c r="A343" s="4">
        <v>44778</v>
      </c>
      <c r="B343" s="86">
        <v>10</v>
      </c>
      <c r="C343" s="5" t="s">
        <v>48</v>
      </c>
      <c r="D343" s="24" t="s">
        <v>42</v>
      </c>
      <c r="E343" s="5"/>
      <c r="F343" s="5">
        <v>1050</v>
      </c>
      <c r="G343" s="5">
        <v>200</v>
      </c>
      <c r="I343" s="5">
        <v>10</v>
      </c>
      <c r="J343" s="69">
        <v>0.75</v>
      </c>
      <c r="K343" s="69">
        <v>3.23</v>
      </c>
      <c r="L343" s="69">
        <v>0.8</v>
      </c>
      <c r="M343" s="5" t="s">
        <v>16</v>
      </c>
      <c r="N343" s="6">
        <v>5</v>
      </c>
      <c r="O343" s="5">
        <v>84</v>
      </c>
      <c r="P343" s="5">
        <v>48</v>
      </c>
      <c r="Q343" s="5">
        <v>24</v>
      </c>
      <c r="R343" s="5">
        <f t="shared" si="55"/>
        <v>156</v>
      </c>
      <c r="S343" s="3">
        <f t="shared" si="56"/>
        <v>1.75</v>
      </c>
      <c r="T343" s="3">
        <f t="shared" si="57"/>
        <v>0.93333333333333335</v>
      </c>
      <c r="U343" s="3">
        <f t="shared" si="58"/>
        <v>0.6333333333333333</v>
      </c>
      <c r="V343" s="5">
        <v>1</v>
      </c>
      <c r="W343" s="6" t="s">
        <v>169</v>
      </c>
      <c r="X343" s="5" t="s">
        <v>45</v>
      </c>
      <c r="Y343" s="5" t="s">
        <v>100</v>
      </c>
      <c r="AB343" s="5" t="s">
        <v>155</v>
      </c>
      <c r="AC343" s="5">
        <v>100</v>
      </c>
      <c r="AD343" s="78">
        <v>3.7999999999999999E-2</v>
      </c>
      <c r="AE343" s="14">
        <v>0</v>
      </c>
      <c r="AF343" s="44" t="s">
        <v>102</v>
      </c>
      <c r="AG343" s="2" t="s">
        <v>104</v>
      </c>
      <c r="AH343" s="6"/>
      <c r="AI343" s="7"/>
      <c r="AJ343" s="2"/>
      <c r="AK343" s="15"/>
      <c r="AL343" s="6"/>
      <c r="AM343" s="6"/>
      <c r="AN343" s="6">
        <v>0.7</v>
      </c>
      <c r="AO343">
        <v>0</v>
      </c>
    </row>
    <row r="344" spans="1:41" ht="15" customHeight="1" x14ac:dyDescent="0.35">
      <c r="A344" s="4">
        <v>44778</v>
      </c>
      <c r="B344" s="86">
        <v>10</v>
      </c>
      <c r="C344" s="5" t="s">
        <v>48</v>
      </c>
      <c r="D344" s="24" t="s">
        <v>42</v>
      </c>
      <c r="E344" s="5"/>
      <c r="F344" s="5">
        <v>1050</v>
      </c>
      <c r="G344" s="5">
        <v>200</v>
      </c>
      <c r="I344" s="5">
        <v>10</v>
      </c>
      <c r="J344" s="69">
        <v>0.75</v>
      </c>
      <c r="K344" s="69">
        <v>3.23</v>
      </c>
      <c r="L344" s="69">
        <v>0.8</v>
      </c>
      <c r="M344" s="5" t="s">
        <v>16</v>
      </c>
      <c r="N344" s="6">
        <v>5</v>
      </c>
      <c r="O344" s="5">
        <v>84</v>
      </c>
      <c r="P344" s="5">
        <v>48</v>
      </c>
      <c r="Q344" s="5">
        <v>24</v>
      </c>
      <c r="R344" s="5">
        <f t="shared" si="55"/>
        <v>156</v>
      </c>
      <c r="S344" s="3">
        <f t="shared" si="56"/>
        <v>1.75</v>
      </c>
      <c r="T344" s="3">
        <f t="shared" si="57"/>
        <v>0.93333333333333335</v>
      </c>
      <c r="U344" s="3">
        <f t="shared" si="58"/>
        <v>0.6333333333333333</v>
      </c>
      <c r="V344" s="5">
        <v>1</v>
      </c>
      <c r="W344" s="6" t="s">
        <v>169</v>
      </c>
      <c r="X344" s="5" t="s">
        <v>45</v>
      </c>
      <c r="Y344" s="5" t="s">
        <v>101</v>
      </c>
      <c r="AB344" s="5" t="s">
        <v>155</v>
      </c>
      <c r="AC344" s="5">
        <v>100</v>
      </c>
      <c r="AD344" s="78">
        <v>0.114</v>
      </c>
      <c r="AE344" s="14">
        <v>0</v>
      </c>
      <c r="AF344" s="44" t="s">
        <v>102</v>
      </c>
      <c r="AG344" s="2" t="s">
        <v>104</v>
      </c>
      <c r="AH344" s="6"/>
      <c r="AI344" s="7"/>
      <c r="AJ344" s="2"/>
      <c r="AK344" s="15"/>
      <c r="AL344" s="6"/>
      <c r="AM344" s="6"/>
      <c r="AN344" s="6">
        <v>0</v>
      </c>
      <c r="AO344">
        <v>0</v>
      </c>
    </row>
    <row r="345" spans="1:41" ht="15" customHeight="1" x14ac:dyDescent="0.35">
      <c r="A345" s="4">
        <v>44778</v>
      </c>
      <c r="B345" s="86">
        <v>10</v>
      </c>
      <c r="C345" s="5" t="s">
        <v>48</v>
      </c>
      <c r="D345" s="24" t="s">
        <v>42</v>
      </c>
      <c r="E345" s="5"/>
      <c r="F345" s="5">
        <v>1050</v>
      </c>
      <c r="G345" s="5">
        <v>200</v>
      </c>
      <c r="I345" s="5">
        <v>10</v>
      </c>
      <c r="J345" s="69">
        <v>0.75</v>
      </c>
      <c r="K345" s="69">
        <v>3.23</v>
      </c>
      <c r="L345" s="69">
        <v>0.8</v>
      </c>
      <c r="M345" s="5" t="s">
        <v>16</v>
      </c>
      <c r="N345" s="6">
        <v>5</v>
      </c>
      <c r="O345" s="5">
        <v>84</v>
      </c>
      <c r="P345" s="5">
        <v>48</v>
      </c>
      <c r="Q345" s="5">
        <v>24</v>
      </c>
      <c r="R345" s="5">
        <f t="shared" si="55"/>
        <v>156</v>
      </c>
      <c r="S345" s="3">
        <f t="shared" si="56"/>
        <v>1.75</v>
      </c>
      <c r="T345" s="3">
        <f t="shared" si="57"/>
        <v>0.93333333333333335</v>
      </c>
      <c r="U345" s="3">
        <f t="shared" si="58"/>
        <v>0.6333333333333333</v>
      </c>
      <c r="V345" s="5">
        <v>1</v>
      </c>
      <c r="W345" s="6" t="s">
        <v>169</v>
      </c>
      <c r="X345" s="5" t="s">
        <v>46</v>
      </c>
      <c r="Y345" s="5" t="s">
        <v>122</v>
      </c>
      <c r="AB345" s="5" t="s">
        <v>138</v>
      </c>
      <c r="AC345" s="5">
        <v>100</v>
      </c>
      <c r="AD345" s="78">
        <v>1.0999999999999999E-2</v>
      </c>
      <c r="AE345" s="14">
        <v>3</v>
      </c>
      <c r="AF345" s="44" t="s">
        <v>103</v>
      </c>
      <c r="AG345" s="2" t="s">
        <v>102</v>
      </c>
      <c r="AH345" s="6"/>
      <c r="AI345" s="7"/>
      <c r="AJ345" s="2"/>
      <c r="AK345" s="15"/>
      <c r="AL345" s="6"/>
      <c r="AM345" s="6"/>
      <c r="AN345" s="6">
        <v>8</v>
      </c>
      <c r="AO345">
        <v>0</v>
      </c>
    </row>
    <row r="346" spans="1:41" ht="15" customHeight="1" x14ac:dyDescent="0.35">
      <c r="A346" s="4">
        <v>44778</v>
      </c>
      <c r="B346" s="86">
        <v>10</v>
      </c>
      <c r="C346" s="5" t="s">
        <v>48</v>
      </c>
      <c r="D346" s="24" t="s">
        <v>42</v>
      </c>
      <c r="E346" s="5"/>
      <c r="F346" s="5">
        <v>1050</v>
      </c>
      <c r="G346" s="5">
        <v>200</v>
      </c>
      <c r="I346" s="5">
        <v>10</v>
      </c>
      <c r="J346" s="69">
        <v>0.75</v>
      </c>
      <c r="K346" s="69">
        <v>3.23</v>
      </c>
      <c r="L346" s="69">
        <v>0.8</v>
      </c>
      <c r="M346" s="5" t="s">
        <v>16</v>
      </c>
      <c r="N346" s="6">
        <v>5</v>
      </c>
      <c r="O346" s="5">
        <v>84</v>
      </c>
      <c r="P346" s="5">
        <v>48</v>
      </c>
      <c r="Q346" s="5">
        <v>24</v>
      </c>
      <c r="R346" s="5">
        <f t="shared" si="55"/>
        <v>156</v>
      </c>
      <c r="S346" s="3">
        <f t="shared" si="56"/>
        <v>1.75</v>
      </c>
      <c r="T346" s="3">
        <f t="shared" si="57"/>
        <v>0.93333333333333335</v>
      </c>
      <c r="U346" s="3">
        <f t="shared" si="58"/>
        <v>0.6333333333333333</v>
      </c>
      <c r="V346" s="5">
        <v>1</v>
      </c>
      <c r="W346" s="6" t="s">
        <v>169</v>
      </c>
      <c r="X346" s="5" t="s">
        <v>45</v>
      </c>
      <c r="Y346" s="5" t="s">
        <v>185</v>
      </c>
      <c r="AB346" s="5" t="s">
        <v>155</v>
      </c>
      <c r="AC346" s="5">
        <v>100</v>
      </c>
      <c r="AD346" s="78">
        <v>1.0999999999999999E-2</v>
      </c>
      <c r="AE346" s="14">
        <v>25</v>
      </c>
      <c r="AF346" s="44" t="s">
        <v>103</v>
      </c>
      <c r="AG346" s="2" t="s">
        <v>104</v>
      </c>
      <c r="AH346" s="6"/>
      <c r="AI346" s="7"/>
      <c r="AJ346" s="2"/>
      <c r="AK346" s="15"/>
      <c r="AL346" s="6"/>
      <c r="AM346" s="6"/>
      <c r="AN346" s="6"/>
    </row>
    <row r="347" spans="1:41" ht="15" customHeight="1" x14ac:dyDescent="0.35">
      <c r="A347" s="4">
        <v>44778</v>
      </c>
      <c r="B347" s="86">
        <v>10</v>
      </c>
      <c r="C347" s="5" t="s">
        <v>48</v>
      </c>
      <c r="D347" s="24" t="s">
        <v>42</v>
      </c>
      <c r="E347" s="5"/>
      <c r="F347" s="5">
        <v>1050</v>
      </c>
      <c r="G347" s="5">
        <v>200</v>
      </c>
      <c r="I347" s="5">
        <v>10</v>
      </c>
      <c r="J347" s="69">
        <v>0.75</v>
      </c>
      <c r="K347" s="69">
        <v>3.23</v>
      </c>
      <c r="L347" s="69">
        <v>0.8</v>
      </c>
      <c r="M347" s="5" t="s">
        <v>16</v>
      </c>
      <c r="N347" s="6">
        <v>5</v>
      </c>
      <c r="O347" s="5">
        <v>84</v>
      </c>
      <c r="P347" s="5">
        <v>48</v>
      </c>
      <c r="Q347" s="5">
        <v>24</v>
      </c>
      <c r="R347" s="5">
        <f t="shared" si="55"/>
        <v>156</v>
      </c>
      <c r="S347" s="3">
        <f t="shared" si="56"/>
        <v>1.75</v>
      </c>
      <c r="T347" s="3">
        <f t="shared" si="57"/>
        <v>0.93333333333333335</v>
      </c>
      <c r="U347" s="3">
        <f t="shared" si="58"/>
        <v>0.6333333333333333</v>
      </c>
      <c r="V347" s="5">
        <v>1</v>
      </c>
      <c r="W347" s="6" t="s">
        <v>169</v>
      </c>
      <c r="X347" s="5" t="s">
        <v>46</v>
      </c>
      <c r="Y347" s="5" t="s">
        <v>185</v>
      </c>
      <c r="AB347" s="5" t="s">
        <v>138</v>
      </c>
      <c r="AC347" s="5">
        <v>100</v>
      </c>
      <c r="AD347" s="78">
        <v>3.5999999999999997E-2</v>
      </c>
      <c r="AE347" s="14">
        <v>15</v>
      </c>
      <c r="AF347" s="44" t="s">
        <v>102</v>
      </c>
      <c r="AG347" s="2" t="s">
        <v>102</v>
      </c>
      <c r="AH347" s="6"/>
      <c r="AI347" s="7"/>
      <c r="AJ347" s="2"/>
      <c r="AK347" s="15"/>
      <c r="AL347" s="6"/>
      <c r="AM347" s="6"/>
      <c r="AN347" s="6">
        <v>14.15</v>
      </c>
      <c r="AO347">
        <v>8.85</v>
      </c>
    </row>
    <row r="348" spans="1:41" ht="15" customHeight="1" x14ac:dyDescent="0.35">
      <c r="A348" s="4">
        <v>44778</v>
      </c>
      <c r="B348" s="86">
        <v>11</v>
      </c>
      <c r="C348" s="5" t="s">
        <v>157</v>
      </c>
      <c r="D348" s="24" t="s">
        <v>42</v>
      </c>
      <c r="E348" s="5"/>
      <c r="F348" s="5">
        <v>1050</v>
      </c>
      <c r="G348" s="5">
        <v>100</v>
      </c>
      <c r="I348" s="5">
        <v>12</v>
      </c>
      <c r="J348" s="69">
        <v>0.76</v>
      </c>
      <c r="K348" s="69">
        <v>3.32</v>
      </c>
      <c r="L348" s="69">
        <v>0.8</v>
      </c>
      <c r="M348" s="5" t="s">
        <v>16</v>
      </c>
      <c r="N348" s="6">
        <v>5</v>
      </c>
      <c r="O348" s="5">
        <v>91</v>
      </c>
      <c r="P348" s="5">
        <v>25</v>
      </c>
      <c r="Q348" s="5">
        <v>0</v>
      </c>
      <c r="R348" s="5">
        <f t="shared" si="55"/>
        <v>116</v>
      </c>
      <c r="S348" s="3">
        <f t="shared" si="56"/>
        <v>3.64</v>
      </c>
      <c r="T348" s="3">
        <f>18.7/4</f>
        <v>4.6749999999999998</v>
      </c>
      <c r="U348" s="3">
        <f>32/22</f>
        <v>1.4545454545454546</v>
      </c>
      <c r="V348" s="5">
        <v>1</v>
      </c>
      <c r="W348" s="6" t="s">
        <v>169</v>
      </c>
      <c r="X348" s="5" t="s">
        <v>45</v>
      </c>
      <c r="Y348" s="5"/>
      <c r="AB348" s="5" t="s">
        <v>155</v>
      </c>
      <c r="AC348" s="5">
        <v>100</v>
      </c>
      <c r="AD348" s="78">
        <v>5.3999999999999999E-2</v>
      </c>
      <c r="AE348" s="14">
        <v>3</v>
      </c>
      <c r="AF348" s="44" t="s">
        <v>104</v>
      </c>
      <c r="AG348" s="2" t="s">
        <v>102</v>
      </c>
      <c r="AH348" s="6"/>
      <c r="AI348" s="7"/>
      <c r="AJ348" s="2"/>
      <c r="AK348" s="15"/>
      <c r="AL348" s="6"/>
      <c r="AM348" s="6"/>
      <c r="AN348" s="6">
        <v>2</v>
      </c>
      <c r="AO348">
        <v>0</v>
      </c>
    </row>
    <row r="349" spans="1:41" ht="15" customHeight="1" x14ac:dyDescent="0.35">
      <c r="A349" s="4">
        <v>44778</v>
      </c>
      <c r="B349" s="86">
        <v>11</v>
      </c>
      <c r="C349" s="5" t="s">
        <v>157</v>
      </c>
      <c r="D349" s="24" t="s">
        <v>42</v>
      </c>
      <c r="E349" s="5"/>
      <c r="F349" s="5">
        <v>1050</v>
      </c>
      <c r="G349" s="5">
        <v>100</v>
      </c>
      <c r="I349" s="5">
        <v>12</v>
      </c>
      <c r="J349" s="69">
        <v>0.76</v>
      </c>
      <c r="K349" s="69">
        <v>3.32</v>
      </c>
      <c r="L349" s="69">
        <v>0.8</v>
      </c>
      <c r="M349" s="5" t="s">
        <v>16</v>
      </c>
      <c r="N349" s="6">
        <v>5</v>
      </c>
      <c r="O349" s="5">
        <v>91</v>
      </c>
      <c r="P349" s="5">
        <v>25</v>
      </c>
      <c r="Q349" s="5">
        <v>0</v>
      </c>
      <c r="R349" s="5">
        <f t="shared" si="55"/>
        <v>116</v>
      </c>
      <c r="S349" s="3">
        <f t="shared" si="56"/>
        <v>3.64</v>
      </c>
      <c r="T349" s="3">
        <f>18.7/4</f>
        <v>4.6749999999999998</v>
      </c>
      <c r="U349" s="3">
        <f>32/22</f>
        <v>1.4545454545454546</v>
      </c>
      <c r="V349" s="5">
        <v>1</v>
      </c>
      <c r="W349" s="6" t="s">
        <v>169</v>
      </c>
      <c r="X349" s="5" t="s">
        <v>179</v>
      </c>
      <c r="Y349" s="5"/>
      <c r="AB349" s="5" t="s">
        <v>138</v>
      </c>
      <c r="AC349" s="5">
        <v>100</v>
      </c>
      <c r="AD349" s="78">
        <v>5.3999999999999999E-2</v>
      </c>
      <c r="AE349" s="14">
        <v>5</v>
      </c>
      <c r="AF349" s="44" t="s">
        <v>104</v>
      </c>
      <c r="AG349" s="2" t="s">
        <v>102</v>
      </c>
      <c r="AH349" s="6"/>
      <c r="AI349" s="7"/>
      <c r="AJ349" s="2"/>
      <c r="AK349" s="15"/>
      <c r="AL349" s="6"/>
      <c r="AM349" s="6"/>
      <c r="AN349" s="6">
        <v>10</v>
      </c>
      <c r="AO349">
        <v>1.1499999999999999</v>
      </c>
    </row>
    <row r="350" spans="1:41" ht="15" customHeight="1" x14ac:dyDescent="0.35">
      <c r="A350" s="4">
        <v>44778</v>
      </c>
      <c r="B350" s="86">
        <v>11</v>
      </c>
      <c r="C350" s="5" t="s">
        <v>157</v>
      </c>
      <c r="D350" s="24" t="s">
        <v>42</v>
      </c>
      <c r="E350" s="5"/>
      <c r="F350" s="5">
        <v>1050</v>
      </c>
      <c r="G350" s="5">
        <v>100</v>
      </c>
      <c r="I350" s="5">
        <v>12</v>
      </c>
      <c r="J350" s="69">
        <v>0.76</v>
      </c>
      <c r="K350" s="69">
        <v>3.32</v>
      </c>
      <c r="L350" s="69">
        <v>0.8</v>
      </c>
      <c r="M350" s="5" t="s">
        <v>16</v>
      </c>
      <c r="N350" s="6">
        <v>5</v>
      </c>
      <c r="O350" s="5">
        <v>91</v>
      </c>
      <c r="P350" s="5">
        <v>25</v>
      </c>
      <c r="Q350" s="5">
        <v>0</v>
      </c>
      <c r="R350" s="5">
        <f t="shared" si="55"/>
        <v>116</v>
      </c>
      <c r="S350" s="3">
        <f t="shared" si="56"/>
        <v>3.64</v>
      </c>
      <c r="T350" s="3">
        <f>18.7/4</f>
        <v>4.6749999999999998</v>
      </c>
      <c r="U350" s="3">
        <f>32/22</f>
        <v>1.4545454545454546</v>
      </c>
      <c r="V350" s="5">
        <v>1</v>
      </c>
      <c r="W350" s="6" t="s">
        <v>169</v>
      </c>
      <c r="X350" s="5" t="s">
        <v>46</v>
      </c>
      <c r="Y350" s="5"/>
      <c r="AB350" s="5" t="s">
        <v>138</v>
      </c>
      <c r="AC350" s="5">
        <v>100</v>
      </c>
      <c r="AD350" s="78">
        <v>3.5000000000000003E-2</v>
      </c>
      <c r="AE350" s="14">
        <v>1</v>
      </c>
      <c r="AF350" s="44" t="s">
        <v>104</v>
      </c>
      <c r="AG350" s="2" t="s">
        <v>102</v>
      </c>
      <c r="AH350" s="6"/>
      <c r="AI350" s="7"/>
      <c r="AJ350" s="2"/>
      <c r="AK350" s="15"/>
      <c r="AL350" s="6"/>
      <c r="AM350" s="6"/>
      <c r="AN350" s="6">
        <v>3.35</v>
      </c>
      <c r="AO350">
        <v>1.05</v>
      </c>
    </row>
    <row r="351" spans="1:41" ht="15" customHeight="1" x14ac:dyDescent="0.35">
      <c r="A351" s="4">
        <v>44778</v>
      </c>
      <c r="B351" s="86">
        <v>12</v>
      </c>
      <c r="C351" s="5" t="s">
        <v>74</v>
      </c>
      <c r="D351" s="24" t="s">
        <v>42</v>
      </c>
      <c r="E351" s="5"/>
      <c r="F351" s="5">
        <v>1050</v>
      </c>
      <c r="G351" s="5">
        <v>200</v>
      </c>
      <c r="I351" s="5">
        <v>10</v>
      </c>
      <c r="J351" s="69">
        <v>0.73</v>
      </c>
      <c r="K351" s="69">
        <v>3.33</v>
      </c>
      <c r="L351" s="69">
        <v>0.6</v>
      </c>
      <c r="M351" s="5" t="s">
        <v>16</v>
      </c>
      <c r="N351" s="6">
        <v>5</v>
      </c>
      <c r="O351" s="5">
        <v>120</v>
      </c>
      <c r="P351" s="5">
        <v>12</v>
      </c>
      <c r="Q351" s="5">
        <v>20</v>
      </c>
      <c r="R351" s="5">
        <f t="shared" si="55"/>
        <v>152</v>
      </c>
      <c r="S351" s="3">
        <f t="shared" si="56"/>
        <v>10</v>
      </c>
      <c r="T351" s="3">
        <f t="shared" ref="T351:T356" si="59">40/3</f>
        <v>13.333333333333334</v>
      </c>
      <c r="U351" s="3">
        <f t="shared" ref="U351:U356" si="60">64/12</f>
        <v>5.333333333333333</v>
      </c>
      <c r="V351" s="5">
        <v>1</v>
      </c>
      <c r="W351" s="6" t="s">
        <v>169</v>
      </c>
      <c r="X351" s="5" t="s">
        <v>45</v>
      </c>
      <c r="Y351" s="5"/>
      <c r="AB351" s="5" t="s">
        <v>155</v>
      </c>
      <c r="AC351" s="5">
        <v>50</v>
      </c>
      <c r="AD351" s="78">
        <f>14.8/546.5</f>
        <v>2.7081427264409881E-2</v>
      </c>
      <c r="AE351" s="14">
        <v>1</v>
      </c>
      <c r="AF351" s="44" t="s">
        <v>104</v>
      </c>
      <c r="AG351" s="2" t="s">
        <v>104</v>
      </c>
      <c r="AH351" s="6"/>
      <c r="AI351" s="7"/>
      <c r="AJ351" s="2"/>
      <c r="AK351" s="15"/>
      <c r="AL351" s="6"/>
      <c r="AM351" s="6"/>
      <c r="AN351" s="6"/>
    </row>
    <row r="352" spans="1:41" ht="15" customHeight="1" x14ac:dyDescent="0.35">
      <c r="A352" s="4">
        <v>44778</v>
      </c>
      <c r="B352" s="86">
        <v>12</v>
      </c>
      <c r="C352" s="5" t="s">
        <v>74</v>
      </c>
      <c r="D352" s="24" t="s">
        <v>42</v>
      </c>
      <c r="E352" s="5"/>
      <c r="F352" s="5">
        <v>1050</v>
      </c>
      <c r="G352" s="5">
        <v>200</v>
      </c>
      <c r="I352" s="5">
        <v>10</v>
      </c>
      <c r="J352" s="69">
        <v>0.73</v>
      </c>
      <c r="K352" s="69">
        <v>3.33</v>
      </c>
      <c r="L352" s="69">
        <v>0.6</v>
      </c>
      <c r="M352" s="5" t="s">
        <v>16</v>
      </c>
      <c r="N352" s="6">
        <v>5</v>
      </c>
      <c r="O352" s="5">
        <v>120</v>
      </c>
      <c r="P352" s="5">
        <v>12</v>
      </c>
      <c r="Q352" s="5">
        <v>20</v>
      </c>
      <c r="R352" s="5">
        <f t="shared" si="55"/>
        <v>152</v>
      </c>
      <c r="S352" s="3">
        <f t="shared" si="56"/>
        <v>10</v>
      </c>
      <c r="T352" s="3">
        <f t="shared" si="59"/>
        <v>13.333333333333334</v>
      </c>
      <c r="U352" s="3">
        <f t="shared" si="60"/>
        <v>5.333333333333333</v>
      </c>
      <c r="V352" s="5">
        <v>1</v>
      </c>
      <c r="W352" s="6" t="s">
        <v>169</v>
      </c>
      <c r="X352" s="5" t="s">
        <v>179</v>
      </c>
      <c r="Y352" s="5"/>
      <c r="AB352" s="5" t="s">
        <v>138</v>
      </c>
      <c r="AC352" s="5">
        <v>50</v>
      </c>
      <c r="AD352" s="78">
        <v>5.5E-2</v>
      </c>
      <c r="AE352" s="14">
        <v>1</v>
      </c>
      <c r="AF352" s="44" t="s">
        <v>104</v>
      </c>
      <c r="AG352" s="2" t="s">
        <v>104</v>
      </c>
      <c r="AH352" s="6"/>
      <c r="AI352" s="7"/>
      <c r="AJ352" s="2"/>
      <c r="AK352" s="15"/>
      <c r="AL352" s="6"/>
      <c r="AM352" s="6"/>
      <c r="AN352" s="6"/>
    </row>
    <row r="353" spans="1:42" ht="15" customHeight="1" x14ac:dyDescent="0.35">
      <c r="A353" s="4">
        <v>44778</v>
      </c>
      <c r="B353" s="86">
        <v>12</v>
      </c>
      <c r="C353" s="5" t="s">
        <v>74</v>
      </c>
      <c r="D353" s="24" t="s">
        <v>42</v>
      </c>
      <c r="E353" s="5"/>
      <c r="F353" s="5">
        <v>1050</v>
      </c>
      <c r="G353" s="5">
        <v>200</v>
      </c>
      <c r="I353" s="5">
        <v>10</v>
      </c>
      <c r="J353" s="69">
        <v>0.73</v>
      </c>
      <c r="K353" s="69">
        <v>3.33</v>
      </c>
      <c r="L353" s="69">
        <v>0.6</v>
      </c>
      <c r="M353" s="5" t="s">
        <v>16</v>
      </c>
      <c r="N353" s="6">
        <v>5</v>
      </c>
      <c r="O353" s="5">
        <v>120</v>
      </c>
      <c r="P353" s="5">
        <v>12</v>
      </c>
      <c r="Q353" s="5">
        <v>20</v>
      </c>
      <c r="R353" s="5">
        <f t="shared" si="55"/>
        <v>152</v>
      </c>
      <c r="S353" s="3">
        <f t="shared" si="56"/>
        <v>10</v>
      </c>
      <c r="T353" s="3">
        <f t="shared" si="59"/>
        <v>13.333333333333334</v>
      </c>
      <c r="U353" s="3">
        <f t="shared" si="60"/>
        <v>5.333333333333333</v>
      </c>
      <c r="V353" s="5">
        <v>1</v>
      </c>
      <c r="W353" s="6" t="s">
        <v>169</v>
      </c>
      <c r="X353" s="5" t="s">
        <v>46</v>
      </c>
      <c r="Y353" s="5"/>
      <c r="AB353" s="5" t="s">
        <v>138</v>
      </c>
      <c r="AC353" s="5">
        <v>99</v>
      </c>
      <c r="AD353" s="78">
        <v>3.6999999999999998E-2</v>
      </c>
      <c r="AE353" s="14">
        <v>3</v>
      </c>
      <c r="AF353" s="44" t="s">
        <v>104</v>
      </c>
      <c r="AG353" s="2" t="s">
        <v>102</v>
      </c>
      <c r="AH353" s="6"/>
      <c r="AI353" s="7"/>
      <c r="AJ353" s="2"/>
      <c r="AK353" s="15"/>
      <c r="AL353" s="6"/>
      <c r="AM353" s="6"/>
      <c r="AN353" s="6">
        <v>8.4499999999999993</v>
      </c>
      <c r="AO353">
        <v>2.75</v>
      </c>
    </row>
    <row r="354" spans="1:42" ht="15" customHeight="1" x14ac:dyDescent="0.35">
      <c r="A354" s="4">
        <v>44778</v>
      </c>
      <c r="B354" s="86">
        <v>13</v>
      </c>
      <c r="C354" s="5" t="s">
        <v>74</v>
      </c>
      <c r="D354" s="24" t="s">
        <v>42</v>
      </c>
      <c r="E354" s="5"/>
      <c r="F354" s="5">
        <v>1050</v>
      </c>
      <c r="G354" s="5">
        <v>200</v>
      </c>
      <c r="I354" s="5">
        <v>10</v>
      </c>
      <c r="J354" s="69">
        <v>0.73</v>
      </c>
      <c r="K354" s="69">
        <v>3.29</v>
      </c>
      <c r="L354" s="69">
        <v>0.6</v>
      </c>
      <c r="M354" s="5" t="s">
        <v>16</v>
      </c>
      <c r="N354" s="6">
        <v>5</v>
      </c>
      <c r="O354" s="5">
        <v>120</v>
      </c>
      <c r="P354" s="5">
        <v>12</v>
      </c>
      <c r="Q354" s="5">
        <v>20</v>
      </c>
      <c r="R354" s="5">
        <f t="shared" si="55"/>
        <v>152</v>
      </c>
      <c r="S354" s="3">
        <f t="shared" si="56"/>
        <v>10</v>
      </c>
      <c r="T354" s="3">
        <f t="shared" si="59"/>
        <v>13.333333333333334</v>
      </c>
      <c r="U354" s="3">
        <f t="shared" si="60"/>
        <v>5.333333333333333</v>
      </c>
      <c r="V354" s="5">
        <v>1</v>
      </c>
      <c r="W354" s="6" t="s">
        <v>169</v>
      </c>
      <c r="X354" s="5" t="s">
        <v>45</v>
      </c>
      <c r="Y354" s="5"/>
      <c r="AB354" s="5" t="s">
        <v>155</v>
      </c>
      <c r="AC354" s="5">
        <v>95</v>
      </c>
      <c r="AD354" s="78">
        <v>5.0999999999999997E-2</v>
      </c>
      <c r="AE354" s="14">
        <v>1</v>
      </c>
      <c r="AF354" s="44" t="s">
        <v>104</v>
      </c>
      <c r="AG354" s="2" t="s">
        <v>104</v>
      </c>
      <c r="AH354" s="6"/>
      <c r="AI354" s="7"/>
      <c r="AJ354" s="2"/>
      <c r="AK354" s="15"/>
      <c r="AL354" s="6"/>
      <c r="AM354" s="6"/>
      <c r="AN354" s="6"/>
    </row>
    <row r="355" spans="1:42" ht="15" customHeight="1" x14ac:dyDescent="0.35">
      <c r="A355" s="4">
        <v>44778</v>
      </c>
      <c r="B355" s="86">
        <v>13</v>
      </c>
      <c r="C355" s="5" t="s">
        <v>74</v>
      </c>
      <c r="D355" s="24" t="s">
        <v>42</v>
      </c>
      <c r="E355" s="5"/>
      <c r="F355" s="5">
        <v>1050</v>
      </c>
      <c r="G355" s="5">
        <v>200</v>
      </c>
      <c r="I355" s="5">
        <v>10</v>
      </c>
      <c r="J355" s="69">
        <v>0.73</v>
      </c>
      <c r="K355" s="69">
        <v>3.29</v>
      </c>
      <c r="L355" s="69">
        <v>0.6</v>
      </c>
      <c r="M355" s="5" t="s">
        <v>16</v>
      </c>
      <c r="N355" s="6">
        <v>5</v>
      </c>
      <c r="O355" s="5">
        <v>120</v>
      </c>
      <c r="P355" s="5">
        <v>12</v>
      </c>
      <c r="Q355" s="5">
        <v>20</v>
      </c>
      <c r="R355" s="5">
        <f t="shared" si="55"/>
        <v>152</v>
      </c>
      <c r="S355" s="3">
        <f t="shared" si="56"/>
        <v>10</v>
      </c>
      <c r="T355" s="3">
        <f t="shared" si="59"/>
        <v>13.333333333333334</v>
      </c>
      <c r="U355" s="3">
        <f t="shared" si="60"/>
        <v>5.333333333333333</v>
      </c>
      <c r="V355" s="5">
        <v>1</v>
      </c>
      <c r="W355" s="6" t="s">
        <v>169</v>
      </c>
      <c r="X355" s="5" t="s">
        <v>179</v>
      </c>
      <c r="Y355" s="5"/>
      <c r="AB355" s="5" t="s">
        <v>138</v>
      </c>
      <c r="AC355" s="5">
        <v>98</v>
      </c>
      <c r="AD355" s="78">
        <v>5.6000000000000001E-2</v>
      </c>
      <c r="AE355" s="14">
        <v>3</v>
      </c>
      <c r="AF355" s="44" t="s">
        <v>104</v>
      </c>
      <c r="AG355" s="2" t="s">
        <v>102</v>
      </c>
      <c r="AH355" s="6"/>
      <c r="AI355" s="7"/>
      <c r="AJ355" s="2"/>
      <c r="AK355" s="15"/>
      <c r="AL355" s="6"/>
      <c r="AM355" s="6"/>
      <c r="AN355" s="6">
        <v>4.17</v>
      </c>
      <c r="AO355">
        <v>1.47</v>
      </c>
    </row>
    <row r="356" spans="1:42" ht="15" customHeight="1" x14ac:dyDescent="0.35">
      <c r="A356" s="4">
        <v>44778</v>
      </c>
      <c r="B356" s="86">
        <v>13</v>
      </c>
      <c r="C356" s="5" t="s">
        <v>74</v>
      </c>
      <c r="D356" s="24" t="s">
        <v>42</v>
      </c>
      <c r="E356" s="5"/>
      <c r="F356" s="5">
        <v>1050</v>
      </c>
      <c r="G356" s="5">
        <v>200</v>
      </c>
      <c r="I356" s="5">
        <v>10</v>
      </c>
      <c r="J356" s="69">
        <v>0.73</v>
      </c>
      <c r="K356" s="69">
        <v>3.29</v>
      </c>
      <c r="L356" s="69">
        <v>0.6</v>
      </c>
      <c r="M356" s="5" t="s">
        <v>16</v>
      </c>
      <c r="N356" s="6">
        <v>5</v>
      </c>
      <c r="O356" s="5">
        <v>120</v>
      </c>
      <c r="P356" s="5">
        <v>12</v>
      </c>
      <c r="Q356" s="5">
        <v>20</v>
      </c>
      <c r="R356" s="5">
        <f t="shared" si="55"/>
        <v>152</v>
      </c>
      <c r="S356" s="3">
        <f t="shared" si="56"/>
        <v>10</v>
      </c>
      <c r="T356" s="3">
        <f t="shared" si="59"/>
        <v>13.333333333333334</v>
      </c>
      <c r="U356" s="3">
        <f t="shared" si="60"/>
        <v>5.333333333333333</v>
      </c>
      <c r="V356" s="5">
        <v>1</v>
      </c>
      <c r="W356" s="6" t="s">
        <v>169</v>
      </c>
      <c r="X356" s="5" t="s">
        <v>46</v>
      </c>
      <c r="Y356" s="5"/>
      <c r="AB356" s="5" t="s">
        <v>138</v>
      </c>
      <c r="AC356" s="5">
        <v>100</v>
      </c>
      <c r="AD356" s="78">
        <v>7.0000000000000001E-3</v>
      </c>
      <c r="AE356" s="14">
        <v>3</v>
      </c>
      <c r="AF356" s="44" t="s">
        <v>104</v>
      </c>
      <c r="AG356" s="2" t="s">
        <v>102</v>
      </c>
      <c r="AH356" s="6"/>
      <c r="AI356" s="7"/>
      <c r="AJ356" s="2"/>
      <c r="AK356" s="15"/>
      <c r="AL356" s="6"/>
      <c r="AM356" s="6"/>
      <c r="AN356" s="6">
        <v>7.9</v>
      </c>
      <c r="AO356">
        <v>0</v>
      </c>
    </row>
    <row r="357" spans="1:42" ht="15" customHeight="1" x14ac:dyDescent="0.35">
      <c r="A357" s="4">
        <v>44778</v>
      </c>
      <c r="B357" s="86">
        <v>14</v>
      </c>
      <c r="C357" s="5" t="s">
        <v>79</v>
      </c>
      <c r="D357" s="24" t="s">
        <v>42</v>
      </c>
      <c r="E357" s="5"/>
      <c r="F357" s="5">
        <v>1050</v>
      </c>
      <c r="G357" s="5">
        <v>200</v>
      </c>
      <c r="I357" s="5">
        <v>10</v>
      </c>
      <c r="J357" s="69"/>
      <c r="K357" s="69"/>
      <c r="L357" s="69"/>
      <c r="M357" s="5" t="s">
        <v>16</v>
      </c>
      <c r="N357" s="6">
        <v>5</v>
      </c>
      <c r="O357" s="5">
        <v>120</v>
      </c>
      <c r="P357" s="5">
        <v>33</v>
      </c>
      <c r="Q357" s="5">
        <v>20</v>
      </c>
      <c r="R357" s="5">
        <f t="shared" si="55"/>
        <v>173</v>
      </c>
      <c r="S357" s="3">
        <f t="shared" si="56"/>
        <v>3.6363636363636362</v>
      </c>
      <c r="T357" s="3">
        <f>29.5/3</f>
        <v>9.8333333333333339</v>
      </c>
      <c r="U357" s="3">
        <f>53.5/26.9</f>
        <v>1.9888475836431228</v>
      </c>
      <c r="V357" s="5">
        <v>1</v>
      </c>
      <c r="W357" s="6" t="s">
        <v>169</v>
      </c>
      <c r="X357" s="5" t="s">
        <v>45</v>
      </c>
      <c r="Y357" s="5"/>
      <c r="AB357" s="5" t="s">
        <v>155</v>
      </c>
      <c r="AC357" s="5">
        <v>100</v>
      </c>
      <c r="AD357" s="78">
        <v>0.08</v>
      </c>
      <c r="AE357" s="14">
        <v>1</v>
      </c>
      <c r="AF357" s="44" t="s">
        <v>104</v>
      </c>
      <c r="AG357" s="2" t="s">
        <v>102</v>
      </c>
      <c r="AH357" s="6"/>
      <c r="AI357" s="7"/>
      <c r="AJ357" s="2"/>
      <c r="AK357" s="15"/>
      <c r="AL357" s="6"/>
      <c r="AM357" s="6"/>
      <c r="AN357" s="6">
        <v>2.6</v>
      </c>
      <c r="AO357">
        <v>0</v>
      </c>
    </row>
    <row r="358" spans="1:42" ht="15" customHeight="1" x14ac:dyDescent="0.35">
      <c r="A358" s="4">
        <v>44778</v>
      </c>
      <c r="B358" s="86">
        <v>14</v>
      </c>
      <c r="C358" s="5" t="s">
        <v>79</v>
      </c>
      <c r="D358" s="24" t="s">
        <v>42</v>
      </c>
      <c r="E358" s="5"/>
      <c r="F358" s="5">
        <v>1050</v>
      </c>
      <c r="G358" s="5">
        <v>200</v>
      </c>
      <c r="I358" s="5">
        <v>10</v>
      </c>
      <c r="J358" s="69"/>
      <c r="K358" s="69"/>
      <c r="L358" s="69"/>
      <c r="M358" s="5" t="s">
        <v>16</v>
      </c>
      <c r="N358" s="6">
        <v>5</v>
      </c>
      <c r="O358" s="5">
        <v>120</v>
      </c>
      <c r="P358" s="5">
        <v>33</v>
      </c>
      <c r="Q358" s="5">
        <v>20</v>
      </c>
      <c r="R358" s="5">
        <f t="shared" si="55"/>
        <v>173</v>
      </c>
      <c r="S358" s="3">
        <f t="shared" si="56"/>
        <v>3.6363636363636362</v>
      </c>
      <c r="T358" s="3">
        <f>29.5/3</f>
        <v>9.8333333333333339</v>
      </c>
      <c r="U358" s="3">
        <f>53.5/26.9</f>
        <v>1.9888475836431228</v>
      </c>
      <c r="V358" s="5">
        <v>1</v>
      </c>
      <c r="W358" s="6" t="s">
        <v>169</v>
      </c>
      <c r="X358" s="5" t="s">
        <v>179</v>
      </c>
      <c r="Y358" s="5"/>
      <c r="AB358" s="5" t="s">
        <v>138</v>
      </c>
      <c r="AC358" s="5">
        <v>100</v>
      </c>
      <c r="AD358" s="78">
        <v>6.3E-2</v>
      </c>
      <c r="AE358" s="14">
        <v>3</v>
      </c>
      <c r="AF358" s="44" t="s">
        <v>102</v>
      </c>
      <c r="AG358" s="2" t="s">
        <v>102</v>
      </c>
      <c r="AH358" s="6"/>
      <c r="AI358" s="7"/>
      <c r="AJ358" s="2"/>
      <c r="AK358" s="15"/>
      <c r="AL358" s="6"/>
      <c r="AM358" s="6"/>
      <c r="AN358" s="6">
        <v>5.7</v>
      </c>
      <c r="AO358">
        <v>0.3</v>
      </c>
    </row>
    <row r="359" spans="1:42" ht="15" customHeight="1" x14ac:dyDescent="0.35">
      <c r="A359" s="4">
        <v>44778</v>
      </c>
      <c r="B359" s="86">
        <v>14</v>
      </c>
      <c r="C359" s="5" t="s">
        <v>79</v>
      </c>
      <c r="D359" s="24" t="s">
        <v>42</v>
      </c>
      <c r="E359" s="5"/>
      <c r="F359" s="5">
        <v>1050</v>
      </c>
      <c r="G359" s="5">
        <v>200</v>
      </c>
      <c r="I359" s="5">
        <v>10</v>
      </c>
      <c r="J359" s="69"/>
      <c r="K359" s="69"/>
      <c r="L359" s="69"/>
      <c r="M359" s="5" t="s">
        <v>16</v>
      </c>
      <c r="N359" s="6">
        <v>5</v>
      </c>
      <c r="O359" s="5">
        <v>120</v>
      </c>
      <c r="P359" s="5">
        <v>33</v>
      </c>
      <c r="Q359" s="5">
        <v>20</v>
      </c>
      <c r="R359" s="5">
        <f t="shared" si="55"/>
        <v>173</v>
      </c>
      <c r="S359" s="3">
        <f t="shared" si="56"/>
        <v>3.6363636363636362</v>
      </c>
      <c r="T359" s="3">
        <f>29.5/3</f>
        <v>9.8333333333333339</v>
      </c>
      <c r="U359" s="3">
        <f>53.5/26.9</f>
        <v>1.9888475836431228</v>
      </c>
      <c r="V359" s="5">
        <v>1</v>
      </c>
      <c r="W359" s="6" t="s">
        <v>169</v>
      </c>
      <c r="X359" s="5" t="s">
        <v>46</v>
      </c>
      <c r="Y359" s="5"/>
      <c r="AB359" s="5" t="s">
        <v>138</v>
      </c>
      <c r="AC359" s="5">
        <v>100</v>
      </c>
      <c r="AD359" s="78">
        <v>4.3999999999999997E-2</v>
      </c>
      <c r="AE359" s="14">
        <v>3</v>
      </c>
      <c r="AF359" s="44" t="s">
        <v>102</v>
      </c>
      <c r="AG359" s="2" t="s">
        <v>102</v>
      </c>
      <c r="AH359" s="6"/>
      <c r="AI359" s="7"/>
      <c r="AJ359" s="2"/>
      <c r="AK359" s="15"/>
      <c r="AL359" s="6"/>
      <c r="AM359" s="6"/>
      <c r="AN359" s="6">
        <v>6.35</v>
      </c>
      <c r="AO359">
        <v>0.65</v>
      </c>
    </row>
    <row r="360" spans="1:42" ht="15" customHeight="1" thickBot="1" x14ac:dyDescent="0.4">
      <c r="A360" s="4"/>
      <c r="B360" s="86"/>
      <c r="C360" s="5"/>
      <c r="D360" s="24"/>
      <c r="E360" s="5"/>
      <c r="F360" s="5"/>
      <c r="G360" s="5"/>
      <c r="I360" s="5"/>
      <c r="J360" s="69"/>
      <c r="K360" s="69"/>
      <c r="L360" s="69"/>
      <c r="M360" s="5"/>
      <c r="N360" s="6"/>
      <c r="O360" s="5"/>
      <c r="P360" s="5"/>
      <c r="Q360" s="5"/>
      <c r="R360" s="5"/>
      <c r="S360" s="3"/>
      <c r="T360" s="3"/>
      <c r="U360" s="3"/>
      <c r="V360" s="5"/>
      <c r="W360" s="5"/>
      <c r="X360" s="5"/>
      <c r="Y360" s="5"/>
      <c r="AB360" s="5"/>
      <c r="AC360" s="5"/>
      <c r="AD360" s="78"/>
      <c r="AE360" s="14"/>
      <c r="AF360" s="44"/>
      <c r="AG360" s="2"/>
      <c r="AH360" s="6"/>
      <c r="AI360" s="7"/>
      <c r="AJ360" s="2"/>
      <c r="AK360" s="15"/>
      <c r="AL360" s="6"/>
      <c r="AM360" s="6"/>
      <c r="AN360" s="6"/>
    </row>
    <row r="361" spans="1:42" s="34" customFormat="1" ht="15" customHeight="1" thickBot="1" x14ac:dyDescent="0.4">
      <c r="A361" s="102"/>
      <c r="B361" s="88"/>
      <c r="J361" s="70"/>
      <c r="K361" s="70"/>
      <c r="L361" s="70"/>
      <c r="N361" s="31"/>
      <c r="S361" s="37"/>
      <c r="T361" s="37"/>
      <c r="U361" s="37"/>
      <c r="Z361" s="82"/>
      <c r="AD361" s="98"/>
      <c r="AE361" s="35"/>
      <c r="AF361" s="31"/>
      <c r="AH361" s="31"/>
      <c r="AI361" s="33"/>
      <c r="AJ361" s="31"/>
      <c r="AK361" s="32"/>
      <c r="AL361" s="31"/>
      <c r="AM361" s="31"/>
    </row>
    <row r="362" spans="1:42" s="5" customFormat="1" ht="14.5" x14ac:dyDescent="0.35">
      <c r="A362" s="4"/>
      <c r="B362" s="86"/>
      <c r="J362" s="69"/>
      <c r="K362" s="69"/>
      <c r="L362" s="69"/>
      <c r="N362" s="6"/>
      <c r="S362" s="3"/>
      <c r="T362" s="3"/>
      <c r="U362" s="3"/>
      <c r="Z362" s="4"/>
      <c r="AD362" s="79"/>
    </row>
    <row r="363" spans="1:42" s="5" customFormat="1" ht="18.5" x14ac:dyDescent="0.35">
      <c r="C363" s="6"/>
      <c r="D363" s="6"/>
      <c r="E363" s="6"/>
      <c r="F363" s="6"/>
      <c r="G363" s="6"/>
      <c r="H363" s="6"/>
      <c r="I363" s="6"/>
      <c r="J363" s="69"/>
      <c r="K363" s="69"/>
      <c r="L363" s="69"/>
      <c r="M363" s="6"/>
      <c r="N363" s="6"/>
      <c r="O363" s="6"/>
      <c r="P363" s="6"/>
      <c r="Q363" s="6"/>
      <c r="R363" s="6"/>
      <c r="S363" s="8"/>
      <c r="T363" s="8"/>
      <c r="U363" s="8"/>
      <c r="W363" s="6"/>
      <c r="X363" s="6"/>
      <c r="Y363" s="6"/>
      <c r="Z363" s="6"/>
      <c r="AA363" s="6"/>
      <c r="AC363" s="78"/>
      <c r="AD363" s="16"/>
      <c r="AE363" s="6"/>
      <c r="AI363" s="6"/>
      <c r="AJ363" s="6"/>
      <c r="AK363" s="15"/>
      <c r="AL363" s="6"/>
      <c r="AM363" s="6"/>
    </row>
    <row r="364" spans="1:42" s="5" customFormat="1" ht="18.5" x14ac:dyDescent="0.35">
      <c r="A364" s="4">
        <v>44797</v>
      </c>
      <c r="B364" s="5">
        <v>1</v>
      </c>
      <c r="C364" s="5" t="s">
        <v>48</v>
      </c>
      <c r="D364" s="5" t="s">
        <v>42</v>
      </c>
      <c r="F364" s="5">
        <v>1050</v>
      </c>
      <c r="G364" s="5">
        <v>200</v>
      </c>
      <c r="I364" s="5">
        <v>10</v>
      </c>
      <c r="J364" s="69">
        <v>0.79</v>
      </c>
      <c r="K364" s="69">
        <v>2.85</v>
      </c>
      <c r="L364" s="69">
        <v>0.06</v>
      </c>
      <c r="M364" s="5" t="s">
        <v>16</v>
      </c>
      <c r="N364" s="6">
        <v>5</v>
      </c>
      <c r="O364" s="5">
        <v>84</v>
      </c>
      <c r="P364" s="5">
        <v>48</v>
      </c>
      <c r="Q364" s="5">
        <v>24</v>
      </c>
      <c r="R364" s="5">
        <f t="shared" ref="R364:R390" si="61">O364+P364+Q364</f>
        <v>156</v>
      </c>
      <c r="S364" s="3">
        <f t="shared" ref="S364:S390" si="62">O364/P364</f>
        <v>1.75</v>
      </c>
      <c r="T364" s="3">
        <f t="shared" ref="T364" si="63">16.8/18</f>
        <v>0.93333333333333335</v>
      </c>
      <c r="U364" s="3">
        <f t="shared" ref="U364" si="64">28.5/45</f>
        <v>0.6333333333333333</v>
      </c>
      <c r="V364" s="5">
        <v>1</v>
      </c>
      <c r="W364" s="6" t="s">
        <v>169</v>
      </c>
      <c r="X364" s="5" t="s">
        <v>45</v>
      </c>
      <c r="AB364" s="5" t="str">
        <f t="shared" ref="AB364:AB390" si="65">IF(Y364="20um Schlenk", "Single", "Poly")</f>
        <v>Poly</v>
      </c>
      <c r="AC364" s="5">
        <v>100</v>
      </c>
      <c r="AD364" s="78">
        <v>2.9000000000000001E-2</v>
      </c>
      <c r="AE364" s="16">
        <v>0</v>
      </c>
      <c r="AF364" s="6" t="s">
        <v>104</v>
      </c>
      <c r="AG364" s="5" t="s">
        <v>102</v>
      </c>
      <c r="AI364" s="6"/>
      <c r="AJ364" s="6"/>
      <c r="AK364" s="15"/>
      <c r="AN364" s="5">
        <f>IF((AE364=0),0,"")</f>
        <v>0</v>
      </c>
      <c r="AO364" s="5">
        <f t="shared" ref="AO364:AO376" si="66">IF(ISBLANK(AN364),"",ABS(AN364-AE364))</f>
        <v>0</v>
      </c>
    </row>
    <row r="365" spans="1:42" s="5" customFormat="1" ht="14.5" x14ac:dyDescent="0.35">
      <c r="A365" s="4">
        <v>44797</v>
      </c>
      <c r="B365" s="5">
        <v>1</v>
      </c>
      <c r="C365" s="5" t="s">
        <v>48</v>
      </c>
      <c r="D365" s="5" t="s">
        <v>42</v>
      </c>
      <c r="F365" s="5">
        <v>1050</v>
      </c>
      <c r="G365" s="5">
        <v>200</v>
      </c>
      <c r="I365" s="5">
        <v>10</v>
      </c>
      <c r="J365" s="69">
        <v>0.79</v>
      </c>
      <c r="K365" s="69">
        <v>2.85</v>
      </c>
      <c r="L365" s="69">
        <v>0.06</v>
      </c>
      <c r="M365" s="5" t="s">
        <v>16</v>
      </c>
      <c r="N365" s="6">
        <v>5</v>
      </c>
      <c r="O365" s="5">
        <v>84</v>
      </c>
      <c r="P365" s="5">
        <v>48</v>
      </c>
      <c r="Q365" s="5">
        <v>24</v>
      </c>
      <c r="R365" s="5">
        <f t="shared" si="61"/>
        <v>156</v>
      </c>
      <c r="S365" s="3">
        <f t="shared" si="62"/>
        <v>1.75</v>
      </c>
      <c r="T365" s="3">
        <f>16.8/18</f>
        <v>0.93333333333333335</v>
      </c>
      <c r="U365" s="3">
        <f>28.5/45</f>
        <v>0.6333333333333333</v>
      </c>
      <c r="V365" s="5">
        <v>1</v>
      </c>
      <c r="W365" s="6" t="s">
        <v>169</v>
      </c>
      <c r="X365" s="5" t="s">
        <v>179</v>
      </c>
      <c r="AB365" s="5" t="str">
        <f t="shared" si="65"/>
        <v>Poly</v>
      </c>
      <c r="AC365" s="5">
        <v>100</v>
      </c>
      <c r="AD365" s="79">
        <v>1.2E-2</v>
      </c>
      <c r="AE365" s="5">
        <v>0</v>
      </c>
      <c r="AF365" s="5" t="s">
        <v>103</v>
      </c>
      <c r="AG365" s="5" t="s">
        <v>102</v>
      </c>
      <c r="AN365" s="5">
        <f>IF((AE365=0),0,"")</f>
        <v>0</v>
      </c>
      <c r="AO365" s="5">
        <f t="shared" si="66"/>
        <v>0</v>
      </c>
    </row>
    <row r="366" spans="1:42" s="5" customFormat="1" ht="14.5" x14ac:dyDescent="0.35">
      <c r="A366" s="4">
        <v>44797</v>
      </c>
      <c r="B366" s="5">
        <v>1</v>
      </c>
      <c r="C366" s="5" t="s">
        <v>48</v>
      </c>
      <c r="D366" s="5" t="s">
        <v>42</v>
      </c>
      <c r="F366" s="5">
        <v>1050</v>
      </c>
      <c r="G366" s="5">
        <v>200</v>
      </c>
      <c r="I366" s="5">
        <v>10</v>
      </c>
      <c r="J366" s="69">
        <v>0.79</v>
      </c>
      <c r="K366" s="69">
        <v>2.85</v>
      </c>
      <c r="L366" s="69">
        <v>0.06</v>
      </c>
      <c r="M366" s="5" t="s">
        <v>16</v>
      </c>
      <c r="N366" s="6">
        <v>5</v>
      </c>
      <c r="O366" s="5">
        <v>84</v>
      </c>
      <c r="P366" s="5">
        <v>48</v>
      </c>
      <c r="Q366" s="5">
        <v>24</v>
      </c>
      <c r="R366" s="5">
        <f t="shared" si="61"/>
        <v>156</v>
      </c>
      <c r="S366" s="3">
        <f t="shared" si="62"/>
        <v>1.75</v>
      </c>
      <c r="T366" s="3">
        <f>16.8/18</f>
        <v>0.93333333333333335</v>
      </c>
      <c r="U366" s="3">
        <f>28.5/45</f>
        <v>0.6333333333333333</v>
      </c>
      <c r="V366" s="5">
        <v>1</v>
      </c>
      <c r="W366" s="6" t="s">
        <v>52</v>
      </c>
      <c r="X366" s="5" t="s">
        <v>46</v>
      </c>
      <c r="Z366" s="4">
        <v>44796</v>
      </c>
      <c r="AB366" s="5" t="str">
        <f t="shared" si="65"/>
        <v>Poly</v>
      </c>
      <c r="AC366" s="5">
        <v>100</v>
      </c>
      <c r="AD366" s="79">
        <v>1.4999999999999999E-2</v>
      </c>
      <c r="AE366" s="5">
        <v>1</v>
      </c>
      <c r="AF366" s="5" t="s">
        <v>102</v>
      </c>
      <c r="AG366" s="5" t="s">
        <v>102</v>
      </c>
      <c r="AN366" s="5">
        <v>9</v>
      </c>
      <c r="AO366" s="5">
        <f t="shared" si="66"/>
        <v>8</v>
      </c>
      <c r="AP366" s="5" t="s">
        <v>186</v>
      </c>
    </row>
    <row r="367" spans="1:42" s="5" customFormat="1" ht="14.5" x14ac:dyDescent="0.35">
      <c r="A367" s="4">
        <v>44797</v>
      </c>
      <c r="B367" s="5">
        <v>1</v>
      </c>
      <c r="C367" s="5" t="s">
        <v>48</v>
      </c>
      <c r="D367" s="5" t="s">
        <v>42</v>
      </c>
      <c r="F367" s="5">
        <v>1050</v>
      </c>
      <c r="G367" s="5">
        <v>200</v>
      </c>
      <c r="I367" s="5">
        <v>10</v>
      </c>
      <c r="J367" s="69">
        <v>0.79</v>
      </c>
      <c r="K367" s="69">
        <v>2.85</v>
      </c>
      <c r="L367" s="69">
        <v>0.06</v>
      </c>
      <c r="M367" s="5" t="s">
        <v>16</v>
      </c>
      <c r="N367" s="6">
        <v>5</v>
      </c>
      <c r="O367" s="5">
        <v>84</v>
      </c>
      <c r="P367" s="5">
        <v>48</v>
      </c>
      <c r="Q367" s="5">
        <v>24</v>
      </c>
      <c r="R367" s="5">
        <f t="shared" si="61"/>
        <v>156</v>
      </c>
      <c r="S367" s="3">
        <f t="shared" si="62"/>
        <v>1.75</v>
      </c>
      <c r="T367" s="3">
        <f>16.8/18</f>
        <v>0.93333333333333335</v>
      </c>
      <c r="U367" s="3">
        <f>28.5/45</f>
        <v>0.6333333333333333</v>
      </c>
      <c r="V367" s="5">
        <v>1</v>
      </c>
      <c r="W367" s="6" t="s">
        <v>169</v>
      </c>
      <c r="X367" s="5" t="s">
        <v>46</v>
      </c>
      <c r="Y367" s="5" t="s">
        <v>122</v>
      </c>
      <c r="Z367" s="4">
        <v>44725</v>
      </c>
      <c r="AB367" s="5" t="str">
        <f t="shared" si="65"/>
        <v>Poly</v>
      </c>
      <c r="AC367" s="5">
        <v>100</v>
      </c>
      <c r="AD367" s="79">
        <v>7.0000000000000007E-2</v>
      </c>
      <c r="AE367" s="5">
        <v>3</v>
      </c>
      <c r="AF367" s="5" t="s">
        <v>103</v>
      </c>
      <c r="AG367" s="5" t="s">
        <v>102</v>
      </c>
      <c r="AN367" s="5">
        <v>8</v>
      </c>
      <c r="AO367" s="5">
        <f t="shared" si="66"/>
        <v>5</v>
      </c>
      <c r="AP367" s="5" t="s">
        <v>186</v>
      </c>
    </row>
    <row r="368" spans="1:42" s="5" customFormat="1" ht="14.5" x14ac:dyDescent="0.35">
      <c r="A368" s="4">
        <v>44797</v>
      </c>
      <c r="B368" s="5">
        <v>1</v>
      </c>
      <c r="C368" s="5" t="s">
        <v>48</v>
      </c>
      <c r="D368" s="5" t="s">
        <v>42</v>
      </c>
      <c r="F368" s="5">
        <v>1050</v>
      </c>
      <c r="G368" s="5">
        <v>200</v>
      </c>
      <c r="I368" s="5">
        <v>10</v>
      </c>
      <c r="J368" s="69">
        <v>0.79</v>
      </c>
      <c r="K368" s="69">
        <v>2.85</v>
      </c>
      <c r="L368" s="69">
        <v>0.06</v>
      </c>
      <c r="M368" s="5" t="s">
        <v>16</v>
      </c>
      <c r="N368" s="6">
        <v>5</v>
      </c>
      <c r="O368" s="5">
        <v>84</v>
      </c>
      <c r="P368" s="5">
        <v>48</v>
      </c>
      <c r="Q368" s="5">
        <v>24</v>
      </c>
      <c r="R368" s="5">
        <f t="shared" si="61"/>
        <v>156</v>
      </c>
      <c r="S368" s="3">
        <f t="shared" si="62"/>
        <v>1.75</v>
      </c>
      <c r="T368" s="3">
        <f>16.8/18</f>
        <v>0.93333333333333335</v>
      </c>
      <c r="U368" s="3">
        <f>28.5/45</f>
        <v>0.6333333333333333</v>
      </c>
      <c r="V368" s="5">
        <v>1</v>
      </c>
      <c r="W368" s="6" t="s">
        <v>169</v>
      </c>
      <c r="X368" s="5" t="s">
        <v>45</v>
      </c>
      <c r="Y368" s="5" t="s">
        <v>122</v>
      </c>
      <c r="AB368" s="5" t="str">
        <f t="shared" si="65"/>
        <v>Poly</v>
      </c>
      <c r="AC368" s="5">
        <v>100</v>
      </c>
      <c r="AD368" s="79">
        <v>3.1E-2</v>
      </c>
      <c r="AE368" s="5">
        <v>0</v>
      </c>
      <c r="AF368" s="5" t="s">
        <v>103</v>
      </c>
      <c r="AG368" s="5" t="s">
        <v>103</v>
      </c>
      <c r="AN368" s="5">
        <f>IF((AE368=0),0,"")</f>
        <v>0</v>
      </c>
      <c r="AO368" s="5">
        <f t="shared" si="66"/>
        <v>0</v>
      </c>
    </row>
    <row r="369" spans="1:42" s="5" customFormat="1" ht="14.5" x14ac:dyDescent="0.35">
      <c r="A369" s="4">
        <v>44797</v>
      </c>
      <c r="B369" s="5">
        <v>1</v>
      </c>
      <c r="C369" s="5" t="s">
        <v>48</v>
      </c>
      <c r="D369" s="5" t="s">
        <v>42</v>
      </c>
      <c r="F369" s="5">
        <v>1050</v>
      </c>
      <c r="G369" s="5">
        <v>200</v>
      </c>
      <c r="I369" s="5">
        <v>10</v>
      </c>
      <c r="J369" s="69">
        <v>0.79</v>
      </c>
      <c r="K369" s="69">
        <v>2.85</v>
      </c>
      <c r="L369" s="69">
        <v>0.06</v>
      </c>
      <c r="M369" s="5" t="s">
        <v>16</v>
      </c>
      <c r="N369" s="6">
        <v>5</v>
      </c>
      <c r="O369" s="5">
        <v>84</v>
      </c>
      <c r="P369" s="5">
        <v>48</v>
      </c>
      <c r="Q369" s="5">
        <v>24</v>
      </c>
      <c r="R369" s="5">
        <f t="shared" si="61"/>
        <v>156</v>
      </c>
      <c r="S369" s="3">
        <f t="shared" si="62"/>
        <v>1.75</v>
      </c>
      <c r="T369" s="3">
        <f>16.8/18</f>
        <v>0.93333333333333335</v>
      </c>
      <c r="U369" s="3">
        <f>28.5/45</f>
        <v>0.6333333333333333</v>
      </c>
      <c r="V369" s="5">
        <v>1</v>
      </c>
      <c r="W369" s="6" t="s">
        <v>169</v>
      </c>
      <c r="X369" s="5" t="s">
        <v>46</v>
      </c>
      <c r="Y369" s="5" t="s">
        <v>187</v>
      </c>
      <c r="Z369" s="4">
        <v>44755</v>
      </c>
      <c r="AB369" s="5" t="str">
        <f t="shared" si="65"/>
        <v>Poly</v>
      </c>
      <c r="AC369" s="5">
        <v>100</v>
      </c>
      <c r="AD369" s="79">
        <v>1.0999999999999999E-2</v>
      </c>
      <c r="AE369" s="5">
        <v>0</v>
      </c>
      <c r="AF369" s="5" t="s">
        <v>102</v>
      </c>
      <c r="AG369" s="5" t="s">
        <v>102</v>
      </c>
      <c r="AN369" s="5">
        <f>IF((AE369=0),0,"")</f>
        <v>0</v>
      </c>
      <c r="AO369" s="5">
        <f t="shared" si="66"/>
        <v>0</v>
      </c>
    </row>
    <row r="370" spans="1:42" s="5" customFormat="1" ht="14.5" x14ac:dyDescent="0.35">
      <c r="A370" s="4">
        <v>44797</v>
      </c>
      <c r="B370" s="5">
        <v>2</v>
      </c>
      <c r="C370" s="5" t="s">
        <v>157</v>
      </c>
      <c r="D370" s="5" t="s">
        <v>42</v>
      </c>
      <c r="F370" s="5">
        <v>1050</v>
      </c>
      <c r="G370" s="5">
        <v>100</v>
      </c>
      <c r="I370" s="5">
        <v>12</v>
      </c>
      <c r="J370" s="67">
        <v>0.74</v>
      </c>
      <c r="K370" s="67">
        <v>2.92</v>
      </c>
      <c r="L370" s="67">
        <v>0.05</v>
      </c>
      <c r="M370" s="5" t="s">
        <v>16</v>
      </c>
      <c r="N370" s="5">
        <v>5</v>
      </c>
      <c r="O370" s="5">
        <v>91</v>
      </c>
      <c r="P370" s="5">
        <v>25</v>
      </c>
      <c r="Q370" s="5">
        <v>0</v>
      </c>
      <c r="R370" s="5">
        <f t="shared" si="61"/>
        <v>116</v>
      </c>
      <c r="S370" s="3">
        <f t="shared" si="62"/>
        <v>3.64</v>
      </c>
      <c r="T370" s="3">
        <f t="shared" ref="T370:T377" si="67">18.7/4</f>
        <v>4.6749999999999998</v>
      </c>
      <c r="U370" s="3">
        <f t="shared" ref="U370:U377" si="68">32/22</f>
        <v>1.4545454545454546</v>
      </c>
      <c r="V370" s="5">
        <v>1</v>
      </c>
      <c r="W370" s="6" t="s">
        <v>169</v>
      </c>
      <c r="X370" s="5" t="s">
        <v>45</v>
      </c>
      <c r="AB370" s="5" t="str">
        <f t="shared" si="65"/>
        <v>Poly</v>
      </c>
      <c r="AC370" s="5">
        <v>100</v>
      </c>
      <c r="AD370" s="79">
        <v>5.2999999999999999E-2</v>
      </c>
      <c r="AE370" s="5">
        <v>1</v>
      </c>
      <c r="AF370" s="5" t="s">
        <v>104</v>
      </c>
      <c r="AG370" s="5" t="s">
        <v>102</v>
      </c>
      <c r="AO370" s="5" t="str">
        <f t="shared" si="66"/>
        <v/>
      </c>
    </row>
    <row r="371" spans="1:42" s="5" customFormat="1" ht="14.5" x14ac:dyDescent="0.35">
      <c r="A371" s="4">
        <v>44797</v>
      </c>
      <c r="B371" s="5">
        <v>2</v>
      </c>
      <c r="C371" s="5" t="s">
        <v>157</v>
      </c>
      <c r="D371" s="5" t="s">
        <v>42</v>
      </c>
      <c r="F371" s="5">
        <v>1050</v>
      </c>
      <c r="G371" s="5">
        <v>100</v>
      </c>
      <c r="I371" s="5">
        <v>12</v>
      </c>
      <c r="J371" s="67">
        <v>0.74</v>
      </c>
      <c r="K371" s="67">
        <v>2.92</v>
      </c>
      <c r="L371" s="67">
        <v>0.05</v>
      </c>
      <c r="M371" s="5" t="s">
        <v>16</v>
      </c>
      <c r="N371" s="5">
        <v>5</v>
      </c>
      <c r="O371" s="5">
        <v>91</v>
      </c>
      <c r="P371" s="5">
        <v>25</v>
      </c>
      <c r="Q371" s="5">
        <v>0</v>
      </c>
      <c r="R371" s="5">
        <f t="shared" si="61"/>
        <v>116</v>
      </c>
      <c r="S371" s="3">
        <f t="shared" si="62"/>
        <v>3.64</v>
      </c>
      <c r="T371" s="3">
        <f t="shared" si="67"/>
        <v>4.6749999999999998</v>
      </c>
      <c r="U371" s="3">
        <f t="shared" si="68"/>
        <v>1.4545454545454546</v>
      </c>
      <c r="V371" s="5">
        <v>1</v>
      </c>
      <c r="W371" s="6" t="s">
        <v>169</v>
      </c>
      <c r="X371" s="5" t="s">
        <v>179</v>
      </c>
      <c r="AB371" s="5" t="str">
        <f t="shared" si="65"/>
        <v>Poly</v>
      </c>
      <c r="AC371" s="5">
        <v>100</v>
      </c>
      <c r="AD371" s="79">
        <v>2.1999999999999999E-2</v>
      </c>
      <c r="AE371" s="5">
        <v>1</v>
      </c>
      <c r="AF371" s="5" t="s">
        <v>102</v>
      </c>
      <c r="AG371" s="5" t="s">
        <v>102</v>
      </c>
      <c r="AO371" s="5" t="str">
        <f t="shared" si="66"/>
        <v/>
      </c>
    </row>
    <row r="372" spans="1:42" s="5" customFormat="1" ht="14.5" x14ac:dyDescent="0.35">
      <c r="A372" s="4">
        <v>44797</v>
      </c>
      <c r="B372" s="5">
        <v>2</v>
      </c>
      <c r="C372" s="5" t="s">
        <v>157</v>
      </c>
      <c r="D372" s="5" t="s">
        <v>42</v>
      </c>
      <c r="F372" s="5">
        <v>1050</v>
      </c>
      <c r="G372" s="5">
        <v>100</v>
      </c>
      <c r="I372" s="5">
        <v>12</v>
      </c>
      <c r="J372" s="67">
        <v>0.74</v>
      </c>
      <c r="K372" s="67">
        <v>2.92</v>
      </c>
      <c r="L372" s="67">
        <v>0.05</v>
      </c>
      <c r="M372" s="5" t="s">
        <v>16</v>
      </c>
      <c r="N372" s="5">
        <v>5</v>
      </c>
      <c r="O372" s="5">
        <v>91</v>
      </c>
      <c r="P372" s="5">
        <v>25</v>
      </c>
      <c r="Q372" s="5">
        <v>0</v>
      </c>
      <c r="R372" s="5">
        <f t="shared" si="61"/>
        <v>116</v>
      </c>
      <c r="S372" s="3">
        <f t="shared" si="62"/>
        <v>3.64</v>
      </c>
      <c r="T372" s="3">
        <f t="shared" si="67"/>
        <v>4.6749999999999998</v>
      </c>
      <c r="U372" s="3">
        <f t="shared" si="68"/>
        <v>1.4545454545454546</v>
      </c>
      <c r="W372" s="5" t="s">
        <v>188</v>
      </c>
      <c r="X372" s="5" t="s">
        <v>46</v>
      </c>
      <c r="AB372" s="5" t="str">
        <f t="shared" si="65"/>
        <v>Poly</v>
      </c>
      <c r="AC372" s="5">
        <v>100</v>
      </c>
      <c r="AD372" s="79">
        <v>1.2999999999999999E-2</v>
      </c>
      <c r="AE372" s="5">
        <v>1</v>
      </c>
      <c r="AF372" s="5" t="s">
        <v>104</v>
      </c>
      <c r="AG372" s="5" t="s">
        <v>102</v>
      </c>
      <c r="AO372" s="5" t="str">
        <f t="shared" si="66"/>
        <v/>
      </c>
    </row>
    <row r="373" spans="1:42" s="5" customFormat="1" ht="14.5" x14ac:dyDescent="0.35">
      <c r="A373" s="4">
        <v>44797</v>
      </c>
      <c r="B373" s="5">
        <v>2</v>
      </c>
      <c r="C373" s="5" t="s">
        <v>157</v>
      </c>
      <c r="D373" s="5" t="s">
        <v>42</v>
      </c>
      <c r="F373" s="5">
        <v>1050</v>
      </c>
      <c r="G373" s="5">
        <v>100</v>
      </c>
      <c r="I373" s="5">
        <v>12</v>
      </c>
      <c r="J373" s="67">
        <v>0.74</v>
      </c>
      <c r="K373" s="67">
        <v>2.92</v>
      </c>
      <c r="L373" s="67">
        <v>0.05</v>
      </c>
      <c r="M373" s="5" t="s">
        <v>16</v>
      </c>
      <c r="N373" s="5">
        <v>5</v>
      </c>
      <c r="O373" s="5">
        <v>91</v>
      </c>
      <c r="P373" s="5">
        <v>25</v>
      </c>
      <c r="Q373" s="5">
        <v>0</v>
      </c>
      <c r="R373" s="5">
        <f t="shared" si="61"/>
        <v>116</v>
      </c>
      <c r="S373" s="3">
        <f t="shared" si="62"/>
        <v>3.64</v>
      </c>
      <c r="T373" s="3">
        <f t="shared" si="67"/>
        <v>4.6749999999999998</v>
      </c>
      <c r="U373" s="3">
        <f t="shared" si="68"/>
        <v>1.4545454545454546</v>
      </c>
      <c r="V373" s="5">
        <v>1</v>
      </c>
      <c r="W373" s="6" t="s">
        <v>169</v>
      </c>
      <c r="X373" s="5" t="s">
        <v>45</v>
      </c>
      <c r="Y373" s="5" t="s">
        <v>189</v>
      </c>
      <c r="Z373" s="4">
        <v>44725</v>
      </c>
      <c r="AB373" s="5" t="str">
        <f t="shared" si="65"/>
        <v>Poly</v>
      </c>
      <c r="AC373" s="5">
        <v>100</v>
      </c>
      <c r="AD373" s="79">
        <v>2.8000000000000001E-2</v>
      </c>
      <c r="AE373" s="5">
        <v>1</v>
      </c>
      <c r="AF373" s="5" t="s">
        <v>104</v>
      </c>
      <c r="AG373" s="5" t="s">
        <v>102</v>
      </c>
      <c r="AO373" s="5" t="str">
        <f t="shared" si="66"/>
        <v/>
      </c>
    </row>
    <row r="374" spans="1:42" s="5" customFormat="1" ht="14.5" x14ac:dyDescent="0.35">
      <c r="A374" s="4">
        <v>44797</v>
      </c>
      <c r="B374" s="5">
        <v>2</v>
      </c>
      <c r="C374" s="5" t="s">
        <v>157</v>
      </c>
      <c r="D374" s="5" t="s">
        <v>42</v>
      </c>
      <c r="F374" s="5">
        <v>1050</v>
      </c>
      <c r="G374" s="5">
        <v>100</v>
      </c>
      <c r="I374" s="5">
        <v>12</v>
      </c>
      <c r="J374" s="67">
        <v>0.74</v>
      </c>
      <c r="K374" s="67">
        <v>2.92</v>
      </c>
      <c r="L374" s="67">
        <v>0.05</v>
      </c>
      <c r="M374" s="5" t="s">
        <v>16</v>
      </c>
      <c r="N374" s="5">
        <v>5</v>
      </c>
      <c r="O374" s="5">
        <v>91</v>
      </c>
      <c r="P374" s="5">
        <v>25</v>
      </c>
      <c r="Q374" s="5">
        <v>0</v>
      </c>
      <c r="R374" s="5">
        <f t="shared" si="61"/>
        <v>116</v>
      </c>
      <c r="S374" s="3">
        <f t="shared" si="62"/>
        <v>3.64</v>
      </c>
      <c r="T374" s="3">
        <f t="shared" si="67"/>
        <v>4.6749999999999998</v>
      </c>
      <c r="U374" s="3">
        <f t="shared" si="68"/>
        <v>1.4545454545454546</v>
      </c>
      <c r="V374" s="5">
        <v>1</v>
      </c>
      <c r="W374" s="6" t="s">
        <v>169</v>
      </c>
      <c r="X374" s="5" t="s">
        <v>46</v>
      </c>
      <c r="Y374" s="5" t="s">
        <v>189</v>
      </c>
      <c r="AB374" s="5" t="str">
        <f t="shared" si="65"/>
        <v>Poly</v>
      </c>
      <c r="AC374" s="5">
        <v>100</v>
      </c>
      <c r="AD374" s="79">
        <v>1.4E-2</v>
      </c>
      <c r="AE374" s="5">
        <v>2</v>
      </c>
      <c r="AF374" s="5" t="s">
        <v>102</v>
      </c>
      <c r="AG374" s="5" t="s">
        <v>102</v>
      </c>
      <c r="AO374" s="5" t="str">
        <f t="shared" si="66"/>
        <v/>
      </c>
    </row>
    <row r="375" spans="1:42" s="5" customFormat="1" ht="14.5" x14ac:dyDescent="0.35">
      <c r="A375" s="4">
        <v>44797</v>
      </c>
      <c r="B375" s="5">
        <v>2</v>
      </c>
      <c r="C375" s="5" t="s">
        <v>157</v>
      </c>
      <c r="D375" s="5" t="s">
        <v>42</v>
      </c>
      <c r="F375" s="5">
        <v>1050</v>
      </c>
      <c r="G375" s="5">
        <v>100</v>
      </c>
      <c r="I375" s="5">
        <v>12</v>
      </c>
      <c r="J375" s="67">
        <v>0.74</v>
      </c>
      <c r="K375" s="67">
        <v>2.92</v>
      </c>
      <c r="L375" s="67">
        <v>0.05</v>
      </c>
      <c r="M375" s="5" t="s">
        <v>16</v>
      </c>
      <c r="N375" s="5">
        <v>5</v>
      </c>
      <c r="O375" s="5">
        <v>91</v>
      </c>
      <c r="P375" s="5">
        <v>25</v>
      </c>
      <c r="Q375" s="5">
        <v>0</v>
      </c>
      <c r="R375" s="5">
        <f t="shared" si="61"/>
        <v>116</v>
      </c>
      <c r="S375" s="3">
        <f t="shared" si="62"/>
        <v>3.64</v>
      </c>
      <c r="T375" s="3">
        <f t="shared" si="67"/>
        <v>4.6749999999999998</v>
      </c>
      <c r="U375" s="3">
        <f t="shared" si="68"/>
        <v>1.4545454545454546</v>
      </c>
      <c r="V375" s="5">
        <v>1</v>
      </c>
      <c r="W375" s="6" t="s">
        <v>169</v>
      </c>
      <c r="X375" s="5" t="s">
        <v>45</v>
      </c>
      <c r="Y375" s="5" t="s">
        <v>122</v>
      </c>
      <c r="AB375" s="5" t="str">
        <f t="shared" si="65"/>
        <v>Poly</v>
      </c>
      <c r="AC375" s="5">
        <v>100</v>
      </c>
      <c r="AD375" s="79">
        <v>6.6000000000000003E-2</v>
      </c>
      <c r="AE375" s="5">
        <v>0</v>
      </c>
      <c r="AF375" s="5" t="s">
        <v>104</v>
      </c>
      <c r="AG375" s="5" t="s">
        <v>102</v>
      </c>
      <c r="AO375" s="5" t="str">
        <f t="shared" si="66"/>
        <v/>
      </c>
    </row>
    <row r="376" spans="1:42" s="5" customFormat="1" ht="14.5" x14ac:dyDescent="0.35">
      <c r="A376" s="4">
        <v>44797</v>
      </c>
      <c r="B376" s="5">
        <v>2</v>
      </c>
      <c r="C376" s="5" t="s">
        <v>157</v>
      </c>
      <c r="D376" s="5" t="s">
        <v>42</v>
      </c>
      <c r="F376" s="5">
        <v>1050</v>
      </c>
      <c r="G376" s="5">
        <v>100</v>
      </c>
      <c r="I376" s="5">
        <v>12</v>
      </c>
      <c r="J376" s="67">
        <v>0.74</v>
      </c>
      <c r="K376" s="67">
        <v>2.92</v>
      </c>
      <c r="L376" s="67">
        <v>0.05</v>
      </c>
      <c r="M376" s="5" t="s">
        <v>16</v>
      </c>
      <c r="N376" s="5">
        <v>5</v>
      </c>
      <c r="O376" s="5">
        <v>91</v>
      </c>
      <c r="P376" s="5">
        <v>25</v>
      </c>
      <c r="Q376" s="5">
        <v>0</v>
      </c>
      <c r="R376" s="5">
        <f t="shared" si="61"/>
        <v>116</v>
      </c>
      <c r="S376" s="3">
        <f t="shared" si="62"/>
        <v>3.64</v>
      </c>
      <c r="T376" s="3">
        <f t="shared" si="67"/>
        <v>4.6749999999999998</v>
      </c>
      <c r="U376" s="3">
        <f t="shared" si="68"/>
        <v>1.4545454545454546</v>
      </c>
      <c r="V376" s="5">
        <v>1</v>
      </c>
      <c r="W376" s="6" t="s">
        <v>169</v>
      </c>
      <c r="X376" s="5" t="s">
        <v>46</v>
      </c>
      <c r="Y376" s="5" t="s">
        <v>122</v>
      </c>
      <c r="AB376" s="5" t="str">
        <f t="shared" si="65"/>
        <v>Poly</v>
      </c>
      <c r="AC376" s="5">
        <v>100</v>
      </c>
      <c r="AD376" s="79">
        <v>1.6E-2</v>
      </c>
      <c r="AE376" s="5">
        <v>2</v>
      </c>
      <c r="AF376" s="5" t="s">
        <v>104</v>
      </c>
      <c r="AG376" s="5" t="s">
        <v>102</v>
      </c>
      <c r="AO376" s="5" t="str">
        <f t="shared" si="66"/>
        <v/>
      </c>
    </row>
    <row r="377" spans="1:42" s="5" customFormat="1" ht="14.5" x14ac:dyDescent="0.35">
      <c r="A377" s="4">
        <v>44797</v>
      </c>
      <c r="B377" s="5">
        <v>2</v>
      </c>
      <c r="C377" s="5" t="s">
        <v>157</v>
      </c>
      <c r="D377" s="5" t="s">
        <v>42</v>
      </c>
      <c r="F377" s="5">
        <v>1050</v>
      </c>
      <c r="G377" s="5">
        <v>100</v>
      </c>
      <c r="I377" s="5">
        <v>12</v>
      </c>
      <c r="J377" s="67">
        <v>0.74</v>
      </c>
      <c r="K377" s="67">
        <v>2.92</v>
      </c>
      <c r="L377" s="67">
        <v>0.05</v>
      </c>
      <c r="M377" s="5" t="s">
        <v>16</v>
      </c>
      <c r="N377" s="5">
        <v>5</v>
      </c>
      <c r="O377" s="5">
        <v>91</v>
      </c>
      <c r="P377" s="5">
        <v>25</v>
      </c>
      <c r="Q377" s="5">
        <v>0</v>
      </c>
      <c r="R377" s="5">
        <f t="shared" si="61"/>
        <v>116</v>
      </c>
      <c r="S377" s="3">
        <f t="shared" si="62"/>
        <v>3.64</v>
      </c>
      <c r="T377" s="3">
        <f t="shared" si="67"/>
        <v>4.6749999999999998</v>
      </c>
      <c r="U377" s="3">
        <f t="shared" si="68"/>
        <v>1.4545454545454546</v>
      </c>
      <c r="V377" s="5">
        <v>1</v>
      </c>
      <c r="W377" s="6" t="s">
        <v>169</v>
      </c>
      <c r="X377" s="5" t="s">
        <v>46</v>
      </c>
      <c r="Y377" s="5" t="s">
        <v>187</v>
      </c>
      <c r="AB377" s="5" t="str">
        <f t="shared" si="65"/>
        <v>Poly</v>
      </c>
      <c r="AC377" s="5">
        <v>100</v>
      </c>
      <c r="AD377" s="79">
        <v>0.02</v>
      </c>
      <c r="AE377" s="5">
        <v>1</v>
      </c>
      <c r="AF377" s="5" t="s">
        <v>104</v>
      </c>
      <c r="AG377" s="5" t="s">
        <v>102</v>
      </c>
      <c r="AN377" s="5" t="str">
        <f>IF((AE377=0),0,"")</f>
        <v/>
      </c>
    </row>
    <row r="378" spans="1:42" s="5" customFormat="1" ht="14.5" x14ac:dyDescent="0.35">
      <c r="A378" s="4">
        <v>44797</v>
      </c>
      <c r="B378" s="5">
        <v>3</v>
      </c>
      <c r="C378" s="5" t="s">
        <v>48</v>
      </c>
      <c r="D378" s="5" t="s">
        <v>42</v>
      </c>
      <c r="F378" s="5">
        <v>1050</v>
      </c>
      <c r="G378" s="5">
        <v>200</v>
      </c>
      <c r="I378" s="5">
        <v>10</v>
      </c>
      <c r="J378" s="69">
        <v>0.7</v>
      </c>
      <c r="K378" s="69">
        <v>2.93</v>
      </c>
      <c r="L378" s="69">
        <v>0.05</v>
      </c>
      <c r="M378" s="5" t="s">
        <v>16</v>
      </c>
      <c r="N378" s="6">
        <v>5</v>
      </c>
      <c r="O378" s="5">
        <v>84</v>
      </c>
      <c r="P378" s="5">
        <v>48</v>
      </c>
      <c r="Q378" s="5">
        <v>24</v>
      </c>
      <c r="R378" s="5">
        <f t="shared" si="61"/>
        <v>156</v>
      </c>
      <c r="S378" s="3">
        <f t="shared" si="62"/>
        <v>1.75</v>
      </c>
      <c r="T378" s="3">
        <f>16.8/18</f>
        <v>0.93333333333333335</v>
      </c>
      <c r="U378" s="3">
        <f>28.5/45</f>
        <v>0.6333333333333333</v>
      </c>
      <c r="V378" s="5">
        <v>1</v>
      </c>
      <c r="W378" s="6" t="s">
        <v>169</v>
      </c>
      <c r="X378" s="5" t="s">
        <v>45</v>
      </c>
      <c r="AB378" s="5" t="str">
        <f t="shared" si="65"/>
        <v>Poly</v>
      </c>
      <c r="AC378" s="5">
        <v>100</v>
      </c>
      <c r="AD378" s="79">
        <v>2.8000000000000001E-2</v>
      </c>
      <c r="AE378" s="5">
        <v>0</v>
      </c>
      <c r="AF378" s="5" t="s">
        <v>104</v>
      </c>
      <c r="AG378" s="5" t="s">
        <v>104</v>
      </c>
      <c r="AN378" s="5">
        <f>IF((AE378=0),0,"")</f>
        <v>0</v>
      </c>
      <c r="AO378" s="5">
        <f>IF(ISBLANK(AN378),"",ABS(AN378-AE378))</f>
        <v>0</v>
      </c>
    </row>
    <row r="379" spans="1:42" s="5" customFormat="1" ht="14.5" x14ac:dyDescent="0.35">
      <c r="A379" s="4">
        <v>44797</v>
      </c>
      <c r="B379" s="5">
        <v>3</v>
      </c>
      <c r="C379" s="5" t="s">
        <v>48</v>
      </c>
      <c r="D379" s="5" t="s">
        <v>42</v>
      </c>
      <c r="F379" s="5">
        <v>1050</v>
      </c>
      <c r="G379" s="5">
        <v>200</v>
      </c>
      <c r="I379" s="5">
        <v>10</v>
      </c>
      <c r="J379" s="69">
        <v>0.7</v>
      </c>
      <c r="K379" s="69">
        <v>2.93</v>
      </c>
      <c r="L379" s="69">
        <v>0.05</v>
      </c>
      <c r="M379" s="5" t="s">
        <v>16</v>
      </c>
      <c r="N379" s="6">
        <v>5</v>
      </c>
      <c r="O379" s="5">
        <v>84</v>
      </c>
      <c r="P379" s="5">
        <v>48</v>
      </c>
      <c r="Q379" s="5">
        <v>24</v>
      </c>
      <c r="R379" s="5">
        <f t="shared" si="61"/>
        <v>156</v>
      </c>
      <c r="S379" s="3">
        <f t="shared" si="62"/>
        <v>1.75</v>
      </c>
      <c r="T379" s="3">
        <f>16.8/18</f>
        <v>0.93333333333333335</v>
      </c>
      <c r="U379" s="3">
        <f>28.5/45</f>
        <v>0.6333333333333333</v>
      </c>
      <c r="V379" s="5">
        <v>1</v>
      </c>
      <c r="W379" s="6" t="s">
        <v>169</v>
      </c>
      <c r="X379" s="5" t="s">
        <v>45</v>
      </c>
      <c r="Y379" s="5" t="s">
        <v>189</v>
      </c>
      <c r="AB379" s="5" t="str">
        <f t="shared" si="65"/>
        <v>Poly</v>
      </c>
      <c r="AC379" s="5">
        <v>100</v>
      </c>
      <c r="AD379" s="79">
        <v>2.5000000000000001E-2</v>
      </c>
      <c r="AE379" s="5">
        <v>1</v>
      </c>
      <c r="AF379" s="5" t="s">
        <v>104</v>
      </c>
      <c r="AG379" s="5" t="s">
        <v>104</v>
      </c>
      <c r="AN379" s="5">
        <v>6.6</v>
      </c>
      <c r="AO379" s="5">
        <f>IF(ISBLANK(AN379),"",ABS(AN379-AE379))</f>
        <v>5.6</v>
      </c>
      <c r="AP379" s="5" t="s">
        <v>186</v>
      </c>
    </row>
    <row r="380" spans="1:42" ht="15" customHeight="1" x14ac:dyDescent="0.35">
      <c r="A380" s="4">
        <v>44797</v>
      </c>
      <c r="B380" s="5">
        <v>4</v>
      </c>
      <c r="C380" s="5" t="s">
        <v>190</v>
      </c>
      <c r="D380" s="5" t="s">
        <v>42</v>
      </c>
      <c r="E380" s="5"/>
      <c r="F380" s="5">
        <v>1050</v>
      </c>
      <c r="G380" s="5">
        <v>75</v>
      </c>
      <c r="H380" s="5"/>
      <c r="I380" s="5">
        <v>10</v>
      </c>
      <c r="J380" s="69">
        <v>0.7</v>
      </c>
      <c r="K380" s="69">
        <v>2.93</v>
      </c>
      <c r="L380" s="69">
        <v>0.05</v>
      </c>
      <c r="M380" s="5" t="s">
        <v>16</v>
      </c>
      <c r="N380" s="5">
        <v>5</v>
      </c>
      <c r="O380" s="5">
        <v>83</v>
      </c>
      <c r="P380" s="5">
        <v>25</v>
      </c>
      <c r="Q380" s="5">
        <v>0</v>
      </c>
      <c r="R380" s="5">
        <f t="shared" si="61"/>
        <v>108</v>
      </c>
      <c r="S380" s="3">
        <f t="shared" si="62"/>
        <v>3.32</v>
      </c>
      <c r="T380" s="3">
        <f>19.2/4</f>
        <v>4.8</v>
      </c>
      <c r="U380" s="3">
        <f>32/22</f>
        <v>1.4545454545454546</v>
      </c>
      <c r="V380" s="5">
        <v>1</v>
      </c>
      <c r="W380" s="6" t="s">
        <v>169</v>
      </c>
      <c r="X380" s="5" t="s">
        <v>45</v>
      </c>
      <c r="Y380" s="5"/>
      <c r="Z380" s="5"/>
      <c r="AA380" s="5"/>
      <c r="AB380" s="5" t="str">
        <f t="shared" si="65"/>
        <v>Poly</v>
      </c>
      <c r="AC380" s="5">
        <v>100</v>
      </c>
      <c r="AD380" s="79">
        <v>7.2999999999999995E-2</v>
      </c>
      <c r="AE380" s="5">
        <v>2</v>
      </c>
      <c r="AF380" s="5" t="s">
        <v>104</v>
      </c>
      <c r="AG380" s="5" t="s">
        <v>102</v>
      </c>
      <c r="AH380" s="5"/>
      <c r="AI380" s="5"/>
      <c r="AJ380" s="5"/>
      <c r="AK380" s="5"/>
      <c r="AN380" s="5">
        <v>3.5</v>
      </c>
      <c r="AO380" s="5">
        <f>IF(ISBLANK(AN380),"",ABS(AN380-AE380))</f>
        <v>1.5</v>
      </c>
      <c r="AP380" s="5"/>
    </row>
    <row r="381" spans="1:42" ht="15" customHeight="1" x14ac:dyDescent="0.35">
      <c r="A381" s="4">
        <v>44797</v>
      </c>
      <c r="B381" s="5">
        <v>4</v>
      </c>
      <c r="C381" s="5" t="s">
        <v>190</v>
      </c>
      <c r="D381" s="5" t="s">
        <v>42</v>
      </c>
      <c r="E381" s="5"/>
      <c r="F381" s="5">
        <v>1050</v>
      </c>
      <c r="G381" s="5">
        <v>75</v>
      </c>
      <c r="H381" s="5"/>
      <c r="I381" s="5">
        <v>10</v>
      </c>
      <c r="J381" s="69">
        <v>0.7</v>
      </c>
      <c r="K381" s="69">
        <v>2.93</v>
      </c>
      <c r="L381" s="69">
        <v>0.05</v>
      </c>
      <c r="M381" s="5" t="s">
        <v>16</v>
      </c>
      <c r="N381" s="5">
        <v>5</v>
      </c>
      <c r="O381" s="5">
        <v>83</v>
      </c>
      <c r="P381" s="5">
        <v>25</v>
      </c>
      <c r="Q381" s="5">
        <v>0</v>
      </c>
      <c r="R381" s="5">
        <f t="shared" si="61"/>
        <v>108</v>
      </c>
      <c r="S381" s="3">
        <f t="shared" si="62"/>
        <v>3.32</v>
      </c>
      <c r="T381" s="3">
        <f>19.2/4</f>
        <v>4.8</v>
      </c>
      <c r="U381" s="3">
        <f>32/22</f>
        <v>1.4545454545454546</v>
      </c>
      <c r="V381" s="5">
        <v>1</v>
      </c>
      <c r="W381" s="6" t="s">
        <v>169</v>
      </c>
      <c r="X381" s="5" t="s">
        <v>179</v>
      </c>
      <c r="Y381" s="5"/>
      <c r="Z381" s="5"/>
      <c r="AA381" s="5"/>
      <c r="AB381" s="5" t="str">
        <f t="shared" si="65"/>
        <v>Poly</v>
      </c>
      <c r="AC381" s="5">
        <v>100</v>
      </c>
      <c r="AD381" s="79">
        <v>3.3000000000000002E-2</v>
      </c>
      <c r="AE381" s="5">
        <v>1</v>
      </c>
      <c r="AF381" s="5" t="s">
        <v>104</v>
      </c>
      <c r="AG381" s="5" t="s">
        <v>102</v>
      </c>
      <c r="AH381" s="5"/>
      <c r="AI381" s="5"/>
      <c r="AJ381" s="5"/>
      <c r="AK381" s="5"/>
      <c r="AN381" s="5" t="str">
        <f t="shared" ref="AN381:AN390" si="69">IF((AE381=0),0,"")</f>
        <v/>
      </c>
      <c r="AO381" s="5"/>
      <c r="AP381" s="5"/>
    </row>
    <row r="382" spans="1:42" ht="15" customHeight="1" x14ac:dyDescent="0.35">
      <c r="A382" s="4">
        <v>44797</v>
      </c>
      <c r="B382" s="5">
        <v>4</v>
      </c>
      <c r="C382" s="5" t="s">
        <v>190</v>
      </c>
      <c r="D382" s="5" t="s">
        <v>42</v>
      </c>
      <c r="E382" s="5"/>
      <c r="F382" s="5">
        <v>1050</v>
      </c>
      <c r="G382" s="5">
        <v>75</v>
      </c>
      <c r="H382" s="5"/>
      <c r="I382" s="5">
        <v>10</v>
      </c>
      <c r="J382" s="69">
        <v>0.7</v>
      </c>
      <c r="K382" s="69">
        <v>2.93</v>
      </c>
      <c r="L382" s="69">
        <v>0.05</v>
      </c>
      <c r="M382" s="5" t="s">
        <v>16</v>
      </c>
      <c r="N382" s="5">
        <v>5</v>
      </c>
      <c r="O382" s="5">
        <v>83</v>
      </c>
      <c r="P382" s="5">
        <v>25</v>
      </c>
      <c r="Q382" s="5">
        <v>0</v>
      </c>
      <c r="R382" s="5">
        <f t="shared" si="61"/>
        <v>108</v>
      </c>
      <c r="S382" s="3">
        <f t="shared" si="62"/>
        <v>3.32</v>
      </c>
      <c r="T382" s="3">
        <f>19.2/4</f>
        <v>4.8</v>
      </c>
      <c r="U382" s="3">
        <f>32/22</f>
        <v>1.4545454545454546</v>
      </c>
      <c r="V382" s="5">
        <v>1</v>
      </c>
      <c r="W382" s="6" t="s">
        <v>169</v>
      </c>
      <c r="X382" s="5" t="s">
        <v>46</v>
      </c>
      <c r="Y382" s="5"/>
      <c r="Z382" s="5"/>
      <c r="AA382" s="5"/>
      <c r="AB382" s="5" t="str">
        <f t="shared" si="65"/>
        <v>Poly</v>
      </c>
      <c r="AC382" s="5">
        <v>100</v>
      </c>
      <c r="AD382" s="79">
        <v>2.8000000000000001E-2</v>
      </c>
      <c r="AE382" s="5">
        <v>3</v>
      </c>
      <c r="AF382" s="5" t="s">
        <v>104</v>
      </c>
      <c r="AG382" s="5" t="s">
        <v>102</v>
      </c>
      <c r="AH382" s="5"/>
      <c r="AI382" s="5"/>
      <c r="AJ382" s="5"/>
      <c r="AK382" s="5"/>
      <c r="AN382" s="5" t="str">
        <f t="shared" si="69"/>
        <v/>
      </c>
      <c r="AO382" s="5"/>
      <c r="AP382" s="5"/>
    </row>
    <row r="383" spans="1:42" ht="15" customHeight="1" x14ac:dyDescent="0.35">
      <c r="A383" s="4">
        <v>44797</v>
      </c>
      <c r="B383" s="5">
        <v>5</v>
      </c>
      <c r="C383" s="5" t="s">
        <v>79</v>
      </c>
      <c r="D383" s="5" t="s">
        <v>42</v>
      </c>
      <c r="E383" s="5"/>
      <c r="F383" s="5">
        <v>1050</v>
      </c>
      <c r="G383" s="5">
        <v>200</v>
      </c>
      <c r="H383" s="5"/>
      <c r="I383" s="5">
        <v>12</v>
      </c>
      <c r="J383" s="67">
        <v>0.7</v>
      </c>
      <c r="K383" s="67">
        <v>2.7</v>
      </c>
      <c r="L383" s="67">
        <v>0.06</v>
      </c>
      <c r="M383" s="5" t="s">
        <v>16</v>
      </c>
      <c r="N383" s="5">
        <v>5</v>
      </c>
      <c r="O383" s="5">
        <v>120</v>
      </c>
      <c r="P383" s="5">
        <v>33</v>
      </c>
      <c r="Q383" s="5">
        <v>20</v>
      </c>
      <c r="R383" s="5">
        <f t="shared" si="61"/>
        <v>173</v>
      </c>
      <c r="S383" s="3">
        <f t="shared" si="62"/>
        <v>3.6363636363636362</v>
      </c>
      <c r="T383" s="3">
        <f>23.5/1.5</f>
        <v>15.666666666666666</v>
      </c>
      <c r="U383" s="3">
        <f>53.5/26.7</f>
        <v>2.0037453183520602</v>
      </c>
      <c r="W383" s="5" t="s">
        <v>188</v>
      </c>
      <c r="X383" s="5" t="s">
        <v>45</v>
      </c>
      <c r="Y383" s="5"/>
      <c r="Z383" s="5"/>
      <c r="AA383" s="5"/>
      <c r="AB383" s="5" t="str">
        <f t="shared" si="65"/>
        <v>Poly</v>
      </c>
      <c r="AC383" s="5">
        <v>100</v>
      </c>
      <c r="AD383" s="79">
        <v>2.5000000000000001E-2</v>
      </c>
      <c r="AE383" s="5">
        <v>5</v>
      </c>
      <c r="AF383" s="5" t="s">
        <v>102</v>
      </c>
      <c r="AG383" s="5" t="s">
        <v>104</v>
      </c>
      <c r="AH383" s="5"/>
      <c r="AI383" s="5"/>
      <c r="AJ383" s="5"/>
      <c r="AK383" s="5"/>
      <c r="AN383" s="5" t="str">
        <f t="shared" si="69"/>
        <v/>
      </c>
      <c r="AO383" s="5"/>
      <c r="AP383" s="5"/>
    </row>
    <row r="384" spans="1:42" ht="15" customHeight="1" x14ac:dyDescent="0.35">
      <c r="A384" s="4">
        <v>44797</v>
      </c>
      <c r="B384" s="5">
        <v>5</v>
      </c>
      <c r="C384" s="5" t="s">
        <v>79</v>
      </c>
      <c r="D384" s="5" t="s">
        <v>42</v>
      </c>
      <c r="E384" s="5"/>
      <c r="F384" s="5">
        <v>1050</v>
      </c>
      <c r="G384" s="5">
        <v>200</v>
      </c>
      <c r="H384" s="5"/>
      <c r="I384" s="5">
        <v>12</v>
      </c>
      <c r="J384" s="67">
        <v>0.7</v>
      </c>
      <c r="K384" s="67">
        <v>2.7</v>
      </c>
      <c r="L384" s="67">
        <v>0.06</v>
      </c>
      <c r="M384" s="5" t="s">
        <v>16</v>
      </c>
      <c r="N384" s="5">
        <v>5</v>
      </c>
      <c r="O384" s="5">
        <v>120</v>
      </c>
      <c r="P384" s="5">
        <v>33</v>
      </c>
      <c r="Q384" s="5">
        <v>20</v>
      </c>
      <c r="R384" s="5">
        <f t="shared" si="61"/>
        <v>173</v>
      </c>
      <c r="S384" s="3">
        <f t="shared" si="62"/>
        <v>3.6363636363636362</v>
      </c>
      <c r="T384" s="3">
        <f>23.5/1.5</f>
        <v>15.666666666666666</v>
      </c>
      <c r="U384" s="3">
        <f>53.5/26.7</f>
        <v>2.0037453183520602</v>
      </c>
      <c r="V384" s="5">
        <v>1</v>
      </c>
      <c r="W384" s="6" t="s">
        <v>169</v>
      </c>
      <c r="X384" s="5" t="s">
        <v>179</v>
      </c>
      <c r="Y384" s="5"/>
      <c r="Z384" s="5"/>
      <c r="AA384" s="5"/>
      <c r="AB384" s="5" t="str">
        <f t="shared" si="65"/>
        <v>Poly</v>
      </c>
      <c r="AC384" s="5">
        <v>100</v>
      </c>
      <c r="AD384" s="79">
        <v>2.3E-2</v>
      </c>
      <c r="AE384" s="5">
        <v>4</v>
      </c>
      <c r="AF384" s="5" t="s">
        <v>104</v>
      </c>
      <c r="AG384" s="5" t="s">
        <v>103</v>
      </c>
      <c r="AH384" s="5"/>
      <c r="AI384" s="5"/>
      <c r="AJ384" s="5"/>
      <c r="AK384" s="5"/>
      <c r="AN384" s="5" t="str">
        <f t="shared" si="69"/>
        <v/>
      </c>
      <c r="AO384" s="5"/>
      <c r="AP384" s="5"/>
    </row>
    <row r="385" spans="1:42" ht="15" customHeight="1" x14ac:dyDescent="0.35">
      <c r="A385" s="4">
        <v>44797</v>
      </c>
      <c r="B385" s="5">
        <v>5</v>
      </c>
      <c r="C385" s="5" t="s">
        <v>79</v>
      </c>
      <c r="D385" s="5" t="s">
        <v>42</v>
      </c>
      <c r="E385" s="5"/>
      <c r="F385" s="5">
        <v>1050</v>
      </c>
      <c r="G385" s="5">
        <v>200</v>
      </c>
      <c r="H385" s="5"/>
      <c r="I385" s="5">
        <v>12</v>
      </c>
      <c r="J385" s="67">
        <v>0.7</v>
      </c>
      <c r="K385" s="67">
        <v>2.7</v>
      </c>
      <c r="L385" s="67">
        <v>0.06</v>
      </c>
      <c r="M385" s="5" t="s">
        <v>16</v>
      </c>
      <c r="N385" s="5">
        <v>5</v>
      </c>
      <c r="O385" s="5">
        <v>120</v>
      </c>
      <c r="P385" s="5">
        <v>33</v>
      </c>
      <c r="Q385" s="5">
        <v>20</v>
      </c>
      <c r="R385" s="5">
        <f t="shared" si="61"/>
        <v>173</v>
      </c>
      <c r="S385" s="3">
        <f t="shared" si="62"/>
        <v>3.6363636363636362</v>
      </c>
      <c r="T385" s="3">
        <f>23.5/1.5</f>
        <v>15.666666666666666</v>
      </c>
      <c r="U385" s="3">
        <f>53.5/26.7</f>
        <v>2.0037453183520602</v>
      </c>
      <c r="W385" s="5" t="s">
        <v>191</v>
      </c>
      <c r="X385" s="5" t="s">
        <v>46</v>
      </c>
      <c r="Y385" s="5"/>
      <c r="Z385" s="5"/>
      <c r="AA385" s="5"/>
      <c r="AB385" s="5" t="str">
        <f t="shared" si="65"/>
        <v>Poly</v>
      </c>
      <c r="AC385" s="5">
        <v>100</v>
      </c>
      <c r="AD385" s="79">
        <f>(0.023+0.017)/2</f>
        <v>0.02</v>
      </c>
      <c r="AE385" s="5">
        <v>4</v>
      </c>
      <c r="AF385" s="5" t="s">
        <v>102</v>
      </c>
      <c r="AG385" s="5" t="s">
        <v>103</v>
      </c>
      <c r="AH385" s="5"/>
      <c r="AI385" s="5"/>
      <c r="AJ385" s="5"/>
      <c r="AK385" s="5"/>
      <c r="AN385" s="5" t="str">
        <f t="shared" si="69"/>
        <v/>
      </c>
      <c r="AO385" s="5"/>
      <c r="AP385" s="5"/>
    </row>
    <row r="386" spans="1:42" ht="15" customHeight="1" x14ac:dyDescent="0.35">
      <c r="A386" s="4">
        <v>44797</v>
      </c>
      <c r="B386" s="5">
        <v>5</v>
      </c>
      <c r="C386" s="5" t="s">
        <v>79</v>
      </c>
      <c r="D386" s="5" t="s">
        <v>42</v>
      </c>
      <c r="E386" s="5"/>
      <c r="F386" s="5">
        <v>1050</v>
      </c>
      <c r="G386" s="5">
        <v>200</v>
      </c>
      <c r="H386" s="5"/>
      <c r="I386" s="5">
        <v>12</v>
      </c>
      <c r="J386" s="67">
        <v>0.7</v>
      </c>
      <c r="K386" s="67">
        <v>2.7</v>
      </c>
      <c r="L386" s="67">
        <v>0.06</v>
      </c>
      <c r="M386" s="5" t="s">
        <v>16</v>
      </c>
      <c r="N386" s="5">
        <v>5</v>
      </c>
      <c r="O386" s="5">
        <v>120</v>
      </c>
      <c r="P386" s="5">
        <v>33</v>
      </c>
      <c r="Q386" s="5">
        <v>20</v>
      </c>
      <c r="R386" s="5">
        <f t="shared" si="61"/>
        <v>173</v>
      </c>
      <c r="S386" s="3">
        <f t="shared" si="62"/>
        <v>3.6363636363636362</v>
      </c>
      <c r="T386" s="3">
        <f>23.5/1.5</f>
        <v>15.666666666666666</v>
      </c>
      <c r="U386" s="3">
        <f>53.5/26.7</f>
        <v>2.0037453183520602</v>
      </c>
      <c r="V386" s="5">
        <v>1</v>
      </c>
      <c r="W386" s="6" t="s">
        <v>169</v>
      </c>
      <c r="X386" s="5" t="s">
        <v>45</v>
      </c>
      <c r="Y386" s="5" t="s">
        <v>189</v>
      </c>
      <c r="Z386" s="5"/>
      <c r="AA386" s="5"/>
      <c r="AB386" s="5" t="str">
        <f t="shared" si="65"/>
        <v>Poly</v>
      </c>
      <c r="AC386" s="5">
        <v>100</v>
      </c>
      <c r="AD386" s="79">
        <v>0.04</v>
      </c>
      <c r="AE386" s="5">
        <v>4</v>
      </c>
      <c r="AF386" s="5" t="s">
        <v>102</v>
      </c>
      <c r="AG386" s="5" t="s">
        <v>102</v>
      </c>
      <c r="AH386" s="5"/>
      <c r="AI386" s="5"/>
      <c r="AJ386" s="5"/>
      <c r="AK386" s="5"/>
      <c r="AN386" s="5" t="str">
        <f t="shared" si="69"/>
        <v/>
      </c>
      <c r="AO386" s="5"/>
      <c r="AP386" s="5"/>
    </row>
    <row r="387" spans="1:42" ht="15" customHeight="1" x14ac:dyDescent="0.35">
      <c r="A387" s="4">
        <v>44797</v>
      </c>
      <c r="B387" s="5">
        <v>5</v>
      </c>
      <c r="C387" s="5" t="s">
        <v>79</v>
      </c>
      <c r="D387" s="5" t="s">
        <v>42</v>
      </c>
      <c r="E387" s="5"/>
      <c r="F387" s="5">
        <v>1050</v>
      </c>
      <c r="G387" s="5">
        <v>200</v>
      </c>
      <c r="H387" s="5"/>
      <c r="I387" s="5">
        <v>12</v>
      </c>
      <c r="J387" s="67">
        <v>0.7</v>
      </c>
      <c r="K387" s="67">
        <v>2.7</v>
      </c>
      <c r="L387" s="67">
        <v>0.06</v>
      </c>
      <c r="M387" s="5" t="s">
        <v>16</v>
      </c>
      <c r="N387" s="5">
        <v>5</v>
      </c>
      <c r="O387" s="5">
        <v>120</v>
      </c>
      <c r="P387" s="5">
        <v>33</v>
      </c>
      <c r="Q387" s="5">
        <v>20</v>
      </c>
      <c r="R387" s="5">
        <f t="shared" si="61"/>
        <v>173</v>
      </c>
      <c r="S387" s="3">
        <f t="shared" si="62"/>
        <v>3.6363636363636362</v>
      </c>
      <c r="T387" s="3">
        <f>23.5/1.5</f>
        <v>15.666666666666666</v>
      </c>
      <c r="U387" s="3">
        <f>53.5/26.7</f>
        <v>2.0037453183520602</v>
      </c>
      <c r="V387" s="5">
        <v>1</v>
      </c>
      <c r="W387" s="6" t="s">
        <v>169</v>
      </c>
      <c r="X387" s="5" t="s">
        <v>46</v>
      </c>
      <c r="Y387" s="5" t="s">
        <v>189</v>
      </c>
      <c r="Z387" s="5"/>
      <c r="AA387" s="5"/>
      <c r="AB387" s="5" t="str">
        <f t="shared" si="65"/>
        <v>Poly</v>
      </c>
      <c r="AC387" s="5">
        <v>100</v>
      </c>
      <c r="AD387" s="79">
        <v>2.3E-2</v>
      </c>
      <c r="AE387" s="5">
        <v>4</v>
      </c>
      <c r="AF387" s="5" t="s">
        <v>104</v>
      </c>
      <c r="AG387" s="5" t="s">
        <v>103</v>
      </c>
      <c r="AH387" s="5"/>
      <c r="AI387" s="5"/>
      <c r="AJ387" s="5"/>
      <c r="AK387" s="5"/>
      <c r="AN387" s="5" t="str">
        <f t="shared" si="69"/>
        <v/>
      </c>
      <c r="AO387" s="5"/>
      <c r="AP387" s="5"/>
    </row>
    <row r="388" spans="1:42" ht="15" customHeight="1" x14ac:dyDescent="0.35">
      <c r="A388" s="4">
        <v>44797</v>
      </c>
      <c r="B388" s="5">
        <v>6</v>
      </c>
      <c r="C388" s="5" t="s">
        <v>89</v>
      </c>
      <c r="D388" s="5" t="s">
        <v>42</v>
      </c>
      <c r="E388" s="5"/>
      <c r="F388" s="5">
        <v>1050</v>
      </c>
      <c r="G388" s="5">
        <v>200</v>
      </c>
      <c r="H388" s="5" t="s">
        <v>192</v>
      </c>
      <c r="I388" s="5">
        <v>12</v>
      </c>
      <c r="J388" s="67">
        <v>0.63</v>
      </c>
      <c r="K388" s="67">
        <v>2.57</v>
      </c>
      <c r="L388" s="67">
        <v>0.06</v>
      </c>
      <c r="M388" s="5" t="s">
        <v>16</v>
      </c>
      <c r="N388" s="5">
        <v>5</v>
      </c>
      <c r="O388" s="5">
        <v>142</v>
      </c>
      <c r="P388" s="5">
        <v>48</v>
      </c>
      <c r="Q388" s="5">
        <v>20</v>
      </c>
      <c r="R388" s="5">
        <f t="shared" si="61"/>
        <v>210</v>
      </c>
      <c r="S388" s="3">
        <f t="shared" si="62"/>
        <v>2.9583333333333335</v>
      </c>
      <c r="T388" s="3" t="s">
        <v>193</v>
      </c>
      <c r="U388" s="3">
        <f>57/42</f>
        <v>1.3571428571428572</v>
      </c>
      <c r="V388" s="5">
        <v>1</v>
      </c>
      <c r="W388" s="6" t="s">
        <v>169</v>
      </c>
      <c r="X388" s="5" t="s">
        <v>45</v>
      </c>
      <c r="Y388" s="5"/>
      <c r="Z388" s="5"/>
      <c r="AA388" s="5"/>
      <c r="AB388" s="5" t="str">
        <f t="shared" si="65"/>
        <v>Poly</v>
      </c>
      <c r="AC388" s="5">
        <v>100</v>
      </c>
      <c r="AD388" s="79">
        <v>1.9E-2</v>
      </c>
      <c r="AE388" s="5">
        <v>0</v>
      </c>
      <c r="AF388" s="5" t="s">
        <v>104</v>
      </c>
      <c r="AG388" s="5" t="s">
        <v>102</v>
      </c>
      <c r="AH388" s="5"/>
      <c r="AI388" s="5"/>
      <c r="AJ388" s="5"/>
      <c r="AK388" s="5"/>
      <c r="AN388" s="5">
        <f t="shared" si="69"/>
        <v>0</v>
      </c>
      <c r="AO388" s="5">
        <f>IF(ISBLANK(AN388),"",ABS(AN388-AE388))</f>
        <v>0</v>
      </c>
      <c r="AP388" s="5"/>
    </row>
    <row r="389" spans="1:42" ht="15" customHeight="1" x14ac:dyDescent="0.35">
      <c r="A389" s="4">
        <v>44797</v>
      </c>
      <c r="B389" s="5">
        <v>6</v>
      </c>
      <c r="C389" s="5" t="s">
        <v>89</v>
      </c>
      <c r="D389" s="5" t="s">
        <v>42</v>
      </c>
      <c r="E389" s="5"/>
      <c r="F389" s="5">
        <v>1050</v>
      </c>
      <c r="G389" s="5">
        <v>200</v>
      </c>
      <c r="H389" s="5" t="s">
        <v>192</v>
      </c>
      <c r="I389" s="5">
        <v>12</v>
      </c>
      <c r="J389" s="67">
        <v>0.63</v>
      </c>
      <c r="K389" s="67">
        <v>2.57</v>
      </c>
      <c r="L389" s="67">
        <v>0.06</v>
      </c>
      <c r="M389" s="5" t="s">
        <v>16</v>
      </c>
      <c r="N389" s="5">
        <v>5</v>
      </c>
      <c r="O389" s="5">
        <v>142</v>
      </c>
      <c r="P389" s="5">
        <v>48</v>
      </c>
      <c r="Q389" s="5">
        <v>20</v>
      </c>
      <c r="R389" s="5">
        <f t="shared" si="61"/>
        <v>210</v>
      </c>
      <c r="S389" s="3">
        <f t="shared" si="62"/>
        <v>2.9583333333333335</v>
      </c>
      <c r="T389" s="3" t="s">
        <v>193</v>
      </c>
      <c r="U389" s="3">
        <f>57/42</f>
        <v>1.3571428571428572</v>
      </c>
      <c r="V389" s="5">
        <v>1</v>
      </c>
      <c r="W389" s="6" t="s">
        <v>169</v>
      </c>
      <c r="X389" s="5" t="s">
        <v>179</v>
      </c>
      <c r="Y389" s="5"/>
      <c r="Z389" s="5"/>
      <c r="AA389" s="5"/>
      <c r="AB389" s="5" t="str">
        <f t="shared" si="65"/>
        <v>Poly</v>
      </c>
      <c r="AC389" s="5">
        <v>100</v>
      </c>
      <c r="AD389" s="79">
        <v>0.02</v>
      </c>
      <c r="AE389" s="5">
        <v>3</v>
      </c>
      <c r="AF389" s="5" t="s">
        <v>104</v>
      </c>
      <c r="AG389" s="5" t="s">
        <v>102</v>
      </c>
      <c r="AH389" s="5"/>
      <c r="AI389" s="5"/>
      <c r="AJ389" s="5"/>
      <c r="AK389" s="5"/>
      <c r="AN389" s="5" t="str">
        <f t="shared" si="69"/>
        <v/>
      </c>
      <c r="AO389" s="5"/>
      <c r="AP389" s="5"/>
    </row>
    <row r="390" spans="1:42" ht="15" customHeight="1" x14ac:dyDescent="0.35">
      <c r="A390" s="4">
        <v>44797</v>
      </c>
      <c r="B390" s="5">
        <v>6</v>
      </c>
      <c r="C390" s="5" t="s">
        <v>89</v>
      </c>
      <c r="D390" s="5" t="s">
        <v>42</v>
      </c>
      <c r="E390" s="5"/>
      <c r="F390" s="5">
        <v>1050</v>
      </c>
      <c r="G390" s="5">
        <v>200</v>
      </c>
      <c r="H390" s="5" t="s">
        <v>192</v>
      </c>
      <c r="I390" s="5">
        <v>12</v>
      </c>
      <c r="J390" s="67">
        <v>0.63</v>
      </c>
      <c r="K390" s="67">
        <v>2.57</v>
      </c>
      <c r="L390" s="67">
        <v>0.06</v>
      </c>
      <c r="M390" s="5" t="s">
        <v>16</v>
      </c>
      <c r="N390" s="5">
        <v>5</v>
      </c>
      <c r="O390" s="5">
        <v>142</v>
      </c>
      <c r="P390" s="5">
        <v>48</v>
      </c>
      <c r="Q390" s="5">
        <v>20</v>
      </c>
      <c r="R390" s="5">
        <f t="shared" si="61"/>
        <v>210</v>
      </c>
      <c r="S390" s="3">
        <f t="shared" si="62"/>
        <v>2.9583333333333335</v>
      </c>
      <c r="T390" s="3" t="s">
        <v>193</v>
      </c>
      <c r="U390" s="3">
        <f>57/42</f>
        <v>1.3571428571428572</v>
      </c>
      <c r="V390" s="5">
        <v>1</v>
      </c>
      <c r="W390" s="6" t="s">
        <v>169</v>
      </c>
      <c r="X390" s="5" t="s">
        <v>46</v>
      </c>
      <c r="Y390" s="5"/>
      <c r="Z390" s="5"/>
      <c r="AA390" s="5"/>
      <c r="AB390" s="5" t="str">
        <f t="shared" si="65"/>
        <v>Poly</v>
      </c>
      <c r="AC390" s="5">
        <v>100</v>
      </c>
      <c r="AD390" s="79">
        <v>1.4E-2</v>
      </c>
      <c r="AE390" s="5">
        <v>2</v>
      </c>
      <c r="AF390" s="5" t="s">
        <v>104</v>
      </c>
      <c r="AG390" s="5" t="s">
        <v>102</v>
      </c>
      <c r="AH390" s="5"/>
      <c r="AI390" s="5"/>
      <c r="AJ390" s="5"/>
      <c r="AK390" s="5"/>
      <c r="AN390" s="5" t="str">
        <f t="shared" si="69"/>
        <v/>
      </c>
      <c r="AO390" s="5"/>
      <c r="AP390" s="5"/>
    </row>
    <row r="391" spans="1:42" ht="15" customHeigh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67"/>
      <c r="K391" s="67"/>
      <c r="L391" s="67"/>
      <c r="M391" s="5"/>
      <c r="N391" s="5"/>
      <c r="O391" s="5"/>
      <c r="P391" s="5"/>
      <c r="Q391" s="5"/>
      <c r="R391" s="5"/>
      <c r="S391" s="3"/>
      <c r="T391" s="3"/>
      <c r="U391" s="3"/>
      <c r="W391" s="5"/>
      <c r="Y391" s="5"/>
      <c r="Z391" s="5"/>
      <c r="AA391" s="5"/>
      <c r="AB391" s="5"/>
      <c r="AC391" s="5"/>
      <c r="AD391" s="79"/>
      <c r="AE391" s="5"/>
      <c r="AF391" s="5"/>
      <c r="AG391" s="5"/>
      <c r="AH391" s="5"/>
      <c r="AI391" s="5"/>
      <c r="AJ391" s="5"/>
      <c r="AK391" s="5"/>
      <c r="AN391" s="5"/>
      <c r="AO391" s="5" t="str">
        <f t="shared" ref="AO391:AO396" si="70">IF(ISBLANK(AN391),"",ABS(AN391-AE391))</f>
        <v/>
      </c>
      <c r="AP391" s="5"/>
    </row>
    <row r="392" spans="1:42" ht="15" customHeight="1" x14ac:dyDescent="0.35">
      <c r="A392" s="4">
        <v>44798</v>
      </c>
      <c r="B392" s="5">
        <v>7</v>
      </c>
      <c r="C392" s="5" t="s">
        <v>48</v>
      </c>
      <c r="D392" s="5" t="s">
        <v>42</v>
      </c>
      <c r="E392" s="5"/>
      <c r="F392" s="5">
        <v>1050</v>
      </c>
      <c r="G392" s="5">
        <v>200</v>
      </c>
      <c r="H392" s="5"/>
      <c r="I392" s="5">
        <v>10</v>
      </c>
      <c r="J392" s="69">
        <v>0.52</v>
      </c>
      <c r="K392" s="69">
        <v>2.8</v>
      </c>
      <c r="L392" s="69">
        <v>0.08</v>
      </c>
      <c r="M392" s="5" t="s">
        <v>16</v>
      </c>
      <c r="N392" s="6">
        <v>5</v>
      </c>
      <c r="O392" s="5">
        <v>84</v>
      </c>
      <c r="P392" s="5">
        <v>48</v>
      </c>
      <c r="Q392" s="5">
        <v>24</v>
      </c>
      <c r="R392" s="5">
        <f t="shared" ref="R392:R415" si="71">O392+P392+Q392</f>
        <v>156</v>
      </c>
      <c r="S392" s="3">
        <f t="shared" ref="S392:S415" si="72">O392/P392</f>
        <v>1.75</v>
      </c>
      <c r="T392" s="3">
        <f>16.8/18</f>
        <v>0.93333333333333335</v>
      </c>
      <c r="U392" s="3">
        <f>28.5/45</f>
        <v>0.6333333333333333</v>
      </c>
      <c r="V392" s="5">
        <v>1</v>
      </c>
      <c r="W392" s="6" t="s">
        <v>169</v>
      </c>
      <c r="X392" s="5" t="s">
        <v>45</v>
      </c>
      <c r="Y392" s="5"/>
      <c r="Z392" s="5"/>
      <c r="AA392" s="5"/>
      <c r="AB392" s="5" t="str">
        <f t="shared" ref="AB392:AB415" si="73">IF(Y392="20um Schlenk", "Single", "Poly")</f>
        <v>Poly</v>
      </c>
      <c r="AC392" s="5">
        <v>100</v>
      </c>
      <c r="AD392" s="79">
        <v>1.7000000000000001E-2</v>
      </c>
      <c r="AE392" s="5">
        <v>1</v>
      </c>
      <c r="AF392" s="5" t="s">
        <v>104</v>
      </c>
      <c r="AG392" s="5" t="s">
        <v>102</v>
      </c>
      <c r="AH392" s="5"/>
      <c r="AI392" s="5"/>
      <c r="AJ392" s="5"/>
      <c r="AK392" s="5"/>
      <c r="AN392" s="5">
        <v>5</v>
      </c>
      <c r="AO392" s="5">
        <f t="shared" si="70"/>
        <v>4</v>
      </c>
      <c r="AP392" s="5"/>
    </row>
    <row r="393" spans="1:42" ht="15" customHeight="1" x14ac:dyDescent="0.35">
      <c r="A393" s="4">
        <v>44798</v>
      </c>
      <c r="B393" s="5">
        <v>7</v>
      </c>
      <c r="C393" s="5" t="s">
        <v>48</v>
      </c>
      <c r="D393" s="5" t="s">
        <v>42</v>
      </c>
      <c r="E393" s="5"/>
      <c r="F393" s="5">
        <v>1050</v>
      </c>
      <c r="G393" s="5">
        <v>200</v>
      </c>
      <c r="H393" s="5"/>
      <c r="I393" s="5">
        <v>10</v>
      </c>
      <c r="J393" s="69">
        <v>0.52</v>
      </c>
      <c r="K393" s="69">
        <v>2.8</v>
      </c>
      <c r="L393" s="69">
        <v>0.08</v>
      </c>
      <c r="M393" s="5" t="s">
        <v>16</v>
      </c>
      <c r="N393" s="6">
        <v>5</v>
      </c>
      <c r="O393" s="5">
        <v>84</v>
      </c>
      <c r="P393" s="5">
        <v>48</v>
      </c>
      <c r="Q393" s="5">
        <v>24</v>
      </c>
      <c r="R393" s="5">
        <f t="shared" si="71"/>
        <v>156</v>
      </c>
      <c r="S393" s="3">
        <f t="shared" si="72"/>
        <v>1.75</v>
      </c>
      <c r="T393" s="3">
        <f>16.8/18</f>
        <v>0.93333333333333335</v>
      </c>
      <c r="U393" s="3">
        <f>28.5/45</f>
        <v>0.6333333333333333</v>
      </c>
      <c r="V393" s="5">
        <v>1</v>
      </c>
      <c r="W393" s="6" t="s">
        <v>169</v>
      </c>
      <c r="X393" s="5" t="s">
        <v>46</v>
      </c>
      <c r="Y393" s="5"/>
      <c r="Z393" s="5"/>
      <c r="AA393" s="5"/>
      <c r="AB393" s="5" t="str">
        <f t="shared" si="73"/>
        <v>Poly</v>
      </c>
      <c r="AC393" s="5">
        <v>100</v>
      </c>
      <c r="AD393" s="79">
        <v>6.8000000000000005E-2</v>
      </c>
      <c r="AE393" s="5">
        <v>0.25</v>
      </c>
      <c r="AF393" s="5" t="s">
        <v>102</v>
      </c>
      <c r="AG393" s="5" t="s">
        <v>104</v>
      </c>
      <c r="AH393" s="5"/>
      <c r="AI393" s="5"/>
      <c r="AJ393" s="5"/>
      <c r="AK393" s="5"/>
      <c r="AN393" s="5">
        <v>4.5</v>
      </c>
      <c r="AO393" s="5">
        <f t="shared" si="70"/>
        <v>4.25</v>
      </c>
      <c r="AP393" s="5"/>
    </row>
    <row r="394" spans="1:42" ht="15" customHeight="1" x14ac:dyDescent="0.35">
      <c r="A394" s="4">
        <v>44798</v>
      </c>
      <c r="B394" s="5">
        <v>7</v>
      </c>
      <c r="C394" s="5" t="s">
        <v>48</v>
      </c>
      <c r="D394" s="5" t="s">
        <v>42</v>
      </c>
      <c r="E394" s="5"/>
      <c r="F394" s="5">
        <v>1050</v>
      </c>
      <c r="G394" s="5">
        <v>200</v>
      </c>
      <c r="H394" s="5"/>
      <c r="I394" s="5">
        <v>10</v>
      </c>
      <c r="J394" s="69">
        <v>0.52</v>
      </c>
      <c r="K394" s="69">
        <v>2.8</v>
      </c>
      <c r="L394" s="69">
        <v>0.08</v>
      </c>
      <c r="M394" s="5" t="s">
        <v>16</v>
      </c>
      <c r="N394" s="6">
        <v>5</v>
      </c>
      <c r="O394" s="5">
        <v>84</v>
      </c>
      <c r="P394" s="5">
        <v>48</v>
      </c>
      <c r="Q394" s="5">
        <v>24</v>
      </c>
      <c r="R394" s="5">
        <f t="shared" si="71"/>
        <v>156</v>
      </c>
      <c r="S394" s="3">
        <f t="shared" si="72"/>
        <v>1.75</v>
      </c>
      <c r="T394" s="3">
        <f>16.8/18</f>
        <v>0.93333333333333335</v>
      </c>
      <c r="U394" s="3">
        <f>28.5/45</f>
        <v>0.6333333333333333</v>
      </c>
      <c r="V394" s="5">
        <v>1</v>
      </c>
      <c r="W394" s="6" t="s">
        <v>169</v>
      </c>
      <c r="X394" s="5" t="s">
        <v>45</v>
      </c>
      <c r="Y394" s="5" t="s">
        <v>194</v>
      </c>
      <c r="Z394" s="4"/>
      <c r="AA394" s="5"/>
      <c r="AB394" s="5" t="str">
        <f t="shared" si="73"/>
        <v>Poly</v>
      </c>
      <c r="AC394" s="5">
        <v>100</v>
      </c>
      <c r="AD394" s="79">
        <v>1.0999999999999999E-2</v>
      </c>
      <c r="AE394" s="5">
        <v>0.25</v>
      </c>
      <c r="AF394" s="5" t="s">
        <v>102</v>
      </c>
      <c r="AG394" s="5" t="s">
        <v>102</v>
      </c>
      <c r="AH394" s="5"/>
      <c r="AI394" s="5"/>
      <c r="AJ394" s="5"/>
      <c r="AK394" s="5"/>
      <c r="AN394" s="5">
        <v>10</v>
      </c>
      <c r="AO394" s="5">
        <f t="shared" si="70"/>
        <v>9.75</v>
      </c>
      <c r="AP394" s="5" t="s">
        <v>186</v>
      </c>
    </row>
    <row r="395" spans="1:42" ht="15" customHeight="1" x14ac:dyDescent="0.35">
      <c r="A395" s="4">
        <v>44798</v>
      </c>
      <c r="B395" s="5">
        <v>7</v>
      </c>
      <c r="C395" s="5" t="s">
        <v>48</v>
      </c>
      <c r="D395" s="5" t="s">
        <v>42</v>
      </c>
      <c r="E395" s="5"/>
      <c r="F395" s="5">
        <v>1050</v>
      </c>
      <c r="G395" s="5">
        <v>200</v>
      </c>
      <c r="H395" s="5"/>
      <c r="I395" s="5">
        <v>10</v>
      </c>
      <c r="J395" s="69">
        <v>0.52</v>
      </c>
      <c r="K395" s="69">
        <v>2.8</v>
      </c>
      <c r="L395" s="69">
        <v>0.08</v>
      </c>
      <c r="M395" s="5" t="s">
        <v>16</v>
      </c>
      <c r="N395" s="6">
        <v>5</v>
      </c>
      <c r="O395" s="5">
        <v>84</v>
      </c>
      <c r="P395" s="5">
        <v>48</v>
      </c>
      <c r="Q395" s="5">
        <v>24</v>
      </c>
      <c r="R395" s="5">
        <f t="shared" si="71"/>
        <v>156</v>
      </c>
      <c r="S395" s="3">
        <f t="shared" si="72"/>
        <v>1.75</v>
      </c>
      <c r="T395" s="3">
        <f>16.8/18</f>
        <v>0.93333333333333335</v>
      </c>
      <c r="U395" s="3">
        <f>28.5/45</f>
        <v>0.6333333333333333</v>
      </c>
      <c r="V395" s="5">
        <v>1</v>
      </c>
      <c r="W395" s="6" t="s">
        <v>169</v>
      </c>
      <c r="X395" s="5" t="s">
        <v>179</v>
      </c>
      <c r="Y395" s="5" t="s">
        <v>194</v>
      </c>
      <c r="Z395" s="5"/>
      <c r="AA395" s="5"/>
      <c r="AB395" s="5" t="str">
        <f t="shared" si="73"/>
        <v>Poly</v>
      </c>
      <c r="AC395" s="5">
        <v>100</v>
      </c>
      <c r="AD395" s="79">
        <v>0.02</v>
      </c>
      <c r="AE395" s="5">
        <v>1</v>
      </c>
      <c r="AF395" s="5" t="s">
        <v>102</v>
      </c>
      <c r="AG395" s="5" t="s">
        <v>102</v>
      </c>
      <c r="AH395" s="5"/>
      <c r="AI395" s="5"/>
      <c r="AJ395" s="5"/>
      <c r="AK395" s="5"/>
      <c r="AN395" s="5">
        <v>4</v>
      </c>
      <c r="AO395" s="5">
        <f t="shared" si="70"/>
        <v>3</v>
      </c>
      <c r="AP395" s="5"/>
    </row>
    <row r="396" spans="1:42" ht="15" customHeight="1" x14ac:dyDescent="0.35">
      <c r="A396" s="4">
        <v>44798</v>
      </c>
      <c r="B396" s="5">
        <v>8</v>
      </c>
      <c r="C396" s="5" t="s">
        <v>130</v>
      </c>
      <c r="D396" s="5" t="s">
        <v>144</v>
      </c>
      <c r="E396" s="5"/>
      <c r="F396" s="5">
        <v>1050</v>
      </c>
      <c r="G396" s="5">
        <v>100</v>
      </c>
      <c r="H396" s="5"/>
      <c r="I396" s="5">
        <v>10</v>
      </c>
      <c r="J396" s="69">
        <v>0.5</v>
      </c>
      <c r="K396" s="69">
        <v>2.83</v>
      </c>
      <c r="L396" s="69">
        <v>0.08</v>
      </c>
      <c r="M396" s="5" t="s">
        <v>16</v>
      </c>
      <c r="N396" s="6">
        <v>5</v>
      </c>
      <c r="O396" s="6">
        <v>93</v>
      </c>
      <c r="P396" s="6">
        <v>60.1</v>
      </c>
      <c r="Q396" s="6">
        <v>24</v>
      </c>
      <c r="R396" s="5">
        <f t="shared" si="71"/>
        <v>177.1</v>
      </c>
      <c r="S396" s="3">
        <f t="shared" si="72"/>
        <v>1.5474209650582362</v>
      </c>
      <c r="T396" s="8">
        <f>15.2/22.6</f>
        <v>0.67256637168141586</v>
      </c>
      <c r="U396" s="8">
        <f>27/56.2</f>
        <v>0.48042704626334515</v>
      </c>
      <c r="V396" s="29">
        <v>1</v>
      </c>
      <c r="W396" s="5" t="s">
        <v>122</v>
      </c>
      <c r="X396" s="5" t="s">
        <v>46</v>
      </c>
      <c r="Y396" s="5"/>
      <c r="Z396" s="4"/>
      <c r="AA396" s="5"/>
      <c r="AB396" s="5" t="str">
        <f t="shared" si="73"/>
        <v>Poly</v>
      </c>
      <c r="AC396" s="5">
        <v>100</v>
      </c>
      <c r="AD396" s="79">
        <v>0.02</v>
      </c>
      <c r="AE396" s="5">
        <v>1</v>
      </c>
      <c r="AF396" s="5" t="s">
        <v>103</v>
      </c>
      <c r="AG396" s="5" t="s">
        <v>102</v>
      </c>
      <c r="AH396" s="5"/>
      <c r="AI396" s="5"/>
      <c r="AJ396" s="5"/>
      <c r="AK396" s="5"/>
      <c r="AN396" s="5">
        <v>0</v>
      </c>
      <c r="AO396" s="5">
        <f t="shared" si="70"/>
        <v>1</v>
      </c>
      <c r="AP396" s="5"/>
    </row>
    <row r="397" spans="1:42" ht="15" customHeight="1" x14ac:dyDescent="0.35">
      <c r="A397" s="4">
        <v>44798</v>
      </c>
      <c r="B397" s="5">
        <v>8</v>
      </c>
      <c r="C397" s="5" t="s">
        <v>130</v>
      </c>
      <c r="D397" s="5" t="s">
        <v>144</v>
      </c>
      <c r="E397" s="5"/>
      <c r="F397" s="5">
        <v>1050</v>
      </c>
      <c r="G397" s="5">
        <v>100</v>
      </c>
      <c r="H397" s="5"/>
      <c r="I397" s="5">
        <v>10</v>
      </c>
      <c r="J397" s="69">
        <v>0.5</v>
      </c>
      <c r="K397" s="69">
        <v>2.83</v>
      </c>
      <c r="L397" s="69">
        <v>0.08</v>
      </c>
      <c r="M397" s="5" t="s">
        <v>16</v>
      </c>
      <c r="N397" s="5">
        <v>5</v>
      </c>
      <c r="O397" s="6">
        <v>93</v>
      </c>
      <c r="P397" s="6">
        <v>60.1</v>
      </c>
      <c r="Q397" s="6">
        <v>24</v>
      </c>
      <c r="R397" s="5">
        <f t="shared" si="71"/>
        <v>177.1</v>
      </c>
      <c r="S397" s="3">
        <f t="shared" si="72"/>
        <v>1.5474209650582362</v>
      </c>
      <c r="T397" s="8">
        <f>15.2/22.6</f>
        <v>0.67256637168141586</v>
      </c>
      <c r="U397" s="8">
        <f>27/56.2</f>
        <v>0.48042704626334515</v>
      </c>
      <c r="V397" s="29">
        <v>1</v>
      </c>
      <c r="W397" s="5" t="s">
        <v>122</v>
      </c>
      <c r="X397" s="5" t="s">
        <v>46</v>
      </c>
      <c r="Y397" s="5"/>
      <c r="Z397" s="5"/>
      <c r="AA397" s="5"/>
      <c r="AB397" s="5" t="str">
        <f t="shared" si="73"/>
        <v>Poly</v>
      </c>
      <c r="AC397" s="5">
        <v>100</v>
      </c>
      <c r="AD397" s="79">
        <v>1.2999999999999999E-2</v>
      </c>
      <c r="AE397" s="5">
        <v>5</v>
      </c>
      <c r="AF397" s="5" t="s">
        <v>102</v>
      </c>
      <c r="AG397" s="5" t="s">
        <v>103</v>
      </c>
      <c r="AH397" s="5"/>
      <c r="AI397" s="5"/>
      <c r="AJ397" s="5"/>
      <c r="AK397" s="5"/>
      <c r="AN397" s="5" t="str">
        <f>IF((AE397=0),0,"")</f>
        <v/>
      </c>
      <c r="AO397" s="5"/>
      <c r="AP397" s="5"/>
    </row>
    <row r="398" spans="1:42" ht="15" customHeight="1" x14ac:dyDescent="0.35">
      <c r="A398" s="4">
        <v>44798</v>
      </c>
      <c r="B398" s="5">
        <v>9</v>
      </c>
      <c r="C398" s="5" t="s">
        <v>89</v>
      </c>
      <c r="D398" s="5" t="s">
        <v>42</v>
      </c>
      <c r="E398" s="5"/>
      <c r="F398" s="5">
        <v>1050</v>
      </c>
      <c r="G398" s="5">
        <v>100</v>
      </c>
      <c r="H398" s="5"/>
      <c r="I398" s="5">
        <v>10</v>
      </c>
      <c r="J398" s="67">
        <v>0.5</v>
      </c>
      <c r="K398" s="67">
        <v>2.65</v>
      </c>
      <c r="L398" s="67">
        <v>0.06</v>
      </c>
      <c r="M398" s="5" t="s">
        <v>16</v>
      </c>
      <c r="N398" s="5">
        <v>5</v>
      </c>
      <c r="O398" s="5">
        <v>142</v>
      </c>
      <c r="P398" s="5">
        <v>48</v>
      </c>
      <c r="Q398" s="5">
        <v>20</v>
      </c>
      <c r="R398" s="5">
        <f t="shared" si="71"/>
        <v>210</v>
      </c>
      <c r="S398" s="3">
        <f t="shared" si="72"/>
        <v>2.9583333333333335</v>
      </c>
      <c r="T398" s="3" t="s">
        <v>193</v>
      </c>
      <c r="U398" s="3">
        <f>57/42</f>
        <v>1.3571428571428572</v>
      </c>
      <c r="V398" s="29">
        <v>1</v>
      </c>
      <c r="W398" s="5" t="s">
        <v>122</v>
      </c>
      <c r="X398" s="5" t="s">
        <v>46</v>
      </c>
      <c r="Y398" s="5"/>
      <c r="Z398" s="5"/>
      <c r="AA398" s="5"/>
      <c r="AB398" s="5" t="str">
        <f t="shared" si="73"/>
        <v>Poly</v>
      </c>
      <c r="AC398" s="5">
        <v>100</v>
      </c>
      <c r="AD398" s="79">
        <v>1.4999999999999999E-2</v>
      </c>
      <c r="AE398" s="5">
        <v>2</v>
      </c>
      <c r="AF398" s="5" t="s">
        <v>103</v>
      </c>
      <c r="AG398" s="5" t="s">
        <v>102</v>
      </c>
      <c r="AH398" s="5"/>
      <c r="AI398" s="5"/>
      <c r="AJ398" s="5"/>
      <c r="AK398" s="5"/>
      <c r="AN398" s="5">
        <v>13</v>
      </c>
      <c r="AO398" s="5">
        <f t="shared" ref="AO398:AO403" si="74">IF(ISBLANK(AN398),"",ABS(AN398-AE398))</f>
        <v>11</v>
      </c>
      <c r="AP398" s="5"/>
    </row>
    <row r="399" spans="1:42" ht="15" customHeight="1" x14ac:dyDescent="0.35">
      <c r="A399" s="4">
        <v>44798</v>
      </c>
      <c r="B399" s="5">
        <v>9</v>
      </c>
      <c r="C399" s="5" t="s">
        <v>89</v>
      </c>
      <c r="D399" s="5" t="s">
        <v>42</v>
      </c>
      <c r="E399" s="5"/>
      <c r="F399" s="5">
        <v>1050</v>
      </c>
      <c r="G399" s="5">
        <v>100</v>
      </c>
      <c r="H399" s="5"/>
      <c r="I399" s="5">
        <v>10</v>
      </c>
      <c r="J399" s="67">
        <v>0.5</v>
      </c>
      <c r="K399" s="67">
        <v>2.65</v>
      </c>
      <c r="L399" s="67">
        <v>0.06</v>
      </c>
      <c r="M399" s="5" t="s">
        <v>16</v>
      </c>
      <c r="N399" s="5">
        <v>5</v>
      </c>
      <c r="O399" s="5">
        <v>142</v>
      </c>
      <c r="P399" s="5">
        <v>48</v>
      </c>
      <c r="Q399" s="5">
        <v>20</v>
      </c>
      <c r="R399" s="5">
        <f t="shared" si="71"/>
        <v>210</v>
      </c>
      <c r="S399" s="3">
        <f t="shared" si="72"/>
        <v>2.9583333333333335</v>
      </c>
      <c r="T399" s="3" t="s">
        <v>193</v>
      </c>
      <c r="U399" s="3">
        <f>57/42</f>
        <v>1.3571428571428572</v>
      </c>
      <c r="V399" s="29">
        <v>1</v>
      </c>
      <c r="W399" s="5" t="s">
        <v>122</v>
      </c>
      <c r="X399" s="5" t="s">
        <v>46</v>
      </c>
      <c r="Y399" s="5"/>
      <c r="Z399" s="5"/>
      <c r="AA399" s="5"/>
      <c r="AB399" s="5" t="str">
        <f t="shared" si="73"/>
        <v>Poly</v>
      </c>
      <c r="AC399" s="5">
        <v>100</v>
      </c>
      <c r="AD399" s="79">
        <v>2.3E-2</v>
      </c>
      <c r="AE399" s="5">
        <v>3</v>
      </c>
      <c r="AF399" s="5" t="s">
        <v>103</v>
      </c>
      <c r="AG399" s="5" t="s">
        <v>102</v>
      </c>
      <c r="AH399" s="5"/>
      <c r="AI399" s="5"/>
      <c r="AJ399" s="5"/>
      <c r="AK399" s="5"/>
      <c r="AN399" s="5">
        <v>6</v>
      </c>
      <c r="AO399" s="5">
        <f t="shared" si="74"/>
        <v>3</v>
      </c>
      <c r="AP399" s="5"/>
    </row>
    <row r="400" spans="1:42" ht="15" customHeight="1" x14ac:dyDescent="0.35">
      <c r="A400" s="4">
        <v>44798</v>
      </c>
      <c r="B400" s="5">
        <v>10</v>
      </c>
      <c r="C400" s="5" t="s">
        <v>136</v>
      </c>
      <c r="D400" s="5" t="s">
        <v>42</v>
      </c>
      <c r="E400" s="5"/>
      <c r="F400" s="5">
        <v>1050</v>
      </c>
      <c r="G400" s="5">
        <v>200</v>
      </c>
      <c r="H400" s="5"/>
      <c r="I400" s="5">
        <v>12</v>
      </c>
      <c r="J400" s="67">
        <v>0.48</v>
      </c>
      <c r="K400" s="67">
        <v>2.48</v>
      </c>
      <c r="L400" s="67">
        <v>0.08</v>
      </c>
      <c r="M400" s="5" t="s">
        <v>16</v>
      </c>
      <c r="N400" s="5">
        <v>5</v>
      </c>
      <c r="O400" s="5">
        <v>142</v>
      </c>
      <c r="P400" s="5">
        <v>21</v>
      </c>
      <c r="Q400" s="5">
        <v>20</v>
      </c>
      <c r="R400" s="5">
        <f t="shared" si="71"/>
        <v>183</v>
      </c>
      <c r="S400" s="3">
        <f t="shared" si="72"/>
        <v>6.7619047619047619</v>
      </c>
      <c r="T400" s="5" t="s">
        <v>193</v>
      </c>
      <c r="U400" s="3">
        <f t="shared" ref="U400:U409" si="75">70.5/16</f>
        <v>4.40625</v>
      </c>
      <c r="V400" s="5">
        <v>1</v>
      </c>
      <c r="W400" s="6" t="s">
        <v>169</v>
      </c>
      <c r="X400" s="5" t="s">
        <v>45</v>
      </c>
      <c r="Y400" s="5" t="s">
        <v>189</v>
      </c>
      <c r="Z400" s="5"/>
      <c r="AA400" s="5"/>
      <c r="AB400" s="5" t="str">
        <f t="shared" si="73"/>
        <v>Poly</v>
      </c>
      <c r="AC400" s="5">
        <v>100</v>
      </c>
      <c r="AD400" s="5">
        <v>3.3000000000000002E-2</v>
      </c>
      <c r="AE400" s="5">
        <v>3</v>
      </c>
      <c r="AF400" s="5" t="s">
        <v>104</v>
      </c>
      <c r="AG400" s="5" t="s">
        <v>103</v>
      </c>
      <c r="AH400" s="5"/>
      <c r="AI400" s="5"/>
      <c r="AK400" s="5"/>
      <c r="AL400" s="5"/>
      <c r="AN400" s="5">
        <v>8</v>
      </c>
      <c r="AO400" s="5">
        <f t="shared" si="74"/>
        <v>5</v>
      </c>
      <c r="AP400" s="5"/>
    </row>
    <row r="401" spans="1:42" ht="15" customHeight="1" x14ac:dyDescent="0.35">
      <c r="A401" s="4">
        <v>44798</v>
      </c>
      <c r="B401" s="5">
        <v>10</v>
      </c>
      <c r="C401" s="5" t="s">
        <v>136</v>
      </c>
      <c r="D401" s="5" t="s">
        <v>42</v>
      </c>
      <c r="E401" s="5"/>
      <c r="F401" s="5">
        <v>1050</v>
      </c>
      <c r="G401" s="5">
        <v>200</v>
      </c>
      <c r="H401" s="5"/>
      <c r="I401" s="5">
        <v>12</v>
      </c>
      <c r="J401" s="67">
        <v>0.48</v>
      </c>
      <c r="K401" s="67">
        <v>2.48</v>
      </c>
      <c r="L401" s="67">
        <v>0.08</v>
      </c>
      <c r="M401" s="5" t="s">
        <v>16</v>
      </c>
      <c r="N401" s="5">
        <v>5</v>
      </c>
      <c r="O401" s="5">
        <v>142</v>
      </c>
      <c r="P401" s="5">
        <v>21</v>
      </c>
      <c r="Q401" s="5">
        <v>20</v>
      </c>
      <c r="R401" s="5">
        <f t="shared" si="71"/>
        <v>183</v>
      </c>
      <c r="S401" s="3">
        <f t="shared" si="72"/>
        <v>6.7619047619047619</v>
      </c>
      <c r="T401" s="5" t="s">
        <v>193</v>
      </c>
      <c r="U401" s="3">
        <f t="shared" si="75"/>
        <v>4.40625</v>
      </c>
      <c r="V401" s="5">
        <v>1</v>
      </c>
      <c r="W401" s="6" t="s">
        <v>169</v>
      </c>
      <c r="X401" s="5" t="s">
        <v>45</v>
      </c>
      <c r="Y401" s="5" t="s">
        <v>195</v>
      </c>
      <c r="Z401" s="5"/>
      <c r="AA401" s="5"/>
      <c r="AB401" s="5" t="str">
        <f t="shared" si="73"/>
        <v>Poly</v>
      </c>
      <c r="AC401" s="5">
        <v>95</v>
      </c>
      <c r="AD401" s="5">
        <v>0.11</v>
      </c>
      <c r="AE401" s="5">
        <v>0</v>
      </c>
      <c r="AF401" s="5" t="s">
        <v>110</v>
      </c>
      <c r="AG401" s="5" t="s">
        <v>110</v>
      </c>
      <c r="AH401" s="5"/>
      <c r="AI401" s="5"/>
      <c r="AK401" s="5"/>
      <c r="AL401" s="5"/>
      <c r="AN401" s="5">
        <f>IF((AE401=0),0,"")</f>
        <v>0</v>
      </c>
      <c r="AO401" s="5">
        <f t="shared" si="74"/>
        <v>0</v>
      </c>
      <c r="AP401" s="5"/>
    </row>
    <row r="402" spans="1:42" ht="15" customHeight="1" x14ac:dyDescent="0.35">
      <c r="A402" s="4">
        <v>44798</v>
      </c>
      <c r="B402" s="5">
        <v>10</v>
      </c>
      <c r="C402" s="5" t="s">
        <v>136</v>
      </c>
      <c r="D402" s="5" t="s">
        <v>42</v>
      </c>
      <c r="E402" s="5"/>
      <c r="F402" s="5">
        <v>1050</v>
      </c>
      <c r="G402" s="5">
        <v>200</v>
      </c>
      <c r="H402" s="5"/>
      <c r="I402" s="5">
        <v>12</v>
      </c>
      <c r="J402" s="67">
        <v>0.48</v>
      </c>
      <c r="K402" s="67">
        <v>2.48</v>
      </c>
      <c r="L402" s="67">
        <v>0.08</v>
      </c>
      <c r="M402" s="5" t="s">
        <v>16</v>
      </c>
      <c r="N402" s="5">
        <v>5</v>
      </c>
      <c r="O402" s="5">
        <v>142</v>
      </c>
      <c r="P402" s="5">
        <v>21</v>
      </c>
      <c r="Q402" s="5">
        <v>20</v>
      </c>
      <c r="R402" s="5">
        <f t="shared" si="71"/>
        <v>183</v>
      </c>
      <c r="S402" s="3">
        <f t="shared" si="72"/>
        <v>6.7619047619047619</v>
      </c>
      <c r="T402" s="5" t="s">
        <v>193</v>
      </c>
      <c r="U402" s="3">
        <f t="shared" si="75"/>
        <v>4.40625</v>
      </c>
      <c r="V402" s="5">
        <v>1</v>
      </c>
      <c r="W402" s="6" t="s">
        <v>169</v>
      </c>
      <c r="X402" s="5" t="s">
        <v>45</v>
      </c>
      <c r="Y402" s="5"/>
      <c r="Z402" s="5"/>
      <c r="AA402" s="5"/>
      <c r="AB402" s="5" t="str">
        <f t="shared" si="73"/>
        <v>Poly</v>
      </c>
      <c r="AC402" s="5">
        <v>99</v>
      </c>
      <c r="AD402" s="79">
        <v>2.4E-2</v>
      </c>
      <c r="AE402" s="5">
        <v>2</v>
      </c>
      <c r="AF402" s="5" t="s">
        <v>104</v>
      </c>
      <c r="AG402" s="5" t="s">
        <v>103</v>
      </c>
      <c r="AH402" s="5"/>
      <c r="AI402" s="5"/>
      <c r="AK402" s="5"/>
      <c r="AL402" s="5"/>
      <c r="AN402" s="5"/>
      <c r="AO402" s="5" t="str">
        <f t="shared" si="74"/>
        <v/>
      </c>
      <c r="AP402" s="5"/>
    </row>
    <row r="403" spans="1:42" ht="15" customHeight="1" x14ac:dyDescent="0.35">
      <c r="A403" s="4">
        <v>44798</v>
      </c>
      <c r="B403" s="5">
        <v>10</v>
      </c>
      <c r="C403" s="5" t="s">
        <v>136</v>
      </c>
      <c r="D403" s="5" t="s">
        <v>42</v>
      </c>
      <c r="E403" s="5"/>
      <c r="F403" s="5">
        <v>1050</v>
      </c>
      <c r="G403" s="5">
        <v>200</v>
      </c>
      <c r="H403" s="5"/>
      <c r="I403" s="5">
        <v>12</v>
      </c>
      <c r="J403" s="67">
        <v>0.48</v>
      </c>
      <c r="K403" s="67">
        <v>2.48</v>
      </c>
      <c r="L403" s="67">
        <v>0.08</v>
      </c>
      <c r="M403" s="5" t="s">
        <v>16</v>
      </c>
      <c r="N403" s="5">
        <v>5</v>
      </c>
      <c r="O403" s="5">
        <v>142</v>
      </c>
      <c r="P403" s="5">
        <v>21</v>
      </c>
      <c r="Q403" s="5">
        <v>20</v>
      </c>
      <c r="R403" s="5">
        <f t="shared" si="71"/>
        <v>183</v>
      </c>
      <c r="S403" s="3">
        <f t="shared" si="72"/>
        <v>6.7619047619047619</v>
      </c>
      <c r="T403" s="5" t="s">
        <v>193</v>
      </c>
      <c r="U403" s="3">
        <f t="shared" si="75"/>
        <v>4.40625</v>
      </c>
      <c r="V403" s="5">
        <v>1</v>
      </c>
      <c r="W403" s="6" t="s">
        <v>169</v>
      </c>
      <c r="X403" s="5" t="s">
        <v>45</v>
      </c>
      <c r="Y403" s="5"/>
      <c r="Z403" s="105">
        <v>44798</v>
      </c>
      <c r="AA403" s="5"/>
      <c r="AB403" s="5" t="str">
        <f t="shared" si="73"/>
        <v>Poly</v>
      </c>
      <c r="AC403" s="5">
        <v>98</v>
      </c>
      <c r="AD403" s="79">
        <v>3.5999999999999997E-2</v>
      </c>
      <c r="AE403" s="5">
        <v>1</v>
      </c>
      <c r="AF403" s="5" t="s">
        <v>104</v>
      </c>
      <c r="AG403" s="5" t="s">
        <v>103</v>
      </c>
      <c r="AH403" s="5"/>
      <c r="AI403" s="5"/>
      <c r="AK403" s="5"/>
      <c r="AL403" s="5"/>
      <c r="AN403" s="5">
        <v>6</v>
      </c>
      <c r="AO403" s="5">
        <f t="shared" si="74"/>
        <v>5</v>
      </c>
      <c r="AP403" s="5"/>
    </row>
    <row r="404" spans="1:42" ht="15" customHeight="1" x14ac:dyDescent="0.35">
      <c r="A404" s="4">
        <v>44798</v>
      </c>
      <c r="B404" s="5">
        <v>10</v>
      </c>
      <c r="C404" s="5" t="s">
        <v>136</v>
      </c>
      <c r="D404" s="5" t="s">
        <v>42</v>
      </c>
      <c r="E404" s="5"/>
      <c r="F404" s="5">
        <v>1050</v>
      </c>
      <c r="G404" s="5">
        <v>200</v>
      </c>
      <c r="H404" s="5"/>
      <c r="I404" s="5">
        <v>12</v>
      </c>
      <c r="J404" s="67">
        <v>0.48</v>
      </c>
      <c r="K404" s="67">
        <v>2.48</v>
      </c>
      <c r="L404" s="67">
        <v>0.08</v>
      </c>
      <c r="M404" s="5" t="s">
        <v>16</v>
      </c>
      <c r="N404" s="5">
        <v>5</v>
      </c>
      <c r="O404" s="5">
        <v>142</v>
      </c>
      <c r="P404" s="5">
        <v>21</v>
      </c>
      <c r="Q404" s="5">
        <v>20</v>
      </c>
      <c r="R404" s="5">
        <f t="shared" si="71"/>
        <v>183</v>
      </c>
      <c r="S404" s="3">
        <f t="shared" si="72"/>
        <v>6.7619047619047619</v>
      </c>
      <c r="T404" s="5" t="s">
        <v>193</v>
      </c>
      <c r="U404" s="3">
        <f t="shared" si="75"/>
        <v>4.40625</v>
      </c>
      <c r="V404" s="5">
        <v>1</v>
      </c>
      <c r="W404" s="6" t="s">
        <v>169</v>
      </c>
      <c r="X404" s="5" t="s">
        <v>45</v>
      </c>
      <c r="Y404" s="5"/>
      <c r="Z404" s="5"/>
      <c r="AA404" s="5"/>
      <c r="AB404" s="5" t="str">
        <f t="shared" si="73"/>
        <v>Poly</v>
      </c>
      <c r="AC404" s="5">
        <v>97</v>
      </c>
      <c r="AD404" s="79">
        <v>2.9000000000000001E-2</v>
      </c>
      <c r="AE404" s="5">
        <v>2</v>
      </c>
      <c r="AF404" s="5" t="s">
        <v>104</v>
      </c>
      <c r="AG404" s="5" t="s">
        <v>102</v>
      </c>
      <c r="AH404" s="5"/>
      <c r="AI404" s="5"/>
      <c r="AK404" s="5"/>
      <c r="AL404" s="5" t="s">
        <v>196</v>
      </c>
      <c r="AN404" s="5" t="str">
        <f t="shared" ref="AN404:AN412" si="76">IF((AE404=0),0,"")</f>
        <v/>
      </c>
      <c r="AO404" s="5"/>
      <c r="AP404" s="5"/>
    </row>
    <row r="405" spans="1:42" ht="15" customHeight="1" x14ac:dyDescent="0.35">
      <c r="A405" s="4">
        <v>44798</v>
      </c>
      <c r="B405" s="5">
        <v>10</v>
      </c>
      <c r="C405" s="5" t="s">
        <v>136</v>
      </c>
      <c r="D405" s="5" t="s">
        <v>42</v>
      </c>
      <c r="E405" s="5"/>
      <c r="F405" s="5">
        <v>1050</v>
      </c>
      <c r="G405" s="5">
        <v>200</v>
      </c>
      <c r="H405" s="5"/>
      <c r="I405" s="5">
        <v>12</v>
      </c>
      <c r="J405" s="67">
        <v>0.48</v>
      </c>
      <c r="K405" s="67">
        <v>2.48</v>
      </c>
      <c r="L405" s="67">
        <v>0.08</v>
      </c>
      <c r="M405" s="5" t="s">
        <v>16</v>
      </c>
      <c r="N405" s="5">
        <v>5</v>
      </c>
      <c r="O405" s="5">
        <v>142</v>
      </c>
      <c r="P405" s="5">
        <v>21</v>
      </c>
      <c r="Q405" s="5">
        <v>20</v>
      </c>
      <c r="R405" s="5">
        <f t="shared" si="71"/>
        <v>183</v>
      </c>
      <c r="S405" s="3">
        <f t="shared" si="72"/>
        <v>6.7619047619047619</v>
      </c>
      <c r="T405" s="5" t="s">
        <v>193</v>
      </c>
      <c r="U405" s="3">
        <f t="shared" si="75"/>
        <v>4.40625</v>
      </c>
      <c r="V405" s="5">
        <v>1</v>
      </c>
      <c r="W405" s="6" t="s">
        <v>169</v>
      </c>
      <c r="X405" s="5" t="s">
        <v>46</v>
      </c>
      <c r="Y405" s="5" t="s">
        <v>189</v>
      </c>
      <c r="Z405" s="5"/>
      <c r="AA405" s="5"/>
      <c r="AB405" s="5" t="str">
        <f t="shared" si="73"/>
        <v>Poly</v>
      </c>
      <c r="AC405" s="5">
        <v>97</v>
      </c>
      <c r="AD405" s="79">
        <v>8.0000000000000002E-3</v>
      </c>
      <c r="AE405" s="5">
        <v>3</v>
      </c>
      <c r="AF405" s="5" t="s">
        <v>102</v>
      </c>
      <c r="AG405" s="5" t="s">
        <v>103</v>
      </c>
      <c r="AH405" s="5"/>
      <c r="AI405" s="5"/>
      <c r="AK405" s="5"/>
      <c r="AL405" s="5"/>
      <c r="AN405" s="5" t="str">
        <f t="shared" si="76"/>
        <v/>
      </c>
      <c r="AO405" s="5"/>
      <c r="AP405" s="5"/>
    </row>
    <row r="406" spans="1:42" ht="15" customHeight="1" x14ac:dyDescent="0.35">
      <c r="A406" s="4">
        <v>44798</v>
      </c>
      <c r="B406" s="5">
        <v>10</v>
      </c>
      <c r="C406" s="5" t="s">
        <v>136</v>
      </c>
      <c r="D406" s="5" t="s">
        <v>42</v>
      </c>
      <c r="E406" s="5"/>
      <c r="F406" s="5">
        <v>1050</v>
      </c>
      <c r="G406" s="5">
        <v>200</v>
      </c>
      <c r="H406" s="5"/>
      <c r="I406" s="5">
        <v>12</v>
      </c>
      <c r="J406" s="67">
        <v>0.48</v>
      </c>
      <c r="K406" s="67">
        <v>2.48</v>
      </c>
      <c r="L406" s="67">
        <v>0.08</v>
      </c>
      <c r="M406" s="5" t="s">
        <v>16</v>
      </c>
      <c r="N406" s="5">
        <v>5</v>
      </c>
      <c r="O406" s="5">
        <v>142</v>
      </c>
      <c r="P406" s="5">
        <v>21</v>
      </c>
      <c r="Q406" s="5">
        <v>20</v>
      </c>
      <c r="R406" s="5">
        <f t="shared" si="71"/>
        <v>183</v>
      </c>
      <c r="S406" s="3">
        <f t="shared" si="72"/>
        <v>6.7619047619047619</v>
      </c>
      <c r="T406" s="5" t="s">
        <v>193</v>
      </c>
      <c r="U406" s="3">
        <f t="shared" si="75"/>
        <v>4.40625</v>
      </c>
      <c r="V406" s="5">
        <v>1</v>
      </c>
      <c r="W406" s="6" t="s">
        <v>169</v>
      </c>
      <c r="X406" s="5" t="s">
        <v>46</v>
      </c>
      <c r="Y406" s="5" t="s">
        <v>195</v>
      </c>
      <c r="Z406" s="5"/>
      <c r="AA406" s="5"/>
      <c r="AB406" s="5" t="str">
        <f t="shared" si="73"/>
        <v>Poly</v>
      </c>
      <c r="AC406" s="5">
        <v>100</v>
      </c>
      <c r="AD406" s="79">
        <v>8.9999999999999993E-3</v>
      </c>
      <c r="AE406" s="5">
        <v>3</v>
      </c>
      <c r="AF406" s="5" t="s">
        <v>102</v>
      </c>
      <c r="AG406" s="5" t="s">
        <v>103</v>
      </c>
      <c r="AH406" s="5"/>
      <c r="AI406" s="5"/>
      <c r="AK406" s="5"/>
      <c r="AL406" s="5"/>
      <c r="AN406" s="5" t="str">
        <f t="shared" si="76"/>
        <v/>
      </c>
      <c r="AO406" s="5"/>
      <c r="AP406" s="5"/>
    </row>
    <row r="407" spans="1:42" ht="15" customHeight="1" x14ac:dyDescent="0.35">
      <c r="A407" s="4">
        <v>44798</v>
      </c>
      <c r="B407" s="5">
        <v>10</v>
      </c>
      <c r="C407" s="5" t="s">
        <v>136</v>
      </c>
      <c r="D407" s="5" t="s">
        <v>42</v>
      </c>
      <c r="E407" s="5"/>
      <c r="F407" s="5">
        <v>1050</v>
      </c>
      <c r="G407" s="5">
        <v>200</v>
      </c>
      <c r="H407" s="5"/>
      <c r="I407" s="5">
        <v>12</v>
      </c>
      <c r="J407" s="67">
        <v>0.48</v>
      </c>
      <c r="K407" s="67">
        <v>2.48</v>
      </c>
      <c r="L407" s="67">
        <v>0.08</v>
      </c>
      <c r="M407" s="5" t="s">
        <v>16</v>
      </c>
      <c r="N407" s="5">
        <v>5</v>
      </c>
      <c r="O407" s="5">
        <v>142</v>
      </c>
      <c r="P407" s="5">
        <v>21</v>
      </c>
      <c r="Q407" s="5">
        <v>20</v>
      </c>
      <c r="R407" s="5">
        <f t="shared" si="71"/>
        <v>183</v>
      </c>
      <c r="S407" s="3">
        <f t="shared" si="72"/>
        <v>6.7619047619047619</v>
      </c>
      <c r="T407" s="5" t="s">
        <v>193</v>
      </c>
      <c r="U407" s="3">
        <f t="shared" si="75"/>
        <v>4.40625</v>
      </c>
      <c r="V407" s="5">
        <v>1</v>
      </c>
      <c r="W407" s="6" t="s">
        <v>169</v>
      </c>
      <c r="X407" s="5" t="s">
        <v>46</v>
      </c>
      <c r="Y407" s="5"/>
      <c r="Z407" s="5"/>
      <c r="AA407" s="5"/>
      <c r="AB407" s="5" t="str">
        <f t="shared" si="73"/>
        <v>Poly</v>
      </c>
      <c r="AC407" s="5">
        <v>95</v>
      </c>
      <c r="AD407" s="5">
        <v>1.2999999999999999E-2</v>
      </c>
      <c r="AE407" s="5">
        <v>3</v>
      </c>
      <c r="AF407" s="5" t="s">
        <v>104</v>
      </c>
      <c r="AG407" s="5" t="s">
        <v>102</v>
      </c>
      <c r="AH407" s="5"/>
      <c r="AI407" s="5"/>
      <c r="AK407" s="5"/>
      <c r="AL407" s="5"/>
      <c r="AN407" s="5" t="str">
        <f t="shared" si="76"/>
        <v/>
      </c>
      <c r="AO407" s="5"/>
      <c r="AP407" s="5"/>
    </row>
    <row r="408" spans="1:42" ht="15" customHeight="1" x14ac:dyDescent="0.35">
      <c r="A408" s="4">
        <v>44798</v>
      </c>
      <c r="B408" s="5">
        <v>10</v>
      </c>
      <c r="C408" s="5" t="s">
        <v>136</v>
      </c>
      <c r="D408" s="5" t="s">
        <v>42</v>
      </c>
      <c r="E408" s="5"/>
      <c r="F408" s="5">
        <v>1050</v>
      </c>
      <c r="G408" s="5">
        <v>200</v>
      </c>
      <c r="H408" s="5"/>
      <c r="I408" s="5">
        <v>12</v>
      </c>
      <c r="J408" s="67">
        <v>0.48</v>
      </c>
      <c r="K408" s="67">
        <v>2.48</v>
      </c>
      <c r="L408" s="67">
        <v>0.08</v>
      </c>
      <c r="M408" s="5" t="s">
        <v>16</v>
      </c>
      <c r="N408" s="5">
        <v>5</v>
      </c>
      <c r="O408" s="5">
        <v>142</v>
      </c>
      <c r="P408" s="5">
        <v>21</v>
      </c>
      <c r="Q408" s="5">
        <v>20</v>
      </c>
      <c r="R408" s="5">
        <f t="shared" si="71"/>
        <v>183</v>
      </c>
      <c r="S408" s="3">
        <f t="shared" si="72"/>
        <v>6.7619047619047619</v>
      </c>
      <c r="T408" s="5" t="s">
        <v>193</v>
      </c>
      <c r="U408" s="3">
        <f t="shared" si="75"/>
        <v>4.40625</v>
      </c>
      <c r="V408" s="5">
        <v>1</v>
      </c>
      <c r="W408" s="6" t="s">
        <v>169</v>
      </c>
      <c r="X408" s="5" t="s">
        <v>46</v>
      </c>
      <c r="Y408" s="5"/>
      <c r="Z408" s="105">
        <v>44798</v>
      </c>
      <c r="AA408" s="5"/>
      <c r="AB408" s="5" t="str">
        <f t="shared" si="73"/>
        <v>Poly</v>
      </c>
      <c r="AC408" s="5">
        <v>99</v>
      </c>
      <c r="AD408" s="5">
        <v>2.9000000000000001E-2</v>
      </c>
      <c r="AE408" s="5">
        <v>3</v>
      </c>
      <c r="AF408" s="5" t="s">
        <v>104</v>
      </c>
      <c r="AG408" s="5" t="s">
        <v>110</v>
      </c>
      <c r="AH408" s="5"/>
      <c r="AI408" s="5"/>
      <c r="AK408" s="5"/>
      <c r="AL408" s="5"/>
      <c r="AN408" s="5" t="str">
        <f t="shared" si="76"/>
        <v/>
      </c>
      <c r="AO408" s="5"/>
      <c r="AP408" s="5"/>
    </row>
    <row r="409" spans="1:42" ht="15" customHeight="1" x14ac:dyDescent="0.35">
      <c r="A409" s="4">
        <v>44798</v>
      </c>
      <c r="B409" s="5">
        <v>10</v>
      </c>
      <c r="C409" s="5" t="s">
        <v>136</v>
      </c>
      <c r="D409" s="5" t="s">
        <v>42</v>
      </c>
      <c r="E409" s="5"/>
      <c r="F409" s="5">
        <v>1050</v>
      </c>
      <c r="G409" s="5">
        <v>200</v>
      </c>
      <c r="H409" s="5"/>
      <c r="I409" s="5">
        <v>12</v>
      </c>
      <c r="J409" s="67">
        <v>0.48</v>
      </c>
      <c r="K409" s="67">
        <v>2.48</v>
      </c>
      <c r="L409" s="67">
        <v>0.08</v>
      </c>
      <c r="M409" s="5" t="s">
        <v>16</v>
      </c>
      <c r="N409" s="5">
        <v>5</v>
      </c>
      <c r="O409" s="5">
        <v>142</v>
      </c>
      <c r="P409" s="5">
        <v>21</v>
      </c>
      <c r="Q409" s="5">
        <v>20</v>
      </c>
      <c r="R409" s="5">
        <f t="shared" si="71"/>
        <v>183</v>
      </c>
      <c r="S409" s="3">
        <f t="shared" si="72"/>
        <v>6.7619047619047619</v>
      </c>
      <c r="T409" s="5" t="s">
        <v>193</v>
      </c>
      <c r="U409" s="3">
        <f t="shared" si="75"/>
        <v>4.40625</v>
      </c>
      <c r="V409" s="5">
        <v>1</v>
      </c>
      <c r="W409" s="6" t="s">
        <v>169</v>
      </c>
      <c r="X409" s="5" t="s">
        <v>179</v>
      </c>
      <c r="Y409" s="5"/>
      <c r="Z409" s="5"/>
      <c r="AA409" s="5"/>
      <c r="AB409" s="5" t="str">
        <f t="shared" si="73"/>
        <v>Poly</v>
      </c>
      <c r="AC409" s="5">
        <v>100</v>
      </c>
      <c r="AD409" s="79">
        <v>8.9999999999999993E-3</v>
      </c>
      <c r="AE409" s="5">
        <v>3</v>
      </c>
      <c r="AF409" s="5" t="s">
        <v>104</v>
      </c>
      <c r="AG409" s="5" t="s">
        <v>103</v>
      </c>
      <c r="AH409" s="5"/>
      <c r="AI409" s="5"/>
      <c r="AK409" s="5"/>
      <c r="AL409" s="5"/>
      <c r="AN409" s="5" t="str">
        <f t="shared" si="76"/>
        <v/>
      </c>
      <c r="AO409" s="5"/>
      <c r="AP409" s="5"/>
    </row>
    <row r="410" spans="1:42" ht="15" customHeight="1" x14ac:dyDescent="0.35">
      <c r="A410" s="4">
        <v>44798</v>
      </c>
      <c r="B410" s="5">
        <v>11</v>
      </c>
      <c r="C410" s="5" t="s">
        <v>197</v>
      </c>
      <c r="D410" s="5" t="s">
        <v>42</v>
      </c>
      <c r="E410" s="5"/>
      <c r="F410" s="5">
        <v>1050</v>
      </c>
      <c r="G410" s="5">
        <v>200</v>
      </c>
      <c r="H410" s="5"/>
      <c r="I410" s="5">
        <v>12</v>
      </c>
      <c r="J410" s="67">
        <v>0.48</v>
      </c>
      <c r="K410" s="67">
        <v>2.4300000000000002</v>
      </c>
      <c r="L410" s="67">
        <v>0.1</v>
      </c>
      <c r="M410" s="5" t="s">
        <v>16</v>
      </c>
      <c r="N410" s="5">
        <v>5</v>
      </c>
      <c r="O410" s="5">
        <v>132</v>
      </c>
      <c r="P410" s="5">
        <v>18.8</v>
      </c>
      <c r="Q410" s="5">
        <v>20</v>
      </c>
      <c r="R410" s="5">
        <f t="shared" si="71"/>
        <v>170.8</v>
      </c>
      <c r="S410" s="3">
        <f t="shared" si="72"/>
        <v>7.0212765957446805</v>
      </c>
      <c r="T410" s="3" t="s">
        <v>193</v>
      </c>
      <c r="U410" s="3">
        <f>67/19</f>
        <v>3.5263157894736841</v>
      </c>
      <c r="V410" s="5">
        <v>1</v>
      </c>
      <c r="W410" s="6" t="s">
        <v>169</v>
      </c>
      <c r="X410" s="5" t="s">
        <v>45</v>
      </c>
      <c r="Y410" s="5"/>
      <c r="Z410" s="5"/>
      <c r="AA410" s="5"/>
      <c r="AB410" s="5" t="str">
        <f t="shared" si="73"/>
        <v>Poly</v>
      </c>
      <c r="AC410" s="5">
        <v>100</v>
      </c>
      <c r="AD410" s="79">
        <v>3.9E-2</v>
      </c>
      <c r="AE410" s="5">
        <v>1</v>
      </c>
      <c r="AF410" s="5" t="s">
        <v>104</v>
      </c>
      <c r="AG410" s="5" t="s">
        <v>102</v>
      </c>
      <c r="AH410" s="5"/>
      <c r="AI410" s="5"/>
      <c r="AK410" s="5"/>
      <c r="AL410" s="5"/>
      <c r="AN410" s="5" t="str">
        <f t="shared" si="76"/>
        <v/>
      </c>
      <c r="AO410" s="5"/>
      <c r="AP410" s="5"/>
    </row>
    <row r="411" spans="1:42" ht="15" customHeight="1" x14ac:dyDescent="0.35">
      <c r="A411" s="4">
        <v>44798</v>
      </c>
      <c r="B411" s="5">
        <v>11</v>
      </c>
      <c r="C411" s="5" t="s">
        <v>197</v>
      </c>
      <c r="D411" s="5" t="s">
        <v>42</v>
      </c>
      <c r="E411" s="5"/>
      <c r="F411" s="5">
        <v>1050</v>
      </c>
      <c r="G411" s="5">
        <v>200</v>
      </c>
      <c r="H411" s="5"/>
      <c r="I411" s="5">
        <v>12</v>
      </c>
      <c r="J411" s="67">
        <v>0.48</v>
      </c>
      <c r="K411" s="67">
        <v>2.4300000000000002</v>
      </c>
      <c r="L411" s="67">
        <v>0.1</v>
      </c>
      <c r="M411" s="5" t="s">
        <v>16</v>
      </c>
      <c r="N411" s="5">
        <v>5</v>
      </c>
      <c r="O411" s="5">
        <v>132</v>
      </c>
      <c r="P411" s="5">
        <v>18.8</v>
      </c>
      <c r="Q411" s="5">
        <v>20</v>
      </c>
      <c r="R411" s="5">
        <f t="shared" si="71"/>
        <v>170.8</v>
      </c>
      <c r="S411" s="3">
        <f t="shared" si="72"/>
        <v>7.0212765957446805</v>
      </c>
      <c r="T411" s="3" t="s">
        <v>193</v>
      </c>
      <c r="U411" s="3">
        <f>67/19</f>
        <v>3.5263157894736841</v>
      </c>
      <c r="V411" s="5">
        <v>1</v>
      </c>
      <c r="W411" s="6" t="s">
        <v>169</v>
      </c>
      <c r="X411" s="5" t="s">
        <v>179</v>
      </c>
      <c r="Y411" s="5"/>
      <c r="Z411" s="5"/>
      <c r="AA411" s="5"/>
      <c r="AB411" s="5" t="str">
        <f t="shared" si="73"/>
        <v>Poly</v>
      </c>
      <c r="AC411" s="5">
        <v>100</v>
      </c>
      <c r="AD411" s="79">
        <v>2.5999999999999999E-2</v>
      </c>
      <c r="AE411" s="5">
        <v>5</v>
      </c>
      <c r="AF411" s="5" t="s">
        <v>104</v>
      </c>
      <c r="AG411" s="5" t="s">
        <v>103</v>
      </c>
      <c r="AH411" s="5"/>
      <c r="AI411" s="5"/>
      <c r="AK411" s="5"/>
      <c r="AL411" s="5"/>
      <c r="AN411" s="5" t="str">
        <f t="shared" si="76"/>
        <v/>
      </c>
      <c r="AO411" s="5"/>
      <c r="AP411" s="5"/>
    </row>
    <row r="412" spans="1:42" ht="15" customHeight="1" x14ac:dyDescent="0.35">
      <c r="A412" s="4">
        <v>44798</v>
      </c>
      <c r="B412" s="5">
        <v>11</v>
      </c>
      <c r="C412" s="5" t="s">
        <v>197</v>
      </c>
      <c r="D412" s="5" t="s">
        <v>42</v>
      </c>
      <c r="E412" s="5"/>
      <c r="F412" s="5">
        <v>1050</v>
      </c>
      <c r="G412" s="5">
        <v>200</v>
      </c>
      <c r="H412" s="5"/>
      <c r="I412" s="5">
        <v>12</v>
      </c>
      <c r="J412" s="67">
        <v>0.48</v>
      </c>
      <c r="K412" s="67">
        <v>2.4300000000000002</v>
      </c>
      <c r="L412" s="67">
        <v>0.1</v>
      </c>
      <c r="M412" s="5" t="s">
        <v>16</v>
      </c>
      <c r="N412" s="5">
        <v>5</v>
      </c>
      <c r="O412" s="5">
        <v>132</v>
      </c>
      <c r="P412" s="5">
        <v>18.8</v>
      </c>
      <c r="Q412" s="5">
        <v>20</v>
      </c>
      <c r="R412" s="5">
        <f t="shared" si="71"/>
        <v>170.8</v>
      </c>
      <c r="S412" s="3">
        <f t="shared" si="72"/>
        <v>7.0212765957446805</v>
      </c>
      <c r="T412" s="3" t="s">
        <v>193</v>
      </c>
      <c r="U412" s="3">
        <f>67/19</f>
        <v>3.5263157894736841</v>
      </c>
      <c r="V412" s="5">
        <v>1</v>
      </c>
      <c r="W412" s="6" t="s">
        <v>169</v>
      </c>
      <c r="X412" s="5" t="s">
        <v>46</v>
      </c>
      <c r="Y412" s="5"/>
      <c r="Z412" s="5"/>
      <c r="AA412" s="5"/>
      <c r="AB412" s="5" t="str">
        <f t="shared" si="73"/>
        <v>Poly</v>
      </c>
      <c r="AC412" s="5">
        <v>100</v>
      </c>
      <c r="AD412" s="5">
        <v>2.5000000000000001E-2</v>
      </c>
      <c r="AE412" s="5">
        <v>5</v>
      </c>
      <c r="AF412" s="5" t="s">
        <v>102</v>
      </c>
      <c r="AG412" s="5" t="s">
        <v>103</v>
      </c>
      <c r="AH412" s="5"/>
      <c r="AI412" s="5"/>
      <c r="AK412" s="5"/>
      <c r="AL412" s="5"/>
      <c r="AN412" s="5" t="str">
        <f t="shared" si="76"/>
        <v/>
      </c>
      <c r="AO412" s="5"/>
      <c r="AP412" s="5"/>
    </row>
    <row r="413" spans="1:42" ht="15" customHeight="1" x14ac:dyDescent="0.35">
      <c r="A413" s="4">
        <v>44798</v>
      </c>
      <c r="B413" s="5">
        <v>12</v>
      </c>
      <c r="C413" s="5" t="s">
        <v>48</v>
      </c>
      <c r="D413" s="5" t="s">
        <v>42</v>
      </c>
      <c r="E413" s="5"/>
      <c r="F413" s="5">
        <v>1050</v>
      </c>
      <c r="G413" s="5">
        <v>200</v>
      </c>
      <c r="H413" s="5"/>
      <c r="I413" s="5">
        <v>12</v>
      </c>
      <c r="J413" s="67">
        <v>0.47</v>
      </c>
      <c r="K413" s="67">
        <v>2.34</v>
      </c>
      <c r="L413" s="67">
        <v>7.0000000000000007E-2</v>
      </c>
      <c r="M413" s="5" t="s">
        <v>16</v>
      </c>
      <c r="N413" s="5">
        <v>5</v>
      </c>
      <c r="O413" s="5">
        <v>84</v>
      </c>
      <c r="P413" s="5">
        <v>48</v>
      </c>
      <c r="Q413" s="5">
        <v>24</v>
      </c>
      <c r="R413" s="5">
        <f t="shared" si="71"/>
        <v>156</v>
      </c>
      <c r="S413" s="3">
        <f t="shared" si="72"/>
        <v>1.75</v>
      </c>
      <c r="T413" s="3">
        <f>16.8/18</f>
        <v>0.93333333333333335</v>
      </c>
      <c r="U413" s="3">
        <f>28.5/45</f>
        <v>0.6333333333333333</v>
      </c>
      <c r="V413" s="5">
        <v>1</v>
      </c>
      <c r="W413" s="6" t="s">
        <v>169</v>
      </c>
      <c r="X413" s="5" t="s">
        <v>45</v>
      </c>
      <c r="Y413" s="5"/>
      <c r="Z413" s="5"/>
      <c r="AA413" s="5"/>
      <c r="AB413" s="5" t="str">
        <f t="shared" si="73"/>
        <v>Poly</v>
      </c>
      <c r="AC413" s="5">
        <v>100</v>
      </c>
      <c r="AD413" s="5">
        <v>3.7999999999999999E-2</v>
      </c>
      <c r="AE413" s="5">
        <v>1</v>
      </c>
      <c r="AF413" s="5" t="s">
        <v>102</v>
      </c>
      <c r="AG413" s="5" t="s">
        <v>102</v>
      </c>
      <c r="AH413" s="5">
        <v>0.192</v>
      </c>
      <c r="AI413" s="5">
        <f t="shared" ref="AI413:AI433" si="77">IF(ISBLANK(AH413),"",ABS(AH413-AD413))</f>
        <v>0.154</v>
      </c>
      <c r="AK413" s="5"/>
      <c r="AL413" s="5" t="s">
        <v>198</v>
      </c>
      <c r="AN413" s="5">
        <v>8.3000000000000007</v>
      </c>
      <c r="AO413" s="5">
        <f t="shared" ref="AO413:AO422" si="78">IF(ISBLANK(AN413),"",ABS(AN413-AE413))</f>
        <v>7.3000000000000007</v>
      </c>
      <c r="AP413" s="5" t="s">
        <v>186</v>
      </c>
    </row>
    <row r="414" spans="1:42" ht="15" customHeight="1" x14ac:dyDescent="0.35">
      <c r="A414" s="4">
        <v>44798</v>
      </c>
      <c r="B414" s="5">
        <v>12</v>
      </c>
      <c r="C414" s="5" t="s">
        <v>48</v>
      </c>
      <c r="D414" s="5" t="s">
        <v>42</v>
      </c>
      <c r="E414" s="5"/>
      <c r="F414" s="5">
        <v>1050</v>
      </c>
      <c r="G414" s="5">
        <v>200</v>
      </c>
      <c r="H414" s="5"/>
      <c r="I414" s="5">
        <v>12</v>
      </c>
      <c r="J414" s="67">
        <v>0.47</v>
      </c>
      <c r="K414" s="67">
        <v>2.34</v>
      </c>
      <c r="L414" s="67">
        <v>7.0000000000000007E-2</v>
      </c>
      <c r="M414" s="5" t="s">
        <v>16</v>
      </c>
      <c r="N414" s="5">
        <v>5</v>
      </c>
      <c r="O414" s="5">
        <v>84</v>
      </c>
      <c r="P414" s="5">
        <v>48</v>
      </c>
      <c r="Q414" s="5">
        <v>24</v>
      </c>
      <c r="R414" s="5">
        <f t="shared" si="71"/>
        <v>156</v>
      </c>
      <c r="S414" s="3">
        <f t="shared" si="72"/>
        <v>1.75</v>
      </c>
      <c r="T414" s="3">
        <f>16.8/18</f>
        <v>0.93333333333333335</v>
      </c>
      <c r="U414" s="3">
        <f>28.5/45</f>
        <v>0.6333333333333333</v>
      </c>
      <c r="V414" s="5">
        <v>1</v>
      </c>
      <c r="W414" s="6" t="s">
        <v>169</v>
      </c>
      <c r="X414" s="5" t="s">
        <v>179</v>
      </c>
      <c r="Y414" s="5"/>
      <c r="Z414" s="5"/>
      <c r="AA414" s="5"/>
      <c r="AB414" s="5" t="str">
        <f t="shared" si="73"/>
        <v>Poly</v>
      </c>
      <c r="AC414" s="5">
        <v>100</v>
      </c>
      <c r="AD414" s="5">
        <v>0.151</v>
      </c>
      <c r="AE414" s="5">
        <v>0</v>
      </c>
      <c r="AF414" s="5" t="s">
        <v>102</v>
      </c>
      <c r="AG414" s="5" t="s">
        <v>104</v>
      </c>
      <c r="AH414" s="5"/>
      <c r="AI414" s="5" t="str">
        <f t="shared" si="77"/>
        <v/>
      </c>
      <c r="AK414" s="5"/>
      <c r="AL414" s="5"/>
      <c r="AN414" s="5">
        <f>IF((AE414=0),0,"")</f>
        <v>0</v>
      </c>
      <c r="AO414" s="5">
        <f t="shared" si="78"/>
        <v>0</v>
      </c>
      <c r="AP414" s="5"/>
    </row>
    <row r="415" spans="1:42" ht="15" customHeight="1" x14ac:dyDescent="0.35">
      <c r="A415" s="4">
        <v>44798</v>
      </c>
      <c r="B415" s="5">
        <v>12</v>
      </c>
      <c r="C415" s="5" t="s">
        <v>48</v>
      </c>
      <c r="D415" s="5" t="s">
        <v>42</v>
      </c>
      <c r="E415" s="5"/>
      <c r="F415" s="5">
        <v>1050</v>
      </c>
      <c r="G415" s="5">
        <v>200</v>
      </c>
      <c r="H415" s="5"/>
      <c r="I415" s="5">
        <v>12</v>
      </c>
      <c r="J415" s="67">
        <v>0.47</v>
      </c>
      <c r="K415" s="67">
        <v>2.34</v>
      </c>
      <c r="L415" s="67">
        <v>7.0000000000000007E-2</v>
      </c>
      <c r="M415" s="5" t="s">
        <v>16</v>
      </c>
      <c r="N415" s="5">
        <v>5</v>
      </c>
      <c r="O415" s="5">
        <v>84</v>
      </c>
      <c r="P415" s="5">
        <v>48</v>
      </c>
      <c r="Q415" s="5">
        <v>24</v>
      </c>
      <c r="R415" s="5">
        <f t="shared" si="71"/>
        <v>156</v>
      </c>
      <c r="S415" s="3">
        <f t="shared" si="72"/>
        <v>1.75</v>
      </c>
      <c r="T415" s="3">
        <f>16.8/18</f>
        <v>0.93333333333333335</v>
      </c>
      <c r="U415" s="3">
        <f>28.5/45</f>
        <v>0.6333333333333333</v>
      </c>
      <c r="V415" s="5">
        <v>1</v>
      </c>
      <c r="W415" s="6" t="s">
        <v>169</v>
      </c>
      <c r="X415" s="5" t="s">
        <v>46</v>
      </c>
      <c r="Y415" s="5"/>
      <c r="Z415" s="5"/>
      <c r="AA415" s="5"/>
      <c r="AB415" s="5" t="str">
        <f t="shared" si="73"/>
        <v>Poly</v>
      </c>
      <c r="AC415" s="5">
        <v>100</v>
      </c>
      <c r="AD415" s="79">
        <v>0.13100000000000001</v>
      </c>
      <c r="AE415" s="5">
        <v>1</v>
      </c>
      <c r="AF415" s="5" t="s">
        <v>103</v>
      </c>
      <c r="AG415" s="5" t="s">
        <v>102</v>
      </c>
      <c r="AH415" s="5">
        <v>9.8000000000000004E-2</v>
      </c>
      <c r="AI415" s="5">
        <f t="shared" si="77"/>
        <v>3.3000000000000002E-2</v>
      </c>
      <c r="AK415" s="5"/>
      <c r="AL415" s="5"/>
      <c r="AN415" s="5">
        <v>8</v>
      </c>
      <c r="AO415" s="5">
        <f t="shared" si="78"/>
        <v>7</v>
      </c>
      <c r="AP415" s="5" t="s">
        <v>186</v>
      </c>
    </row>
    <row r="416" spans="1:42" ht="15" customHeigh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67"/>
      <c r="K416" s="67"/>
      <c r="L416" s="67"/>
      <c r="M416" s="5"/>
      <c r="N416" s="5"/>
      <c r="O416" s="5"/>
      <c r="P416" s="5"/>
      <c r="Q416" s="5"/>
      <c r="R416" s="5"/>
      <c r="S416" s="3"/>
      <c r="T416" s="3"/>
      <c r="U416" s="3"/>
      <c r="W416" s="5"/>
      <c r="Y416" s="5"/>
      <c r="Z416" s="5"/>
      <c r="AA416" s="5"/>
      <c r="AB416" s="5"/>
      <c r="AC416" s="5"/>
      <c r="AD416" s="79"/>
      <c r="AE416" s="5"/>
      <c r="AF416" s="5"/>
      <c r="AG416" s="5"/>
      <c r="AH416" s="5"/>
      <c r="AI416" s="5" t="str">
        <f t="shared" si="77"/>
        <v/>
      </c>
      <c r="AK416" s="5"/>
      <c r="AL416" s="5"/>
      <c r="AN416" s="5"/>
      <c r="AO416" s="5" t="str">
        <f t="shared" si="78"/>
        <v/>
      </c>
      <c r="AP416" s="5"/>
    </row>
    <row r="417" spans="1:42" ht="15" customHeight="1" x14ac:dyDescent="0.35">
      <c r="A417" s="4">
        <v>44799</v>
      </c>
      <c r="B417" s="5">
        <v>13</v>
      </c>
      <c r="C417" s="5" t="s">
        <v>48</v>
      </c>
      <c r="D417" s="5" t="s">
        <v>42</v>
      </c>
      <c r="E417" s="5"/>
      <c r="F417" s="5">
        <v>1050</v>
      </c>
      <c r="G417" s="5">
        <v>200</v>
      </c>
      <c r="H417" s="5"/>
      <c r="I417" s="5">
        <v>10</v>
      </c>
      <c r="J417" s="67"/>
      <c r="K417" s="67"/>
      <c r="L417" s="67"/>
      <c r="M417" s="5" t="s">
        <v>16</v>
      </c>
      <c r="N417" s="5">
        <v>5</v>
      </c>
      <c r="O417" s="5">
        <v>84</v>
      </c>
      <c r="P417" s="5">
        <v>48</v>
      </c>
      <c r="Q417" s="5">
        <v>24</v>
      </c>
      <c r="R417" s="5">
        <f t="shared" ref="R417:R433" si="79">O417+P417+Q417</f>
        <v>156</v>
      </c>
      <c r="S417" s="3">
        <f t="shared" ref="S417:S433" si="80">O417/P417</f>
        <v>1.75</v>
      </c>
      <c r="T417" s="3">
        <f t="shared" ref="T417:T422" si="81">16.8/18</f>
        <v>0.93333333333333335</v>
      </c>
      <c r="U417" s="3">
        <f t="shared" ref="U417:U422" si="82">28.5/45</f>
        <v>0.6333333333333333</v>
      </c>
      <c r="V417" s="5">
        <v>1</v>
      </c>
      <c r="W417" s="6" t="s">
        <v>169</v>
      </c>
      <c r="X417" s="5" t="s">
        <v>45</v>
      </c>
      <c r="Y417" s="5"/>
      <c r="Z417" s="5"/>
      <c r="AA417" s="5"/>
      <c r="AB417" s="5" t="str">
        <f t="shared" ref="AB417:AB433" si="83">IF(Y417="20um Schlenk", "Single", "Poly")</f>
        <v>Poly</v>
      </c>
      <c r="AC417" s="5">
        <v>100</v>
      </c>
      <c r="AD417" s="79">
        <v>1.0999999999999999E-2</v>
      </c>
      <c r="AE417" s="5">
        <v>2</v>
      </c>
      <c r="AF417" s="5" t="s">
        <v>104</v>
      </c>
      <c r="AG417" s="5" t="s">
        <v>102</v>
      </c>
      <c r="AH417" s="5">
        <v>7.6999999999999999E-2</v>
      </c>
      <c r="AI417" s="5">
        <f t="shared" si="77"/>
        <v>6.6000000000000003E-2</v>
      </c>
      <c r="AK417" s="5"/>
      <c r="AL417" s="5"/>
      <c r="AN417" s="5">
        <v>4</v>
      </c>
      <c r="AO417" s="5">
        <f t="shared" si="78"/>
        <v>2</v>
      </c>
      <c r="AP417" s="5"/>
    </row>
    <row r="418" spans="1:42" ht="15" customHeight="1" x14ac:dyDescent="0.35">
      <c r="A418" s="4">
        <v>44799</v>
      </c>
      <c r="B418" s="5">
        <v>13</v>
      </c>
      <c r="C418" s="5" t="s">
        <v>48</v>
      </c>
      <c r="D418" s="5" t="s">
        <v>42</v>
      </c>
      <c r="E418" s="5"/>
      <c r="F418" s="5">
        <v>1050</v>
      </c>
      <c r="G418" s="5">
        <v>200</v>
      </c>
      <c r="H418" s="5"/>
      <c r="I418" s="5">
        <v>10</v>
      </c>
      <c r="J418" s="67"/>
      <c r="K418" s="67"/>
      <c r="L418" s="67"/>
      <c r="M418" s="5" t="s">
        <v>16</v>
      </c>
      <c r="N418" s="5">
        <v>5</v>
      </c>
      <c r="O418" s="5">
        <v>84</v>
      </c>
      <c r="P418" s="5">
        <v>48</v>
      </c>
      <c r="Q418" s="5">
        <v>24</v>
      </c>
      <c r="R418" s="5">
        <f t="shared" si="79"/>
        <v>156</v>
      </c>
      <c r="S418" s="3">
        <f t="shared" si="80"/>
        <v>1.75</v>
      </c>
      <c r="T418" s="3">
        <f t="shared" si="81"/>
        <v>0.93333333333333335</v>
      </c>
      <c r="U418" s="3">
        <f t="shared" si="82"/>
        <v>0.6333333333333333</v>
      </c>
      <c r="V418" s="5">
        <v>1</v>
      </c>
      <c r="W418" s="6" t="s">
        <v>169</v>
      </c>
      <c r="X418" s="5" t="s">
        <v>179</v>
      </c>
      <c r="Y418" s="5"/>
      <c r="Z418" s="5"/>
      <c r="AA418" s="5"/>
      <c r="AB418" s="5" t="str">
        <f t="shared" si="83"/>
        <v>Poly</v>
      </c>
      <c r="AC418" s="5">
        <v>100</v>
      </c>
      <c r="AD418" s="79">
        <v>2.3E-2</v>
      </c>
      <c r="AE418" s="5">
        <v>3</v>
      </c>
      <c r="AF418" s="5" t="s">
        <v>103</v>
      </c>
      <c r="AG418" s="5" t="s">
        <v>102</v>
      </c>
      <c r="AH418" s="5">
        <v>9.5000000000000001E-2</v>
      </c>
      <c r="AI418" s="5">
        <f t="shared" si="77"/>
        <v>7.2000000000000008E-2</v>
      </c>
      <c r="AJ418" s="5"/>
      <c r="AK418" s="5"/>
      <c r="AN418" s="5">
        <v>7.5</v>
      </c>
      <c r="AO418" s="5">
        <f t="shared" si="78"/>
        <v>4.5</v>
      </c>
      <c r="AP418" s="5"/>
    </row>
    <row r="419" spans="1:42" ht="15" customHeight="1" x14ac:dyDescent="0.35">
      <c r="A419" s="4">
        <v>44799</v>
      </c>
      <c r="B419" s="5">
        <v>13</v>
      </c>
      <c r="C419" s="5" t="s">
        <v>48</v>
      </c>
      <c r="D419" s="5" t="s">
        <v>42</v>
      </c>
      <c r="E419" s="5"/>
      <c r="F419" s="5">
        <v>1050</v>
      </c>
      <c r="G419" s="5">
        <v>200</v>
      </c>
      <c r="H419" s="5"/>
      <c r="I419" s="5">
        <v>10</v>
      </c>
      <c r="J419" s="67"/>
      <c r="K419" s="67"/>
      <c r="L419" s="67"/>
      <c r="M419" s="5" t="s">
        <v>16</v>
      </c>
      <c r="N419" s="5">
        <v>5</v>
      </c>
      <c r="O419" s="5">
        <v>84</v>
      </c>
      <c r="P419" s="5">
        <v>48</v>
      </c>
      <c r="Q419" s="5">
        <v>24</v>
      </c>
      <c r="R419" s="5">
        <f t="shared" si="79"/>
        <v>156</v>
      </c>
      <c r="S419" s="3">
        <f t="shared" si="80"/>
        <v>1.75</v>
      </c>
      <c r="T419" s="3">
        <f t="shared" si="81"/>
        <v>0.93333333333333335</v>
      </c>
      <c r="U419" s="3">
        <f t="shared" si="82"/>
        <v>0.6333333333333333</v>
      </c>
      <c r="V419" s="5">
        <v>1</v>
      </c>
      <c r="W419" s="6" t="s">
        <v>169</v>
      </c>
      <c r="X419" s="5" t="s">
        <v>46</v>
      </c>
      <c r="Y419" s="5"/>
      <c r="Z419" s="5"/>
      <c r="AA419" s="5"/>
      <c r="AB419" s="5" t="str">
        <f t="shared" si="83"/>
        <v>Poly</v>
      </c>
      <c r="AC419" s="5">
        <v>100</v>
      </c>
      <c r="AD419" s="79">
        <v>6.4000000000000001E-2</v>
      </c>
      <c r="AE419" s="5">
        <v>1</v>
      </c>
      <c r="AF419" s="5" t="s">
        <v>110</v>
      </c>
      <c r="AG419" s="5" t="s">
        <v>104</v>
      </c>
      <c r="AH419" s="5">
        <v>0.126</v>
      </c>
      <c r="AI419" s="5">
        <f t="shared" si="77"/>
        <v>6.2E-2</v>
      </c>
      <c r="AJ419" s="5"/>
      <c r="AK419" s="5"/>
      <c r="AN419" s="5">
        <v>12.5</v>
      </c>
      <c r="AO419" s="5">
        <f t="shared" si="78"/>
        <v>11.5</v>
      </c>
      <c r="AP419" s="5" t="s">
        <v>186</v>
      </c>
    </row>
    <row r="420" spans="1:42" ht="15" customHeight="1" x14ac:dyDescent="0.35">
      <c r="A420" s="4">
        <v>44799</v>
      </c>
      <c r="B420" s="5">
        <v>13</v>
      </c>
      <c r="C420" s="5" t="s">
        <v>48</v>
      </c>
      <c r="D420" s="5" t="s">
        <v>42</v>
      </c>
      <c r="E420" s="5"/>
      <c r="F420" s="5">
        <v>1050</v>
      </c>
      <c r="G420" s="5">
        <v>200</v>
      </c>
      <c r="H420" s="5"/>
      <c r="I420" s="5">
        <v>10</v>
      </c>
      <c r="J420" s="67"/>
      <c r="K420" s="67"/>
      <c r="L420" s="67"/>
      <c r="M420" s="5" t="s">
        <v>16</v>
      </c>
      <c r="N420" s="5">
        <v>5</v>
      </c>
      <c r="O420" s="5">
        <v>84</v>
      </c>
      <c r="P420" s="5">
        <v>48</v>
      </c>
      <c r="Q420" s="5">
        <v>24</v>
      </c>
      <c r="R420" s="5">
        <f t="shared" si="79"/>
        <v>156</v>
      </c>
      <c r="S420" s="3">
        <f t="shared" si="80"/>
        <v>1.75</v>
      </c>
      <c r="T420" s="3">
        <f t="shared" si="81"/>
        <v>0.93333333333333335</v>
      </c>
      <c r="U420" s="3">
        <f t="shared" si="82"/>
        <v>0.6333333333333333</v>
      </c>
      <c r="V420" s="5">
        <v>1</v>
      </c>
      <c r="W420" s="6" t="s">
        <v>169</v>
      </c>
      <c r="X420" s="5" t="s">
        <v>45</v>
      </c>
      <c r="Y420" s="5" t="s">
        <v>122</v>
      </c>
      <c r="Z420" s="5"/>
      <c r="AA420" s="5"/>
      <c r="AB420" s="5" t="str">
        <f t="shared" si="83"/>
        <v>Poly</v>
      </c>
      <c r="AC420" s="5">
        <v>100</v>
      </c>
      <c r="AD420" s="79"/>
      <c r="AE420" s="5">
        <v>2</v>
      </c>
      <c r="AF420" s="5" t="s">
        <v>104</v>
      </c>
      <c r="AG420" s="5" t="s">
        <v>102</v>
      </c>
      <c r="AH420" s="5"/>
      <c r="AI420" s="5" t="str">
        <f t="shared" si="77"/>
        <v/>
      </c>
      <c r="AJ420" s="5"/>
      <c r="AK420" s="5"/>
      <c r="AN420" s="5">
        <v>7.3</v>
      </c>
      <c r="AO420" s="5">
        <f t="shared" si="78"/>
        <v>5.3</v>
      </c>
      <c r="AP420" s="5" t="s">
        <v>186</v>
      </c>
    </row>
    <row r="421" spans="1:42" ht="15" customHeight="1" x14ac:dyDescent="0.35">
      <c r="A421" s="4">
        <v>44799</v>
      </c>
      <c r="B421" s="5">
        <v>13</v>
      </c>
      <c r="C421" s="5" t="s">
        <v>48</v>
      </c>
      <c r="D421" s="5" t="s">
        <v>42</v>
      </c>
      <c r="E421" s="5"/>
      <c r="F421" s="5">
        <v>1050</v>
      </c>
      <c r="G421" s="5">
        <v>200</v>
      </c>
      <c r="H421" s="5"/>
      <c r="I421" s="5">
        <v>10</v>
      </c>
      <c r="J421" s="67"/>
      <c r="K421" s="67"/>
      <c r="L421" s="67"/>
      <c r="M421" s="5" t="s">
        <v>16</v>
      </c>
      <c r="N421" s="5">
        <v>5</v>
      </c>
      <c r="O421" s="5">
        <v>84</v>
      </c>
      <c r="P421" s="5">
        <v>48</v>
      </c>
      <c r="Q421" s="5">
        <v>24</v>
      </c>
      <c r="R421" s="5">
        <f t="shared" si="79"/>
        <v>156</v>
      </c>
      <c r="S421" s="3">
        <f t="shared" si="80"/>
        <v>1.75</v>
      </c>
      <c r="T421" s="3">
        <f t="shared" si="81"/>
        <v>0.93333333333333335</v>
      </c>
      <c r="U421" s="3">
        <f t="shared" si="82"/>
        <v>0.6333333333333333</v>
      </c>
      <c r="V421" s="5">
        <v>1</v>
      </c>
      <c r="W421" s="6" t="s">
        <v>169</v>
      </c>
      <c r="X421" s="5" t="s">
        <v>46</v>
      </c>
      <c r="Y421" s="5" t="s">
        <v>122</v>
      </c>
      <c r="Z421" s="5"/>
      <c r="AA421" s="5"/>
      <c r="AB421" s="5" t="str">
        <f t="shared" si="83"/>
        <v>Poly</v>
      </c>
      <c r="AC421" s="5">
        <v>100</v>
      </c>
      <c r="AD421" s="79"/>
      <c r="AE421" s="5">
        <v>1</v>
      </c>
      <c r="AF421" s="5" t="s">
        <v>103</v>
      </c>
      <c r="AG421" s="5" t="s">
        <v>102</v>
      </c>
      <c r="AH421" s="5">
        <v>6.3E-2</v>
      </c>
      <c r="AI421" s="5"/>
      <c r="AJ421" s="5"/>
      <c r="AK421" s="5"/>
      <c r="AN421" s="5">
        <v>8.1999999999999993</v>
      </c>
      <c r="AO421" s="5">
        <f t="shared" si="78"/>
        <v>7.1999999999999993</v>
      </c>
      <c r="AP421" s="106" t="s">
        <v>199</v>
      </c>
    </row>
    <row r="422" spans="1:42" ht="15" customHeight="1" x14ac:dyDescent="0.35">
      <c r="A422" s="4">
        <v>44799</v>
      </c>
      <c r="B422" s="5">
        <v>13</v>
      </c>
      <c r="C422" s="5" t="s">
        <v>48</v>
      </c>
      <c r="D422" s="5" t="s">
        <v>42</v>
      </c>
      <c r="E422" s="5"/>
      <c r="F422" s="5">
        <v>1050</v>
      </c>
      <c r="G422" s="5">
        <v>200</v>
      </c>
      <c r="H422" s="5"/>
      <c r="I422" s="5">
        <v>10</v>
      </c>
      <c r="J422" s="67"/>
      <c r="K422" s="67"/>
      <c r="L422" s="67"/>
      <c r="M422" s="5" t="s">
        <v>16</v>
      </c>
      <c r="N422" s="5">
        <v>5</v>
      </c>
      <c r="O422" s="5">
        <v>84</v>
      </c>
      <c r="P422" s="5">
        <v>48</v>
      </c>
      <c r="Q422" s="5">
        <v>24</v>
      </c>
      <c r="R422" s="5">
        <f t="shared" si="79"/>
        <v>156</v>
      </c>
      <c r="S422" s="3">
        <f t="shared" si="80"/>
        <v>1.75</v>
      </c>
      <c r="T422" s="3">
        <f t="shared" si="81"/>
        <v>0.93333333333333335</v>
      </c>
      <c r="U422" s="3">
        <f t="shared" si="82"/>
        <v>0.6333333333333333</v>
      </c>
      <c r="V422" s="5">
        <v>1</v>
      </c>
      <c r="W422" s="6" t="s">
        <v>169</v>
      </c>
      <c r="X422" s="5" t="s">
        <v>46</v>
      </c>
      <c r="Y422" s="5" t="s">
        <v>187</v>
      </c>
      <c r="Z422" s="5"/>
      <c r="AA422" s="5"/>
      <c r="AB422" s="5" t="str">
        <f t="shared" si="83"/>
        <v>Poly</v>
      </c>
      <c r="AC422" s="5">
        <v>100</v>
      </c>
      <c r="AD422" s="79"/>
      <c r="AE422" s="5">
        <v>10</v>
      </c>
      <c r="AF422" s="5" t="s">
        <v>104</v>
      </c>
      <c r="AG422" s="5" t="s">
        <v>102</v>
      </c>
      <c r="AH422" s="5"/>
      <c r="AI422" s="5" t="str">
        <f t="shared" si="77"/>
        <v/>
      </c>
      <c r="AJ422" s="5"/>
      <c r="AK422" s="5"/>
      <c r="AN422" s="5">
        <v>13</v>
      </c>
      <c r="AO422" s="5">
        <f t="shared" si="78"/>
        <v>3</v>
      </c>
      <c r="AP422" s="5"/>
    </row>
    <row r="423" spans="1:42" ht="15" customHeight="1" x14ac:dyDescent="0.35">
      <c r="A423" s="4">
        <v>44799</v>
      </c>
      <c r="B423" s="5">
        <v>14</v>
      </c>
      <c r="C423" s="5" t="s">
        <v>157</v>
      </c>
      <c r="D423" s="5" t="s">
        <v>42</v>
      </c>
      <c r="E423" s="5"/>
      <c r="F423" s="5">
        <v>1050</v>
      </c>
      <c r="G423" s="5">
        <v>100</v>
      </c>
      <c r="H423" s="5"/>
      <c r="I423" s="5">
        <v>12</v>
      </c>
      <c r="J423" s="67">
        <v>0.45</v>
      </c>
      <c r="K423" s="67">
        <v>2.16</v>
      </c>
      <c r="L423" s="67">
        <v>0.06</v>
      </c>
      <c r="M423" s="5" t="s">
        <v>16</v>
      </c>
      <c r="N423" s="5">
        <v>5</v>
      </c>
      <c r="O423" s="5">
        <v>91</v>
      </c>
      <c r="P423" s="5">
        <v>25</v>
      </c>
      <c r="Q423" s="5">
        <v>0</v>
      </c>
      <c r="R423" s="5">
        <f t="shared" si="79"/>
        <v>116</v>
      </c>
      <c r="S423" s="3">
        <f t="shared" si="80"/>
        <v>3.64</v>
      </c>
      <c r="T423" s="3">
        <f t="shared" ref="T423:T428" si="84">18.7/4</f>
        <v>4.6749999999999998</v>
      </c>
      <c r="U423" s="3">
        <f t="shared" ref="U423:U428" si="85">32/22</f>
        <v>1.4545454545454546</v>
      </c>
      <c r="V423" s="5">
        <v>1</v>
      </c>
      <c r="W423" s="6" t="s">
        <v>169</v>
      </c>
      <c r="X423" s="5" t="s">
        <v>45</v>
      </c>
      <c r="Y423" s="5"/>
      <c r="Z423" s="5"/>
      <c r="AA423" s="5"/>
      <c r="AB423" s="5" t="str">
        <f t="shared" si="83"/>
        <v>Poly</v>
      </c>
      <c r="AC423" s="5">
        <v>100</v>
      </c>
      <c r="AD423" s="79">
        <v>2.5999999999999999E-2</v>
      </c>
      <c r="AE423" s="5">
        <v>2</v>
      </c>
      <c r="AF423" s="5" t="s">
        <v>104</v>
      </c>
      <c r="AG423" s="5" t="s">
        <v>104</v>
      </c>
      <c r="AH423" s="5">
        <v>6.5000000000000002E-2</v>
      </c>
      <c r="AI423" s="5">
        <f t="shared" si="77"/>
        <v>3.9000000000000007E-2</v>
      </c>
      <c r="AJ423" s="5"/>
      <c r="AK423" s="5"/>
      <c r="AN423" s="5" t="str">
        <f t="shared" ref="AN423:AN431" si="86">IF((AE423=0),0,"")</f>
        <v/>
      </c>
      <c r="AO423" s="5"/>
      <c r="AP423" s="5"/>
    </row>
    <row r="424" spans="1:42" ht="15" customHeight="1" x14ac:dyDescent="0.35">
      <c r="A424" s="4">
        <v>44799</v>
      </c>
      <c r="B424" s="5">
        <v>14</v>
      </c>
      <c r="C424" s="5" t="s">
        <v>157</v>
      </c>
      <c r="D424" s="5" t="s">
        <v>42</v>
      </c>
      <c r="E424" s="5"/>
      <c r="F424" s="5">
        <v>1050</v>
      </c>
      <c r="G424" s="5">
        <v>100</v>
      </c>
      <c r="H424" s="5"/>
      <c r="I424" s="5">
        <v>12</v>
      </c>
      <c r="J424" s="67">
        <v>0.45</v>
      </c>
      <c r="K424" s="67">
        <v>2.16</v>
      </c>
      <c r="L424" s="67">
        <v>0.06</v>
      </c>
      <c r="M424" s="5" t="s">
        <v>16</v>
      </c>
      <c r="N424" s="5">
        <v>5</v>
      </c>
      <c r="O424" s="5">
        <v>91</v>
      </c>
      <c r="P424" s="5">
        <v>25</v>
      </c>
      <c r="Q424" s="5">
        <v>0</v>
      </c>
      <c r="R424" s="5">
        <f t="shared" si="79"/>
        <v>116</v>
      </c>
      <c r="S424" s="3">
        <f t="shared" si="80"/>
        <v>3.64</v>
      </c>
      <c r="T424" s="3">
        <f t="shared" si="84"/>
        <v>4.6749999999999998</v>
      </c>
      <c r="U424" s="3">
        <f t="shared" si="85"/>
        <v>1.4545454545454546</v>
      </c>
      <c r="V424" s="5">
        <v>1</v>
      </c>
      <c r="W424" s="6" t="s">
        <v>169</v>
      </c>
      <c r="X424" s="5" t="s">
        <v>179</v>
      </c>
      <c r="Y424" s="5"/>
      <c r="Z424" s="5"/>
      <c r="AA424" s="5"/>
      <c r="AB424" s="5" t="str">
        <f t="shared" si="83"/>
        <v>Poly</v>
      </c>
      <c r="AC424" s="5">
        <v>100</v>
      </c>
      <c r="AD424" s="79">
        <v>1.4E-2</v>
      </c>
      <c r="AE424" s="5">
        <v>2</v>
      </c>
      <c r="AF424" s="5" t="s">
        <v>104</v>
      </c>
      <c r="AG424" s="5" t="s">
        <v>102</v>
      </c>
      <c r="AH424" s="5"/>
      <c r="AI424" s="5" t="str">
        <f t="shared" si="77"/>
        <v/>
      </c>
      <c r="AJ424" s="5"/>
      <c r="AK424" s="5"/>
      <c r="AN424" s="5" t="str">
        <f t="shared" si="86"/>
        <v/>
      </c>
      <c r="AO424" s="5"/>
      <c r="AP424" s="5"/>
    </row>
    <row r="425" spans="1:42" ht="15" customHeight="1" x14ac:dyDescent="0.35">
      <c r="A425" s="4">
        <v>44799</v>
      </c>
      <c r="B425" s="5">
        <v>14</v>
      </c>
      <c r="C425" s="5" t="s">
        <v>157</v>
      </c>
      <c r="D425" s="5" t="s">
        <v>42</v>
      </c>
      <c r="E425" s="5"/>
      <c r="F425" s="5">
        <v>1050</v>
      </c>
      <c r="G425" s="5">
        <v>100</v>
      </c>
      <c r="H425" s="5"/>
      <c r="I425" s="5">
        <v>12</v>
      </c>
      <c r="J425" s="67">
        <v>0.45</v>
      </c>
      <c r="K425" s="67">
        <v>2.16</v>
      </c>
      <c r="L425" s="67">
        <v>0.06</v>
      </c>
      <c r="M425" s="5" t="s">
        <v>16</v>
      </c>
      <c r="N425" s="5">
        <v>5</v>
      </c>
      <c r="O425" s="5">
        <v>91</v>
      </c>
      <c r="P425" s="5">
        <v>25</v>
      </c>
      <c r="Q425" s="5">
        <v>0</v>
      </c>
      <c r="R425" s="5">
        <f t="shared" si="79"/>
        <v>116</v>
      </c>
      <c r="S425" s="3">
        <f t="shared" si="80"/>
        <v>3.64</v>
      </c>
      <c r="T425" s="3">
        <f t="shared" si="84"/>
        <v>4.6749999999999998</v>
      </c>
      <c r="U425" s="3">
        <f t="shared" si="85"/>
        <v>1.4545454545454546</v>
      </c>
      <c r="V425" s="5">
        <v>1</v>
      </c>
      <c r="W425" s="6" t="s">
        <v>169</v>
      </c>
      <c r="X425" s="5" t="s">
        <v>46</v>
      </c>
      <c r="Y425" s="5"/>
      <c r="Z425" s="5"/>
      <c r="AA425" s="5"/>
      <c r="AB425" s="5" t="str">
        <f t="shared" si="83"/>
        <v>Poly</v>
      </c>
      <c r="AC425" s="5">
        <v>100</v>
      </c>
      <c r="AD425" s="79">
        <v>1.4999999999999999E-2</v>
      </c>
      <c r="AE425" s="5">
        <v>3</v>
      </c>
      <c r="AF425" s="5" t="s">
        <v>104</v>
      </c>
      <c r="AG425" s="5" t="s">
        <v>104</v>
      </c>
      <c r="AH425" s="5">
        <v>6.8000000000000005E-2</v>
      </c>
      <c r="AI425" s="5">
        <f t="shared" si="77"/>
        <v>5.3000000000000005E-2</v>
      </c>
      <c r="AJ425" s="5"/>
      <c r="AK425" s="5"/>
      <c r="AN425" s="5" t="str">
        <f t="shared" si="86"/>
        <v/>
      </c>
      <c r="AO425" s="5"/>
      <c r="AP425" s="5"/>
    </row>
    <row r="426" spans="1:42" ht="15" customHeight="1" x14ac:dyDescent="0.35">
      <c r="A426" s="4">
        <v>44799</v>
      </c>
      <c r="B426" s="5">
        <v>14</v>
      </c>
      <c r="C426" s="5" t="s">
        <v>157</v>
      </c>
      <c r="D426" s="5" t="s">
        <v>42</v>
      </c>
      <c r="E426" s="5"/>
      <c r="F426" s="5">
        <v>1050</v>
      </c>
      <c r="G426" s="5">
        <v>100</v>
      </c>
      <c r="H426" s="5"/>
      <c r="I426" s="5">
        <v>12</v>
      </c>
      <c r="J426" s="67">
        <v>0.45</v>
      </c>
      <c r="K426" s="67">
        <v>2.16</v>
      </c>
      <c r="L426" s="67">
        <v>0.06</v>
      </c>
      <c r="M426" s="5" t="s">
        <v>16</v>
      </c>
      <c r="N426" s="5">
        <v>5</v>
      </c>
      <c r="O426" s="5">
        <v>91</v>
      </c>
      <c r="P426" s="5">
        <v>25</v>
      </c>
      <c r="Q426" s="5">
        <v>0</v>
      </c>
      <c r="R426" s="5">
        <f t="shared" si="79"/>
        <v>116</v>
      </c>
      <c r="S426" s="3">
        <f t="shared" si="80"/>
        <v>3.64</v>
      </c>
      <c r="T426" s="3">
        <f t="shared" si="84"/>
        <v>4.6749999999999998</v>
      </c>
      <c r="U426" s="3">
        <f t="shared" si="85"/>
        <v>1.4545454545454546</v>
      </c>
      <c r="V426" s="5">
        <v>1</v>
      </c>
      <c r="W426" s="6" t="s">
        <v>169</v>
      </c>
      <c r="X426" s="5" t="s">
        <v>45</v>
      </c>
      <c r="Y426" s="5" t="s">
        <v>122</v>
      </c>
      <c r="Z426" s="5"/>
      <c r="AA426" s="5"/>
      <c r="AB426" s="5" t="str">
        <f t="shared" si="83"/>
        <v>Poly</v>
      </c>
      <c r="AC426" s="5">
        <v>100</v>
      </c>
      <c r="AD426" s="79">
        <v>3.5999999999999997E-2</v>
      </c>
      <c r="AE426" s="5">
        <v>4</v>
      </c>
      <c r="AF426" s="5" t="s">
        <v>104</v>
      </c>
      <c r="AG426" s="5" t="s">
        <v>102</v>
      </c>
      <c r="AH426" s="5"/>
      <c r="AI426" s="5" t="str">
        <f t="shared" si="77"/>
        <v/>
      </c>
      <c r="AJ426" s="5"/>
      <c r="AK426" s="5"/>
      <c r="AN426" s="5" t="str">
        <f t="shared" si="86"/>
        <v/>
      </c>
      <c r="AO426" s="5"/>
      <c r="AP426" s="5"/>
    </row>
    <row r="427" spans="1:42" ht="15" customHeight="1" x14ac:dyDescent="0.35">
      <c r="A427" s="4">
        <v>44799</v>
      </c>
      <c r="B427" s="5">
        <v>14</v>
      </c>
      <c r="C427" s="5" t="s">
        <v>157</v>
      </c>
      <c r="D427" s="5" t="s">
        <v>42</v>
      </c>
      <c r="E427" s="5"/>
      <c r="F427" s="5">
        <v>1050</v>
      </c>
      <c r="G427" s="5">
        <v>100</v>
      </c>
      <c r="H427" s="5"/>
      <c r="I427" s="5">
        <v>12</v>
      </c>
      <c r="J427" s="67">
        <v>0.45</v>
      </c>
      <c r="K427" s="67">
        <v>2.16</v>
      </c>
      <c r="L427" s="67">
        <v>0.06</v>
      </c>
      <c r="M427" s="5" t="s">
        <v>16</v>
      </c>
      <c r="N427" s="5">
        <v>5</v>
      </c>
      <c r="O427" s="5">
        <v>91</v>
      </c>
      <c r="P427" s="5">
        <v>25</v>
      </c>
      <c r="Q427" s="5">
        <v>0</v>
      </c>
      <c r="R427" s="5">
        <f t="shared" si="79"/>
        <v>116</v>
      </c>
      <c r="S427" s="3">
        <f t="shared" si="80"/>
        <v>3.64</v>
      </c>
      <c r="T427" s="3">
        <f t="shared" si="84"/>
        <v>4.6749999999999998</v>
      </c>
      <c r="U427" s="3">
        <f t="shared" si="85"/>
        <v>1.4545454545454546</v>
      </c>
      <c r="V427" s="5">
        <v>1</v>
      </c>
      <c r="W427" s="6" t="s">
        <v>169</v>
      </c>
      <c r="X427" s="5" t="s">
        <v>46</v>
      </c>
      <c r="Y427" s="5" t="s">
        <v>122</v>
      </c>
      <c r="Z427" s="5"/>
      <c r="AA427" s="5"/>
      <c r="AB427" s="5" t="str">
        <f t="shared" si="83"/>
        <v>Poly</v>
      </c>
      <c r="AC427" s="5">
        <v>100</v>
      </c>
      <c r="AD427" s="79">
        <v>2.9000000000000001E-2</v>
      </c>
      <c r="AE427" s="5">
        <v>15</v>
      </c>
      <c r="AF427" s="5" t="s">
        <v>104</v>
      </c>
      <c r="AG427" s="5" t="s">
        <v>104</v>
      </c>
      <c r="AH427" s="5"/>
      <c r="AI427" s="5" t="str">
        <f t="shared" si="77"/>
        <v/>
      </c>
      <c r="AJ427" s="5"/>
      <c r="AK427" s="5"/>
      <c r="AN427" s="5" t="str">
        <f t="shared" si="86"/>
        <v/>
      </c>
      <c r="AO427" s="5"/>
      <c r="AP427" s="5"/>
    </row>
    <row r="428" spans="1:42" ht="15" customHeight="1" x14ac:dyDescent="0.35">
      <c r="A428" s="4">
        <v>44799</v>
      </c>
      <c r="B428" s="5">
        <v>14</v>
      </c>
      <c r="C428" s="5" t="s">
        <v>157</v>
      </c>
      <c r="D428" s="5" t="s">
        <v>42</v>
      </c>
      <c r="E428" s="5"/>
      <c r="F428" s="5">
        <v>1050</v>
      </c>
      <c r="G428" s="5">
        <v>100</v>
      </c>
      <c r="H428" s="5"/>
      <c r="I428" s="5">
        <v>12</v>
      </c>
      <c r="J428" s="67">
        <v>0.45</v>
      </c>
      <c r="K428" s="67">
        <v>2.16</v>
      </c>
      <c r="L428" s="67">
        <v>0.06</v>
      </c>
      <c r="M428" s="5" t="s">
        <v>16</v>
      </c>
      <c r="N428" s="5">
        <v>5</v>
      </c>
      <c r="O428" s="5">
        <v>91</v>
      </c>
      <c r="P428" s="5">
        <v>25</v>
      </c>
      <c r="Q428" s="5">
        <v>0</v>
      </c>
      <c r="R428" s="5">
        <f t="shared" si="79"/>
        <v>116</v>
      </c>
      <c r="S428" s="3">
        <f t="shared" si="80"/>
        <v>3.64</v>
      </c>
      <c r="T428" s="3">
        <f t="shared" si="84"/>
        <v>4.6749999999999998</v>
      </c>
      <c r="U428" s="3">
        <f t="shared" si="85"/>
        <v>1.4545454545454546</v>
      </c>
      <c r="V428" s="5">
        <v>1</v>
      </c>
      <c r="W428" s="6" t="s">
        <v>169</v>
      </c>
      <c r="X428" s="5" t="s">
        <v>46</v>
      </c>
      <c r="Y428" s="5" t="s">
        <v>187</v>
      </c>
      <c r="Z428" s="5"/>
      <c r="AA428" s="5"/>
      <c r="AB428" s="5" t="str">
        <f t="shared" si="83"/>
        <v>Poly</v>
      </c>
      <c r="AC428" s="5">
        <v>100</v>
      </c>
      <c r="AD428" s="79">
        <v>2.5000000000000001E-2</v>
      </c>
      <c r="AE428" s="5">
        <v>0</v>
      </c>
      <c r="AF428" s="5" t="s">
        <v>104</v>
      </c>
      <c r="AG428" s="5" t="s">
        <v>104</v>
      </c>
      <c r="AH428" s="5"/>
      <c r="AI428" s="5" t="str">
        <f t="shared" si="77"/>
        <v/>
      </c>
      <c r="AJ428" s="5"/>
      <c r="AK428" s="5"/>
      <c r="AN428" s="5">
        <f t="shared" si="86"/>
        <v>0</v>
      </c>
      <c r="AO428" s="5">
        <f>IF(ISBLANK(AN428),"",ABS(AN428-AE428))</f>
        <v>0</v>
      </c>
      <c r="AP428" s="5"/>
    </row>
    <row r="429" spans="1:42" ht="15" customHeight="1" x14ac:dyDescent="0.35">
      <c r="A429" s="4">
        <v>44799</v>
      </c>
      <c r="B429" s="5">
        <v>15</v>
      </c>
      <c r="C429" s="5" t="s">
        <v>200</v>
      </c>
      <c r="D429" s="5" t="s">
        <v>42</v>
      </c>
      <c r="E429" s="5"/>
      <c r="F429" s="5">
        <v>1050</v>
      </c>
      <c r="G429" s="5">
        <v>200</v>
      </c>
      <c r="H429" s="5"/>
      <c r="I429" s="5">
        <v>12</v>
      </c>
      <c r="J429" s="67">
        <v>0.44</v>
      </c>
      <c r="K429" s="67">
        <v>2.44</v>
      </c>
      <c r="L429" s="67">
        <v>0.06</v>
      </c>
      <c r="M429" s="5" t="s">
        <v>16</v>
      </c>
      <c r="N429" s="5">
        <v>5</v>
      </c>
      <c r="O429" s="5">
        <v>120</v>
      </c>
      <c r="P429" s="5">
        <v>21</v>
      </c>
      <c r="Q429" s="5">
        <v>20</v>
      </c>
      <c r="R429" s="5">
        <f t="shared" si="79"/>
        <v>161</v>
      </c>
      <c r="S429" s="3">
        <f t="shared" si="80"/>
        <v>5.7142857142857144</v>
      </c>
      <c r="T429" s="3">
        <f>35.5/3</f>
        <v>11.833333333333334</v>
      </c>
      <c r="U429" s="3">
        <f>59.5/21</f>
        <v>2.8333333333333335</v>
      </c>
      <c r="V429" s="5">
        <v>1</v>
      </c>
      <c r="W429" s="6" t="s">
        <v>169</v>
      </c>
      <c r="X429" s="5" t="s">
        <v>45</v>
      </c>
      <c r="Y429" s="5"/>
      <c r="Z429" s="5"/>
      <c r="AA429" s="5"/>
      <c r="AB429" s="5" t="str">
        <f t="shared" si="83"/>
        <v>Poly</v>
      </c>
      <c r="AC429" s="5">
        <v>100</v>
      </c>
      <c r="AD429" s="79">
        <v>5.1999999999999998E-2</v>
      </c>
      <c r="AE429" s="5">
        <v>2</v>
      </c>
      <c r="AF429" s="5" t="s">
        <v>104</v>
      </c>
      <c r="AG429" s="5" t="s">
        <v>104</v>
      </c>
      <c r="AH429" s="5">
        <v>7.0999999999999994E-2</v>
      </c>
      <c r="AI429" s="5">
        <f t="shared" si="77"/>
        <v>1.8999999999999996E-2</v>
      </c>
      <c r="AK429" s="5"/>
      <c r="AL429" s="5"/>
      <c r="AN429" s="5" t="str">
        <f t="shared" si="86"/>
        <v/>
      </c>
      <c r="AO429" s="5"/>
      <c r="AP429" s="5"/>
    </row>
    <row r="430" spans="1:42" ht="15" customHeight="1" x14ac:dyDescent="0.35">
      <c r="A430" s="4">
        <v>44799</v>
      </c>
      <c r="B430" s="5">
        <v>15</v>
      </c>
      <c r="C430" s="5" t="s">
        <v>200</v>
      </c>
      <c r="D430" s="5" t="s">
        <v>42</v>
      </c>
      <c r="E430" s="5"/>
      <c r="F430" s="5">
        <v>1050</v>
      </c>
      <c r="G430" s="5">
        <v>200</v>
      </c>
      <c r="H430" s="5"/>
      <c r="I430" s="5">
        <v>12</v>
      </c>
      <c r="J430" s="67">
        <v>0.44</v>
      </c>
      <c r="K430" s="67">
        <v>2.44</v>
      </c>
      <c r="L430" s="67">
        <v>0.06</v>
      </c>
      <c r="M430" s="5" t="s">
        <v>16</v>
      </c>
      <c r="N430" s="5">
        <v>5</v>
      </c>
      <c r="O430" s="5">
        <v>120</v>
      </c>
      <c r="P430" s="5">
        <v>21</v>
      </c>
      <c r="Q430" s="5">
        <v>20</v>
      </c>
      <c r="R430" s="5">
        <f t="shared" si="79"/>
        <v>161</v>
      </c>
      <c r="S430" s="3">
        <f t="shared" si="80"/>
        <v>5.7142857142857144</v>
      </c>
      <c r="T430" s="3">
        <f>35.5/3</f>
        <v>11.833333333333334</v>
      </c>
      <c r="U430" s="3">
        <f>59.5/21</f>
        <v>2.8333333333333335</v>
      </c>
      <c r="V430" s="5">
        <v>1</v>
      </c>
      <c r="W430" s="6" t="s">
        <v>169</v>
      </c>
      <c r="X430" s="5" t="s">
        <v>179</v>
      </c>
      <c r="Y430" s="5"/>
      <c r="Z430" s="5"/>
      <c r="AA430" s="5"/>
      <c r="AB430" s="5" t="str">
        <f t="shared" si="83"/>
        <v>Poly</v>
      </c>
      <c r="AC430" s="5">
        <v>100</v>
      </c>
      <c r="AD430" s="79">
        <v>1.7000000000000001E-2</v>
      </c>
      <c r="AE430" s="5">
        <v>3</v>
      </c>
      <c r="AF430" s="5" t="s">
        <v>104</v>
      </c>
      <c r="AG430" s="5" t="s">
        <v>102</v>
      </c>
      <c r="AH430" s="5">
        <v>9.7000000000000003E-2</v>
      </c>
      <c r="AI430" s="5">
        <f t="shared" si="77"/>
        <v>0.08</v>
      </c>
      <c r="AK430" s="5"/>
      <c r="AL430" s="5"/>
      <c r="AN430" s="5" t="str">
        <f t="shared" si="86"/>
        <v/>
      </c>
      <c r="AO430" s="5"/>
      <c r="AP430" s="5"/>
    </row>
    <row r="431" spans="1:42" ht="15" customHeight="1" x14ac:dyDescent="0.35">
      <c r="A431" s="4">
        <v>44799</v>
      </c>
      <c r="B431" s="5">
        <v>15</v>
      </c>
      <c r="C431" s="5" t="s">
        <v>200</v>
      </c>
      <c r="D431" s="5" t="s">
        <v>42</v>
      </c>
      <c r="E431" s="5"/>
      <c r="F431" s="5">
        <v>1050</v>
      </c>
      <c r="G431" s="5">
        <v>200</v>
      </c>
      <c r="H431" s="5"/>
      <c r="I431" s="5">
        <v>12</v>
      </c>
      <c r="J431" s="67">
        <v>0.44</v>
      </c>
      <c r="K431" s="67">
        <v>2.44</v>
      </c>
      <c r="L431" s="67">
        <v>0.06</v>
      </c>
      <c r="M431" s="5" t="s">
        <v>16</v>
      </c>
      <c r="N431" s="5">
        <v>5</v>
      </c>
      <c r="O431" s="5">
        <v>120</v>
      </c>
      <c r="P431" s="5">
        <v>21</v>
      </c>
      <c r="Q431" s="5">
        <v>20</v>
      </c>
      <c r="R431" s="5">
        <f t="shared" si="79"/>
        <v>161</v>
      </c>
      <c r="S431" s="3">
        <f t="shared" si="80"/>
        <v>5.7142857142857144</v>
      </c>
      <c r="T431" s="3">
        <f>35.5/3</f>
        <v>11.833333333333334</v>
      </c>
      <c r="U431" s="3">
        <f>59.5/21</f>
        <v>2.8333333333333335</v>
      </c>
      <c r="V431" s="5">
        <v>1</v>
      </c>
      <c r="W431" s="6" t="s">
        <v>169</v>
      </c>
      <c r="X431" s="5" t="s">
        <v>46</v>
      </c>
      <c r="Y431" s="5"/>
      <c r="Z431" s="5"/>
      <c r="AA431" s="5"/>
      <c r="AB431" s="5" t="str">
        <f t="shared" si="83"/>
        <v>Poly</v>
      </c>
      <c r="AC431" s="5">
        <v>100</v>
      </c>
      <c r="AD431" s="79">
        <v>2.4E-2</v>
      </c>
      <c r="AE431" s="5">
        <v>3</v>
      </c>
      <c r="AF431" s="5" t="s">
        <v>104</v>
      </c>
      <c r="AG431" s="5" t="s">
        <v>102</v>
      </c>
      <c r="AH431" s="5">
        <v>0.112</v>
      </c>
      <c r="AI431" s="5">
        <f t="shared" si="77"/>
        <v>8.7999999999999995E-2</v>
      </c>
      <c r="AK431" s="5"/>
      <c r="AL431" s="5"/>
      <c r="AN431" s="5" t="str">
        <f t="shared" si="86"/>
        <v/>
      </c>
      <c r="AO431" s="5"/>
      <c r="AP431" s="5"/>
    </row>
    <row r="432" spans="1:42" ht="15" customHeight="1" x14ac:dyDescent="0.35">
      <c r="A432" s="4">
        <v>44799</v>
      </c>
      <c r="B432" s="5">
        <v>16</v>
      </c>
      <c r="C432" s="5" t="s">
        <v>48</v>
      </c>
      <c r="D432" s="5" t="s">
        <v>42</v>
      </c>
      <c r="E432" s="5"/>
      <c r="F432" s="5">
        <v>1050</v>
      </c>
      <c r="G432" s="5">
        <v>200</v>
      </c>
      <c r="H432" s="5"/>
      <c r="I432" s="5">
        <v>12</v>
      </c>
      <c r="J432" s="67">
        <v>0.43</v>
      </c>
      <c r="K432" s="67">
        <v>2.44</v>
      </c>
      <c r="L432" s="67">
        <v>7.0000000000000007E-2</v>
      </c>
      <c r="M432" s="5" t="s">
        <v>16</v>
      </c>
      <c r="N432" s="5">
        <v>5</v>
      </c>
      <c r="O432" s="5">
        <v>84</v>
      </c>
      <c r="P432" s="5">
        <v>48</v>
      </c>
      <c r="Q432" s="5">
        <v>24</v>
      </c>
      <c r="R432" s="5">
        <f t="shared" si="79"/>
        <v>156</v>
      </c>
      <c r="S432" s="3">
        <f t="shared" si="80"/>
        <v>1.75</v>
      </c>
      <c r="T432" s="3">
        <f>16.8/18</f>
        <v>0.93333333333333335</v>
      </c>
      <c r="U432" s="3">
        <f>28.5/45</f>
        <v>0.6333333333333333</v>
      </c>
      <c r="V432" s="5">
        <v>1</v>
      </c>
      <c r="W432" s="6" t="s">
        <v>169</v>
      </c>
      <c r="X432" s="5" t="s">
        <v>45</v>
      </c>
      <c r="Y432" s="5"/>
      <c r="Z432" s="5"/>
      <c r="AA432" s="5"/>
      <c r="AB432" s="5" t="str">
        <f t="shared" si="83"/>
        <v>Poly</v>
      </c>
      <c r="AC432" s="5">
        <v>100</v>
      </c>
      <c r="AD432" s="79">
        <v>7.3999999999999996E-2</v>
      </c>
      <c r="AE432" s="5">
        <v>1</v>
      </c>
      <c r="AF432" s="5" t="s">
        <v>104</v>
      </c>
      <c r="AG432" s="5" t="s">
        <v>104</v>
      </c>
      <c r="AH432" s="5"/>
      <c r="AI432" s="5" t="str">
        <f t="shared" si="77"/>
        <v/>
      </c>
      <c r="AK432" s="5"/>
      <c r="AL432" s="5" t="s">
        <v>201</v>
      </c>
      <c r="AN432" s="5">
        <v>8</v>
      </c>
      <c r="AO432" s="5">
        <f>IF(ISBLANK(AN432),"",ABS(AN432-AE432))</f>
        <v>7</v>
      </c>
      <c r="AP432" s="5" t="s">
        <v>186</v>
      </c>
    </row>
    <row r="433" spans="1:43" ht="15" customHeight="1" x14ac:dyDescent="0.35">
      <c r="A433" s="4">
        <v>44799</v>
      </c>
      <c r="B433" s="5">
        <v>16</v>
      </c>
      <c r="C433" s="5" t="s">
        <v>48</v>
      </c>
      <c r="D433" s="5" t="s">
        <v>42</v>
      </c>
      <c r="E433" s="5"/>
      <c r="F433" s="5">
        <v>1050</v>
      </c>
      <c r="G433" s="5">
        <v>200</v>
      </c>
      <c r="H433" s="5"/>
      <c r="I433" s="5">
        <v>12</v>
      </c>
      <c r="J433" s="67">
        <v>0.43</v>
      </c>
      <c r="K433" s="67">
        <v>2.44</v>
      </c>
      <c r="L433" s="67">
        <v>7.0000000000000007E-2</v>
      </c>
      <c r="M433" s="5" t="s">
        <v>16</v>
      </c>
      <c r="N433" s="5">
        <v>5</v>
      </c>
      <c r="O433" s="5">
        <v>84</v>
      </c>
      <c r="P433" s="5">
        <v>48</v>
      </c>
      <c r="Q433" s="5">
        <v>24</v>
      </c>
      <c r="R433" s="5">
        <f t="shared" si="79"/>
        <v>156</v>
      </c>
      <c r="S433" s="3">
        <f t="shared" si="80"/>
        <v>1.75</v>
      </c>
      <c r="T433" s="3">
        <f>16.8/18</f>
        <v>0.93333333333333335</v>
      </c>
      <c r="U433" s="3">
        <f>28.5/45</f>
        <v>0.6333333333333333</v>
      </c>
      <c r="V433" s="5">
        <v>1</v>
      </c>
      <c r="W433" s="6" t="s">
        <v>169</v>
      </c>
      <c r="X433" s="5" t="s">
        <v>46</v>
      </c>
      <c r="Y433" s="5"/>
      <c r="Z433" s="5"/>
      <c r="AA433" s="5"/>
      <c r="AB433" s="5" t="str">
        <f t="shared" si="83"/>
        <v>Poly</v>
      </c>
      <c r="AC433" s="5">
        <v>100</v>
      </c>
      <c r="AD433" s="79">
        <v>0.02</v>
      </c>
      <c r="AE433" s="5">
        <v>1</v>
      </c>
      <c r="AF433" s="5" t="s">
        <v>102</v>
      </c>
      <c r="AG433" s="5" t="s">
        <v>104</v>
      </c>
      <c r="AH433" s="5"/>
      <c r="AI433" s="5" t="str">
        <f t="shared" si="77"/>
        <v/>
      </c>
      <c r="AK433" s="5"/>
      <c r="AL433" s="5" t="s">
        <v>202</v>
      </c>
      <c r="AN433" s="5" t="str">
        <f>IF((AE433=0),0,"")</f>
        <v/>
      </c>
      <c r="AO433" s="5"/>
      <c r="AP433" s="5"/>
    </row>
    <row r="434" spans="1:43" ht="15" customHeight="1" x14ac:dyDescent="0.35">
      <c r="A434" s="4"/>
      <c r="B434" s="5"/>
      <c r="C434" s="5"/>
      <c r="D434" s="5"/>
      <c r="E434" s="5"/>
      <c r="F434" s="5"/>
      <c r="G434" s="5"/>
      <c r="H434" s="5"/>
      <c r="I434" s="5"/>
      <c r="J434" s="67"/>
      <c r="K434" s="67"/>
      <c r="L434" s="67"/>
      <c r="M434" s="5"/>
      <c r="N434" s="5"/>
      <c r="O434" s="5"/>
      <c r="P434" s="5"/>
      <c r="Q434" s="5"/>
      <c r="R434" s="5"/>
      <c r="S434" s="3"/>
      <c r="T434" s="3"/>
      <c r="U434" s="3"/>
      <c r="W434" s="5"/>
      <c r="X434" s="5"/>
      <c r="Y434" s="5"/>
      <c r="Z434" s="5"/>
      <c r="AA434" s="5"/>
      <c r="AB434" s="5"/>
      <c r="AC434" s="79"/>
      <c r="AD434" s="5"/>
      <c r="AE434" s="5"/>
      <c r="AF434" s="5"/>
      <c r="AG434" s="5"/>
      <c r="AH434" s="5"/>
      <c r="AI434" s="5"/>
      <c r="AK434" s="5"/>
      <c r="AL434" s="5"/>
      <c r="AN434" s="5"/>
      <c r="AO434" s="5"/>
      <c r="AP434" s="5"/>
    </row>
    <row r="435" spans="1:43" ht="15" customHeight="1" thickBot="1" x14ac:dyDescent="0.4">
      <c r="A435" s="4"/>
      <c r="B435" s="5"/>
      <c r="C435" s="5"/>
      <c r="D435" s="5"/>
      <c r="E435" s="5"/>
      <c r="F435" s="5"/>
      <c r="G435" s="5"/>
      <c r="H435" s="5"/>
      <c r="I435" s="5"/>
      <c r="J435" s="67"/>
      <c r="K435" s="67"/>
      <c r="L435" s="67"/>
      <c r="M435" s="5"/>
      <c r="N435" s="5"/>
      <c r="O435" s="5"/>
      <c r="P435" s="5"/>
      <c r="Q435" s="5"/>
      <c r="R435" s="5"/>
      <c r="S435" s="3"/>
      <c r="T435" s="3"/>
      <c r="U435" s="3"/>
      <c r="V435" s="5"/>
      <c r="W435" s="5"/>
      <c r="X435" s="5"/>
      <c r="Y435" s="5"/>
      <c r="Z435" s="5"/>
      <c r="AA435" s="5"/>
      <c r="AB435" s="79"/>
      <c r="AC435" s="5"/>
      <c r="AD435" s="5"/>
      <c r="AE435" s="5"/>
      <c r="AF435" s="5"/>
      <c r="AG435" s="5"/>
      <c r="AH435" s="5"/>
      <c r="AI435" s="5"/>
      <c r="AK435" s="5"/>
      <c r="AL435" s="5"/>
      <c r="AM435" s="5"/>
      <c r="AN435" s="5"/>
      <c r="AO435" s="5"/>
      <c r="AP435" s="5"/>
    </row>
    <row r="436" spans="1:43" s="30" customFormat="1" ht="15" customHeight="1" thickBot="1" x14ac:dyDescent="0.4">
      <c r="A436" s="102"/>
      <c r="B436" s="34"/>
      <c r="C436" s="34"/>
      <c r="D436" s="34"/>
      <c r="E436" s="34"/>
      <c r="F436" s="34"/>
      <c r="G436" s="34"/>
      <c r="H436" s="34"/>
      <c r="I436" s="34"/>
      <c r="J436" s="70"/>
      <c r="K436" s="70"/>
      <c r="L436" s="70"/>
      <c r="M436" s="34"/>
      <c r="N436" s="31"/>
      <c r="O436" s="34"/>
      <c r="P436" s="34"/>
      <c r="Q436" s="34"/>
      <c r="R436" s="34"/>
      <c r="S436" s="37"/>
      <c r="T436" s="37"/>
      <c r="U436" s="37"/>
      <c r="V436" s="34"/>
      <c r="W436" s="34"/>
      <c r="X436" s="34"/>
      <c r="Y436" s="34"/>
      <c r="Z436" s="82"/>
      <c r="AA436" s="34"/>
      <c r="AB436" s="34"/>
      <c r="AC436" s="34"/>
      <c r="AD436" s="99"/>
      <c r="AE436" s="35"/>
      <c r="AF436" s="31"/>
      <c r="AG436" s="34"/>
      <c r="AH436" s="37"/>
      <c r="AI436" s="37"/>
      <c r="AJ436" s="37"/>
      <c r="AK436" s="37"/>
      <c r="AL436" s="37"/>
      <c r="AM436" s="37"/>
    </row>
    <row r="437" spans="1:43" ht="15" customHeight="1" x14ac:dyDescent="0.35">
      <c r="A437" s="4"/>
      <c r="B437" s="5"/>
      <c r="C437" s="5"/>
      <c r="D437" s="5"/>
      <c r="E437" s="5"/>
      <c r="F437" s="5"/>
      <c r="G437" s="5"/>
      <c r="H437" s="5"/>
      <c r="I437" s="5"/>
      <c r="J437" s="69"/>
      <c r="K437" s="69"/>
      <c r="L437" s="69"/>
      <c r="M437" s="5"/>
      <c r="N437" s="6"/>
      <c r="O437" s="5"/>
      <c r="P437" s="5"/>
      <c r="Q437" s="5"/>
      <c r="R437" s="5"/>
      <c r="S437" s="3"/>
      <c r="T437" s="3"/>
      <c r="U437" s="3"/>
      <c r="V437" s="5"/>
      <c r="W437" s="5"/>
      <c r="X437" s="5"/>
      <c r="Y437" s="5"/>
      <c r="Z437" s="4"/>
      <c r="AA437" s="5"/>
      <c r="AB437" s="5"/>
      <c r="AC437" s="5"/>
      <c r="AD437" s="79"/>
      <c r="AE437" s="5"/>
      <c r="AF437" s="5"/>
      <c r="AG437" s="5"/>
      <c r="AH437" s="3"/>
      <c r="AI437" s="3"/>
      <c r="AJ437" s="3"/>
      <c r="AK437" s="3"/>
      <c r="AL437" s="3"/>
      <c r="AM437" s="3"/>
    </row>
    <row r="438" spans="1:43" ht="15" customHeight="1" x14ac:dyDescent="0.35">
      <c r="A438" s="4">
        <v>44802</v>
      </c>
      <c r="B438" s="5">
        <v>1</v>
      </c>
      <c r="C438" s="5" t="s">
        <v>48</v>
      </c>
      <c r="D438" s="5" t="s">
        <v>42</v>
      </c>
      <c r="E438" s="5"/>
      <c r="F438" s="5">
        <v>1050</v>
      </c>
      <c r="G438" s="5">
        <v>200</v>
      </c>
      <c r="H438" s="5"/>
      <c r="I438" s="5">
        <v>10</v>
      </c>
      <c r="J438" s="69"/>
      <c r="K438" s="69">
        <v>2.4</v>
      </c>
      <c r="L438" s="69"/>
      <c r="M438" s="5" t="s">
        <v>16</v>
      </c>
      <c r="N438" s="6">
        <v>5</v>
      </c>
      <c r="O438" s="5">
        <v>84</v>
      </c>
      <c r="P438" s="5">
        <v>48</v>
      </c>
      <c r="Q438" s="5">
        <v>24</v>
      </c>
      <c r="R438" s="5">
        <f t="shared" ref="R438:R441" si="87">O438+P438+Q438</f>
        <v>156</v>
      </c>
      <c r="S438" s="3">
        <f t="shared" ref="S438:S441" si="88">O438/P438</f>
        <v>1.75</v>
      </c>
      <c r="T438" s="3">
        <f t="shared" ref="T438" si="89">16.8/18</f>
        <v>0.93333333333333335</v>
      </c>
      <c r="U438" s="3">
        <f t="shared" ref="U438" si="90">28.5/45</f>
        <v>0.6333333333333333</v>
      </c>
      <c r="V438" s="5">
        <v>1</v>
      </c>
      <c r="W438" s="5" t="s">
        <v>169</v>
      </c>
      <c r="X438" s="5" t="s">
        <v>45</v>
      </c>
      <c r="Y438" s="5"/>
      <c r="Z438" s="4">
        <v>44802</v>
      </c>
      <c r="AA438" s="5"/>
      <c r="AB438" s="5" t="str">
        <f t="shared" ref="AB438:AB447" si="91">IF(X438="20um Schlenk", "Single", "Poly")</f>
        <v>Single</v>
      </c>
      <c r="AC438" s="5">
        <v>100</v>
      </c>
      <c r="AD438" s="3">
        <v>5.3999999999999999E-2</v>
      </c>
      <c r="AE438" s="13">
        <v>3</v>
      </c>
      <c r="AF438" s="6" t="s">
        <v>104</v>
      </c>
      <c r="AG438" s="5" t="s">
        <v>104</v>
      </c>
      <c r="AH438" s="5"/>
      <c r="AI438" s="5" t="str">
        <f t="shared" ref="AI438:AI482" si="92">IF(ISBLANK(AH438),"",ABS(AH438-AD438))</f>
        <v/>
      </c>
      <c r="AJ438" s="6"/>
      <c r="AK438" s="7"/>
      <c r="AL438" s="6"/>
      <c r="AM438" s="90"/>
      <c r="AN438" s="5">
        <v>2.5</v>
      </c>
      <c r="AO438" s="5">
        <f t="shared" ref="AO438:AO453" si="93">IF(ISBLANK(AN438),"",ABS(AN438-AE438))</f>
        <v>0.5</v>
      </c>
      <c r="AP438" s="5"/>
      <c r="AQ438" s="67"/>
    </row>
    <row r="439" spans="1:43" ht="15" customHeight="1" x14ac:dyDescent="0.35">
      <c r="A439" s="4">
        <v>44802</v>
      </c>
      <c r="B439" s="5">
        <v>1</v>
      </c>
      <c r="C439" s="5" t="s">
        <v>48</v>
      </c>
      <c r="D439" s="5" t="s">
        <v>42</v>
      </c>
      <c r="E439" s="5"/>
      <c r="F439" s="5">
        <v>1050</v>
      </c>
      <c r="G439" s="5">
        <v>200</v>
      </c>
      <c r="H439" s="5"/>
      <c r="I439" s="5">
        <v>10</v>
      </c>
      <c r="J439" s="69"/>
      <c r="K439" s="69">
        <v>2.4</v>
      </c>
      <c r="L439" s="69"/>
      <c r="M439" s="5" t="s">
        <v>16</v>
      </c>
      <c r="N439" s="6">
        <v>5</v>
      </c>
      <c r="O439" s="5">
        <v>84</v>
      </c>
      <c r="P439" s="5">
        <v>48</v>
      </c>
      <c r="Q439" s="5">
        <v>24</v>
      </c>
      <c r="R439" s="5">
        <f t="shared" si="87"/>
        <v>156</v>
      </c>
      <c r="S439" s="3">
        <f t="shared" si="88"/>
        <v>1.75</v>
      </c>
      <c r="T439" s="3">
        <f>16.8/18</f>
        <v>0.93333333333333335</v>
      </c>
      <c r="U439" s="3">
        <f>28.5/45</f>
        <v>0.6333333333333333</v>
      </c>
      <c r="V439" s="5">
        <v>1</v>
      </c>
      <c r="W439" s="5" t="s">
        <v>169</v>
      </c>
      <c r="X439" s="5" t="s">
        <v>46</v>
      </c>
      <c r="Y439" s="5"/>
      <c r="Z439" s="4">
        <v>44802</v>
      </c>
      <c r="AA439" s="5"/>
      <c r="AB439" s="5" t="str">
        <f t="shared" si="91"/>
        <v>Poly</v>
      </c>
      <c r="AC439" s="5">
        <v>100</v>
      </c>
      <c r="AD439" s="3">
        <v>7.4999999999999997E-2</v>
      </c>
      <c r="AE439" s="5">
        <v>1</v>
      </c>
      <c r="AF439" s="5" t="s">
        <v>103</v>
      </c>
      <c r="AG439" s="5" t="s">
        <v>104</v>
      </c>
      <c r="AH439" s="5"/>
      <c r="AI439" s="5" t="str">
        <f t="shared" si="92"/>
        <v/>
      </c>
      <c r="AJ439" s="5"/>
      <c r="AK439" s="5"/>
      <c r="AL439" s="5"/>
      <c r="AM439" s="67"/>
      <c r="AN439" s="5">
        <v>0</v>
      </c>
      <c r="AO439" s="5">
        <f t="shared" si="93"/>
        <v>1</v>
      </c>
      <c r="AP439" s="5"/>
      <c r="AQ439" s="67"/>
    </row>
    <row r="440" spans="1:43" ht="15" customHeight="1" x14ac:dyDescent="0.35">
      <c r="A440" s="4">
        <v>44802</v>
      </c>
      <c r="B440" s="5">
        <v>1</v>
      </c>
      <c r="C440" s="5" t="s">
        <v>48</v>
      </c>
      <c r="D440" s="5" t="s">
        <v>42</v>
      </c>
      <c r="E440" s="5"/>
      <c r="F440" s="5">
        <v>1050</v>
      </c>
      <c r="G440" s="5">
        <v>200</v>
      </c>
      <c r="H440" s="5"/>
      <c r="I440" s="5">
        <v>10</v>
      </c>
      <c r="J440" s="69"/>
      <c r="K440" s="69">
        <v>2.4</v>
      </c>
      <c r="L440" s="69"/>
      <c r="M440" s="5" t="s">
        <v>16</v>
      </c>
      <c r="N440" s="6">
        <v>5</v>
      </c>
      <c r="O440" s="5">
        <v>84</v>
      </c>
      <c r="P440" s="5">
        <v>48</v>
      </c>
      <c r="Q440" s="5">
        <v>24</v>
      </c>
      <c r="R440" s="5">
        <f t="shared" si="87"/>
        <v>156</v>
      </c>
      <c r="S440" s="3">
        <f t="shared" si="88"/>
        <v>1.75</v>
      </c>
      <c r="T440" s="3">
        <f>16.8/18</f>
        <v>0.93333333333333335</v>
      </c>
      <c r="U440" s="3">
        <f>28.5/45</f>
        <v>0.6333333333333333</v>
      </c>
      <c r="V440" s="5">
        <v>1</v>
      </c>
      <c r="W440" s="5" t="s">
        <v>52</v>
      </c>
      <c r="X440" s="5" t="s">
        <v>46</v>
      </c>
      <c r="Y440" s="5" t="s">
        <v>52</v>
      </c>
      <c r="Z440" s="4">
        <v>44802</v>
      </c>
      <c r="AA440" s="5"/>
      <c r="AB440" s="5" t="str">
        <f t="shared" si="91"/>
        <v>Poly</v>
      </c>
      <c r="AC440" s="5">
        <v>100</v>
      </c>
      <c r="AD440" s="3">
        <v>0.05</v>
      </c>
      <c r="AE440" s="5">
        <v>0</v>
      </c>
      <c r="AF440" s="5" t="s">
        <v>103</v>
      </c>
      <c r="AG440" s="5" t="s">
        <v>104</v>
      </c>
      <c r="AH440" s="5"/>
      <c r="AI440" s="5" t="str">
        <f t="shared" si="92"/>
        <v/>
      </c>
      <c r="AJ440" s="5"/>
      <c r="AK440" s="5"/>
      <c r="AL440" s="5"/>
      <c r="AM440" s="67"/>
      <c r="AN440" s="5">
        <f>IF((AE440=0),0,"")</f>
        <v>0</v>
      </c>
      <c r="AO440" s="5">
        <f t="shared" si="93"/>
        <v>0</v>
      </c>
      <c r="AP440" s="5"/>
      <c r="AQ440" s="67"/>
    </row>
    <row r="441" spans="1:43" ht="15" customHeight="1" x14ac:dyDescent="0.35">
      <c r="A441" s="4">
        <v>44802</v>
      </c>
      <c r="B441" s="5">
        <v>1</v>
      </c>
      <c r="C441" s="5" t="s">
        <v>48</v>
      </c>
      <c r="D441" s="5" t="s">
        <v>42</v>
      </c>
      <c r="E441" s="5"/>
      <c r="F441" s="5">
        <v>1050</v>
      </c>
      <c r="G441" s="5">
        <v>200</v>
      </c>
      <c r="H441" s="5"/>
      <c r="I441" s="5">
        <v>10</v>
      </c>
      <c r="J441" s="69"/>
      <c r="K441" s="69">
        <v>2.4</v>
      </c>
      <c r="L441" s="69"/>
      <c r="M441" s="5" t="s">
        <v>16</v>
      </c>
      <c r="N441" s="6">
        <v>5</v>
      </c>
      <c r="O441" s="5">
        <v>84</v>
      </c>
      <c r="P441" s="5">
        <v>48</v>
      </c>
      <c r="Q441" s="5">
        <v>24</v>
      </c>
      <c r="R441" s="5">
        <f t="shared" si="87"/>
        <v>156</v>
      </c>
      <c r="S441" s="3">
        <f t="shared" si="88"/>
        <v>1.75</v>
      </c>
      <c r="T441" s="3">
        <f>16.8/18</f>
        <v>0.93333333333333335</v>
      </c>
      <c r="U441" s="3">
        <f>28.5/45</f>
        <v>0.6333333333333333</v>
      </c>
      <c r="V441" s="5">
        <v>1</v>
      </c>
      <c r="W441" s="5" t="s">
        <v>52</v>
      </c>
      <c r="X441" s="5" t="s">
        <v>46</v>
      </c>
      <c r="Y441" s="5" t="s">
        <v>122</v>
      </c>
      <c r="Z441" s="4"/>
      <c r="AA441" s="5"/>
      <c r="AB441" s="5" t="str">
        <f t="shared" si="91"/>
        <v>Poly</v>
      </c>
      <c r="AC441" s="5">
        <v>100</v>
      </c>
      <c r="AD441" s="3">
        <v>2.3E-2</v>
      </c>
      <c r="AE441" s="5">
        <v>20</v>
      </c>
      <c r="AF441" s="5" t="s">
        <v>102</v>
      </c>
      <c r="AG441" s="5" t="s">
        <v>102</v>
      </c>
      <c r="AH441" s="5"/>
      <c r="AI441" s="5" t="str">
        <f t="shared" si="92"/>
        <v/>
      </c>
      <c r="AJ441" s="5"/>
      <c r="AK441" s="5"/>
      <c r="AL441" s="5"/>
      <c r="AM441" s="67"/>
      <c r="AN441" s="5">
        <v>16</v>
      </c>
      <c r="AO441" s="5">
        <f t="shared" si="93"/>
        <v>4</v>
      </c>
      <c r="AP441" s="5"/>
      <c r="AQ441" s="67"/>
    </row>
    <row r="442" spans="1:43" ht="15" customHeight="1" x14ac:dyDescent="0.35">
      <c r="A442" s="4">
        <v>44802</v>
      </c>
      <c r="B442" s="5">
        <v>2</v>
      </c>
      <c r="C442" s="5" t="s">
        <v>157</v>
      </c>
      <c r="D442" s="5" t="s">
        <v>42</v>
      </c>
      <c r="E442" s="5"/>
      <c r="F442" s="5">
        <v>1050</v>
      </c>
      <c r="G442" s="5">
        <v>100</v>
      </c>
      <c r="H442" s="5"/>
      <c r="I442" s="5">
        <v>12</v>
      </c>
      <c r="J442" s="67"/>
      <c r="K442" s="67">
        <v>2.66</v>
      </c>
      <c r="L442" s="67"/>
      <c r="M442" s="5" t="s">
        <v>16</v>
      </c>
      <c r="N442" s="5">
        <v>5</v>
      </c>
      <c r="O442" s="5">
        <v>91</v>
      </c>
      <c r="P442" s="5">
        <v>25</v>
      </c>
      <c r="Q442" s="5">
        <v>0</v>
      </c>
      <c r="R442" s="5">
        <f>O442+P442+Q442</f>
        <v>116</v>
      </c>
      <c r="S442" s="3">
        <f>O442/P442</f>
        <v>3.64</v>
      </c>
      <c r="T442" s="3">
        <f t="shared" ref="T442:T445" si="94">18.7/4</f>
        <v>4.6749999999999998</v>
      </c>
      <c r="U442" s="3">
        <f t="shared" ref="U442:U445" si="95">32/22</f>
        <v>1.4545454545454546</v>
      </c>
      <c r="V442" s="5">
        <v>1</v>
      </c>
      <c r="W442" s="5" t="s">
        <v>169</v>
      </c>
      <c r="X442" s="5" t="s">
        <v>45</v>
      </c>
      <c r="Y442" s="5"/>
      <c r="Z442" s="4">
        <v>44802</v>
      </c>
      <c r="AA442" s="5"/>
      <c r="AB442" s="5" t="str">
        <f t="shared" si="91"/>
        <v>Single</v>
      </c>
      <c r="AC442" s="5">
        <v>100</v>
      </c>
      <c r="AD442" s="3">
        <v>0.05</v>
      </c>
      <c r="AE442" s="5">
        <v>0</v>
      </c>
      <c r="AF442" s="5" t="s">
        <v>104</v>
      </c>
      <c r="AG442" s="5" t="s">
        <v>104</v>
      </c>
      <c r="AH442" s="5">
        <v>7.2999999999999995E-2</v>
      </c>
      <c r="AI442" s="5">
        <f t="shared" si="92"/>
        <v>2.2999999999999993E-2</v>
      </c>
      <c r="AJ442" s="5"/>
      <c r="AK442" s="5"/>
      <c r="AL442" s="5"/>
      <c r="AM442" s="67"/>
      <c r="AN442" s="5">
        <f>IF((AE442=0),0,"")</f>
        <v>0</v>
      </c>
      <c r="AO442" s="5">
        <f t="shared" si="93"/>
        <v>0</v>
      </c>
      <c r="AP442" s="5"/>
      <c r="AQ442" s="67"/>
    </row>
    <row r="443" spans="1:43" ht="15" customHeight="1" x14ac:dyDescent="0.35">
      <c r="A443" s="4">
        <v>44802</v>
      </c>
      <c r="B443" s="5">
        <v>2</v>
      </c>
      <c r="C443" s="5" t="s">
        <v>157</v>
      </c>
      <c r="D443" s="5" t="s">
        <v>42</v>
      </c>
      <c r="E443" s="5"/>
      <c r="F443" s="5">
        <v>1050</v>
      </c>
      <c r="G443" s="5">
        <v>100</v>
      </c>
      <c r="H443" s="5"/>
      <c r="I443" s="5">
        <v>12</v>
      </c>
      <c r="J443" s="67"/>
      <c r="K443" s="67">
        <v>2.66</v>
      </c>
      <c r="L443" s="67"/>
      <c r="M443" s="5" t="s">
        <v>16</v>
      </c>
      <c r="N443" s="5">
        <v>5</v>
      </c>
      <c r="O443" s="5">
        <v>91</v>
      </c>
      <c r="P443" s="5">
        <v>25</v>
      </c>
      <c r="Q443" s="5">
        <v>0</v>
      </c>
      <c r="R443" s="5">
        <f>O443+P443+Q443</f>
        <v>116</v>
      </c>
      <c r="S443" s="3">
        <f>O443/P443</f>
        <v>3.64</v>
      </c>
      <c r="T443" s="3">
        <f t="shared" si="94"/>
        <v>4.6749999999999998</v>
      </c>
      <c r="U443" s="3">
        <f t="shared" si="95"/>
        <v>1.4545454545454546</v>
      </c>
      <c r="V443" s="5">
        <v>1</v>
      </c>
      <c r="W443" s="5" t="s">
        <v>169</v>
      </c>
      <c r="X443" s="5" t="s">
        <v>46</v>
      </c>
      <c r="Y443" s="5"/>
      <c r="Z443" s="4">
        <v>44802</v>
      </c>
      <c r="AA443" s="5"/>
      <c r="AB443" s="5" t="str">
        <f t="shared" si="91"/>
        <v>Poly</v>
      </c>
      <c r="AC443" s="5">
        <v>100</v>
      </c>
      <c r="AD443" s="3">
        <v>2.4E-2</v>
      </c>
      <c r="AE443" s="5">
        <v>5</v>
      </c>
      <c r="AF443" s="5" t="s">
        <v>102</v>
      </c>
      <c r="AG443" s="5" t="s">
        <v>102</v>
      </c>
      <c r="AH443" s="5">
        <v>3.4000000000000002E-2</v>
      </c>
      <c r="AI443" s="5">
        <f t="shared" si="92"/>
        <v>1.0000000000000002E-2</v>
      </c>
      <c r="AJ443" s="5"/>
      <c r="AK443" s="5"/>
      <c r="AL443" s="5"/>
      <c r="AM443" s="67"/>
      <c r="AN443" s="5">
        <v>6.5</v>
      </c>
      <c r="AO443" s="5">
        <f t="shared" si="93"/>
        <v>1.5</v>
      </c>
      <c r="AP443" s="5"/>
      <c r="AQ443" s="67"/>
    </row>
    <row r="444" spans="1:43" ht="15" customHeight="1" x14ac:dyDescent="0.35">
      <c r="A444" s="4">
        <v>44802</v>
      </c>
      <c r="B444" s="5">
        <v>2</v>
      </c>
      <c r="C444" s="5" t="s">
        <v>157</v>
      </c>
      <c r="D444" s="5" t="s">
        <v>42</v>
      </c>
      <c r="E444" s="5"/>
      <c r="F444" s="5">
        <v>1050</v>
      </c>
      <c r="G444" s="5">
        <v>100</v>
      </c>
      <c r="H444" s="5"/>
      <c r="I444" s="5">
        <v>12</v>
      </c>
      <c r="J444" s="67"/>
      <c r="K444" s="67">
        <v>2.66</v>
      </c>
      <c r="L444" s="67"/>
      <c r="M444" s="5" t="s">
        <v>16</v>
      </c>
      <c r="N444" s="5">
        <v>5</v>
      </c>
      <c r="O444" s="5">
        <v>91</v>
      </c>
      <c r="P444" s="5">
        <v>25</v>
      </c>
      <c r="Q444" s="5">
        <v>0</v>
      </c>
      <c r="R444" s="5">
        <f>O444+P444+Q444</f>
        <v>116</v>
      </c>
      <c r="S444" s="3">
        <f>O444/P444</f>
        <v>3.64</v>
      </c>
      <c r="T444" s="3">
        <f t="shared" si="94"/>
        <v>4.6749999999999998</v>
      </c>
      <c r="U444" s="3">
        <f t="shared" si="95"/>
        <v>1.4545454545454546</v>
      </c>
      <c r="V444" s="5">
        <v>1</v>
      </c>
      <c r="W444" s="5" t="s">
        <v>52</v>
      </c>
      <c r="X444" s="5" t="s">
        <v>46</v>
      </c>
      <c r="Y444" s="5" t="s">
        <v>52</v>
      </c>
      <c r="Z444" s="4">
        <v>44802</v>
      </c>
      <c r="AA444" s="5"/>
      <c r="AB444" s="5" t="str">
        <f t="shared" si="91"/>
        <v>Poly</v>
      </c>
      <c r="AC444" s="5">
        <v>100</v>
      </c>
      <c r="AD444" s="3">
        <v>1.4999999999999999E-2</v>
      </c>
      <c r="AE444" s="5">
        <v>1</v>
      </c>
      <c r="AF444" s="5" t="s">
        <v>102</v>
      </c>
      <c r="AG444" s="5" t="s">
        <v>102</v>
      </c>
      <c r="AH444" s="5">
        <v>0.11700000000000001</v>
      </c>
      <c r="AI444" s="5">
        <f t="shared" si="92"/>
        <v>0.10200000000000001</v>
      </c>
      <c r="AJ444" s="5"/>
      <c r="AK444" s="5"/>
      <c r="AL444" s="5"/>
      <c r="AM444" s="67"/>
      <c r="AN444" s="5">
        <v>5</v>
      </c>
      <c r="AO444" s="5">
        <f t="shared" si="93"/>
        <v>4</v>
      </c>
      <c r="AP444" s="5"/>
      <c r="AQ444" s="67"/>
    </row>
    <row r="445" spans="1:43" ht="15" customHeight="1" x14ac:dyDescent="0.35">
      <c r="A445" s="4">
        <v>44802</v>
      </c>
      <c r="B445" s="5">
        <v>2</v>
      </c>
      <c r="C445" s="5" t="s">
        <v>157</v>
      </c>
      <c r="D445" s="5" t="s">
        <v>42</v>
      </c>
      <c r="E445" s="5"/>
      <c r="F445" s="5">
        <v>1050</v>
      </c>
      <c r="G445" s="5">
        <v>100</v>
      </c>
      <c r="H445" s="5"/>
      <c r="I445" s="5">
        <v>12</v>
      </c>
      <c r="J445" s="67"/>
      <c r="K445" s="67">
        <v>2.66</v>
      </c>
      <c r="L445" s="67"/>
      <c r="M445" s="5" t="s">
        <v>16</v>
      </c>
      <c r="N445" s="5">
        <v>5</v>
      </c>
      <c r="O445" s="5">
        <v>91</v>
      </c>
      <c r="P445" s="5">
        <v>25</v>
      </c>
      <c r="Q445" s="5">
        <v>0</v>
      </c>
      <c r="R445" s="5">
        <f t="shared" ref="R445:R450" si="96">O445+P445+Q445</f>
        <v>116</v>
      </c>
      <c r="S445" s="3">
        <f t="shared" ref="S445:S450" si="97">O445/P445</f>
        <v>3.64</v>
      </c>
      <c r="T445" s="3">
        <f t="shared" si="94"/>
        <v>4.6749999999999998</v>
      </c>
      <c r="U445" s="3">
        <f t="shared" si="95"/>
        <v>1.4545454545454546</v>
      </c>
      <c r="V445" s="5">
        <v>1</v>
      </c>
      <c r="W445" s="5" t="s">
        <v>52</v>
      </c>
      <c r="X445" s="5" t="s">
        <v>46</v>
      </c>
      <c r="Y445" s="5" t="s">
        <v>122</v>
      </c>
      <c r="Z445" s="4"/>
      <c r="AA445" s="5"/>
      <c r="AB445" s="5" t="str">
        <f t="shared" si="91"/>
        <v>Poly</v>
      </c>
      <c r="AC445" s="5">
        <v>100</v>
      </c>
      <c r="AD445" s="3">
        <v>3.2000000000000001E-2</v>
      </c>
      <c r="AE445" s="5">
        <v>15</v>
      </c>
      <c r="AF445" s="5" t="s">
        <v>104</v>
      </c>
      <c r="AG445" s="5" t="s">
        <v>104</v>
      </c>
      <c r="AH445" s="5">
        <v>0.05</v>
      </c>
      <c r="AI445" s="5">
        <f t="shared" si="92"/>
        <v>1.8000000000000002E-2</v>
      </c>
      <c r="AJ445" s="5"/>
      <c r="AK445" s="5"/>
      <c r="AL445" s="5"/>
      <c r="AM445" s="67"/>
      <c r="AN445" s="5">
        <v>12.5</v>
      </c>
      <c r="AO445" s="5">
        <f t="shared" si="93"/>
        <v>2.5</v>
      </c>
      <c r="AP445" s="5"/>
      <c r="AQ445" s="67"/>
    </row>
    <row r="446" spans="1:43" ht="15" customHeight="1" x14ac:dyDescent="0.35">
      <c r="A446" s="4">
        <v>44802</v>
      </c>
      <c r="B446" s="5">
        <v>3</v>
      </c>
      <c r="C446" s="5" t="s">
        <v>48</v>
      </c>
      <c r="D446" s="5" t="s">
        <v>42</v>
      </c>
      <c r="E446" s="5"/>
      <c r="F446" s="5">
        <v>1050</v>
      </c>
      <c r="G446" s="5">
        <v>200</v>
      </c>
      <c r="H446" s="5"/>
      <c r="I446" s="5">
        <v>10</v>
      </c>
      <c r="J446" s="69"/>
      <c r="K446" s="69">
        <v>2.4</v>
      </c>
      <c r="L446" s="69"/>
      <c r="M446" s="5" t="s">
        <v>16</v>
      </c>
      <c r="N446" s="6">
        <v>5</v>
      </c>
      <c r="O446" s="5">
        <v>84</v>
      </c>
      <c r="P446" s="5">
        <v>48</v>
      </c>
      <c r="Q446" s="5">
        <v>24</v>
      </c>
      <c r="R446" s="5">
        <f t="shared" si="96"/>
        <v>156</v>
      </c>
      <c r="S446" s="3">
        <f t="shared" si="97"/>
        <v>1.75</v>
      </c>
      <c r="T446" s="3">
        <f t="shared" ref="T446" si="98">16.8/18</f>
        <v>0.93333333333333335</v>
      </c>
      <c r="U446" s="3">
        <f t="shared" ref="U446" si="99">28.5/45</f>
        <v>0.6333333333333333</v>
      </c>
      <c r="V446" s="5">
        <v>1</v>
      </c>
      <c r="W446" s="5" t="s">
        <v>169</v>
      </c>
      <c r="X446" s="5" t="s">
        <v>45</v>
      </c>
      <c r="Y446" s="5"/>
      <c r="Z446" s="4">
        <v>44802</v>
      </c>
      <c r="AA446" s="5"/>
      <c r="AB446" s="5" t="str">
        <f t="shared" si="91"/>
        <v>Single</v>
      </c>
      <c r="AC446" s="5">
        <v>100</v>
      </c>
      <c r="AD446" s="3">
        <v>7.8E-2</v>
      </c>
      <c r="AE446" s="5">
        <v>0</v>
      </c>
      <c r="AF446" s="5" t="s">
        <v>104</v>
      </c>
      <c r="AG446" s="5" t="s">
        <v>104</v>
      </c>
      <c r="AH446" s="5">
        <v>0.109</v>
      </c>
      <c r="AI446" s="5">
        <f t="shared" si="92"/>
        <v>3.1E-2</v>
      </c>
      <c r="AJ446" s="5"/>
      <c r="AK446" s="5"/>
      <c r="AL446" s="5"/>
      <c r="AM446" s="67"/>
      <c r="AN446" s="5">
        <f>IF((AE446=0),0,"")</f>
        <v>0</v>
      </c>
      <c r="AO446" s="5">
        <f t="shared" si="93"/>
        <v>0</v>
      </c>
      <c r="AP446" s="5"/>
      <c r="AQ446" s="67"/>
    </row>
    <row r="447" spans="1:43" ht="15" customHeight="1" x14ac:dyDescent="0.35">
      <c r="A447" s="4">
        <v>44802</v>
      </c>
      <c r="B447" s="5">
        <v>3</v>
      </c>
      <c r="C447" s="5" t="s">
        <v>48</v>
      </c>
      <c r="D447" s="5" t="s">
        <v>42</v>
      </c>
      <c r="E447" s="5"/>
      <c r="F447" s="5">
        <v>1050</v>
      </c>
      <c r="G447" s="5">
        <v>200</v>
      </c>
      <c r="H447" s="5"/>
      <c r="I447" s="5">
        <v>10</v>
      </c>
      <c r="J447" s="69"/>
      <c r="K447" s="69">
        <v>2.4</v>
      </c>
      <c r="L447" s="69"/>
      <c r="M447" s="5" t="s">
        <v>16</v>
      </c>
      <c r="N447" s="6">
        <v>5</v>
      </c>
      <c r="O447" s="5">
        <v>84</v>
      </c>
      <c r="P447" s="5">
        <v>48</v>
      </c>
      <c r="Q447" s="5">
        <v>24</v>
      </c>
      <c r="R447" s="5">
        <f t="shared" si="96"/>
        <v>156</v>
      </c>
      <c r="S447" s="3">
        <f t="shared" si="97"/>
        <v>1.75</v>
      </c>
      <c r="T447" s="3">
        <f>16.8/18</f>
        <v>0.93333333333333335</v>
      </c>
      <c r="U447" s="3">
        <f>28.5/45</f>
        <v>0.6333333333333333</v>
      </c>
      <c r="V447" s="5">
        <v>1</v>
      </c>
      <c r="W447" s="5" t="s">
        <v>169</v>
      </c>
      <c r="X447" s="5" t="s">
        <v>46</v>
      </c>
      <c r="Y447" s="5"/>
      <c r="Z447" s="4">
        <v>44802</v>
      </c>
      <c r="AA447" s="5"/>
      <c r="AB447" s="5" t="str">
        <f t="shared" si="91"/>
        <v>Poly</v>
      </c>
      <c r="AC447" s="5">
        <v>100</v>
      </c>
      <c r="AD447" s="3">
        <v>0.124</v>
      </c>
      <c r="AE447" s="5">
        <v>0</v>
      </c>
      <c r="AF447" s="5" t="s">
        <v>102</v>
      </c>
      <c r="AG447" s="5" t="s">
        <v>104</v>
      </c>
      <c r="AH447" s="5">
        <v>0.107</v>
      </c>
      <c r="AI447" s="5">
        <f t="shared" si="92"/>
        <v>1.7000000000000001E-2</v>
      </c>
      <c r="AJ447" s="5"/>
      <c r="AK447" s="5"/>
      <c r="AL447" s="5"/>
      <c r="AM447" s="67"/>
      <c r="AN447" s="5">
        <f>IF((AE447=0),0,"")</f>
        <v>0</v>
      </c>
      <c r="AO447" s="5">
        <f t="shared" si="93"/>
        <v>0</v>
      </c>
      <c r="AP447" s="5"/>
      <c r="AQ447" s="67"/>
    </row>
    <row r="448" spans="1:43" ht="15" customHeight="1" x14ac:dyDescent="0.35">
      <c r="A448" s="4">
        <v>44802</v>
      </c>
      <c r="B448" s="5">
        <v>3</v>
      </c>
      <c r="C448" s="5" t="s">
        <v>48</v>
      </c>
      <c r="D448" s="5" t="s">
        <v>42</v>
      </c>
      <c r="E448" s="5"/>
      <c r="F448" s="5">
        <v>1050</v>
      </c>
      <c r="G448" s="5">
        <v>200</v>
      </c>
      <c r="H448" s="5"/>
      <c r="I448" s="5">
        <v>10</v>
      </c>
      <c r="J448" s="69"/>
      <c r="K448" s="69">
        <v>2.4</v>
      </c>
      <c r="L448" s="69"/>
      <c r="M448" s="5" t="s">
        <v>16</v>
      </c>
      <c r="N448" s="6">
        <v>5</v>
      </c>
      <c r="O448" s="5">
        <v>84</v>
      </c>
      <c r="P448" s="5">
        <v>48</v>
      </c>
      <c r="Q448" s="5">
        <v>24</v>
      </c>
      <c r="R448" s="5">
        <f t="shared" si="96"/>
        <v>156</v>
      </c>
      <c r="S448" s="3">
        <f t="shared" si="97"/>
        <v>1.75</v>
      </c>
      <c r="T448" s="3">
        <f>16.8/18</f>
        <v>0.93333333333333335</v>
      </c>
      <c r="U448" s="3">
        <f>28.5/45</f>
        <v>0.6333333333333333</v>
      </c>
      <c r="V448" s="5">
        <v>1</v>
      </c>
      <c r="W448" s="5" t="s">
        <v>169</v>
      </c>
      <c r="X448" s="5" t="s">
        <v>45</v>
      </c>
      <c r="Y448" s="5" t="s">
        <v>203</v>
      </c>
      <c r="Z448" s="4">
        <v>44802</v>
      </c>
      <c r="AA448" s="5"/>
      <c r="AB448" s="5" t="s">
        <v>155</v>
      </c>
      <c r="AC448" s="5">
        <v>100</v>
      </c>
      <c r="AD448" s="3">
        <v>0.17399999999999999</v>
      </c>
      <c r="AE448" s="5">
        <v>0</v>
      </c>
      <c r="AF448" s="5" t="s">
        <v>104</v>
      </c>
      <c r="AG448" s="5" t="s">
        <v>104</v>
      </c>
      <c r="AH448" s="5">
        <v>0.113</v>
      </c>
      <c r="AI448" s="5">
        <f t="shared" si="92"/>
        <v>6.0999999999999985E-2</v>
      </c>
      <c r="AJ448" s="5"/>
      <c r="AK448" s="5"/>
      <c r="AL448" s="5"/>
      <c r="AM448" s="67"/>
      <c r="AN448" s="5">
        <f>IF((AE448=0),0,"")</f>
        <v>0</v>
      </c>
      <c r="AO448" s="5">
        <f t="shared" si="93"/>
        <v>0</v>
      </c>
      <c r="AP448" s="5"/>
      <c r="AQ448" s="67"/>
    </row>
    <row r="449" spans="1:43" ht="15" customHeight="1" x14ac:dyDescent="0.35">
      <c r="A449" s="4">
        <v>44802</v>
      </c>
      <c r="B449" s="5">
        <v>3</v>
      </c>
      <c r="C449" s="5" t="s">
        <v>48</v>
      </c>
      <c r="D449" s="5" t="s">
        <v>42</v>
      </c>
      <c r="E449" s="5"/>
      <c r="F449" s="5">
        <v>1050</v>
      </c>
      <c r="G449" s="5">
        <v>200</v>
      </c>
      <c r="H449" s="5"/>
      <c r="I449" s="5">
        <v>10</v>
      </c>
      <c r="J449" s="69"/>
      <c r="K449" s="69">
        <v>2.4</v>
      </c>
      <c r="L449" s="69"/>
      <c r="M449" s="5" t="s">
        <v>16</v>
      </c>
      <c r="N449" s="6">
        <v>5</v>
      </c>
      <c r="O449" s="5">
        <v>84</v>
      </c>
      <c r="P449" s="5">
        <v>48</v>
      </c>
      <c r="Q449" s="5">
        <v>24</v>
      </c>
      <c r="R449" s="5">
        <f t="shared" si="96"/>
        <v>156</v>
      </c>
      <c r="S449" s="3">
        <f t="shared" si="97"/>
        <v>1.75</v>
      </c>
      <c r="T449" s="3">
        <f>16.8/18</f>
        <v>0.93333333333333335</v>
      </c>
      <c r="U449" s="3">
        <f>28.5/45</f>
        <v>0.6333333333333333</v>
      </c>
      <c r="V449" s="5">
        <v>1</v>
      </c>
      <c r="W449" s="5" t="s">
        <v>169</v>
      </c>
      <c r="X449" s="5" t="s">
        <v>46</v>
      </c>
      <c r="Y449" s="5" t="s">
        <v>203</v>
      </c>
      <c r="Z449" s="4">
        <v>44802</v>
      </c>
      <c r="AA449" s="5"/>
      <c r="AB449" s="5" t="str">
        <f>IF(X449="20um Schlenk", "Single", "Poly")</f>
        <v>Poly</v>
      </c>
      <c r="AC449" s="5">
        <v>100</v>
      </c>
      <c r="AD449" s="3">
        <v>5.0999999999999997E-2</v>
      </c>
      <c r="AE449" s="5">
        <v>3</v>
      </c>
      <c r="AF449" s="5" t="s">
        <v>103</v>
      </c>
      <c r="AG449" s="5" t="s">
        <v>102</v>
      </c>
      <c r="AH449" s="5">
        <v>9.8000000000000004E-2</v>
      </c>
      <c r="AI449" s="5">
        <f t="shared" si="92"/>
        <v>4.7000000000000007E-2</v>
      </c>
      <c r="AJ449" s="5"/>
      <c r="AK449" s="5"/>
      <c r="AL449" s="5"/>
      <c r="AM449" s="67"/>
      <c r="AN449" s="5">
        <v>13.1</v>
      </c>
      <c r="AO449" s="5">
        <f t="shared" si="93"/>
        <v>10.1</v>
      </c>
      <c r="AP449" s="5" t="s">
        <v>186</v>
      </c>
      <c r="AQ449" s="67"/>
    </row>
    <row r="450" spans="1:43" ht="15" customHeight="1" x14ac:dyDescent="0.35">
      <c r="A450" s="4">
        <v>44802</v>
      </c>
      <c r="B450" s="5">
        <v>3</v>
      </c>
      <c r="C450" s="5" t="s">
        <v>48</v>
      </c>
      <c r="D450" s="5" t="s">
        <v>42</v>
      </c>
      <c r="E450" s="5"/>
      <c r="F450" s="5">
        <v>1050</v>
      </c>
      <c r="G450" s="5">
        <v>200</v>
      </c>
      <c r="H450" s="5"/>
      <c r="I450" s="5">
        <v>10</v>
      </c>
      <c r="J450" s="69"/>
      <c r="K450" s="69">
        <v>2.4</v>
      </c>
      <c r="L450" s="69"/>
      <c r="M450" s="5" t="s">
        <v>16</v>
      </c>
      <c r="N450" s="6">
        <v>5</v>
      </c>
      <c r="O450" s="5">
        <v>84</v>
      </c>
      <c r="P450" s="5">
        <v>48</v>
      </c>
      <c r="Q450" s="5">
        <v>24</v>
      </c>
      <c r="R450" s="5">
        <f t="shared" si="96"/>
        <v>156</v>
      </c>
      <c r="S450" s="3">
        <f t="shared" si="97"/>
        <v>1.75</v>
      </c>
      <c r="T450" s="3">
        <f>16.8/18</f>
        <v>0.93333333333333335</v>
      </c>
      <c r="U450" s="3">
        <f>28.5/45</f>
        <v>0.6333333333333333</v>
      </c>
      <c r="V450" s="5">
        <v>1</v>
      </c>
      <c r="W450" s="5" t="s">
        <v>52</v>
      </c>
      <c r="X450" s="5" t="s">
        <v>46</v>
      </c>
      <c r="Y450" s="5" t="s">
        <v>52</v>
      </c>
      <c r="Z450" s="4">
        <v>44802</v>
      </c>
      <c r="AA450" s="5"/>
      <c r="AB450" s="5" t="str">
        <f>IF(X450="20um Schlenk", "Single", "Poly")</f>
        <v>Poly</v>
      </c>
      <c r="AC450" s="5">
        <v>100</v>
      </c>
      <c r="AD450" s="3">
        <v>1.4E-2</v>
      </c>
      <c r="AE450" s="5">
        <v>1</v>
      </c>
      <c r="AF450" s="5" t="s">
        <v>102</v>
      </c>
      <c r="AG450" s="5" t="s">
        <v>104</v>
      </c>
      <c r="AH450" s="5">
        <v>0.105</v>
      </c>
      <c r="AI450" s="5">
        <f t="shared" si="92"/>
        <v>9.0999999999999998E-2</v>
      </c>
      <c r="AJ450" s="5"/>
      <c r="AK450" s="5"/>
      <c r="AL450" s="5"/>
      <c r="AM450" s="5"/>
      <c r="AN450" s="5">
        <v>0</v>
      </c>
      <c r="AO450" s="5">
        <f t="shared" si="93"/>
        <v>1</v>
      </c>
      <c r="AP450" s="5"/>
      <c r="AQ450" s="67"/>
    </row>
    <row r="451" spans="1:43" ht="15" customHeight="1" x14ac:dyDescent="0.35">
      <c r="A451" s="4">
        <v>44802</v>
      </c>
      <c r="B451" s="5">
        <v>4</v>
      </c>
      <c r="C451" s="5" t="s">
        <v>204</v>
      </c>
      <c r="D451" s="5" t="s">
        <v>42</v>
      </c>
      <c r="E451" s="5"/>
      <c r="F451" s="5">
        <v>1050</v>
      </c>
      <c r="G451" s="5">
        <v>200</v>
      </c>
      <c r="H451" s="5"/>
      <c r="I451" s="5">
        <v>10</v>
      </c>
      <c r="J451" s="67"/>
      <c r="K451" s="67">
        <v>2.5299999999999998</v>
      </c>
      <c r="L451" s="67"/>
      <c r="M451" s="5" t="s">
        <v>16</v>
      </c>
      <c r="N451" s="6">
        <v>5</v>
      </c>
      <c r="O451" s="5">
        <v>120</v>
      </c>
      <c r="P451" s="5">
        <v>17.899999999999999</v>
      </c>
      <c r="Q451" s="5">
        <v>20</v>
      </c>
      <c r="R451" s="5">
        <f>O451+P451+Q451</f>
        <v>157.9</v>
      </c>
      <c r="S451" s="3">
        <f>O451/P451</f>
        <v>6.7039106145251406</v>
      </c>
      <c r="T451" s="3">
        <f>37/2.6</f>
        <v>14.23076923076923</v>
      </c>
      <c r="U451" s="3">
        <f>61.1/17.9</f>
        <v>3.4134078212290508</v>
      </c>
      <c r="V451" s="5">
        <v>1</v>
      </c>
      <c r="W451" s="5" t="s">
        <v>169</v>
      </c>
      <c r="X451" s="5" t="s">
        <v>45</v>
      </c>
      <c r="Y451" s="5"/>
      <c r="Z451" s="4">
        <v>44802</v>
      </c>
      <c r="AA451" s="5"/>
      <c r="AB451" s="5" t="str">
        <f>IF(X451="20um Schlenk", "Single", "Poly")</f>
        <v>Single</v>
      </c>
      <c r="AC451" s="5">
        <v>100</v>
      </c>
      <c r="AD451" s="3">
        <v>0.08</v>
      </c>
      <c r="AE451" s="5">
        <v>3</v>
      </c>
      <c r="AF451" s="5" t="s">
        <v>104</v>
      </c>
      <c r="AG451" s="5" t="s">
        <v>102</v>
      </c>
      <c r="AH451" s="5">
        <v>0.108</v>
      </c>
      <c r="AI451" s="5">
        <f t="shared" si="92"/>
        <v>2.7999999999999997E-2</v>
      </c>
      <c r="AJ451" s="5"/>
      <c r="AK451" s="5"/>
      <c r="AL451" s="5"/>
      <c r="AM451" s="5"/>
      <c r="AN451" s="5">
        <v>6.5</v>
      </c>
      <c r="AO451" s="5">
        <f t="shared" si="93"/>
        <v>3.5</v>
      </c>
      <c r="AP451" s="5"/>
      <c r="AQ451" s="67"/>
    </row>
    <row r="452" spans="1:43" ht="15" customHeight="1" x14ac:dyDescent="0.35">
      <c r="A452" s="4">
        <v>44802</v>
      </c>
      <c r="B452" s="5">
        <v>4</v>
      </c>
      <c r="C452" s="5" t="s">
        <v>204</v>
      </c>
      <c r="D452" s="5" t="s">
        <v>42</v>
      </c>
      <c r="E452" s="5"/>
      <c r="F452" s="5">
        <v>1050</v>
      </c>
      <c r="G452" s="5">
        <v>200</v>
      </c>
      <c r="H452" s="5"/>
      <c r="I452" s="5">
        <v>10</v>
      </c>
      <c r="J452" s="67"/>
      <c r="K452" s="67">
        <v>2.5299999999999998</v>
      </c>
      <c r="L452" s="67"/>
      <c r="M452" s="5" t="s">
        <v>16</v>
      </c>
      <c r="N452" s="6">
        <v>5</v>
      </c>
      <c r="O452" s="5">
        <v>120</v>
      </c>
      <c r="P452" s="5">
        <v>17.899999999999999</v>
      </c>
      <c r="Q452" s="5">
        <v>20</v>
      </c>
      <c r="R452" s="5">
        <f>O452+P452+Q452</f>
        <v>157.9</v>
      </c>
      <c r="S452" s="3">
        <f>O452/P452</f>
        <v>6.7039106145251406</v>
      </c>
      <c r="T452" s="3">
        <f>37/2.6</f>
        <v>14.23076923076923</v>
      </c>
      <c r="U452" s="3">
        <f>61.1/17.9</f>
        <v>3.4134078212290508</v>
      </c>
      <c r="V452" s="5">
        <v>1</v>
      </c>
      <c r="W452" s="5" t="s">
        <v>169</v>
      </c>
      <c r="X452" s="5" t="s">
        <v>46</v>
      </c>
      <c r="Y452" s="5"/>
      <c r="Z452" s="4">
        <v>44802</v>
      </c>
      <c r="AA452" s="5"/>
      <c r="AB452" s="5" t="str">
        <f>IF(X452="20um Schlenk", "Single", "Poly")</f>
        <v>Poly</v>
      </c>
      <c r="AC452" s="5">
        <v>100</v>
      </c>
      <c r="AD452" s="3">
        <v>2.5000000000000001E-2</v>
      </c>
      <c r="AE452" s="5">
        <v>4</v>
      </c>
      <c r="AF452" s="5" t="s">
        <v>104</v>
      </c>
      <c r="AG452" s="5" t="s">
        <v>102</v>
      </c>
      <c r="AH452" s="5">
        <v>0.113</v>
      </c>
      <c r="AI452" s="5">
        <f t="shared" si="92"/>
        <v>8.7999999999999995E-2</v>
      </c>
      <c r="AJ452" s="5"/>
      <c r="AK452" s="5"/>
      <c r="AL452" s="5"/>
      <c r="AM452" s="67"/>
      <c r="AN452" s="5">
        <v>5.5</v>
      </c>
      <c r="AO452" s="5">
        <f t="shared" si="93"/>
        <v>1.5</v>
      </c>
      <c r="AP452" s="5"/>
      <c r="AQ452" s="67"/>
    </row>
    <row r="453" spans="1:43" ht="15" customHeight="1" x14ac:dyDescent="0.35">
      <c r="A453" s="4">
        <v>44802</v>
      </c>
      <c r="B453" s="5">
        <v>4</v>
      </c>
      <c r="C453" s="5" t="s">
        <v>204</v>
      </c>
      <c r="D453" s="5" t="s">
        <v>42</v>
      </c>
      <c r="E453" s="5"/>
      <c r="F453" s="5">
        <v>1050</v>
      </c>
      <c r="G453" s="5">
        <v>200</v>
      </c>
      <c r="H453" s="5"/>
      <c r="I453" s="5">
        <v>10</v>
      </c>
      <c r="J453" s="69"/>
      <c r="K453" s="67">
        <v>2.5299999999999998</v>
      </c>
      <c r="L453" s="69"/>
      <c r="M453" s="5" t="s">
        <v>16</v>
      </c>
      <c r="N453" s="6">
        <v>5</v>
      </c>
      <c r="O453" s="5">
        <v>120</v>
      </c>
      <c r="P453" s="5">
        <v>17.899999999999999</v>
      </c>
      <c r="Q453" s="5">
        <v>20</v>
      </c>
      <c r="R453" s="5">
        <f>O453+P453+Q453</f>
        <v>157.9</v>
      </c>
      <c r="S453" s="3">
        <f>O453/P453</f>
        <v>6.7039106145251406</v>
      </c>
      <c r="T453" s="3">
        <f>37/2.6</f>
        <v>14.23076923076923</v>
      </c>
      <c r="U453" s="3">
        <f>61.1/17.9</f>
        <v>3.4134078212290508</v>
      </c>
      <c r="V453" s="5">
        <v>1</v>
      </c>
      <c r="W453" s="5" t="s">
        <v>169</v>
      </c>
      <c r="X453" s="5" t="s">
        <v>45</v>
      </c>
      <c r="Y453" s="5" t="s">
        <v>205</v>
      </c>
      <c r="Z453" s="4">
        <v>44802</v>
      </c>
      <c r="AA453" s="5"/>
      <c r="AB453" s="5" t="s">
        <v>155</v>
      </c>
      <c r="AC453" s="5">
        <v>100</v>
      </c>
      <c r="AD453" s="3">
        <v>0.16300000000000001</v>
      </c>
      <c r="AE453" s="5">
        <v>2</v>
      </c>
      <c r="AF453" s="5" t="s">
        <v>104</v>
      </c>
      <c r="AG453" s="5" t="s">
        <v>104</v>
      </c>
      <c r="AH453" s="5">
        <v>7.5999999999999998E-2</v>
      </c>
      <c r="AI453" s="5">
        <f t="shared" si="92"/>
        <v>8.7000000000000008E-2</v>
      </c>
      <c r="AJ453" s="5"/>
      <c r="AK453" s="5"/>
      <c r="AL453" s="5"/>
      <c r="AM453" s="67"/>
      <c r="AN453" s="5">
        <v>3</v>
      </c>
      <c r="AO453" s="5">
        <f t="shared" si="93"/>
        <v>1</v>
      </c>
      <c r="AP453" s="5"/>
      <c r="AQ453" s="67"/>
    </row>
    <row r="454" spans="1:43" ht="15" customHeight="1" x14ac:dyDescent="0.35">
      <c r="A454" s="4">
        <v>44802</v>
      </c>
      <c r="B454" s="5">
        <v>5</v>
      </c>
      <c r="C454" s="5" t="s">
        <v>206</v>
      </c>
      <c r="D454" s="5" t="s">
        <v>42</v>
      </c>
      <c r="E454" s="5"/>
      <c r="F454" s="5">
        <v>1050</v>
      </c>
      <c r="G454" s="5">
        <v>200</v>
      </c>
      <c r="H454" s="5"/>
      <c r="I454" s="5">
        <v>10</v>
      </c>
      <c r="J454" s="69"/>
      <c r="K454" s="67">
        <v>2.5299999999999998</v>
      </c>
      <c r="L454" s="69"/>
      <c r="M454" s="5" t="s">
        <v>16</v>
      </c>
      <c r="N454" s="6">
        <v>5</v>
      </c>
      <c r="O454" s="5">
        <v>132</v>
      </c>
      <c r="P454" s="5">
        <v>0</v>
      </c>
      <c r="Q454" s="5">
        <v>24</v>
      </c>
      <c r="R454" s="5">
        <f>O454+P454+Q454</f>
        <v>156</v>
      </c>
      <c r="S454" s="3" t="s">
        <v>193</v>
      </c>
      <c r="T454" s="3" t="s">
        <v>193</v>
      </c>
      <c r="U454" s="3" t="s">
        <v>193</v>
      </c>
      <c r="V454" s="5">
        <v>1</v>
      </c>
      <c r="W454" s="5" t="s">
        <v>169</v>
      </c>
      <c r="X454" s="5" t="s">
        <v>45</v>
      </c>
      <c r="Y454" s="5"/>
      <c r="Z454" s="4">
        <v>44802</v>
      </c>
      <c r="AA454" s="5"/>
      <c r="AB454" s="5" t="str">
        <f>IF(X454="20um Schlenk", "Single", "Poly")</f>
        <v>Single</v>
      </c>
      <c r="AC454" s="5">
        <v>100</v>
      </c>
      <c r="AD454" s="3" t="s">
        <v>207</v>
      </c>
      <c r="AE454" s="79" t="s">
        <v>207</v>
      </c>
      <c r="AF454" s="79" t="s">
        <v>207</v>
      </c>
      <c r="AG454" s="79" t="s">
        <v>207</v>
      </c>
      <c r="AH454" s="79"/>
      <c r="AI454" s="5" t="str">
        <f t="shared" si="92"/>
        <v/>
      </c>
      <c r="AJ454" s="5"/>
      <c r="AK454" s="5"/>
      <c r="AL454" s="5"/>
      <c r="AM454" s="5"/>
      <c r="AN454" s="5" t="str">
        <f>IF((AE454=0),0,"")</f>
        <v/>
      </c>
      <c r="AO454" s="5"/>
      <c r="AP454" s="5"/>
      <c r="AQ454" s="67"/>
    </row>
    <row r="455" spans="1:43" ht="15" customHeight="1" x14ac:dyDescent="0.35">
      <c r="A455" s="4">
        <v>44802</v>
      </c>
      <c r="B455" s="5">
        <v>5</v>
      </c>
      <c r="C455" s="5" t="s">
        <v>206</v>
      </c>
      <c r="D455" s="5" t="s">
        <v>42</v>
      </c>
      <c r="E455" s="5"/>
      <c r="F455" s="5">
        <v>1050</v>
      </c>
      <c r="G455" s="5">
        <v>200</v>
      </c>
      <c r="H455" s="5"/>
      <c r="I455" s="5">
        <v>10</v>
      </c>
      <c r="J455" s="69"/>
      <c r="K455" s="67">
        <v>2.5299999999999998</v>
      </c>
      <c r="L455" s="69"/>
      <c r="M455" s="5" t="s">
        <v>16</v>
      </c>
      <c r="N455" s="6">
        <v>5</v>
      </c>
      <c r="O455" s="5">
        <v>132</v>
      </c>
      <c r="P455" s="5">
        <v>0</v>
      </c>
      <c r="Q455" s="5">
        <v>24</v>
      </c>
      <c r="R455" s="5">
        <f>O455+P455+Q455</f>
        <v>156</v>
      </c>
      <c r="S455" s="3" t="s">
        <v>193</v>
      </c>
      <c r="T455" s="3" t="s">
        <v>193</v>
      </c>
      <c r="U455" s="3" t="s">
        <v>193</v>
      </c>
      <c r="V455" s="5">
        <v>3</v>
      </c>
      <c r="W455" s="5" t="s">
        <v>52</v>
      </c>
      <c r="X455" s="5" t="s">
        <v>46</v>
      </c>
      <c r="Y455" s="5"/>
      <c r="Z455" s="4">
        <v>44802</v>
      </c>
      <c r="AA455" s="5"/>
      <c r="AB455" s="5" t="str">
        <f>IF(X455="20um Schlenk", "Single", "Poly")</f>
        <v>Poly</v>
      </c>
      <c r="AC455" s="5">
        <v>100</v>
      </c>
      <c r="AD455" s="3" t="s">
        <v>207</v>
      </c>
      <c r="AE455" s="79" t="s">
        <v>207</v>
      </c>
      <c r="AF455" s="79" t="s">
        <v>207</v>
      </c>
      <c r="AG455" s="79" t="s">
        <v>207</v>
      </c>
      <c r="AH455" s="79"/>
      <c r="AI455" s="5" t="str">
        <f t="shared" si="92"/>
        <v/>
      </c>
      <c r="AJ455" s="5"/>
      <c r="AK455" s="5"/>
      <c r="AL455" s="5"/>
      <c r="AM455" s="5"/>
      <c r="AN455" s="5" t="str">
        <f>IF((AE455=0),0,"")</f>
        <v/>
      </c>
      <c r="AO455" s="5"/>
      <c r="AP455" s="5"/>
      <c r="AQ455" s="67"/>
    </row>
    <row r="456" spans="1:43" ht="15" customHeight="1" x14ac:dyDescent="0.35">
      <c r="A456" s="4">
        <v>44802</v>
      </c>
      <c r="B456" s="5">
        <v>6</v>
      </c>
      <c r="C456" s="5" t="s">
        <v>157</v>
      </c>
      <c r="D456" s="5" t="s">
        <v>42</v>
      </c>
      <c r="E456" s="5"/>
      <c r="F456" s="5">
        <v>1050</v>
      </c>
      <c r="G456" s="5">
        <v>100</v>
      </c>
      <c r="H456" s="5" t="s">
        <v>208</v>
      </c>
      <c r="I456" s="5">
        <v>12</v>
      </c>
      <c r="J456" s="67"/>
      <c r="K456" s="67">
        <v>2.62</v>
      </c>
      <c r="L456" s="67"/>
      <c r="M456" s="5" t="s">
        <v>16</v>
      </c>
      <c r="N456" s="5">
        <v>5</v>
      </c>
      <c r="O456" s="5">
        <v>91</v>
      </c>
      <c r="P456" s="5">
        <v>25</v>
      </c>
      <c r="Q456" s="5">
        <v>0</v>
      </c>
      <c r="R456" s="5">
        <f t="shared" ref="R456:R457" si="100">O456+P456+Q456</f>
        <v>116</v>
      </c>
      <c r="S456" s="3">
        <f t="shared" ref="S456:S457" si="101">O456/P456</f>
        <v>3.64</v>
      </c>
      <c r="T456" s="3">
        <f t="shared" ref="T456:T457" si="102">18.7/4</f>
        <v>4.6749999999999998</v>
      </c>
      <c r="U456" s="3">
        <f t="shared" ref="U456:U457" si="103">32/22</f>
        <v>1.4545454545454546</v>
      </c>
      <c r="V456" s="5">
        <v>1</v>
      </c>
      <c r="W456" s="5" t="s">
        <v>169</v>
      </c>
      <c r="X456" s="5" t="s">
        <v>45</v>
      </c>
      <c r="Y456" s="5" t="s">
        <v>209</v>
      </c>
      <c r="Z456" s="4">
        <v>44802</v>
      </c>
      <c r="AA456" s="5"/>
      <c r="AB456" s="5" t="str">
        <f>IF(X456="20um Schlenk", "Single", "Poly")</f>
        <v>Single</v>
      </c>
      <c r="AC456" s="5">
        <v>100</v>
      </c>
      <c r="AD456" s="3">
        <v>1.7000000000000001E-2</v>
      </c>
      <c r="AE456" s="5">
        <v>1</v>
      </c>
      <c r="AF456" s="5" t="s">
        <v>104</v>
      </c>
      <c r="AG456" s="5" t="s">
        <v>104</v>
      </c>
      <c r="AH456" s="5">
        <v>5.8999999999999997E-2</v>
      </c>
      <c r="AI456" s="5">
        <f t="shared" si="92"/>
        <v>4.1999999999999996E-2</v>
      </c>
      <c r="AJ456" s="5"/>
      <c r="AK456" s="5"/>
      <c r="AL456" s="5"/>
      <c r="AM456" s="5"/>
      <c r="AN456" s="5">
        <v>5</v>
      </c>
      <c r="AO456" s="5">
        <f t="shared" ref="AO456:AO467" si="104">IF(ISBLANK(AN456),"",ABS(AN456-AE456))</f>
        <v>4</v>
      </c>
      <c r="AP456" s="106"/>
      <c r="AQ456" s="67"/>
    </row>
    <row r="457" spans="1:43" ht="15" customHeight="1" x14ac:dyDescent="0.35">
      <c r="A457" s="4">
        <v>44802</v>
      </c>
      <c r="B457" s="5">
        <v>6</v>
      </c>
      <c r="C457" s="5" t="s">
        <v>157</v>
      </c>
      <c r="D457" s="5" t="s">
        <v>42</v>
      </c>
      <c r="E457" s="5"/>
      <c r="F457" s="5">
        <v>1050</v>
      </c>
      <c r="G457" s="5">
        <v>100</v>
      </c>
      <c r="H457" s="5" t="s">
        <v>208</v>
      </c>
      <c r="I457" s="5">
        <v>12</v>
      </c>
      <c r="J457" s="67"/>
      <c r="K457" s="67">
        <v>2.62</v>
      </c>
      <c r="L457" s="67"/>
      <c r="M457" s="5" t="s">
        <v>16</v>
      </c>
      <c r="N457" s="5">
        <v>5</v>
      </c>
      <c r="O457" s="5">
        <v>91</v>
      </c>
      <c r="P457" s="5">
        <v>25</v>
      </c>
      <c r="Q457" s="5">
        <v>0</v>
      </c>
      <c r="R457" s="5">
        <f t="shared" si="100"/>
        <v>116</v>
      </c>
      <c r="S457" s="3">
        <f t="shared" si="101"/>
        <v>3.64</v>
      </c>
      <c r="T457" s="3">
        <f t="shared" si="102"/>
        <v>4.6749999999999998</v>
      </c>
      <c r="U457" s="3">
        <f t="shared" si="103"/>
        <v>1.4545454545454546</v>
      </c>
      <c r="V457" s="5">
        <v>2</v>
      </c>
      <c r="W457" s="5" t="s">
        <v>52</v>
      </c>
      <c r="X457" s="5" t="s">
        <v>46</v>
      </c>
      <c r="Y457" s="5" t="s">
        <v>209</v>
      </c>
      <c r="Z457" s="4">
        <v>44802</v>
      </c>
      <c r="AA457" s="5"/>
      <c r="AB457" s="5" t="str">
        <f>IF(X457="20um Schlenk", "Single", "Poly")</f>
        <v>Poly</v>
      </c>
      <c r="AC457" s="5">
        <v>100</v>
      </c>
      <c r="AD457" s="3">
        <v>1.9E-2</v>
      </c>
      <c r="AE457" s="5">
        <v>0</v>
      </c>
      <c r="AF457" s="5" t="s">
        <v>104</v>
      </c>
      <c r="AG457" s="5" t="s">
        <v>102</v>
      </c>
      <c r="AH457" s="5">
        <v>3.0000000000000001E-3</v>
      </c>
      <c r="AI457" s="5">
        <f t="shared" si="92"/>
        <v>1.6E-2</v>
      </c>
      <c r="AJ457" s="5"/>
      <c r="AK457" s="5"/>
      <c r="AL457" s="5"/>
      <c r="AM457" s="5"/>
      <c r="AN457" s="5">
        <v>0</v>
      </c>
      <c r="AO457" s="5">
        <f t="shared" si="104"/>
        <v>0</v>
      </c>
      <c r="AP457" s="5"/>
      <c r="AQ457" s="67"/>
    </row>
    <row r="458" spans="1:43" ht="15" customHeigh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67"/>
      <c r="K458" s="67"/>
      <c r="L458" s="67"/>
      <c r="M458" s="5"/>
      <c r="N458" s="5"/>
      <c r="O458" s="5"/>
      <c r="P458" s="5"/>
      <c r="Q458" s="5"/>
      <c r="R458" s="5"/>
      <c r="S458" s="3"/>
      <c r="T458" s="3"/>
      <c r="U458" s="3"/>
      <c r="V458" s="5"/>
      <c r="W458" s="5"/>
      <c r="X458" s="5"/>
      <c r="Y458" s="5"/>
      <c r="Z458" s="4"/>
      <c r="AA458" s="5"/>
      <c r="AB458" s="5"/>
      <c r="AC458" s="5"/>
      <c r="AD458" s="3"/>
      <c r="AE458" s="5"/>
      <c r="AF458" s="5"/>
      <c r="AG458" s="5"/>
      <c r="AH458" s="5"/>
      <c r="AI458" s="5" t="str">
        <f t="shared" si="92"/>
        <v/>
      </c>
      <c r="AJ458" s="5"/>
      <c r="AK458" s="5"/>
      <c r="AL458" s="5"/>
      <c r="AM458" s="5"/>
      <c r="AN458" s="5"/>
      <c r="AO458" s="5" t="str">
        <f t="shared" si="104"/>
        <v/>
      </c>
      <c r="AP458" s="5"/>
      <c r="AQ458" s="67"/>
    </row>
    <row r="459" spans="1:43" ht="15" customHeight="1" x14ac:dyDescent="0.35">
      <c r="A459" s="4">
        <v>44803</v>
      </c>
      <c r="B459" s="5">
        <v>7</v>
      </c>
      <c r="C459" s="5" t="s">
        <v>48</v>
      </c>
      <c r="D459" s="5" t="s">
        <v>42</v>
      </c>
      <c r="E459" s="5"/>
      <c r="F459" s="5">
        <v>1050</v>
      </c>
      <c r="G459" s="5">
        <v>200</v>
      </c>
      <c r="H459" s="5"/>
      <c r="I459" s="5">
        <v>10</v>
      </c>
      <c r="J459" s="69"/>
      <c r="K459" s="69">
        <v>2.5</v>
      </c>
      <c r="L459" s="69"/>
      <c r="M459" s="5" t="s">
        <v>16</v>
      </c>
      <c r="N459" s="6">
        <v>5</v>
      </c>
      <c r="O459" s="5">
        <v>84</v>
      </c>
      <c r="P459" s="5">
        <v>48</v>
      </c>
      <c r="Q459" s="5">
        <v>24</v>
      </c>
      <c r="R459" s="5">
        <f t="shared" ref="R459:R462" si="105">O459+P459+Q459</f>
        <v>156</v>
      </c>
      <c r="S459" s="3">
        <f t="shared" ref="S459:S462" si="106">O459/P459</f>
        <v>1.75</v>
      </c>
      <c r="T459" s="3">
        <f t="shared" ref="T459" si="107">16.8/18</f>
        <v>0.93333333333333335</v>
      </c>
      <c r="U459" s="3">
        <f t="shared" ref="U459" si="108">28.5/45</f>
        <v>0.6333333333333333</v>
      </c>
      <c r="V459" s="5">
        <v>1</v>
      </c>
      <c r="W459" s="5" t="s">
        <v>169</v>
      </c>
      <c r="X459" s="5" t="s">
        <v>45</v>
      </c>
      <c r="Y459" s="5"/>
      <c r="Z459" s="4">
        <v>44802</v>
      </c>
      <c r="AA459" s="5"/>
      <c r="AB459" s="5" t="str">
        <f t="shared" ref="AB459:AB470" si="109">IF(X459="20um Schlenk", "Single", "Poly")</f>
        <v>Single</v>
      </c>
      <c r="AC459" s="5">
        <v>100</v>
      </c>
      <c r="AD459" s="3">
        <v>0.16700000000000001</v>
      </c>
      <c r="AE459" s="5">
        <v>0</v>
      </c>
      <c r="AF459" s="5" t="s">
        <v>104</v>
      </c>
      <c r="AG459" s="5" t="s">
        <v>104</v>
      </c>
      <c r="AH459" s="5">
        <v>0.158</v>
      </c>
      <c r="AI459" s="5">
        <f t="shared" si="92"/>
        <v>9.000000000000008E-3</v>
      </c>
      <c r="AJ459" s="5"/>
      <c r="AK459" s="5"/>
      <c r="AL459" s="5"/>
      <c r="AM459" s="5"/>
      <c r="AN459" s="5">
        <f>IF((AE459=0),0,"")</f>
        <v>0</v>
      </c>
      <c r="AO459" s="5">
        <f t="shared" si="104"/>
        <v>0</v>
      </c>
      <c r="AP459" s="5"/>
      <c r="AQ459" s="67"/>
    </row>
    <row r="460" spans="1:43" ht="15" customHeight="1" x14ac:dyDescent="0.35">
      <c r="A460" s="4">
        <v>44803</v>
      </c>
      <c r="B460" s="5">
        <v>7</v>
      </c>
      <c r="C460" s="5" t="s">
        <v>48</v>
      </c>
      <c r="D460" s="5" t="s">
        <v>42</v>
      </c>
      <c r="E460" s="5"/>
      <c r="F460" s="5">
        <v>1050</v>
      </c>
      <c r="G460" s="5">
        <v>200</v>
      </c>
      <c r="H460" s="5"/>
      <c r="I460" s="5">
        <v>10</v>
      </c>
      <c r="J460" s="69"/>
      <c r="K460" s="69">
        <v>2.5</v>
      </c>
      <c r="L460" s="69"/>
      <c r="M460" s="5" t="s">
        <v>16</v>
      </c>
      <c r="N460" s="6">
        <v>5</v>
      </c>
      <c r="O460" s="5">
        <v>84</v>
      </c>
      <c r="P460" s="5">
        <v>48</v>
      </c>
      <c r="Q460" s="5">
        <v>24</v>
      </c>
      <c r="R460" s="5">
        <f t="shared" si="105"/>
        <v>156</v>
      </c>
      <c r="S460" s="3">
        <f t="shared" si="106"/>
        <v>1.75</v>
      </c>
      <c r="T460" s="3">
        <f>16.8/18</f>
        <v>0.93333333333333335</v>
      </c>
      <c r="U460" s="3">
        <f>28.5/45</f>
        <v>0.6333333333333333</v>
      </c>
      <c r="V460" s="5">
        <v>1</v>
      </c>
      <c r="W460" s="5" t="s">
        <v>169</v>
      </c>
      <c r="X460" s="5" t="s">
        <v>46</v>
      </c>
      <c r="Y460" s="5"/>
      <c r="Z460" s="4">
        <v>44802</v>
      </c>
      <c r="AA460" s="5"/>
      <c r="AB460" s="5" t="str">
        <f t="shared" si="109"/>
        <v>Poly</v>
      </c>
      <c r="AC460" s="5">
        <v>100</v>
      </c>
      <c r="AD460" s="3">
        <v>3.9E-2</v>
      </c>
      <c r="AE460" s="5">
        <v>1</v>
      </c>
      <c r="AF460" s="5" t="s">
        <v>103</v>
      </c>
      <c r="AG460" s="5" t="s">
        <v>102</v>
      </c>
      <c r="AH460" s="5">
        <v>6.0999999999999999E-2</v>
      </c>
      <c r="AI460" s="5">
        <f t="shared" si="92"/>
        <v>2.1999999999999999E-2</v>
      </c>
      <c r="AJ460" s="5"/>
      <c r="AK460" s="5"/>
      <c r="AL460" s="5"/>
      <c r="AM460" s="5"/>
      <c r="AN460" s="5">
        <v>9</v>
      </c>
      <c r="AO460" s="5">
        <f t="shared" si="104"/>
        <v>8</v>
      </c>
      <c r="AP460" s="5" t="s">
        <v>186</v>
      </c>
      <c r="AQ460" s="67"/>
    </row>
    <row r="461" spans="1:43" ht="15" customHeight="1" x14ac:dyDescent="0.35">
      <c r="A461" s="4">
        <v>44803</v>
      </c>
      <c r="B461" s="5">
        <v>7</v>
      </c>
      <c r="C461" s="5" t="s">
        <v>48</v>
      </c>
      <c r="D461" s="5" t="s">
        <v>42</v>
      </c>
      <c r="E461" s="5"/>
      <c r="F461" s="5">
        <v>1050</v>
      </c>
      <c r="G461" s="5">
        <v>200</v>
      </c>
      <c r="H461" s="5"/>
      <c r="I461" s="5">
        <v>10</v>
      </c>
      <c r="J461" s="69"/>
      <c r="K461" s="69">
        <v>2.5</v>
      </c>
      <c r="L461" s="69"/>
      <c r="M461" s="5" t="s">
        <v>16</v>
      </c>
      <c r="N461" s="6">
        <v>5</v>
      </c>
      <c r="O461" s="5">
        <v>84</v>
      </c>
      <c r="P461" s="5">
        <v>48</v>
      </c>
      <c r="Q461" s="5">
        <v>24</v>
      </c>
      <c r="R461" s="5">
        <f t="shared" si="105"/>
        <v>156</v>
      </c>
      <c r="S461" s="3">
        <f t="shared" si="106"/>
        <v>1.75</v>
      </c>
      <c r="T461" s="3">
        <f>16.8/18</f>
        <v>0.93333333333333335</v>
      </c>
      <c r="U461" s="3">
        <f>28.5/45</f>
        <v>0.6333333333333333</v>
      </c>
      <c r="V461" s="5">
        <v>1</v>
      </c>
      <c r="W461" s="5" t="s">
        <v>52</v>
      </c>
      <c r="X461" s="5" t="s">
        <v>46</v>
      </c>
      <c r="Y461" s="5" t="s">
        <v>52</v>
      </c>
      <c r="Z461" s="4">
        <v>44802</v>
      </c>
      <c r="AA461" s="5"/>
      <c r="AB461" s="5" t="str">
        <f t="shared" si="109"/>
        <v>Poly</v>
      </c>
      <c r="AC461" s="5">
        <v>100</v>
      </c>
      <c r="AD461" s="3">
        <v>2.4E-2</v>
      </c>
      <c r="AE461" s="5">
        <v>1</v>
      </c>
      <c r="AF461" s="5" t="s">
        <v>104</v>
      </c>
      <c r="AG461" s="5" t="s">
        <v>103</v>
      </c>
      <c r="AH461" s="5">
        <v>6.8000000000000005E-2</v>
      </c>
      <c r="AI461" s="5">
        <f t="shared" si="92"/>
        <v>4.4000000000000004E-2</v>
      </c>
      <c r="AJ461" s="5"/>
      <c r="AK461" s="5"/>
      <c r="AL461" s="5"/>
      <c r="AM461" s="5"/>
      <c r="AN461" s="5">
        <v>5</v>
      </c>
      <c r="AO461" s="5">
        <f t="shared" si="104"/>
        <v>4</v>
      </c>
      <c r="AP461" s="5"/>
      <c r="AQ461" s="67"/>
    </row>
    <row r="462" spans="1:43" ht="15" customHeight="1" x14ac:dyDescent="0.35">
      <c r="A462" s="4">
        <v>44803</v>
      </c>
      <c r="B462" s="5">
        <v>7</v>
      </c>
      <c r="C462" s="5" t="s">
        <v>48</v>
      </c>
      <c r="D462" s="5" t="s">
        <v>42</v>
      </c>
      <c r="E462" s="5"/>
      <c r="F462" s="5">
        <v>1050</v>
      </c>
      <c r="G462" s="5">
        <v>200</v>
      </c>
      <c r="H462" s="5"/>
      <c r="I462" s="5">
        <v>10</v>
      </c>
      <c r="J462" s="69"/>
      <c r="K462" s="69">
        <v>2.5</v>
      </c>
      <c r="L462" s="69"/>
      <c r="M462" s="5" t="s">
        <v>16</v>
      </c>
      <c r="N462" s="6">
        <v>5</v>
      </c>
      <c r="O462" s="5">
        <v>84</v>
      </c>
      <c r="P462" s="5">
        <v>48</v>
      </c>
      <c r="Q462" s="5">
        <v>24</v>
      </c>
      <c r="R462" s="5">
        <f t="shared" si="105"/>
        <v>156</v>
      </c>
      <c r="S462" s="3">
        <f t="shared" si="106"/>
        <v>1.75</v>
      </c>
      <c r="T462" s="3">
        <f>16.8/18</f>
        <v>0.93333333333333335</v>
      </c>
      <c r="U462" s="3">
        <f>28.5/45</f>
        <v>0.6333333333333333</v>
      </c>
      <c r="V462" s="5">
        <v>1</v>
      </c>
      <c r="W462" s="5" t="s">
        <v>169</v>
      </c>
      <c r="X462" s="5" t="s">
        <v>46</v>
      </c>
      <c r="Y462" s="5" t="s">
        <v>210</v>
      </c>
      <c r="Z462" s="105">
        <v>44798</v>
      </c>
      <c r="AA462" s="5"/>
      <c r="AB462" s="5" t="str">
        <f t="shared" si="109"/>
        <v>Poly</v>
      </c>
      <c r="AC462" s="5">
        <v>100</v>
      </c>
      <c r="AD462" s="3">
        <v>1.6E-2</v>
      </c>
      <c r="AE462" s="107">
        <v>3</v>
      </c>
      <c r="AF462" s="5" t="s">
        <v>103</v>
      </c>
      <c r="AG462" s="5" t="s">
        <v>102</v>
      </c>
      <c r="AH462" s="5"/>
      <c r="AI462" s="5" t="str">
        <f t="shared" si="92"/>
        <v/>
      </c>
      <c r="AJ462" s="5"/>
      <c r="AK462" s="5"/>
      <c r="AL462" s="5"/>
      <c r="AM462" s="5"/>
      <c r="AN462" s="5">
        <v>10</v>
      </c>
      <c r="AO462" s="5">
        <f t="shared" si="104"/>
        <v>7</v>
      </c>
      <c r="AP462" s="5"/>
      <c r="AQ462" s="67"/>
    </row>
    <row r="463" spans="1:43" ht="15" customHeight="1" x14ac:dyDescent="0.35">
      <c r="A463" s="4">
        <v>44803</v>
      </c>
      <c r="B463" s="5">
        <v>8</v>
      </c>
      <c r="C463" s="5" t="s">
        <v>157</v>
      </c>
      <c r="D463" s="5" t="s">
        <v>42</v>
      </c>
      <c r="E463" s="5"/>
      <c r="F463" s="5">
        <v>1050</v>
      </c>
      <c r="G463" s="5">
        <v>100</v>
      </c>
      <c r="H463" s="5"/>
      <c r="I463" s="5">
        <v>12</v>
      </c>
      <c r="J463" s="67"/>
      <c r="K463" s="67">
        <v>2.68</v>
      </c>
      <c r="L463" s="67"/>
      <c r="M463" s="5" t="s">
        <v>16</v>
      </c>
      <c r="N463" s="5">
        <v>5</v>
      </c>
      <c r="O463" s="5">
        <v>91</v>
      </c>
      <c r="P463" s="5">
        <v>25</v>
      </c>
      <c r="Q463" s="5">
        <v>0</v>
      </c>
      <c r="R463" s="5">
        <f>O463+P463+Q463</f>
        <v>116</v>
      </c>
      <c r="S463" s="3">
        <f>O463/P463</f>
        <v>3.64</v>
      </c>
      <c r="T463" s="3">
        <f t="shared" ref="T463:T465" si="110">18.7/4</f>
        <v>4.6749999999999998</v>
      </c>
      <c r="U463" s="3">
        <f t="shared" ref="U463:U465" si="111">32/22</f>
        <v>1.4545454545454546</v>
      </c>
      <c r="V463" s="5">
        <v>1</v>
      </c>
      <c r="W463" s="5" t="s">
        <v>169</v>
      </c>
      <c r="X463" s="5" t="s">
        <v>45</v>
      </c>
      <c r="Y463" s="5"/>
      <c r="Z463" s="4">
        <v>44803</v>
      </c>
      <c r="AA463" s="5"/>
      <c r="AB463" s="5" t="str">
        <f t="shared" si="109"/>
        <v>Single</v>
      </c>
      <c r="AC463" s="5">
        <v>100</v>
      </c>
      <c r="AD463" s="3">
        <v>2.8000000000000001E-2</v>
      </c>
      <c r="AE463" s="5">
        <v>4</v>
      </c>
      <c r="AF463" s="5" t="s">
        <v>104</v>
      </c>
      <c r="AG463" s="5" t="s">
        <v>104</v>
      </c>
      <c r="AH463" s="5">
        <v>9.2999999999999999E-2</v>
      </c>
      <c r="AI463" s="5">
        <f t="shared" si="92"/>
        <v>6.5000000000000002E-2</v>
      </c>
      <c r="AJ463" s="5"/>
      <c r="AK463" s="5"/>
      <c r="AL463" s="5"/>
      <c r="AM463" s="5"/>
      <c r="AN463" s="5">
        <v>5</v>
      </c>
      <c r="AO463" s="5">
        <f t="shared" si="104"/>
        <v>1</v>
      </c>
      <c r="AP463" s="5"/>
      <c r="AQ463" s="67"/>
    </row>
    <row r="464" spans="1:43" ht="15" customHeight="1" x14ac:dyDescent="0.35">
      <c r="A464" s="4">
        <v>44803</v>
      </c>
      <c r="B464" s="5">
        <v>8</v>
      </c>
      <c r="C464" s="5" t="s">
        <v>157</v>
      </c>
      <c r="D464" s="5" t="s">
        <v>42</v>
      </c>
      <c r="E464" s="5"/>
      <c r="F464" s="5">
        <v>1050</v>
      </c>
      <c r="G464" s="5">
        <v>100</v>
      </c>
      <c r="H464" s="5"/>
      <c r="I464" s="5">
        <v>12</v>
      </c>
      <c r="J464" s="67"/>
      <c r="K464" s="67">
        <v>2.68</v>
      </c>
      <c r="L464" s="67"/>
      <c r="M464" s="5" t="s">
        <v>16</v>
      </c>
      <c r="N464" s="5">
        <v>5</v>
      </c>
      <c r="O464" s="5">
        <v>91</v>
      </c>
      <c r="P464" s="5">
        <v>25</v>
      </c>
      <c r="Q464" s="5">
        <v>0</v>
      </c>
      <c r="R464" s="5">
        <f>O464+P464+Q464</f>
        <v>116</v>
      </c>
      <c r="S464" s="3">
        <f>O464/P464</f>
        <v>3.64</v>
      </c>
      <c r="T464" s="3">
        <f t="shared" si="110"/>
        <v>4.6749999999999998</v>
      </c>
      <c r="U464" s="3">
        <f t="shared" si="111"/>
        <v>1.4545454545454546</v>
      </c>
      <c r="V464" s="5">
        <v>1</v>
      </c>
      <c r="W464" s="5" t="s">
        <v>169</v>
      </c>
      <c r="X464" s="5" t="s">
        <v>46</v>
      </c>
      <c r="Y464" s="5"/>
      <c r="Z464" s="4">
        <v>44803</v>
      </c>
      <c r="AA464" s="5"/>
      <c r="AB464" s="5" t="str">
        <f t="shared" si="109"/>
        <v>Poly</v>
      </c>
      <c r="AC464" s="5">
        <v>100</v>
      </c>
      <c r="AD464" s="3">
        <v>1.7999999999999999E-2</v>
      </c>
      <c r="AE464" s="5">
        <v>4</v>
      </c>
      <c r="AF464" s="5" t="s">
        <v>104</v>
      </c>
      <c r="AG464" s="5" t="s">
        <v>102</v>
      </c>
      <c r="AH464" s="5">
        <v>7.4999999999999997E-2</v>
      </c>
      <c r="AI464" s="5">
        <f t="shared" si="92"/>
        <v>5.6999999999999995E-2</v>
      </c>
      <c r="AJ464" s="5"/>
      <c r="AK464" s="5"/>
      <c r="AL464" s="5"/>
      <c r="AM464" s="5"/>
      <c r="AN464" s="5">
        <v>6.5</v>
      </c>
      <c r="AO464" s="5">
        <f t="shared" si="104"/>
        <v>2.5</v>
      </c>
      <c r="AP464" s="5"/>
      <c r="AQ464" s="67"/>
    </row>
    <row r="465" spans="1:43" ht="15" customHeight="1" x14ac:dyDescent="0.35">
      <c r="A465" s="4">
        <v>44803</v>
      </c>
      <c r="B465" s="5">
        <v>8</v>
      </c>
      <c r="C465" s="5" t="s">
        <v>157</v>
      </c>
      <c r="D465" s="5" t="s">
        <v>42</v>
      </c>
      <c r="E465" s="5"/>
      <c r="F465" s="5">
        <v>1050</v>
      </c>
      <c r="G465" s="5">
        <v>100</v>
      </c>
      <c r="H465" s="5"/>
      <c r="I465" s="5">
        <v>12</v>
      </c>
      <c r="J465" s="67"/>
      <c r="K465" s="67">
        <v>2.68</v>
      </c>
      <c r="L465" s="67"/>
      <c r="M465" s="5" t="s">
        <v>16</v>
      </c>
      <c r="N465" s="5">
        <v>5</v>
      </c>
      <c r="O465" s="5">
        <v>91</v>
      </c>
      <c r="P465" s="5">
        <v>25</v>
      </c>
      <c r="Q465" s="5">
        <v>0</v>
      </c>
      <c r="R465" s="5">
        <f>O465+P465+Q465</f>
        <v>116</v>
      </c>
      <c r="S465" s="3">
        <f>O465/P465</f>
        <v>3.64</v>
      </c>
      <c r="T465" s="3">
        <f t="shared" si="110"/>
        <v>4.6749999999999998</v>
      </c>
      <c r="U465" s="3">
        <f t="shared" si="111"/>
        <v>1.4545454545454546</v>
      </c>
      <c r="V465" s="5">
        <v>1</v>
      </c>
      <c r="W465" s="5" t="s">
        <v>52</v>
      </c>
      <c r="X465" s="5" t="s">
        <v>46</v>
      </c>
      <c r="Y465" s="5" t="s">
        <v>52</v>
      </c>
      <c r="Z465" s="4">
        <v>44803</v>
      </c>
      <c r="AA465" s="5"/>
      <c r="AB465" s="5" t="str">
        <f t="shared" si="109"/>
        <v>Poly</v>
      </c>
      <c r="AC465" s="5">
        <v>100</v>
      </c>
      <c r="AD465" s="3">
        <v>1.4999999999999999E-2</v>
      </c>
      <c r="AE465" s="5">
        <v>1</v>
      </c>
      <c r="AF465" s="5" t="s">
        <v>104</v>
      </c>
      <c r="AG465" s="5" t="s">
        <v>102</v>
      </c>
      <c r="AH465" s="5">
        <v>7.3999999999999996E-2</v>
      </c>
      <c r="AI465" s="5">
        <f t="shared" si="92"/>
        <v>5.8999999999999997E-2</v>
      </c>
      <c r="AJ465" s="5"/>
      <c r="AK465" s="5"/>
      <c r="AL465" s="5"/>
      <c r="AM465" s="5"/>
      <c r="AN465" s="5">
        <v>9</v>
      </c>
      <c r="AO465" s="5">
        <f t="shared" si="104"/>
        <v>8</v>
      </c>
      <c r="AP465" s="5" t="s">
        <v>186</v>
      </c>
      <c r="AQ465" s="67"/>
    </row>
    <row r="466" spans="1:43" ht="15" customHeight="1" x14ac:dyDescent="0.35">
      <c r="A466" s="4">
        <v>44803</v>
      </c>
      <c r="B466" s="5">
        <v>9</v>
      </c>
      <c r="C466" s="5" t="s">
        <v>211</v>
      </c>
      <c r="D466" s="5" t="s">
        <v>42</v>
      </c>
      <c r="E466" s="5"/>
      <c r="F466" s="5">
        <v>1050</v>
      </c>
      <c r="G466" s="5">
        <v>200</v>
      </c>
      <c r="H466" s="5"/>
      <c r="I466" s="5">
        <v>2</v>
      </c>
      <c r="J466" s="67"/>
      <c r="K466" s="67">
        <v>2.68</v>
      </c>
      <c r="L466" s="67"/>
      <c r="M466" s="5" t="s">
        <v>16</v>
      </c>
      <c r="N466" s="5">
        <v>5</v>
      </c>
      <c r="O466" s="5">
        <v>120</v>
      </c>
      <c r="P466" s="5">
        <v>15.2</v>
      </c>
      <c r="Q466" s="5">
        <v>20</v>
      </c>
      <c r="R466" s="5">
        <f t="shared" ref="R466:R467" si="112">O466+P466+Q466</f>
        <v>155.19999999999999</v>
      </c>
      <c r="S466" s="3">
        <f t="shared" ref="S466:S467" si="113">O466/P466</f>
        <v>7.8947368421052637</v>
      </c>
      <c r="T466" s="3">
        <f>38.5/2.2</f>
        <v>17.5</v>
      </c>
      <c r="U466" s="3">
        <f>62.5/15.2</f>
        <v>4.1118421052631584</v>
      </c>
      <c r="V466" s="5">
        <v>1</v>
      </c>
      <c r="W466" s="5" t="s">
        <v>169</v>
      </c>
      <c r="X466" s="5" t="s">
        <v>45</v>
      </c>
      <c r="Y466" s="5"/>
      <c r="Z466" s="4">
        <v>44803</v>
      </c>
      <c r="AA466" s="5"/>
      <c r="AB466" s="5" t="str">
        <f t="shared" si="109"/>
        <v>Single</v>
      </c>
      <c r="AC466" s="5">
        <v>100</v>
      </c>
      <c r="AD466" s="3">
        <v>8.4000000000000005E-2</v>
      </c>
      <c r="AE466" s="5">
        <v>2</v>
      </c>
      <c r="AF466" s="5" t="s">
        <v>104</v>
      </c>
      <c r="AG466" s="5" t="s">
        <v>104</v>
      </c>
      <c r="AH466" s="5">
        <v>0.104</v>
      </c>
      <c r="AI466" s="5">
        <f t="shared" si="92"/>
        <v>1.999999999999999E-2</v>
      </c>
      <c r="AJ466" s="5"/>
      <c r="AK466" s="5"/>
      <c r="AL466" s="5"/>
      <c r="AM466" s="5"/>
      <c r="AN466" s="5">
        <v>3.1</v>
      </c>
      <c r="AO466" s="5">
        <f t="shared" si="104"/>
        <v>1.1000000000000001</v>
      </c>
      <c r="AP466" s="5"/>
      <c r="AQ466" s="67"/>
    </row>
    <row r="467" spans="1:43" ht="15" customHeight="1" x14ac:dyDescent="0.35">
      <c r="A467" s="4">
        <v>44803</v>
      </c>
      <c r="B467" s="5">
        <v>9</v>
      </c>
      <c r="C467" s="5" t="s">
        <v>211</v>
      </c>
      <c r="D467" s="5" t="s">
        <v>42</v>
      </c>
      <c r="E467" s="5"/>
      <c r="F467" s="5">
        <v>1050</v>
      </c>
      <c r="G467" s="5">
        <v>200</v>
      </c>
      <c r="H467" s="5"/>
      <c r="I467" s="5">
        <v>2</v>
      </c>
      <c r="J467" s="69"/>
      <c r="K467" s="67">
        <v>2.68</v>
      </c>
      <c r="L467" s="69"/>
      <c r="M467" s="5" t="s">
        <v>16</v>
      </c>
      <c r="N467" s="5">
        <v>5</v>
      </c>
      <c r="O467" s="5">
        <v>120</v>
      </c>
      <c r="P467" s="5">
        <v>15.2</v>
      </c>
      <c r="Q467" s="5">
        <v>20</v>
      </c>
      <c r="R467" s="5">
        <f t="shared" si="112"/>
        <v>155.19999999999999</v>
      </c>
      <c r="S467" s="3">
        <f t="shared" si="113"/>
        <v>7.8947368421052637</v>
      </c>
      <c r="T467" s="3">
        <f>38.5/2.2</f>
        <v>17.5</v>
      </c>
      <c r="U467" s="3">
        <f>62.5/15.2</f>
        <v>4.1118421052631584</v>
      </c>
      <c r="V467" s="5">
        <v>1</v>
      </c>
      <c r="W467" s="5" t="s">
        <v>169</v>
      </c>
      <c r="X467" s="5" t="s">
        <v>46</v>
      </c>
      <c r="Y467" s="5"/>
      <c r="Z467" s="4">
        <v>44803</v>
      </c>
      <c r="AA467" s="5"/>
      <c r="AB467" s="5" t="str">
        <f t="shared" si="109"/>
        <v>Poly</v>
      </c>
      <c r="AC467" s="5">
        <v>100</v>
      </c>
      <c r="AD467" s="3">
        <v>2.1000000000000001E-2</v>
      </c>
      <c r="AE467" s="5">
        <v>3</v>
      </c>
      <c r="AF467" s="5" t="s">
        <v>104</v>
      </c>
      <c r="AG467" s="5" t="s">
        <v>102</v>
      </c>
      <c r="AH467" s="5">
        <v>0.10199999999999999</v>
      </c>
      <c r="AI467" s="5">
        <f t="shared" si="92"/>
        <v>8.0999999999999989E-2</v>
      </c>
      <c r="AJ467" s="5"/>
      <c r="AK467" s="5"/>
      <c r="AL467" s="5"/>
      <c r="AM467" s="5"/>
      <c r="AN467" s="5">
        <v>5.7</v>
      </c>
      <c r="AO467" s="5">
        <f t="shared" si="104"/>
        <v>2.7</v>
      </c>
      <c r="AP467" s="5"/>
      <c r="AQ467" s="67"/>
    </row>
    <row r="468" spans="1:43" ht="15" customHeight="1" x14ac:dyDescent="0.35">
      <c r="A468" s="4">
        <v>44803</v>
      </c>
      <c r="B468" s="5">
        <v>10</v>
      </c>
      <c r="C468" s="5" t="s">
        <v>206</v>
      </c>
      <c r="D468" s="5" t="s">
        <v>165</v>
      </c>
      <c r="E468" s="5"/>
      <c r="F468" s="5">
        <v>1050</v>
      </c>
      <c r="G468" s="5">
        <v>200</v>
      </c>
      <c r="H468" s="5"/>
      <c r="I468" s="5">
        <v>10</v>
      </c>
      <c r="J468" s="69"/>
      <c r="K468" s="69">
        <v>2.57</v>
      </c>
      <c r="L468" s="69"/>
      <c r="M468" s="5" t="s">
        <v>16</v>
      </c>
      <c r="N468" s="5">
        <v>5</v>
      </c>
      <c r="O468" s="5">
        <v>132</v>
      </c>
      <c r="P468" s="5">
        <v>0</v>
      </c>
      <c r="Q468" s="5">
        <v>24</v>
      </c>
      <c r="R468" s="5">
        <f>O468+P468+Q468</f>
        <v>156</v>
      </c>
      <c r="S468" s="3" t="s">
        <v>193</v>
      </c>
      <c r="T468" s="3" t="s">
        <v>193</v>
      </c>
      <c r="U468" s="3" t="s">
        <v>193</v>
      </c>
      <c r="V468" s="5">
        <v>10</v>
      </c>
      <c r="W468" s="5" t="s">
        <v>52</v>
      </c>
      <c r="X468" s="5" t="s">
        <v>46</v>
      </c>
      <c r="Y468" s="5"/>
      <c r="Z468" s="4">
        <v>44803</v>
      </c>
      <c r="AA468" s="5"/>
      <c r="AB468" s="5" t="str">
        <f t="shared" si="109"/>
        <v>Poly</v>
      </c>
      <c r="AC468" s="5">
        <v>100</v>
      </c>
      <c r="AD468" s="3" t="s">
        <v>207</v>
      </c>
      <c r="AE468" s="79" t="s">
        <v>207</v>
      </c>
      <c r="AF468" s="79" t="s">
        <v>207</v>
      </c>
      <c r="AG468" s="79" t="s">
        <v>207</v>
      </c>
      <c r="AH468" s="79"/>
      <c r="AI468" s="5" t="str">
        <f t="shared" si="92"/>
        <v/>
      </c>
      <c r="AJ468" s="5"/>
      <c r="AK468" s="5"/>
      <c r="AL468" s="5"/>
      <c r="AM468" s="67"/>
      <c r="AN468" s="5" t="str">
        <f>IF((AE468=0),0,"")</f>
        <v/>
      </c>
      <c r="AO468" s="5"/>
      <c r="AP468" s="5"/>
      <c r="AQ468" s="67"/>
    </row>
    <row r="469" spans="1:43" ht="15" customHeight="1" x14ac:dyDescent="0.35">
      <c r="A469" s="4">
        <v>44803</v>
      </c>
      <c r="B469" s="5">
        <v>11</v>
      </c>
      <c r="C469" s="5" t="s">
        <v>157</v>
      </c>
      <c r="D469" s="5" t="s">
        <v>165</v>
      </c>
      <c r="E469" s="5"/>
      <c r="F469" s="5">
        <v>1050</v>
      </c>
      <c r="G469" s="5">
        <v>100</v>
      </c>
      <c r="H469" s="5" t="s">
        <v>208</v>
      </c>
      <c r="I469" s="5">
        <v>12</v>
      </c>
      <c r="J469" s="69"/>
      <c r="K469" s="69">
        <v>2.57</v>
      </c>
      <c r="L469" s="69"/>
      <c r="M469" s="5" t="s">
        <v>16</v>
      </c>
      <c r="N469" s="5">
        <v>5</v>
      </c>
      <c r="O469" s="5">
        <v>91</v>
      </c>
      <c r="P469" s="5">
        <v>25</v>
      </c>
      <c r="Q469" s="5">
        <v>0</v>
      </c>
      <c r="R469" s="5">
        <f>O469+P469+Q469</f>
        <v>116</v>
      </c>
      <c r="S469" s="3">
        <f>O469/P469</f>
        <v>3.64</v>
      </c>
      <c r="T469" s="3">
        <f t="shared" ref="T469" si="114">18.7/4</f>
        <v>4.6749999999999998</v>
      </c>
      <c r="U469" s="3">
        <f t="shared" ref="U469" si="115">32/22</f>
        <v>1.4545454545454546</v>
      </c>
      <c r="V469" s="5">
        <v>10</v>
      </c>
      <c r="W469" s="5" t="s">
        <v>52</v>
      </c>
      <c r="X469" s="5" t="s">
        <v>46</v>
      </c>
      <c r="Y469" s="5" t="s">
        <v>209</v>
      </c>
      <c r="Z469" s="4">
        <v>44803</v>
      </c>
      <c r="AA469" s="5"/>
      <c r="AB469" s="5" t="str">
        <f t="shared" si="109"/>
        <v>Poly</v>
      </c>
      <c r="AC469" s="5">
        <v>100</v>
      </c>
      <c r="AD469" s="3">
        <f>(0.026+0.019+0.023)/3</f>
        <v>2.2666666666666668E-2</v>
      </c>
      <c r="AE469" s="5">
        <v>0</v>
      </c>
      <c r="AF469" s="5" t="s">
        <v>104</v>
      </c>
      <c r="AG469" s="5" t="s">
        <v>102</v>
      </c>
      <c r="AH469" s="5"/>
      <c r="AI469" s="5" t="str">
        <f t="shared" si="92"/>
        <v/>
      </c>
      <c r="AJ469" s="5"/>
      <c r="AK469" s="5"/>
      <c r="AL469" s="5"/>
      <c r="AM469" s="5"/>
      <c r="AN469" s="5">
        <f>IF((AE469=0),0,"")</f>
        <v>0</v>
      </c>
      <c r="AO469" s="5">
        <f t="shared" ref="AO469:AO482" si="116">IF(ISBLANK(AN469),"",ABS(AN469-AE469))</f>
        <v>0</v>
      </c>
      <c r="AP469" s="5"/>
      <c r="AQ469" s="67"/>
    </row>
    <row r="470" spans="1:43" ht="15" customHeight="1" x14ac:dyDescent="0.35">
      <c r="A470" s="4">
        <v>44803</v>
      </c>
      <c r="B470" s="5">
        <v>12</v>
      </c>
      <c r="C470" s="5" t="s">
        <v>48</v>
      </c>
      <c r="D470" s="5" t="s">
        <v>165</v>
      </c>
      <c r="E470" s="5"/>
      <c r="F470" s="5">
        <v>1050</v>
      </c>
      <c r="G470" s="5">
        <v>200</v>
      </c>
      <c r="H470" s="5"/>
      <c r="I470" s="5">
        <v>10</v>
      </c>
      <c r="J470" s="69"/>
      <c r="K470" s="69">
        <v>2.42</v>
      </c>
      <c r="L470" s="69"/>
      <c r="M470" s="5" t="s">
        <v>16</v>
      </c>
      <c r="N470" s="5">
        <v>5</v>
      </c>
      <c r="O470" s="5">
        <v>84</v>
      </c>
      <c r="P470" s="5">
        <v>48</v>
      </c>
      <c r="Q470" s="5">
        <v>24</v>
      </c>
      <c r="R470" s="5">
        <f t="shared" ref="R470" si="117">O470+P470+Q470</f>
        <v>156</v>
      </c>
      <c r="S470" s="3">
        <f t="shared" ref="S470" si="118">O470/P470</f>
        <v>1.75</v>
      </c>
      <c r="T470" s="3">
        <f t="shared" ref="T470" si="119">16.8/18</f>
        <v>0.93333333333333335</v>
      </c>
      <c r="U470" s="3">
        <f t="shared" ref="U470" si="120">28.5/45</f>
        <v>0.6333333333333333</v>
      </c>
      <c r="V470" s="5">
        <v>10</v>
      </c>
      <c r="W470" s="5" t="s">
        <v>52</v>
      </c>
      <c r="X470" s="5" t="s">
        <v>45</v>
      </c>
      <c r="Y470" s="5"/>
      <c r="Z470" s="4">
        <v>44803</v>
      </c>
      <c r="AA470" s="5"/>
      <c r="AB470" s="5" t="str">
        <f t="shared" si="109"/>
        <v>Single</v>
      </c>
      <c r="AC470" s="5">
        <v>100</v>
      </c>
      <c r="AD470" s="3">
        <f>(0.019+0.108)/2</f>
        <v>6.3500000000000001E-2</v>
      </c>
      <c r="AE470" s="5">
        <v>2</v>
      </c>
      <c r="AF470" s="5" t="s">
        <v>104</v>
      </c>
      <c r="AG470" s="5" t="s">
        <v>102</v>
      </c>
      <c r="AH470" s="5"/>
      <c r="AI470" s="5" t="str">
        <f t="shared" si="92"/>
        <v/>
      </c>
      <c r="AJ470" s="5"/>
      <c r="AK470" s="5"/>
      <c r="AL470" s="5"/>
      <c r="AM470" s="5"/>
      <c r="AN470" s="5">
        <v>9.5</v>
      </c>
      <c r="AO470" s="5">
        <f t="shared" si="116"/>
        <v>7.5</v>
      </c>
      <c r="AP470" s="5" t="s">
        <v>186</v>
      </c>
      <c r="AQ470" s="67"/>
    </row>
    <row r="471" spans="1:43" ht="15" customHeight="1" x14ac:dyDescent="0.35">
      <c r="A471" s="4"/>
      <c r="B471" s="5"/>
      <c r="C471" s="5"/>
      <c r="D471" s="5"/>
      <c r="E471" s="5"/>
      <c r="F471" s="5"/>
      <c r="G471" s="5"/>
      <c r="H471" s="5"/>
      <c r="I471" s="5"/>
      <c r="J471" s="69"/>
      <c r="K471" s="69"/>
      <c r="L471" s="69"/>
      <c r="M471" s="5"/>
      <c r="N471" s="5"/>
      <c r="O471" s="6"/>
      <c r="P471" s="6"/>
      <c r="Q471" s="6"/>
      <c r="R471" s="5"/>
      <c r="S471" s="3"/>
      <c r="T471" s="8"/>
      <c r="U471" s="8"/>
      <c r="V471" s="6"/>
      <c r="W471" s="5"/>
      <c r="X471" s="5"/>
      <c r="Y471" s="5"/>
      <c r="Z471" s="4"/>
      <c r="AA471" s="5"/>
      <c r="AB471" s="5"/>
      <c r="AC471" s="5"/>
      <c r="AD471" s="3"/>
      <c r="AE471" s="5"/>
      <c r="AF471" s="5"/>
      <c r="AG471" s="5"/>
      <c r="AH471" s="5"/>
      <c r="AI471" s="5" t="str">
        <f t="shared" si="92"/>
        <v/>
      </c>
      <c r="AJ471" s="5"/>
      <c r="AK471" s="5"/>
      <c r="AL471" s="5"/>
      <c r="AM471" s="5"/>
      <c r="AN471" s="5"/>
      <c r="AO471" s="5" t="str">
        <f t="shared" si="116"/>
        <v/>
      </c>
      <c r="AP471" s="5"/>
      <c r="AQ471" s="67"/>
    </row>
    <row r="472" spans="1:43" ht="15" customHeight="1" x14ac:dyDescent="0.35">
      <c r="A472" s="4">
        <v>44804</v>
      </c>
      <c r="B472" s="5">
        <v>13</v>
      </c>
      <c r="C472" s="5" t="s">
        <v>48</v>
      </c>
      <c r="D472" s="5" t="s">
        <v>42</v>
      </c>
      <c r="E472" s="5"/>
      <c r="F472" s="5">
        <v>1050</v>
      </c>
      <c r="G472" s="5">
        <v>200</v>
      </c>
      <c r="H472" s="5"/>
      <c r="I472" s="5">
        <v>10</v>
      </c>
      <c r="J472" s="69"/>
      <c r="K472" s="69">
        <v>1.85</v>
      </c>
      <c r="L472" s="69"/>
      <c r="M472" s="5" t="s">
        <v>16</v>
      </c>
      <c r="N472" s="6">
        <v>5</v>
      </c>
      <c r="O472" s="5">
        <v>84</v>
      </c>
      <c r="P472" s="5">
        <v>48</v>
      </c>
      <c r="Q472" s="5">
        <v>24</v>
      </c>
      <c r="R472" s="5">
        <f t="shared" ref="R472:R473" si="121">O472+P472+Q472</f>
        <v>156</v>
      </c>
      <c r="S472" s="3">
        <f t="shared" ref="S472:S473" si="122">O472/P472</f>
        <v>1.75</v>
      </c>
      <c r="T472" s="3">
        <f t="shared" ref="T472" si="123">16.8/18</f>
        <v>0.93333333333333335</v>
      </c>
      <c r="U472" s="3">
        <f t="shared" ref="U472" si="124">28.5/45</f>
        <v>0.6333333333333333</v>
      </c>
      <c r="V472" s="5">
        <v>1</v>
      </c>
      <c r="W472" s="5" t="s">
        <v>169</v>
      </c>
      <c r="X472" s="5" t="s">
        <v>45</v>
      </c>
      <c r="Y472" s="5"/>
      <c r="Z472" s="4">
        <v>44803</v>
      </c>
      <c r="AA472" s="5"/>
      <c r="AB472" s="5" t="str">
        <f t="shared" ref="AB472:AB477" si="125">IF(X472="20um Schlenk", "Single", "Poly")</f>
        <v>Single</v>
      </c>
      <c r="AC472" s="5">
        <v>100</v>
      </c>
      <c r="AD472" s="3">
        <v>5.7000000000000002E-2</v>
      </c>
      <c r="AE472" s="5">
        <v>0</v>
      </c>
      <c r="AF472" s="5" t="s">
        <v>104</v>
      </c>
      <c r="AG472" s="5" t="s">
        <v>104</v>
      </c>
      <c r="AH472" s="5"/>
      <c r="AI472" s="5" t="str">
        <f t="shared" si="92"/>
        <v/>
      </c>
      <c r="AJ472" s="5"/>
      <c r="AK472" s="5"/>
      <c r="AL472" s="5"/>
      <c r="AM472" s="5"/>
      <c r="AN472" s="5">
        <f>IF((AE472=0),0,"")</f>
        <v>0</v>
      </c>
      <c r="AO472" s="5">
        <f t="shared" si="116"/>
        <v>0</v>
      </c>
      <c r="AP472" s="5"/>
      <c r="AQ472" s="67"/>
    </row>
    <row r="473" spans="1:43" ht="15" customHeight="1" x14ac:dyDescent="0.35">
      <c r="A473" s="4">
        <v>44804</v>
      </c>
      <c r="B473" s="5">
        <v>13</v>
      </c>
      <c r="C473" s="5" t="s">
        <v>48</v>
      </c>
      <c r="D473" s="5" t="s">
        <v>42</v>
      </c>
      <c r="E473" s="5"/>
      <c r="F473" s="5">
        <v>1050</v>
      </c>
      <c r="G473" s="5">
        <v>200</v>
      </c>
      <c r="H473" s="5"/>
      <c r="I473" s="5">
        <v>10</v>
      </c>
      <c r="J473" s="69"/>
      <c r="K473" s="69">
        <v>1.85</v>
      </c>
      <c r="L473" s="69"/>
      <c r="M473" s="5" t="s">
        <v>16</v>
      </c>
      <c r="N473" s="6">
        <v>5</v>
      </c>
      <c r="O473" s="5">
        <v>84</v>
      </c>
      <c r="P473" s="5">
        <v>48</v>
      </c>
      <c r="Q473" s="5">
        <v>24</v>
      </c>
      <c r="R473" s="5">
        <f t="shared" si="121"/>
        <v>156</v>
      </c>
      <c r="S473" s="3">
        <f t="shared" si="122"/>
        <v>1.75</v>
      </c>
      <c r="T473" s="3">
        <f>16.8/18</f>
        <v>0.93333333333333335</v>
      </c>
      <c r="U473" s="3">
        <f>28.5/45</f>
        <v>0.6333333333333333</v>
      </c>
      <c r="V473" s="5">
        <v>1</v>
      </c>
      <c r="W473" s="5" t="s">
        <v>169</v>
      </c>
      <c r="X473" s="5" t="s">
        <v>46</v>
      </c>
      <c r="Y473" s="5"/>
      <c r="Z473" s="4">
        <v>44803</v>
      </c>
      <c r="AA473" s="5"/>
      <c r="AB473" s="5" t="str">
        <f t="shared" si="125"/>
        <v>Poly</v>
      </c>
      <c r="AC473" s="5">
        <v>100</v>
      </c>
      <c r="AD473" s="3">
        <v>2.1999999999999999E-2</v>
      </c>
      <c r="AE473" s="5">
        <v>1</v>
      </c>
      <c r="AF473" s="5" t="s">
        <v>102</v>
      </c>
      <c r="AG473" s="5" t="s">
        <v>102</v>
      </c>
      <c r="AH473" s="5"/>
      <c r="AI473" s="5" t="str">
        <f t="shared" si="92"/>
        <v/>
      </c>
      <c r="AJ473" s="5"/>
      <c r="AK473" s="5"/>
      <c r="AL473" s="5"/>
      <c r="AM473" s="5"/>
      <c r="AN473" s="5">
        <v>10</v>
      </c>
      <c r="AO473" s="5">
        <f t="shared" si="116"/>
        <v>9</v>
      </c>
      <c r="AP473" s="5" t="s">
        <v>186</v>
      </c>
      <c r="AQ473" s="67"/>
    </row>
    <row r="474" spans="1:43" ht="15" customHeight="1" x14ac:dyDescent="0.35">
      <c r="A474" s="4">
        <v>44804</v>
      </c>
      <c r="B474" s="5">
        <v>14</v>
      </c>
      <c r="C474" s="5" t="s">
        <v>212</v>
      </c>
      <c r="D474" s="5" t="s">
        <v>42</v>
      </c>
      <c r="E474" s="5"/>
      <c r="F474" s="5">
        <v>1050</v>
      </c>
      <c r="G474" s="5">
        <v>100</v>
      </c>
      <c r="H474" s="5"/>
      <c r="I474" s="5">
        <v>2</v>
      </c>
      <c r="J474" s="67"/>
      <c r="K474" s="67">
        <v>2.38</v>
      </c>
      <c r="L474" s="67"/>
      <c r="M474" s="5" t="s">
        <v>16</v>
      </c>
      <c r="N474" s="5">
        <v>5</v>
      </c>
      <c r="O474" s="5">
        <v>120</v>
      </c>
      <c r="P474" s="5">
        <v>7.6</v>
      </c>
      <c r="Q474" s="5">
        <v>20</v>
      </c>
      <c r="R474" s="5">
        <f>O474+P474+Q474</f>
        <v>147.6</v>
      </c>
      <c r="S474" s="3">
        <f>O474/P474</f>
        <v>15.789473684210527</v>
      </c>
      <c r="T474" s="3">
        <f>42.2/2.2</f>
        <v>19.18181818181818</v>
      </c>
      <c r="U474" s="3">
        <f>62.2/7.6</f>
        <v>8.1842105263157894</v>
      </c>
      <c r="V474" s="5">
        <v>1</v>
      </c>
      <c r="W474" s="5" t="s">
        <v>169</v>
      </c>
      <c r="X474" s="5" t="s">
        <v>45</v>
      </c>
      <c r="Y474" s="5"/>
      <c r="Z474" s="4">
        <v>44803</v>
      </c>
      <c r="AA474" s="5"/>
      <c r="AB474" s="5" t="str">
        <f t="shared" si="125"/>
        <v>Single</v>
      </c>
      <c r="AC474" s="5">
        <v>100</v>
      </c>
      <c r="AD474" s="3">
        <v>3.5999999999999997E-2</v>
      </c>
      <c r="AE474" s="5">
        <v>2</v>
      </c>
      <c r="AF474" s="5" t="s">
        <v>104</v>
      </c>
      <c r="AG474" s="5" t="s">
        <v>104</v>
      </c>
      <c r="AH474" s="5"/>
      <c r="AI474" s="5" t="str">
        <f t="shared" si="92"/>
        <v/>
      </c>
      <c r="AJ474" s="5"/>
      <c r="AK474" s="5"/>
      <c r="AL474" s="5"/>
      <c r="AM474" s="5"/>
      <c r="AN474" s="5">
        <v>3.5</v>
      </c>
      <c r="AO474" s="5">
        <f t="shared" si="116"/>
        <v>1.5</v>
      </c>
      <c r="AP474" s="5"/>
      <c r="AQ474" s="67"/>
    </row>
    <row r="475" spans="1:43" ht="15" customHeight="1" x14ac:dyDescent="0.35">
      <c r="A475" s="4">
        <v>44804</v>
      </c>
      <c r="B475" s="5">
        <v>14</v>
      </c>
      <c r="C475" s="5" t="s">
        <v>212</v>
      </c>
      <c r="D475" s="5" t="s">
        <v>42</v>
      </c>
      <c r="E475" s="5"/>
      <c r="F475" s="5">
        <v>1050</v>
      </c>
      <c r="G475" s="5">
        <v>100</v>
      </c>
      <c r="H475" s="5"/>
      <c r="I475" s="5">
        <v>2</v>
      </c>
      <c r="J475" s="67"/>
      <c r="K475" s="67">
        <v>2.38</v>
      </c>
      <c r="L475" s="67"/>
      <c r="M475" s="5" t="s">
        <v>16</v>
      </c>
      <c r="N475" s="5">
        <v>5</v>
      </c>
      <c r="O475" s="5">
        <v>120</v>
      </c>
      <c r="P475" s="5">
        <v>15.2</v>
      </c>
      <c r="Q475" s="5">
        <v>20</v>
      </c>
      <c r="R475" s="5">
        <f>O475+P475+Q475</f>
        <v>155.19999999999999</v>
      </c>
      <c r="S475" s="3">
        <f>O475/P475</f>
        <v>7.8947368421052637</v>
      </c>
      <c r="T475" s="3">
        <f>38.5/2.2</f>
        <v>17.5</v>
      </c>
      <c r="U475" s="3">
        <f>62.5/15.2</f>
        <v>4.1118421052631584</v>
      </c>
      <c r="V475" s="5">
        <v>1</v>
      </c>
      <c r="W475" s="5" t="s">
        <v>169</v>
      </c>
      <c r="X475" s="5" t="s">
        <v>46</v>
      </c>
      <c r="Y475" s="5"/>
      <c r="Z475" s="4">
        <v>44803</v>
      </c>
      <c r="AA475" s="5"/>
      <c r="AB475" s="5" t="str">
        <f t="shared" si="125"/>
        <v>Poly</v>
      </c>
      <c r="AC475" s="5">
        <v>100</v>
      </c>
      <c r="AD475" s="3">
        <v>1.4999999999999999E-2</v>
      </c>
      <c r="AE475" s="5">
        <v>4</v>
      </c>
      <c r="AF475" s="5" t="s">
        <v>104</v>
      </c>
      <c r="AG475" s="5" t="s">
        <v>102</v>
      </c>
      <c r="AH475" s="5"/>
      <c r="AI475" s="5" t="str">
        <f t="shared" si="92"/>
        <v/>
      </c>
      <c r="AJ475" s="5"/>
      <c r="AK475" s="5"/>
      <c r="AL475" s="5"/>
      <c r="AM475" s="5"/>
      <c r="AN475" s="5">
        <v>8.1999999999999993</v>
      </c>
      <c r="AO475" s="5">
        <f t="shared" si="116"/>
        <v>4.1999999999999993</v>
      </c>
      <c r="AP475" s="5"/>
      <c r="AQ475" s="67"/>
    </row>
    <row r="476" spans="1:43" ht="15" customHeight="1" x14ac:dyDescent="0.35">
      <c r="A476" s="4">
        <v>44804</v>
      </c>
      <c r="B476" s="5">
        <v>15</v>
      </c>
      <c r="C476" s="5" t="s">
        <v>206</v>
      </c>
      <c r="D476" s="5" t="s">
        <v>165</v>
      </c>
      <c r="E476" s="5"/>
      <c r="F476" s="5">
        <v>1050</v>
      </c>
      <c r="G476" s="5">
        <v>200</v>
      </c>
      <c r="H476" s="5"/>
      <c r="I476" s="5">
        <v>10</v>
      </c>
      <c r="J476" s="67"/>
      <c r="K476" s="67">
        <v>2.2400000000000002</v>
      </c>
      <c r="L476" s="67"/>
      <c r="M476" s="5" t="s">
        <v>16</v>
      </c>
      <c r="N476" s="5">
        <v>5</v>
      </c>
      <c r="O476" s="5">
        <v>120</v>
      </c>
      <c r="P476" s="5">
        <v>15.2</v>
      </c>
      <c r="Q476" s="5">
        <v>20</v>
      </c>
      <c r="R476" s="5">
        <f>O476+P476+Q476</f>
        <v>155.19999999999999</v>
      </c>
      <c r="S476" s="3">
        <f>O476/P476</f>
        <v>7.8947368421052637</v>
      </c>
      <c r="T476" s="3">
        <f>38.5/2.2</f>
        <v>17.5</v>
      </c>
      <c r="U476" s="3">
        <f>62.5/15.2</f>
        <v>4.1118421052631584</v>
      </c>
      <c r="V476" s="5">
        <v>10</v>
      </c>
      <c r="W476" s="5" t="s">
        <v>52</v>
      </c>
      <c r="X476" s="5" t="s">
        <v>46</v>
      </c>
      <c r="Y476" s="5"/>
      <c r="Z476" s="4">
        <v>44804</v>
      </c>
      <c r="AA476" s="5"/>
      <c r="AB476" s="5" t="str">
        <f t="shared" si="125"/>
        <v>Poly</v>
      </c>
      <c r="AC476" s="5">
        <v>100</v>
      </c>
      <c r="AD476" s="3" t="s">
        <v>207</v>
      </c>
      <c r="AE476" s="79" t="s">
        <v>207</v>
      </c>
      <c r="AF476" s="79" t="s">
        <v>207</v>
      </c>
      <c r="AG476" s="79" t="s">
        <v>207</v>
      </c>
      <c r="AH476" s="79"/>
      <c r="AI476" s="5" t="str">
        <f t="shared" si="92"/>
        <v/>
      </c>
      <c r="AJ476" s="5"/>
      <c r="AK476" s="5"/>
      <c r="AL476" s="5"/>
      <c r="AM476" s="5"/>
      <c r="AN476" s="5"/>
      <c r="AO476" s="5" t="str">
        <f t="shared" si="116"/>
        <v/>
      </c>
      <c r="AP476" s="5"/>
      <c r="AQ476" s="67"/>
    </row>
    <row r="477" spans="1:43" ht="15" customHeight="1" x14ac:dyDescent="0.35">
      <c r="A477" s="4">
        <v>44804</v>
      </c>
      <c r="B477" s="5">
        <v>16</v>
      </c>
      <c r="C477" s="5" t="s">
        <v>157</v>
      </c>
      <c r="D477" s="5" t="s">
        <v>165</v>
      </c>
      <c r="E477" s="5"/>
      <c r="F477" s="5">
        <v>1050</v>
      </c>
      <c r="G477" s="5">
        <v>100</v>
      </c>
      <c r="H477" s="5"/>
      <c r="I477" s="5">
        <v>12</v>
      </c>
      <c r="J477" s="67"/>
      <c r="K477" s="67">
        <v>2.0699999999999998</v>
      </c>
      <c r="L477" s="67"/>
      <c r="M477" s="5" t="s">
        <v>16</v>
      </c>
      <c r="N477" s="5">
        <v>5</v>
      </c>
      <c r="O477" s="5">
        <v>91</v>
      </c>
      <c r="P477" s="5">
        <v>25</v>
      </c>
      <c r="Q477" s="5">
        <v>0</v>
      </c>
      <c r="R477" s="5">
        <f>O477+P477+Q477</f>
        <v>116</v>
      </c>
      <c r="S477" s="3">
        <f>O477/P477</f>
        <v>3.64</v>
      </c>
      <c r="T477" s="3">
        <f t="shared" ref="T477" si="126">18.7/4</f>
        <v>4.6749999999999998</v>
      </c>
      <c r="U477" s="3">
        <f t="shared" ref="U477" si="127">32/22</f>
        <v>1.4545454545454546</v>
      </c>
      <c r="V477" s="5">
        <v>10</v>
      </c>
      <c r="W477" s="5" t="s">
        <v>52</v>
      </c>
      <c r="X477" s="5" t="s">
        <v>46</v>
      </c>
      <c r="Y477" s="5"/>
      <c r="Z477" s="4">
        <v>44804</v>
      </c>
      <c r="AA477" s="5"/>
      <c r="AB477" s="5" t="str">
        <f t="shared" si="125"/>
        <v>Poly</v>
      </c>
      <c r="AC477" s="5">
        <v>100</v>
      </c>
      <c r="AD477" s="3">
        <f>(0.14+0.08+0.018)/3</f>
        <v>7.9333333333333339E-2</v>
      </c>
      <c r="AE477" s="5">
        <v>1</v>
      </c>
      <c r="AF477" s="5" t="s">
        <v>104</v>
      </c>
      <c r="AG477" s="5" t="s">
        <v>102</v>
      </c>
      <c r="AH477" s="5"/>
      <c r="AI477" s="5" t="str">
        <f t="shared" si="92"/>
        <v/>
      </c>
      <c r="AJ477" s="5"/>
      <c r="AK477" s="5"/>
      <c r="AL477" s="5"/>
      <c r="AM477" s="5"/>
      <c r="AN477" s="5"/>
      <c r="AO477" s="5" t="str">
        <f t="shared" si="116"/>
        <v/>
      </c>
      <c r="AP477" s="5"/>
      <c r="AQ477" s="67"/>
    </row>
    <row r="478" spans="1:43" ht="15" customHeight="1" x14ac:dyDescent="0.35">
      <c r="A478" s="4">
        <v>44804</v>
      </c>
      <c r="B478" s="5">
        <v>17</v>
      </c>
      <c r="C478" s="5" t="s">
        <v>48</v>
      </c>
      <c r="D478" s="5" t="s">
        <v>42</v>
      </c>
      <c r="E478" s="5"/>
      <c r="F478" s="5">
        <v>1050</v>
      </c>
      <c r="G478" s="5">
        <v>200</v>
      </c>
      <c r="H478" s="5" t="s">
        <v>213</v>
      </c>
      <c r="I478" s="5">
        <v>10</v>
      </c>
      <c r="J478" s="69"/>
      <c r="K478" s="69">
        <v>1.85</v>
      </c>
      <c r="L478" s="69"/>
      <c r="M478" s="5" t="s">
        <v>16</v>
      </c>
      <c r="N478" s="6">
        <v>5</v>
      </c>
      <c r="O478" s="5">
        <v>84</v>
      </c>
      <c r="P478" s="5">
        <v>48</v>
      </c>
      <c r="Q478" s="5">
        <v>24</v>
      </c>
      <c r="R478" s="5">
        <f t="shared" ref="R478" si="128">O478+P478+Q478</f>
        <v>156</v>
      </c>
      <c r="S478" s="3">
        <f t="shared" ref="S478" si="129">O478/P478</f>
        <v>1.75</v>
      </c>
      <c r="T478" s="3">
        <f t="shared" ref="T478" si="130">16.8/18</f>
        <v>0.93333333333333335</v>
      </c>
      <c r="U478" s="3">
        <f t="shared" ref="U478" si="131">28.5/45</f>
        <v>0.6333333333333333</v>
      </c>
      <c r="V478" s="5">
        <v>1</v>
      </c>
      <c r="W478" s="5" t="s">
        <v>169</v>
      </c>
      <c r="X478" s="5" t="s">
        <v>45</v>
      </c>
      <c r="Y478" s="5"/>
      <c r="Z478" s="4">
        <v>44803</v>
      </c>
      <c r="AA478" s="5"/>
      <c r="AB478" s="5" t="s">
        <v>155</v>
      </c>
      <c r="AC478" s="5">
        <v>100</v>
      </c>
      <c r="AD478" s="3">
        <v>0.122</v>
      </c>
      <c r="AE478" s="5">
        <v>2</v>
      </c>
      <c r="AF478" s="5" t="s">
        <v>104</v>
      </c>
      <c r="AG478" s="5" t="s">
        <v>102</v>
      </c>
      <c r="AH478" s="5"/>
      <c r="AI478" s="5" t="str">
        <f t="shared" si="92"/>
        <v/>
      </c>
      <c r="AJ478" s="5"/>
      <c r="AK478" s="5"/>
      <c r="AL478" s="5"/>
      <c r="AM478" s="5"/>
      <c r="AN478" s="5"/>
      <c r="AO478" s="5" t="str">
        <f t="shared" si="116"/>
        <v/>
      </c>
      <c r="AP478" s="5"/>
      <c r="AQ478" s="67"/>
    </row>
    <row r="479" spans="1:43" ht="15" customHeight="1" x14ac:dyDescent="0.35">
      <c r="A479" s="4">
        <v>44804</v>
      </c>
      <c r="B479" s="5">
        <v>18</v>
      </c>
      <c r="C479" s="5" t="s">
        <v>161</v>
      </c>
      <c r="D479" s="5" t="s">
        <v>144</v>
      </c>
      <c r="E479" s="5"/>
      <c r="F479" s="5">
        <v>1050</v>
      </c>
      <c r="G479" s="5">
        <v>200</v>
      </c>
      <c r="H479" s="5"/>
      <c r="I479" s="5">
        <v>10</v>
      </c>
      <c r="J479" s="67"/>
      <c r="K479" s="67">
        <v>2.12</v>
      </c>
      <c r="L479" s="67"/>
      <c r="M479" s="5" t="s">
        <v>16</v>
      </c>
      <c r="N479" s="6">
        <v>5</v>
      </c>
      <c r="O479" s="5">
        <v>120</v>
      </c>
      <c r="P479" s="5">
        <v>3.8</v>
      </c>
      <c r="Q479" s="5">
        <v>20</v>
      </c>
      <c r="R479" s="5">
        <f>O479+P479+Q479</f>
        <v>143.80000000000001</v>
      </c>
      <c r="S479" s="3">
        <f>O479/P479</f>
        <v>31.578947368421055</v>
      </c>
      <c r="T479" s="3">
        <f>44/0.5</f>
        <v>88</v>
      </c>
      <c r="U479" s="3">
        <f>68/3.8</f>
        <v>17.894736842105264</v>
      </c>
      <c r="V479" s="5"/>
      <c r="W479" s="5" t="s">
        <v>214</v>
      </c>
      <c r="X479" s="5" t="s">
        <v>46</v>
      </c>
      <c r="Y479" s="5"/>
      <c r="Z479" s="5"/>
      <c r="AA479" s="5"/>
      <c r="AB479" s="5" t="str">
        <f>IF(X479="20um Schlenk", "Single", "Poly")</f>
        <v>Poly</v>
      </c>
      <c r="AC479" s="5">
        <v>0</v>
      </c>
      <c r="AD479" s="3" t="s">
        <v>207</v>
      </c>
      <c r="AE479" s="79" t="s">
        <v>207</v>
      </c>
      <c r="AF479" s="79" t="s">
        <v>207</v>
      </c>
      <c r="AG479" s="79" t="s">
        <v>207</v>
      </c>
      <c r="AH479" s="79"/>
      <c r="AI479" s="5" t="str">
        <f t="shared" si="92"/>
        <v/>
      </c>
      <c r="AJ479" s="5"/>
      <c r="AK479" s="5"/>
      <c r="AL479" s="5"/>
      <c r="AM479" s="5"/>
      <c r="AN479" s="5"/>
      <c r="AO479" s="5" t="str">
        <f t="shared" si="116"/>
        <v/>
      </c>
      <c r="AP479" s="5"/>
      <c r="AQ479" s="67"/>
    </row>
    <row r="480" spans="1:43" ht="15" customHeight="1" x14ac:dyDescent="0.35">
      <c r="A480" s="4">
        <v>44804</v>
      </c>
      <c r="B480" s="5">
        <v>19</v>
      </c>
      <c r="C480" s="5" t="s">
        <v>130</v>
      </c>
      <c r="D480" s="5" t="s">
        <v>144</v>
      </c>
      <c r="E480" s="5"/>
      <c r="F480" s="5">
        <v>1050</v>
      </c>
      <c r="G480" s="5">
        <v>200</v>
      </c>
      <c r="H480" s="5"/>
      <c r="I480" s="5">
        <v>10</v>
      </c>
      <c r="J480" s="67"/>
      <c r="K480" s="67">
        <v>2.12</v>
      </c>
      <c r="L480" s="67"/>
      <c r="M480" s="5" t="s">
        <v>16</v>
      </c>
      <c r="N480" s="6">
        <v>5</v>
      </c>
      <c r="O480" s="5">
        <v>93</v>
      </c>
      <c r="P480" s="5">
        <v>60.1</v>
      </c>
      <c r="Q480" s="5">
        <v>24</v>
      </c>
      <c r="R480" s="5">
        <f>O480+P480+Q480</f>
        <v>177.1</v>
      </c>
      <c r="S480" s="3">
        <f>O480/P480</f>
        <v>1.5474209650582362</v>
      </c>
      <c r="T480" s="3">
        <f>16/22.8</f>
        <v>0.70175438596491224</v>
      </c>
      <c r="U480" s="3">
        <f>27/56.3</f>
        <v>0.47957371225577267</v>
      </c>
      <c r="V480" s="5"/>
      <c r="W480" s="5" t="s">
        <v>214</v>
      </c>
      <c r="X480" s="5" t="s">
        <v>46</v>
      </c>
      <c r="Y480" s="5"/>
      <c r="Z480" s="5"/>
      <c r="AA480" s="5"/>
      <c r="AB480" s="5" t="str">
        <f>IF(X480="20um Schlenk", "Single", "Poly")</f>
        <v>Poly</v>
      </c>
      <c r="AC480" s="5">
        <v>100</v>
      </c>
      <c r="AD480" s="3"/>
      <c r="AE480" s="5">
        <v>1</v>
      </c>
      <c r="AF480" s="5" t="s">
        <v>103</v>
      </c>
      <c r="AG480" s="5" t="s">
        <v>102</v>
      </c>
      <c r="AH480" s="5"/>
      <c r="AI480" s="5" t="str">
        <f t="shared" si="92"/>
        <v/>
      </c>
      <c r="AJ480" s="5"/>
      <c r="AK480" s="5"/>
      <c r="AL480" s="5"/>
      <c r="AM480" s="5"/>
      <c r="AN480" s="5"/>
      <c r="AO480" s="5" t="str">
        <f t="shared" si="116"/>
        <v/>
      </c>
      <c r="AP480" s="5"/>
      <c r="AQ480" s="67"/>
    </row>
    <row r="481" spans="1:43" ht="15" customHeight="1" x14ac:dyDescent="0.35">
      <c r="A481" s="4">
        <v>44804</v>
      </c>
      <c r="B481" s="5">
        <v>20</v>
      </c>
      <c r="C481" s="5" t="s">
        <v>204</v>
      </c>
      <c r="D481" s="5" t="s">
        <v>144</v>
      </c>
      <c r="E481" s="5"/>
      <c r="F481" s="5">
        <v>1055</v>
      </c>
      <c r="G481" s="5">
        <v>200</v>
      </c>
      <c r="H481" s="5"/>
      <c r="I481" s="5">
        <v>10</v>
      </c>
      <c r="J481" s="67"/>
      <c r="K481" s="67">
        <v>2.12</v>
      </c>
      <c r="L481" s="67"/>
      <c r="M481" s="5" t="s">
        <v>16</v>
      </c>
      <c r="N481" s="6">
        <v>5</v>
      </c>
      <c r="O481" s="5">
        <v>120</v>
      </c>
      <c r="P481" s="5">
        <v>17.899999999999999</v>
      </c>
      <c r="Q481" s="5">
        <v>20</v>
      </c>
      <c r="R481" s="5">
        <f>O481+P481+Q481</f>
        <v>157.9</v>
      </c>
      <c r="S481" s="3">
        <f>O481/P481</f>
        <v>6.7039106145251406</v>
      </c>
      <c r="T481" s="3">
        <f>37.1/2.6</f>
        <v>14.26923076923077</v>
      </c>
      <c r="U481" s="3">
        <f>61.1/17.9</f>
        <v>3.4134078212290508</v>
      </c>
      <c r="V481" s="5"/>
      <c r="W481" s="5" t="s">
        <v>214</v>
      </c>
      <c r="X481" s="5" t="s">
        <v>46</v>
      </c>
      <c r="Y481" s="5"/>
      <c r="Z481" s="5"/>
      <c r="AA481" s="5"/>
      <c r="AB481" s="5" t="s">
        <v>138</v>
      </c>
      <c r="AC481" s="5">
        <v>0</v>
      </c>
      <c r="AD481" s="3" t="s">
        <v>207</v>
      </c>
      <c r="AE481" s="79" t="s">
        <v>207</v>
      </c>
      <c r="AF481" s="79" t="s">
        <v>207</v>
      </c>
      <c r="AG481" s="79" t="s">
        <v>207</v>
      </c>
      <c r="AH481" s="79"/>
      <c r="AI481" s="5" t="str">
        <f t="shared" si="92"/>
        <v/>
      </c>
      <c r="AJ481" s="5"/>
      <c r="AK481" s="5"/>
      <c r="AL481" s="5"/>
      <c r="AM481" s="5"/>
      <c r="AN481" s="5"/>
      <c r="AO481" s="5" t="str">
        <f t="shared" si="116"/>
        <v/>
      </c>
      <c r="AP481" s="5"/>
      <c r="AQ481" s="67"/>
    </row>
    <row r="482" spans="1:43" ht="15" customHeight="1" x14ac:dyDescent="0.35">
      <c r="A482" s="4">
        <v>44804</v>
      </c>
      <c r="B482" s="5">
        <v>21</v>
      </c>
      <c r="C482" s="5" t="s">
        <v>48</v>
      </c>
      <c r="D482" s="5" t="s">
        <v>165</v>
      </c>
      <c r="E482" s="5"/>
      <c r="F482" s="5">
        <v>1055</v>
      </c>
      <c r="G482" s="5">
        <v>200</v>
      </c>
      <c r="H482" s="5"/>
      <c r="I482" s="5">
        <v>10</v>
      </c>
      <c r="J482" s="67"/>
      <c r="K482" s="67">
        <v>2.04</v>
      </c>
      <c r="L482" s="67"/>
      <c r="M482" s="5" t="s">
        <v>16</v>
      </c>
      <c r="N482" s="5">
        <v>5</v>
      </c>
      <c r="O482" s="5">
        <v>84</v>
      </c>
      <c r="P482" s="5">
        <v>48</v>
      </c>
      <c r="Q482" s="5">
        <v>24</v>
      </c>
      <c r="R482" s="5">
        <f t="shared" ref="R482" si="132">O482+P482+Q482</f>
        <v>156</v>
      </c>
      <c r="S482" s="3">
        <f t="shared" ref="S482" si="133">O482/P482</f>
        <v>1.75</v>
      </c>
      <c r="T482" s="3">
        <f>16.8/18</f>
        <v>0.93333333333333335</v>
      </c>
      <c r="U482" s="3">
        <f>28.5/45</f>
        <v>0.6333333333333333</v>
      </c>
      <c r="V482" s="5">
        <v>10</v>
      </c>
      <c r="W482" s="5" t="s">
        <v>52</v>
      </c>
      <c r="X482" s="5" t="s">
        <v>45</v>
      </c>
      <c r="Y482" s="5"/>
      <c r="Z482" s="4">
        <v>44804</v>
      </c>
      <c r="AA482" s="5"/>
      <c r="AB482" s="5" t="str">
        <f>IF(X482="20um Schlenk", "Single", "Poly")</f>
        <v>Single</v>
      </c>
      <c r="AC482" s="5">
        <v>100</v>
      </c>
      <c r="AD482" s="3">
        <f>(0.068+0.054+0.179+0.035)/4</f>
        <v>8.3999999999999991E-2</v>
      </c>
      <c r="AE482" s="5">
        <v>0</v>
      </c>
      <c r="AF482" s="5" t="s">
        <v>104</v>
      </c>
      <c r="AG482" s="5" t="s">
        <v>104</v>
      </c>
      <c r="AH482" s="5"/>
      <c r="AI482" s="5" t="str">
        <f t="shared" si="92"/>
        <v/>
      </c>
      <c r="AJ482" s="5"/>
      <c r="AK482" s="5"/>
      <c r="AL482" s="5"/>
      <c r="AM482" s="5"/>
      <c r="AN482" s="5"/>
      <c r="AO482" s="5" t="str">
        <f t="shared" si="116"/>
        <v/>
      </c>
      <c r="AP482" s="5"/>
      <c r="AQ482" s="67"/>
    </row>
    <row r="483" spans="1:43" ht="15" customHeight="1" thickBot="1" x14ac:dyDescent="0.4">
      <c r="A483" s="4"/>
      <c r="B483" s="5"/>
      <c r="C483" s="5"/>
      <c r="D483" s="5"/>
      <c r="E483" s="5"/>
      <c r="F483" s="5"/>
      <c r="G483" s="5"/>
      <c r="H483" s="5"/>
      <c r="I483" s="5"/>
      <c r="J483" s="67"/>
      <c r="K483" s="67"/>
      <c r="L483" s="67"/>
      <c r="M483" s="5"/>
      <c r="N483" s="5"/>
      <c r="O483" s="5"/>
      <c r="P483" s="5"/>
      <c r="Q483" s="5"/>
      <c r="R483" s="5"/>
      <c r="S483" s="3"/>
      <c r="T483" s="5"/>
      <c r="U483" s="3"/>
      <c r="V483" s="5"/>
      <c r="W483" s="5"/>
      <c r="X483" s="5"/>
      <c r="Y483" s="5"/>
      <c r="Z483" s="5"/>
      <c r="AA483" s="5"/>
      <c r="AB483" s="5"/>
      <c r="AC483" s="5"/>
      <c r="AD483" s="3"/>
      <c r="AE483" s="5"/>
      <c r="AF483" s="5"/>
      <c r="AG483" s="5"/>
      <c r="AH483" s="5"/>
      <c r="AI483" s="5" t="str">
        <f>IF(ISBLANK(AH483),"",AH483-AD483)</f>
        <v/>
      </c>
      <c r="AJ483" s="5"/>
      <c r="AK483" s="5"/>
      <c r="AL483" s="5"/>
      <c r="AM483" s="5"/>
      <c r="AN483" s="5"/>
      <c r="AO483" s="5"/>
      <c r="AP483" s="5"/>
      <c r="AQ483" s="67"/>
    </row>
    <row r="484" spans="1:43" s="30" customFormat="1" ht="15" customHeight="1" thickBot="1" x14ac:dyDescent="0.4">
      <c r="A484" s="102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7"/>
      <c r="T484" s="37"/>
      <c r="U484" s="37"/>
      <c r="V484" s="34"/>
      <c r="W484" s="34"/>
      <c r="X484" s="34"/>
      <c r="Y484" s="34"/>
      <c r="Z484" s="82"/>
      <c r="AA484" s="34"/>
      <c r="AB484" s="34"/>
      <c r="AC484" s="34"/>
      <c r="AD484" s="99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4"/>
    </row>
    <row r="485" spans="1:43" ht="15" customHeight="1" x14ac:dyDescent="0.35">
      <c r="A485" s="4"/>
      <c r="B485" s="5"/>
      <c r="C485" s="6"/>
      <c r="D485" s="6"/>
      <c r="E485" s="6"/>
      <c r="F485" s="6"/>
      <c r="G485" s="6"/>
      <c r="H485" s="6"/>
      <c r="I485" s="6"/>
      <c r="J485" s="69"/>
      <c r="K485" s="6"/>
      <c r="L485" s="69"/>
      <c r="M485" s="6"/>
      <c r="N485" s="6"/>
      <c r="O485" s="6"/>
      <c r="P485" s="6"/>
      <c r="Q485" s="6"/>
      <c r="R485" s="8"/>
      <c r="S485" s="8"/>
      <c r="T485" s="8"/>
      <c r="U485" s="8"/>
      <c r="V485" s="6"/>
      <c r="W485" s="6"/>
      <c r="X485" s="6"/>
      <c r="Y485" s="5"/>
      <c r="Z485" s="6"/>
      <c r="AA485" s="6"/>
      <c r="AB485" s="6"/>
      <c r="AC485" s="5"/>
      <c r="AD485" s="7"/>
      <c r="AE485" s="13"/>
      <c r="AF485" s="6"/>
      <c r="AG485" s="5"/>
      <c r="AH485" s="5"/>
      <c r="AI485" s="5"/>
      <c r="AJ485" s="6"/>
      <c r="AK485" s="5"/>
      <c r="AL485" s="6"/>
      <c r="AM485" s="15"/>
      <c r="AN485" s="6"/>
      <c r="AO485" s="5"/>
      <c r="AP485" s="5"/>
      <c r="AQ485" s="67"/>
    </row>
    <row r="486" spans="1:43" ht="15" customHeight="1" x14ac:dyDescent="0.35">
      <c r="A486" s="4">
        <v>44830</v>
      </c>
      <c r="B486" s="5">
        <v>1</v>
      </c>
      <c r="C486" s="5" t="s">
        <v>48</v>
      </c>
      <c r="D486" s="5" t="s">
        <v>42</v>
      </c>
      <c r="E486" s="5"/>
      <c r="F486" s="5">
        <v>1050</v>
      </c>
      <c r="G486" s="5">
        <v>200</v>
      </c>
      <c r="H486" s="5"/>
      <c r="I486" s="5">
        <v>10</v>
      </c>
      <c r="J486" s="69"/>
      <c r="K486" s="6">
        <v>2.39</v>
      </c>
      <c r="L486" s="69"/>
      <c r="M486" s="5" t="s">
        <v>16</v>
      </c>
      <c r="N486" s="6">
        <v>5</v>
      </c>
      <c r="O486" s="5">
        <v>84</v>
      </c>
      <c r="P486" s="5">
        <v>48</v>
      </c>
      <c r="Q486" s="5">
        <v>24</v>
      </c>
      <c r="R486" s="3">
        <f t="shared" ref="R486:R492" si="134">O486+P486+Q486</f>
        <v>156</v>
      </c>
      <c r="S486" s="3">
        <f>O486/P486</f>
        <v>1.75</v>
      </c>
      <c r="T486" s="3">
        <f>16.8/18</f>
        <v>0.93333333333333335</v>
      </c>
      <c r="U486" s="3">
        <f>28.5/45</f>
        <v>0.6333333333333333</v>
      </c>
      <c r="V486" s="5">
        <v>1</v>
      </c>
      <c r="W486" s="5" t="s">
        <v>169</v>
      </c>
      <c r="X486" s="5" t="s">
        <v>45</v>
      </c>
      <c r="Y486" s="5"/>
      <c r="Z486" s="4">
        <v>44830</v>
      </c>
      <c r="AA486" s="5"/>
      <c r="AB486" s="5" t="str">
        <f>IF(X486="20um Schlenk", "Single", "Poly")</f>
        <v>Single</v>
      </c>
      <c r="AC486" s="5">
        <v>100</v>
      </c>
      <c r="AD486" s="3">
        <v>0.05</v>
      </c>
      <c r="AE486" s="13">
        <v>0</v>
      </c>
      <c r="AF486" s="6" t="s">
        <v>104</v>
      </c>
      <c r="AG486" s="5" t="s">
        <v>104</v>
      </c>
      <c r="AH486" s="5"/>
      <c r="AI486" s="5"/>
      <c r="AJ486" s="6"/>
      <c r="AK486" s="7"/>
      <c r="AL486" s="6"/>
      <c r="AM486" s="90"/>
      <c r="AN486" s="5"/>
      <c r="AO486" s="5"/>
      <c r="AP486" s="5"/>
      <c r="AQ486" s="67"/>
    </row>
    <row r="487" spans="1:43" ht="15" customHeight="1" x14ac:dyDescent="0.35">
      <c r="A487" s="4">
        <v>44830</v>
      </c>
      <c r="B487" s="5">
        <v>1</v>
      </c>
      <c r="C487" s="5" t="s">
        <v>48</v>
      </c>
      <c r="D487" s="5" t="s">
        <v>42</v>
      </c>
      <c r="E487" s="5"/>
      <c r="F487" s="5">
        <v>1050</v>
      </c>
      <c r="G487" s="5">
        <v>200</v>
      </c>
      <c r="H487" s="5"/>
      <c r="I487" s="5">
        <v>10</v>
      </c>
      <c r="J487" s="69"/>
      <c r="K487" s="6">
        <v>2.39</v>
      </c>
      <c r="L487" s="69"/>
      <c r="M487" s="5" t="s">
        <v>16</v>
      </c>
      <c r="N487" s="6">
        <v>5</v>
      </c>
      <c r="O487" s="5">
        <v>84</v>
      </c>
      <c r="P487" s="5">
        <v>48</v>
      </c>
      <c r="Q487" s="5">
        <v>24</v>
      </c>
      <c r="R487" s="3">
        <f t="shared" si="134"/>
        <v>156</v>
      </c>
      <c r="S487" s="3">
        <f>O487/P487</f>
        <v>1.75</v>
      </c>
      <c r="T487" s="3">
        <f>16.8/18</f>
        <v>0.93333333333333335</v>
      </c>
      <c r="U487" s="3">
        <f>28.5/45</f>
        <v>0.6333333333333333</v>
      </c>
      <c r="V487" s="5">
        <v>1</v>
      </c>
      <c r="W487" s="5" t="s">
        <v>169</v>
      </c>
      <c r="X487" s="5" t="s">
        <v>46</v>
      </c>
      <c r="Y487" s="5"/>
      <c r="Z487" s="4">
        <v>44827</v>
      </c>
      <c r="AA487" s="5"/>
      <c r="AB487" s="5" t="str">
        <f>IF(X487="20um Schlenk", "Single", "Poly")</f>
        <v>Poly</v>
      </c>
      <c r="AC487" s="5">
        <v>100</v>
      </c>
      <c r="AD487" s="3">
        <v>0.01</v>
      </c>
      <c r="AE487" s="5">
        <v>0.25</v>
      </c>
      <c r="AF487" s="5" t="s">
        <v>102</v>
      </c>
      <c r="AG487" s="5" t="s">
        <v>102</v>
      </c>
      <c r="AH487" s="5"/>
      <c r="AI487" s="5"/>
      <c r="AJ487" s="5"/>
      <c r="AK487" s="5"/>
      <c r="AL487" s="5"/>
      <c r="AM487" s="67"/>
      <c r="AN487" s="5"/>
      <c r="AO487" s="5"/>
      <c r="AP487" s="5"/>
      <c r="AQ487" s="67"/>
    </row>
    <row r="488" spans="1:43" ht="15" customHeight="1" x14ac:dyDescent="0.35">
      <c r="A488" s="4">
        <v>44830</v>
      </c>
      <c r="B488" s="5">
        <v>2</v>
      </c>
      <c r="C488" s="5" t="s">
        <v>157</v>
      </c>
      <c r="D488" s="5" t="s">
        <v>42</v>
      </c>
      <c r="E488" s="5"/>
      <c r="F488" s="5">
        <v>1050</v>
      </c>
      <c r="G488" s="5">
        <v>100</v>
      </c>
      <c r="H488" s="5"/>
      <c r="I488" s="5">
        <v>12</v>
      </c>
      <c r="J488" s="67"/>
      <c r="K488" s="6">
        <v>2.5</v>
      </c>
      <c r="L488" s="67"/>
      <c r="M488" s="5" t="s">
        <v>16</v>
      </c>
      <c r="N488" s="5">
        <v>5</v>
      </c>
      <c r="O488" s="5">
        <v>91</v>
      </c>
      <c r="P488" s="5">
        <v>25</v>
      </c>
      <c r="Q488" s="5">
        <v>0</v>
      </c>
      <c r="R488" s="3">
        <f t="shared" si="134"/>
        <v>116</v>
      </c>
      <c r="S488" s="3">
        <f>O488/P488</f>
        <v>3.64</v>
      </c>
      <c r="T488" s="3">
        <f>18.7/4</f>
        <v>4.6749999999999998</v>
      </c>
      <c r="U488" s="3">
        <f>32/22</f>
        <v>1.4545454545454546</v>
      </c>
      <c r="V488" s="5">
        <v>1</v>
      </c>
      <c r="W488" s="5" t="s">
        <v>169</v>
      </c>
      <c r="X488" s="5" t="s">
        <v>45</v>
      </c>
      <c r="Y488" s="5"/>
      <c r="Z488" s="4">
        <v>44830</v>
      </c>
      <c r="AA488" s="5"/>
      <c r="AB488" s="5" t="str">
        <f>IF(X488="20um Schlenk", "Single", "Poly")</f>
        <v>Single</v>
      </c>
      <c r="AC488" s="5">
        <v>100</v>
      </c>
      <c r="AD488" s="3">
        <v>0.1</v>
      </c>
      <c r="AE488" s="5">
        <v>2</v>
      </c>
      <c r="AF488" s="5" t="s">
        <v>104</v>
      </c>
      <c r="AG488" s="5" t="s">
        <v>103</v>
      </c>
      <c r="AH488" s="5"/>
      <c r="AI488" s="5"/>
      <c r="AJ488" s="5"/>
      <c r="AK488" s="5"/>
      <c r="AL488" s="5"/>
      <c r="AM488" s="67"/>
      <c r="AN488" s="5"/>
      <c r="AO488" s="5"/>
      <c r="AP488" s="5"/>
      <c r="AQ488" s="67"/>
    </row>
    <row r="489" spans="1:43" ht="15" customHeight="1" x14ac:dyDescent="0.35">
      <c r="A489" s="4">
        <v>44830</v>
      </c>
      <c r="B489" s="5">
        <v>2</v>
      </c>
      <c r="C489" s="5" t="s">
        <v>157</v>
      </c>
      <c r="D489" s="5" t="s">
        <v>42</v>
      </c>
      <c r="E489" s="5"/>
      <c r="F489" s="5">
        <v>1050</v>
      </c>
      <c r="G489" s="5">
        <v>100</v>
      </c>
      <c r="H489" s="5"/>
      <c r="I489" s="5">
        <v>12</v>
      </c>
      <c r="J489" s="67"/>
      <c r="K489" s="6">
        <v>2.5</v>
      </c>
      <c r="L489" s="67"/>
      <c r="M489" s="5" t="s">
        <v>16</v>
      </c>
      <c r="N489" s="5">
        <v>5</v>
      </c>
      <c r="O489" s="5">
        <v>91</v>
      </c>
      <c r="P489" s="5">
        <v>25</v>
      </c>
      <c r="Q489" s="5">
        <v>0</v>
      </c>
      <c r="R489" s="3">
        <f t="shared" si="134"/>
        <v>116</v>
      </c>
      <c r="S489" s="3">
        <f>O489/P489</f>
        <v>3.64</v>
      </c>
      <c r="T489" s="3">
        <f>18.7/4</f>
        <v>4.6749999999999998</v>
      </c>
      <c r="U489" s="3">
        <f>32/22</f>
        <v>1.4545454545454546</v>
      </c>
      <c r="V489" s="5">
        <v>1</v>
      </c>
      <c r="W489" s="5" t="s">
        <v>169</v>
      </c>
      <c r="X489" s="5" t="s">
        <v>46</v>
      </c>
      <c r="Y489" s="5"/>
      <c r="Z489" s="4">
        <v>44827</v>
      </c>
      <c r="AA489" s="5"/>
      <c r="AB489" s="5" t="str">
        <f>IF(X489="20um Schlenk", "Single", "Poly")</f>
        <v>Poly</v>
      </c>
      <c r="AC489" s="5">
        <v>100</v>
      </c>
      <c r="AD489" s="3">
        <v>0.02</v>
      </c>
      <c r="AE489" s="5">
        <v>1</v>
      </c>
      <c r="AF489" s="5" t="s">
        <v>102</v>
      </c>
      <c r="AG489" s="5" t="s">
        <v>102</v>
      </c>
      <c r="AH489" s="5"/>
      <c r="AJ489"/>
    </row>
    <row r="490" spans="1:43" ht="15" customHeight="1" x14ac:dyDescent="0.35">
      <c r="A490" s="4">
        <v>44830</v>
      </c>
      <c r="B490" s="5">
        <v>3</v>
      </c>
      <c r="C490" s="5" t="s">
        <v>48</v>
      </c>
      <c r="D490" s="5" t="s">
        <v>165</v>
      </c>
      <c r="E490"/>
      <c r="F490" s="5">
        <v>1050</v>
      </c>
      <c r="G490" s="5">
        <v>200</v>
      </c>
      <c r="H490" s="5"/>
      <c r="I490" s="5">
        <v>12</v>
      </c>
      <c r="J490" s="69"/>
      <c r="K490" s="6">
        <v>2.33</v>
      </c>
      <c r="L490" s="69"/>
      <c r="M490" s="5" t="s">
        <v>16</v>
      </c>
      <c r="N490" s="6">
        <v>5</v>
      </c>
      <c r="O490" s="5">
        <v>84</v>
      </c>
      <c r="P490" s="5">
        <v>48</v>
      </c>
      <c r="Q490" s="5">
        <v>24</v>
      </c>
      <c r="R490" s="3">
        <f t="shared" si="134"/>
        <v>156</v>
      </c>
      <c r="S490" s="3">
        <f>O490/P490</f>
        <v>1.75</v>
      </c>
      <c r="T490" s="3">
        <f>16.8/18</f>
        <v>0.93333333333333335</v>
      </c>
      <c r="U490" s="3">
        <f>28.5/45</f>
        <v>0.6333333333333333</v>
      </c>
      <c r="V490" s="5">
        <v>10</v>
      </c>
      <c r="W490" s="5" t="s">
        <v>52</v>
      </c>
      <c r="X490" s="29" t="s">
        <v>45</v>
      </c>
      <c r="Z490" s="4">
        <v>44830</v>
      </c>
      <c r="AB490" s="5" t="str">
        <f>IF(X490="20um Schlenk", "Single", "Poly")</f>
        <v>Single</v>
      </c>
      <c r="AC490" s="5">
        <v>100</v>
      </c>
      <c r="AD490" s="59">
        <f>AVERAGE(0.09,0.13,0.08)</f>
        <v>9.9999999999999992E-2</v>
      </c>
      <c r="AE490" s="29">
        <v>1</v>
      </c>
      <c r="AF490" s="29" t="s">
        <v>104</v>
      </c>
      <c r="AG490" s="29" t="s">
        <v>104</v>
      </c>
      <c r="AJ490"/>
    </row>
    <row r="491" spans="1:43" ht="15" customHeight="1" x14ac:dyDescent="0.35">
      <c r="A491" s="4">
        <v>44830</v>
      </c>
      <c r="B491" s="5">
        <v>4</v>
      </c>
      <c r="C491" s="5" t="s">
        <v>206</v>
      </c>
      <c r="D491" s="5" t="s">
        <v>165</v>
      </c>
      <c r="E491" s="5"/>
      <c r="F491" s="5">
        <v>1050</v>
      </c>
      <c r="G491" s="5">
        <v>200</v>
      </c>
      <c r="H491" s="5"/>
      <c r="I491" s="5">
        <v>10</v>
      </c>
      <c r="J491" s="69"/>
      <c r="K491" s="6">
        <v>2.2599999999999998</v>
      </c>
      <c r="L491" s="69"/>
      <c r="M491" s="5" t="s">
        <v>16</v>
      </c>
      <c r="N491" s="6">
        <v>5</v>
      </c>
      <c r="O491" s="5">
        <v>132</v>
      </c>
      <c r="P491" s="5">
        <v>0</v>
      </c>
      <c r="Q491" s="5">
        <v>24</v>
      </c>
      <c r="R491" s="3">
        <f t="shared" si="134"/>
        <v>156</v>
      </c>
      <c r="S491" s="3" t="s">
        <v>193</v>
      </c>
      <c r="T491" s="3" t="s">
        <v>193</v>
      </c>
      <c r="U491" s="3" t="s">
        <v>193</v>
      </c>
      <c r="V491" s="5">
        <v>10</v>
      </c>
      <c r="W491" s="5" t="s">
        <v>52</v>
      </c>
      <c r="X491" s="5" t="s">
        <v>46</v>
      </c>
      <c r="Z491" s="71">
        <v>44830</v>
      </c>
      <c r="AB491" s="5"/>
      <c r="AC491" s="5"/>
      <c r="AD491" s="59"/>
      <c r="AF491" s="29"/>
      <c r="AG491" s="29"/>
      <c r="AJ491"/>
    </row>
    <row r="492" spans="1:43" ht="15" customHeight="1" x14ac:dyDescent="0.35">
      <c r="A492" s="4">
        <v>44830</v>
      </c>
      <c r="B492" s="5">
        <v>4</v>
      </c>
      <c r="C492" s="5" t="s">
        <v>157</v>
      </c>
      <c r="D492" s="5" t="s">
        <v>165</v>
      </c>
      <c r="E492" s="5"/>
      <c r="F492" s="5">
        <v>1050</v>
      </c>
      <c r="G492" s="5">
        <v>100</v>
      </c>
      <c r="H492" s="5" t="s">
        <v>208</v>
      </c>
      <c r="I492" s="5">
        <v>12</v>
      </c>
      <c r="J492" s="67"/>
      <c r="K492" s="6">
        <v>2.25</v>
      </c>
      <c r="L492" s="67"/>
      <c r="M492" s="5" t="s">
        <v>16</v>
      </c>
      <c r="N492" s="5">
        <v>5</v>
      </c>
      <c r="O492" s="5">
        <v>91</v>
      </c>
      <c r="P492" s="5">
        <v>25</v>
      </c>
      <c r="Q492" s="5">
        <v>0</v>
      </c>
      <c r="R492" s="3">
        <f t="shared" si="134"/>
        <v>116</v>
      </c>
      <c r="S492" s="3">
        <f>O492/P492</f>
        <v>3.64</v>
      </c>
      <c r="T492" s="3">
        <f>18.7/4</f>
        <v>4.6749999999999998</v>
      </c>
      <c r="U492" s="3">
        <f>32/22</f>
        <v>1.4545454545454546</v>
      </c>
      <c r="V492" s="5">
        <v>10</v>
      </c>
      <c r="W492" s="5" t="s">
        <v>52</v>
      </c>
      <c r="X492" s="5" t="s">
        <v>46</v>
      </c>
      <c r="Y492" s="29" t="s">
        <v>209</v>
      </c>
      <c r="Z492" s="71">
        <v>44830</v>
      </c>
      <c r="AB492" s="5" t="str">
        <f>IF(X492="20um Schlenk", "Single", "Poly")</f>
        <v>Poly</v>
      </c>
      <c r="AC492" s="5">
        <v>100</v>
      </c>
      <c r="AD492" s="59">
        <f>AVERAGE(0.02,0.02,0.03)</f>
        <v>2.3333333333333334E-2</v>
      </c>
      <c r="AE492" s="29">
        <v>1.5</v>
      </c>
      <c r="AF492" s="29" t="s">
        <v>104</v>
      </c>
      <c r="AG492" s="29" t="s">
        <v>102</v>
      </c>
      <c r="AJ492"/>
    </row>
    <row r="493" spans="1:43" ht="15" customHeight="1" x14ac:dyDescent="0.35">
      <c r="A493" s="4"/>
      <c r="B493"/>
      <c r="C493"/>
      <c r="D493"/>
      <c r="E493"/>
      <c r="F493"/>
      <c r="G493"/>
      <c r="H493"/>
      <c r="J493"/>
      <c r="K493" s="43"/>
      <c r="L493"/>
      <c r="M493"/>
      <c r="R493" s="59"/>
      <c r="Z493"/>
      <c r="AB493" s="5"/>
      <c r="AC493"/>
      <c r="AD493" s="59"/>
      <c r="AF493" s="29"/>
      <c r="AG493" s="29"/>
      <c r="AJ493"/>
    </row>
    <row r="494" spans="1:43" ht="15" customHeight="1" x14ac:dyDescent="0.35">
      <c r="A494" s="4">
        <v>44831</v>
      </c>
      <c r="B494" s="5">
        <v>5</v>
      </c>
      <c r="C494" s="5" t="s">
        <v>48</v>
      </c>
      <c r="D494" s="5" t="s">
        <v>42</v>
      </c>
      <c r="E494" s="5"/>
      <c r="F494" s="5">
        <v>1050</v>
      </c>
      <c r="G494" s="5">
        <v>200</v>
      </c>
      <c r="H494" s="5"/>
      <c r="I494" s="5">
        <v>10</v>
      </c>
      <c r="J494" s="69"/>
      <c r="K494" s="6">
        <v>1.77</v>
      </c>
      <c r="L494" s="69"/>
      <c r="M494" s="5" t="s">
        <v>16</v>
      </c>
      <c r="N494" s="6">
        <v>5</v>
      </c>
      <c r="O494" s="5">
        <v>84</v>
      </c>
      <c r="P494" s="5">
        <v>48</v>
      </c>
      <c r="Q494" s="5">
        <v>24</v>
      </c>
      <c r="R494" s="3">
        <f t="shared" ref="R494:R504" si="135">O494+P494+Q494</f>
        <v>156</v>
      </c>
      <c r="S494" s="3">
        <f>O494/P494</f>
        <v>1.75</v>
      </c>
      <c r="T494" s="3">
        <f>16.8/18</f>
        <v>0.93333333333333335</v>
      </c>
      <c r="U494" s="3">
        <f>28.5/45</f>
        <v>0.6333333333333333</v>
      </c>
      <c r="V494" s="5">
        <v>1</v>
      </c>
      <c r="W494" s="5" t="s">
        <v>169</v>
      </c>
      <c r="X494" s="5" t="s">
        <v>45</v>
      </c>
      <c r="Z494" s="71">
        <v>44830</v>
      </c>
      <c r="AB494" s="5" t="str">
        <f>IF(X494="20um Schlenk", "Single", "Poly")</f>
        <v>Single</v>
      </c>
      <c r="AC494" s="5">
        <v>100</v>
      </c>
      <c r="AD494" s="59">
        <v>0.03</v>
      </c>
      <c r="AE494" s="29">
        <v>3</v>
      </c>
      <c r="AF494" s="29" t="s">
        <v>104</v>
      </c>
      <c r="AG494" s="29" t="s">
        <v>104</v>
      </c>
      <c r="AJ494"/>
      <c r="AL494" t="s">
        <v>215</v>
      </c>
    </row>
    <row r="495" spans="1:43" ht="15" customHeight="1" x14ac:dyDescent="0.35">
      <c r="A495" s="4">
        <v>44831</v>
      </c>
      <c r="B495" s="5">
        <v>5</v>
      </c>
      <c r="C495" s="5" t="s">
        <v>48</v>
      </c>
      <c r="D495" s="5" t="s">
        <v>42</v>
      </c>
      <c r="E495" s="5"/>
      <c r="F495" s="5">
        <v>1050</v>
      </c>
      <c r="G495" s="5">
        <v>200</v>
      </c>
      <c r="H495" s="5"/>
      <c r="I495" s="5">
        <v>10</v>
      </c>
      <c r="J495" s="69"/>
      <c r="K495" s="6">
        <v>1.77</v>
      </c>
      <c r="L495" s="69"/>
      <c r="M495" s="5" t="s">
        <v>16</v>
      </c>
      <c r="N495" s="6">
        <v>5</v>
      </c>
      <c r="O495" s="5">
        <v>84</v>
      </c>
      <c r="P495" s="5">
        <v>48</v>
      </c>
      <c r="Q495" s="5">
        <v>24</v>
      </c>
      <c r="R495" s="3">
        <f t="shared" si="135"/>
        <v>156</v>
      </c>
      <c r="S495" s="3">
        <f>O495/P495</f>
        <v>1.75</v>
      </c>
      <c r="T495" s="3">
        <f>16.8/18</f>
        <v>0.93333333333333335</v>
      </c>
      <c r="U495" s="3">
        <f>28.5/45</f>
        <v>0.6333333333333333</v>
      </c>
      <c r="V495" s="5">
        <v>1</v>
      </c>
      <c r="W495" s="5" t="s">
        <v>169</v>
      </c>
      <c r="X495" s="5" t="s">
        <v>46</v>
      </c>
      <c r="Z495" s="71">
        <v>44830</v>
      </c>
      <c r="AB495" s="5" t="str">
        <f>IF(X495="20um Schlenk", "Single", "Poly")</f>
        <v>Poly</v>
      </c>
      <c r="AC495" s="5">
        <v>100</v>
      </c>
      <c r="AD495" s="59">
        <v>0.03</v>
      </c>
      <c r="AE495" s="29">
        <v>1</v>
      </c>
      <c r="AF495" s="29" t="s">
        <v>102</v>
      </c>
      <c r="AG495" s="29" t="s">
        <v>104</v>
      </c>
      <c r="AJ495"/>
    </row>
    <row r="496" spans="1:43" ht="15" customHeight="1" x14ac:dyDescent="0.35">
      <c r="A496" s="4">
        <v>44831</v>
      </c>
      <c r="B496" s="5">
        <v>6</v>
      </c>
      <c r="C496" s="5" t="s">
        <v>206</v>
      </c>
      <c r="D496" s="5" t="s">
        <v>165</v>
      </c>
      <c r="E496" s="5"/>
      <c r="F496" s="5">
        <v>1050</v>
      </c>
      <c r="G496" s="5">
        <v>200</v>
      </c>
      <c r="H496" s="5"/>
      <c r="I496" s="5">
        <v>10</v>
      </c>
      <c r="J496" s="69"/>
      <c r="K496" s="6">
        <v>2</v>
      </c>
      <c r="L496" s="69"/>
      <c r="M496" s="5" t="s">
        <v>16</v>
      </c>
      <c r="N496" s="6">
        <v>5</v>
      </c>
      <c r="O496" s="5">
        <v>132</v>
      </c>
      <c r="P496" s="5">
        <v>0</v>
      </c>
      <c r="Q496" s="5">
        <v>24</v>
      </c>
      <c r="R496" s="3">
        <f t="shared" si="135"/>
        <v>156</v>
      </c>
      <c r="S496" s="3" t="s">
        <v>193</v>
      </c>
      <c r="T496" s="3" t="s">
        <v>193</v>
      </c>
      <c r="U496" s="3" t="s">
        <v>193</v>
      </c>
      <c r="V496" s="5">
        <v>10</v>
      </c>
      <c r="W496" s="5" t="s">
        <v>52</v>
      </c>
      <c r="X496" s="5" t="s">
        <v>46</v>
      </c>
      <c r="Z496" s="71">
        <v>44831</v>
      </c>
      <c r="AB496" s="5"/>
      <c r="AC496" s="5"/>
      <c r="AD496" s="59"/>
      <c r="AF496" s="29"/>
      <c r="AG496" s="29"/>
      <c r="AJ496"/>
    </row>
    <row r="497" spans="1:36" ht="15" customHeight="1" x14ac:dyDescent="0.35">
      <c r="A497" s="4">
        <v>44831</v>
      </c>
      <c r="B497" s="5">
        <v>6</v>
      </c>
      <c r="C497" s="5" t="s">
        <v>157</v>
      </c>
      <c r="D497" s="5" t="s">
        <v>165</v>
      </c>
      <c r="E497" s="5"/>
      <c r="F497" s="5">
        <v>1050</v>
      </c>
      <c r="G497" s="5">
        <v>100</v>
      </c>
      <c r="H497" s="5" t="s">
        <v>208</v>
      </c>
      <c r="I497" s="5">
        <v>12</v>
      </c>
      <c r="J497" s="67"/>
      <c r="K497" s="6">
        <v>2</v>
      </c>
      <c r="L497" s="67"/>
      <c r="M497" s="5" t="s">
        <v>16</v>
      </c>
      <c r="N497" s="5">
        <v>5</v>
      </c>
      <c r="O497" s="5">
        <v>91</v>
      </c>
      <c r="P497" s="5">
        <v>25</v>
      </c>
      <c r="Q497" s="5">
        <v>0</v>
      </c>
      <c r="R497" s="3">
        <f t="shared" si="135"/>
        <v>116</v>
      </c>
      <c r="S497" s="3">
        <f t="shared" ref="S497:S502" si="136">O497/P497</f>
        <v>3.64</v>
      </c>
      <c r="T497" s="3">
        <f>18.7/4</f>
        <v>4.6749999999999998</v>
      </c>
      <c r="U497" s="3">
        <f>32/22</f>
        <v>1.4545454545454546</v>
      </c>
      <c r="V497" s="5">
        <v>10</v>
      </c>
      <c r="W497" s="5" t="s">
        <v>52</v>
      </c>
      <c r="X497" s="5" t="s">
        <v>46</v>
      </c>
      <c r="Y497" s="29" t="s">
        <v>209</v>
      </c>
      <c r="Z497" s="71">
        <v>44831</v>
      </c>
      <c r="AB497" s="5" t="str">
        <f t="shared" ref="AB497:AB502" si="137">IF(X497="20um Schlenk", "Single", "Poly")</f>
        <v>Poly</v>
      </c>
      <c r="AC497" s="5">
        <v>100</v>
      </c>
      <c r="AD497" s="59">
        <f>AVERAGE(0.03,0.03,0.02)</f>
        <v>2.6666666666666668E-2</v>
      </c>
      <c r="AE497" s="29">
        <v>1</v>
      </c>
      <c r="AF497" s="29" t="s">
        <v>104</v>
      </c>
      <c r="AG497" s="29" t="s">
        <v>102</v>
      </c>
      <c r="AJ497"/>
    </row>
    <row r="498" spans="1:36" ht="15" customHeight="1" x14ac:dyDescent="0.35">
      <c r="A498" s="4">
        <v>44831</v>
      </c>
      <c r="B498" s="5">
        <v>7</v>
      </c>
      <c r="C498" s="5" t="s">
        <v>48</v>
      </c>
      <c r="D498" s="5" t="s">
        <v>42</v>
      </c>
      <c r="E498" s="5"/>
      <c r="F498" s="5">
        <v>1050</v>
      </c>
      <c r="G498" s="5">
        <v>200</v>
      </c>
      <c r="H498" s="5"/>
      <c r="I498" s="5">
        <v>12</v>
      </c>
      <c r="J498" s="69"/>
      <c r="K498" s="6"/>
      <c r="L498" s="69"/>
      <c r="M498" s="5" t="s">
        <v>16</v>
      </c>
      <c r="N498" s="6">
        <v>5</v>
      </c>
      <c r="O498" s="5">
        <v>84</v>
      </c>
      <c r="P498" s="5">
        <v>48</v>
      </c>
      <c r="Q498" s="5">
        <v>24</v>
      </c>
      <c r="R498" s="3">
        <f t="shared" si="135"/>
        <v>156</v>
      </c>
      <c r="S498" s="3">
        <f t="shared" si="136"/>
        <v>1.75</v>
      </c>
      <c r="T498" s="3">
        <f>16.8/18</f>
        <v>0.93333333333333335</v>
      </c>
      <c r="U498" s="3">
        <f>28.5/45</f>
        <v>0.6333333333333333</v>
      </c>
      <c r="V498" s="5">
        <v>3</v>
      </c>
      <c r="W498" s="5" t="s">
        <v>52</v>
      </c>
      <c r="X498" s="5" t="s">
        <v>45</v>
      </c>
      <c r="Y498" s="29" t="s">
        <v>216</v>
      </c>
      <c r="Z498" s="71">
        <v>44831</v>
      </c>
      <c r="AB498" s="5" t="str">
        <f t="shared" si="137"/>
        <v>Single</v>
      </c>
      <c r="AC498" s="5">
        <v>100</v>
      </c>
      <c r="AD498" s="59">
        <v>0.03</v>
      </c>
      <c r="AE498" s="29">
        <v>0</v>
      </c>
      <c r="AF498" s="29" t="s">
        <v>104</v>
      </c>
      <c r="AG498" s="29" t="s">
        <v>104</v>
      </c>
      <c r="AJ498"/>
    </row>
    <row r="499" spans="1:36" ht="15" customHeight="1" x14ac:dyDescent="0.35">
      <c r="A499" s="4">
        <v>44831</v>
      </c>
      <c r="B499" s="5">
        <v>7</v>
      </c>
      <c r="C499" s="5" t="s">
        <v>48</v>
      </c>
      <c r="D499" s="5" t="s">
        <v>42</v>
      </c>
      <c r="E499" s="5"/>
      <c r="F499" s="5">
        <v>1050</v>
      </c>
      <c r="G499" s="5">
        <v>200</v>
      </c>
      <c r="H499" s="5"/>
      <c r="I499" s="5">
        <v>12</v>
      </c>
      <c r="J499" s="69"/>
      <c r="K499" s="6"/>
      <c r="L499" s="69"/>
      <c r="M499" s="5" t="s">
        <v>16</v>
      </c>
      <c r="N499" s="6">
        <v>5</v>
      </c>
      <c r="O499" s="5">
        <v>84</v>
      </c>
      <c r="P499" s="5">
        <v>48</v>
      </c>
      <c r="Q499" s="5">
        <v>24</v>
      </c>
      <c r="R499" s="3">
        <f t="shared" si="135"/>
        <v>156</v>
      </c>
      <c r="S499" s="3">
        <f t="shared" si="136"/>
        <v>1.75</v>
      </c>
      <c r="T499" s="3">
        <f>16.8/18</f>
        <v>0.93333333333333335</v>
      </c>
      <c r="U499" s="3">
        <f>28.5/45</f>
        <v>0.6333333333333333</v>
      </c>
      <c r="V499" s="5">
        <v>3</v>
      </c>
      <c r="W499" s="5" t="s">
        <v>52</v>
      </c>
      <c r="X499" s="5" t="s">
        <v>45</v>
      </c>
      <c r="Y499" s="29" t="s">
        <v>217</v>
      </c>
      <c r="Z499" s="71">
        <v>44831</v>
      </c>
      <c r="AB499" s="5" t="str">
        <f t="shared" si="137"/>
        <v>Single</v>
      </c>
      <c r="AC499" s="5">
        <v>100</v>
      </c>
      <c r="AD499" s="59">
        <v>0.11</v>
      </c>
      <c r="AE499" s="29">
        <v>0</v>
      </c>
      <c r="AF499" s="29" t="s">
        <v>104</v>
      </c>
      <c r="AG499" s="29" t="s">
        <v>104</v>
      </c>
      <c r="AJ499"/>
    </row>
    <row r="500" spans="1:36" ht="15" customHeight="1" x14ac:dyDescent="0.35">
      <c r="A500" s="4">
        <v>44831</v>
      </c>
      <c r="B500" s="5">
        <v>7</v>
      </c>
      <c r="C500" s="5" t="s">
        <v>48</v>
      </c>
      <c r="D500" s="5" t="s">
        <v>42</v>
      </c>
      <c r="E500" s="5"/>
      <c r="F500" s="5">
        <v>1050</v>
      </c>
      <c r="G500" s="5">
        <v>200</v>
      </c>
      <c r="H500" s="5"/>
      <c r="I500" s="5">
        <v>12</v>
      </c>
      <c r="J500" s="69"/>
      <c r="K500" s="6"/>
      <c r="L500" s="69"/>
      <c r="M500" s="5" t="s">
        <v>16</v>
      </c>
      <c r="N500" s="6">
        <v>5</v>
      </c>
      <c r="O500" s="5">
        <v>84</v>
      </c>
      <c r="P500" s="5">
        <v>48</v>
      </c>
      <c r="Q500" s="5">
        <v>24</v>
      </c>
      <c r="R500" s="3">
        <f t="shared" si="135"/>
        <v>156</v>
      </c>
      <c r="S500" s="3">
        <f t="shared" si="136"/>
        <v>1.75</v>
      </c>
      <c r="T500" s="3">
        <f>16.8/18</f>
        <v>0.93333333333333335</v>
      </c>
      <c r="U500" s="3">
        <f>28.5/45</f>
        <v>0.6333333333333333</v>
      </c>
      <c r="V500" s="5">
        <v>3</v>
      </c>
      <c r="W500" s="5" t="s">
        <v>52</v>
      </c>
      <c r="X500" s="5" t="s">
        <v>45</v>
      </c>
      <c r="Y500" s="29" t="s">
        <v>216</v>
      </c>
      <c r="Z500" s="71">
        <v>44831</v>
      </c>
      <c r="AB500" s="5" t="str">
        <f t="shared" si="137"/>
        <v>Single</v>
      </c>
      <c r="AC500" s="5">
        <v>100</v>
      </c>
      <c r="AD500" s="59">
        <v>0.15</v>
      </c>
      <c r="AE500" s="29">
        <v>0</v>
      </c>
      <c r="AF500" s="29" t="s">
        <v>104</v>
      </c>
      <c r="AG500" s="29" t="s">
        <v>104</v>
      </c>
      <c r="AJ500"/>
    </row>
    <row r="501" spans="1:36" ht="15" customHeight="1" x14ac:dyDescent="0.35">
      <c r="A501" s="4">
        <v>44831</v>
      </c>
      <c r="B501" s="5">
        <v>8</v>
      </c>
      <c r="C501" s="5" t="s">
        <v>211</v>
      </c>
      <c r="D501" s="5" t="s">
        <v>42</v>
      </c>
      <c r="E501"/>
      <c r="F501" s="5">
        <v>1050</v>
      </c>
      <c r="G501" s="5">
        <v>200</v>
      </c>
      <c r="H501"/>
      <c r="I501" s="5">
        <v>12</v>
      </c>
      <c r="J501"/>
      <c r="K501" s="43"/>
      <c r="L501"/>
      <c r="M501" s="5" t="s">
        <v>16</v>
      </c>
      <c r="N501" s="6">
        <v>5</v>
      </c>
      <c r="O501" s="5">
        <v>120</v>
      </c>
      <c r="P501" s="5">
        <v>15.2</v>
      </c>
      <c r="Q501" s="5">
        <v>20</v>
      </c>
      <c r="R501" s="3">
        <f t="shared" si="135"/>
        <v>155.19999999999999</v>
      </c>
      <c r="S501" s="3">
        <f t="shared" si="136"/>
        <v>7.8947368421052637</v>
      </c>
      <c r="T501" s="59">
        <f>38.5/2.2</f>
        <v>17.5</v>
      </c>
      <c r="U501" s="59">
        <f>62.5/15.2</f>
        <v>4.1118421052631584</v>
      </c>
      <c r="V501" s="5">
        <v>1</v>
      </c>
      <c r="W501" s="5" t="s">
        <v>169</v>
      </c>
      <c r="X501" s="5" t="s">
        <v>45</v>
      </c>
      <c r="Z501" s="71">
        <v>44831</v>
      </c>
      <c r="AB501" s="5" t="str">
        <f t="shared" si="137"/>
        <v>Single</v>
      </c>
      <c r="AC501" s="5">
        <v>100</v>
      </c>
      <c r="AD501" s="59">
        <v>0.03</v>
      </c>
      <c r="AE501" s="29">
        <v>3</v>
      </c>
      <c r="AF501" s="29" t="s">
        <v>104</v>
      </c>
      <c r="AG501" s="29" t="s">
        <v>104</v>
      </c>
      <c r="AJ501"/>
    </row>
    <row r="502" spans="1:36" ht="15" customHeight="1" x14ac:dyDescent="0.35">
      <c r="A502" s="4">
        <v>44831</v>
      </c>
      <c r="B502" s="5">
        <v>8</v>
      </c>
      <c r="C502" s="5" t="s">
        <v>211</v>
      </c>
      <c r="D502" s="5" t="s">
        <v>42</v>
      </c>
      <c r="E502"/>
      <c r="F502" s="5">
        <v>1050</v>
      </c>
      <c r="G502" s="5">
        <v>200</v>
      </c>
      <c r="H502"/>
      <c r="I502" s="5">
        <v>12</v>
      </c>
      <c r="J502"/>
      <c r="K502" s="43"/>
      <c r="L502"/>
      <c r="M502" s="5" t="s">
        <v>16</v>
      </c>
      <c r="N502" s="6">
        <v>5</v>
      </c>
      <c r="O502" s="5">
        <v>120</v>
      </c>
      <c r="P502" s="5">
        <v>15.2</v>
      </c>
      <c r="Q502" s="5">
        <v>20</v>
      </c>
      <c r="R502" s="3">
        <f t="shared" si="135"/>
        <v>155.19999999999999</v>
      </c>
      <c r="S502" s="3">
        <f t="shared" si="136"/>
        <v>7.8947368421052637</v>
      </c>
      <c r="T502" s="59">
        <f>38.5/2.2</f>
        <v>17.5</v>
      </c>
      <c r="U502" s="59">
        <f>62.5/15.2</f>
        <v>4.1118421052631584</v>
      </c>
      <c r="V502" s="5">
        <v>1</v>
      </c>
      <c r="W502" s="5" t="s">
        <v>169</v>
      </c>
      <c r="X502" s="5" t="s">
        <v>46</v>
      </c>
      <c r="Z502" s="71">
        <v>44831</v>
      </c>
      <c r="AB502" s="5" t="str">
        <f t="shared" si="137"/>
        <v>Poly</v>
      </c>
      <c r="AC502" s="5">
        <v>100</v>
      </c>
      <c r="AD502" s="59">
        <v>0.05</v>
      </c>
      <c r="AE502" s="29">
        <v>3</v>
      </c>
      <c r="AF502" s="29" t="s">
        <v>104</v>
      </c>
      <c r="AG502" s="29" t="s">
        <v>102</v>
      </c>
      <c r="AJ502"/>
    </row>
    <row r="503" spans="1:36" ht="15" customHeight="1" x14ac:dyDescent="0.35">
      <c r="A503" s="4">
        <v>44831</v>
      </c>
      <c r="B503" s="5">
        <v>9</v>
      </c>
      <c r="C503" s="5" t="s">
        <v>206</v>
      </c>
      <c r="D503" s="5" t="s">
        <v>42</v>
      </c>
      <c r="E503"/>
      <c r="F503" s="5">
        <v>1050</v>
      </c>
      <c r="G503" s="5">
        <v>200</v>
      </c>
      <c r="H503" s="5"/>
      <c r="I503" s="5">
        <v>10</v>
      </c>
      <c r="J503" s="69"/>
      <c r="K503" s="6"/>
      <c r="L503" s="69"/>
      <c r="M503" s="5" t="s">
        <v>16</v>
      </c>
      <c r="N503" s="6">
        <v>5</v>
      </c>
      <c r="O503" s="5">
        <v>132</v>
      </c>
      <c r="P503" s="5">
        <v>0</v>
      </c>
      <c r="Q503" s="5">
        <v>24</v>
      </c>
      <c r="R503" s="3">
        <f t="shared" si="135"/>
        <v>156</v>
      </c>
      <c r="S503" s="3" t="s">
        <v>193</v>
      </c>
      <c r="T503" s="3" t="s">
        <v>193</v>
      </c>
      <c r="U503" s="3" t="s">
        <v>193</v>
      </c>
      <c r="V503" s="5">
        <v>1</v>
      </c>
      <c r="W503" s="5" t="s">
        <v>52</v>
      </c>
      <c r="X503" s="5" t="s">
        <v>46</v>
      </c>
      <c r="Z503" s="71">
        <v>44831</v>
      </c>
      <c r="AB503" s="5"/>
      <c r="AC503" s="5"/>
      <c r="AD503" s="59"/>
      <c r="AF503" s="29"/>
      <c r="AG503" s="29"/>
      <c r="AJ503"/>
    </row>
    <row r="504" spans="1:36" ht="15" customHeight="1" x14ac:dyDescent="0.35">
      <c r="A504" s="4">
        <v>44831</v>
      </c>
      <c r="B504" s="5">
        <v>9</v>
      </c>
      <c r="C504" s="5" t="s">
        <v>157</v>
      </c>
      <c r="D504" s="5" t="s">
        <v>42</v>
      </c>
      <c r="E504"/>
      <c r="F504" s="5">
        <v>1050</v>
      </c>
      <c r="G504" s="5">
        <v>100</v>
      </c>
      <c r="H504" s="5" t="s">
        <v>208</v>
      </c>
      <c r="I504" s="5">
        <v>12</v>
      </c>
      <c r="J504" s="67"/>
      <c r="K504" s="6"/>
      <c r="L504" s="67"/>
      <c r="M504" s="5" t="s">
        <v>16</v>
      </c>
      <c r="N504" s="5">
        <v>5</v>
      </c>
      <c r="O504" s="5">
        <v>91</v>
      </c>
      <c r="P504" s="5">
        <v>25</v>
      </c>
      <c r="Q504" s="5">
        <v>0</v>
      </c>
      <c r="R504" s="3">
        <f t="shared" si="135"/>
        <v>116</v>
      </c>
      <c r="S504" s="3">
        <f>O504/P504</f>
        <v>3.64</v>
      </c>
      <c r="T504" s="3">
        <f>18.7/4</f>
        <v>4.6749999999999998</v>
      </c>
      <c r="U504" s="3">
        <f>32/22</f>
        <v>1.4545454545454546</v>
      </c>
      <c r="V504" s="5">
        <v>1</v>
      </c>
      <c r="W504" s="5" t="s">
        <v>52</v>
      </c>
      <c r="X504" s="5" t="s">
        <v>46</v>
      </c>
      <c r="Y504" s="29" t="s">
        <v>209</v>
      </c>
      <c r="Z504" s="71">
        <v>44831</v>
      </c>
      <c r="AB504" s="5" t="str">
        <f>IF(X504="20um Schlenk", "Single", "Poly")</f>
        <v>Poly</v>
      </c>
      <c r="AC504" s="5">
        <v>100</v>
      </c>
      <c r="AD504" s="59">
        <v>0.02</v>
      </c>
      <c r="AE504" s="29">
        <v>0</v>
      </c>
      <c r="AF504" s="29" t="s">
        <v>104</v>
      </c>
      <c r="AG504" s="29" t="s">
        <v>103</v>
      </c>
      <c r="AJ504"/>
    </row>
    <row r="505" spans="1:36" ht="15" customHeight="1" x14ac:dyDescent="0.35">
      <c r="A505" s="71"/>
      <c r="B505"/>
      <c r="C505"/>
      <c r="D505"/>
      <c r="E505"/>
      <c r="F505"/>
      <c r="G505"/>
      <c r="H505"/>
      <c r="J505"/>
      <c r="K505" s="43"/>
      <c r="L505"/>
      <c r="M505"/>
      <c r="R505" s="59"/>
      <c r="Z505"/>
      <c r="AB505" s="5"/>
      <c r="AC505" s="5"/>
      <c r="AD505" s="59"/>
      <c r="AF505" s="29"/>
      <c r="AG505" s="29"/>
      <c r="AJ505"/>
    </row>
    <row r="506" spans="1:36" ht="15" customHeight="1" x14ac:dyDescent="0.35">
      <c r="A506" s="71">
        <v>44832</v>
      </c>
      <c r="B506" s="5">
        <v>10</v>
      </c>
      <c r="C506" s="5" t="s">
        <v>48</v>
      </c>
      <c r="D506" s="5" t="s">
        <v>42</v>
      </c>
      <c r="E506" s="5"/>
      <c r="F506" s="5">
        <v>1050</v>
      </c>
      <c r="G506" s="5">
        <v>200</v>
      </c>
      <c r="H506" s="5"/>
      <c r="I506" s="5">
        <v>10</v>
      </c>
      <c r="J506" s="69"/>
      <c r="K506" s="6">
        <v>1.85</v>
      </c>
      <c r="L506" s="69"/>
      <c r="M506" s="5" t="s">
        <v>16</v>
      </c>
      <c r="N506" s="6">
        <v>5</v>
      </c>
      <c r="O506" s="5">
        <v>84</v>
      </c>
      <c r="P506" s="5">
        <v>48</v>
      </c>
      <c r="Q506" s="5">
        <v>24</v>
      </c>
      <c r="R506" s="3">
        <f t="shared" ref="R506:R517" si="138">O506+P506+Q506</f>
        <v>156</v>
      </c>
      <c r="S506" s="3">
        <f t="shared" ref="S506:S513" si="139">O506/P506</f>
        <v>1.75</v>
      </c>
      <c r="T506" s="3">
        <f>16.8/18</f>
        <v>0.93333333333333335</v>
      </c>
      <c r="U506" s="3">
        <f>28.5/45</f>
        <v>0.6333333333333333</v>
      </c>
      <c r="V506" s="5">
        <v>1</v>
      </c>
      <c r="W506" s="5" t="s">
        <v>169</v>
      </c>
      <c r="X506" s="5" t="s">
        <v>45</v>
      </c>
      <c r="Z506" s="71">
        <v>44831</v>
      </c>
      <c r="AB506" s="5" t="str">
        <f t="shared" ref="AB506:AB513" si="140">IF(X506="20um Schlenk", "Single", "Poly")</f>
        <v>Single</v>
      </c>
      <c r="AC506" s="5">
        <v>100</v>
      </c>
      <c r="AD506" s="59">
        <v>0.04</v>
      </c>
      <c r="AE506" s="29">
        <v>2</v>
      </c>
      <c r="AF506" s="29" t="s">
        <v>104</v>
      </c>
      <c r="AG506" s="29" t="s">
        <v>104</v>
      </c>
      <c r="AJ506"/>
    </row>
    <row r="507" spans="1:36" ht="15" customHeight="1" x14ac:dyDescent="0.35">
      <c r="A507" s="71">
        <v>44832</v>
      </c>
      <c r="B507" s="5">
        <v>10</v>
      </c>
      <c r="C507" s="5" t="s">
        <v>48</v>
      </c>
      <c r="D507" s="5" t="s">
        <v>42</v>
      </c>
      <c r="E507" s="5"/>
      <c r="F507" s="5">
        <v>1050</v>
      </c>
      <c r="G507" s="5">
        <v>200</v>
      </c>
      <c r="H507" s="5"/>
      <c r="I507" s="5">
        <v>10</v>
      </c>
      <c r="J507" s="69"/>
      <c r="K507" s="6">
        <v>1.85</v>
      </c>
      <c r="L507" s="69"/>
      <c r="M507" s="5" t="s">
        <v>16</v>
      </c>
      <c r="N507" s="6">
        <v>5</v>
      </c>
      <c r="O507" s="5">
        <v>84</v>
      </c>
      <c r="P507" s="5">
        <v>48</v>
      </c>
      <c r="Q507" s="5">
        <v>24</v>
      </c>
      <c r="R507" s="3">
        <f t="shared" si="138"/>
        <v>156</v>
      </c>
      <c r="S507" s="3">
        <f t="shared" si="139"/>
        <v>1.75</v>
      </c>
      <c r="T507" s="3">
        <f>16.8/18</f>
        <v>0.93333333333333335</v>
      </c>
      <c r="U507" s="3">
        <f>28.5/45</f>
        <v>0.6333333333333333</v>
      </c>
      <c r="V507" s="5">
        <v>1</v>
      </c>
      <c r="W507" s="5" t="s">
        <v>169</v>
      </c>
      <c r="X507" s="5" t="s">
        <v>46</v>
      </c>
      <c r="Z507" s="71">
        <v>44831</v>
      </c>
      <c r="AB507" s="5" t="str">
        <f t="shared" si="140"/>
        <v>Poly</v>
      </c>
      <c r="AC507" s="5">
        <v>100</v>
      </c>
      <c r="AD507" s="59">
        <v>0.03</v>
      </c>
      <c r="AE507" s="29">
        <v>2.5</v>
      </c>
      <c r="AF507" s="29" t="s">
        <v>102</v>
      </c>
      <c r="AG507" s="29" t="s">
        <v>102</v>
      </c>
      <c r="AJ507"/>
    </row>
    <row r="508" spans="1:36" ht="15" customHeight="1" x14ac:dyDescent="0.35">
      <c r="A508" s="71">
        <v>44832</v>
      </c>
      <c r="B508" s="5">
        <v>11</v>
      </c>
      <c r="C508" s="5" t="s">
        <v>212</v>
      </c>
      <c r="D508" s="5" t="s">
        <v>42</v>
      </c>
      <c r="E508"/>
      <c r="F508" s="5">
        <v>1050</v>
      </c>
      <c r="G508" s="5">
        <v>200</v>
      </c>
      <c r="H508"/>
      <c r="I508" s="5">
        <v>12</v>
      </c>
      <c r="J508"/>
      <c r="K508" s="43">
        <v>2.15</v>
      </c>
      <c r="L508"/>
      <c r="M508" s="5" t="s">
        <v>16</v>
      </c>
      <c r="N508" s="5">
        <v>5</v>
      </c>
      <c r="O508" s="5">
        <v>120</v>
      </c>
      <c r="P508" s="5">
        <v>7.6</v>
      </c>
      <c r="Q508" s="5">
        <v>20</v>
      </c>
      <c r="R508" s="3">
        <f t="shared" si="138"/>
        <v>147.6</v>
      </c>
      <c r="S508" s="3">
        <f t="shared" si="139"/>
        <v>15.789473684210527</v>
      </c>
      <c r="T508" s="59">
        <f>42.2/1.1</f>
        <v>38.36363636363636</v>
      </c>
      <c r="U508" s="59">
        <f>66.2/7.6</f>
        <v>8.7105263157894743</v>
      </c>
      <c r="V508" s="5">
        <v>1</v>
      </c>
      <c r="W508" s="5" t="s">
        <v>169</v>
      </c>
      <c r="X508" s="5" t="s">
        <v>45</v>
      </c>
      <c r="Z508" s="71">
        <v>44831</v>
      </c>
      <c r="AB508" s="5" t="str">
        <f t="shared" si="140"/>
        <v>Single</v>
      </c>
      <c r="AC508" s="5">
        <v>100</v>
      </c>
      <c r="AD508" s="59">
        <v>7.0000000000000007E-2</v>
      </c>
      <c r="AE508" s="29">
        <v>0</v>
      </c>
      <c r="AF508" s="29" t="s">
        <v>104</v>
      </c>
      <c r="AG508" s="29" t="s">
        <v>104</v>
      </c>
      <c r="AJ508"/>
    </row>
    <row r="509" spans="1:36" ht="15" customHeight="1" x14ac:dyDescent="0.35">
      <c r="A509" s="71">
        <v>44832</v>
      </c>
      <c r="B509" s="5">
        <v>11</v>
      </c>
      <c r="C509" s="5" t="s">
        <v>212</v>
      </c>
      <c r="D509" s="5" t="s">
        <v>42</v>
      </c>
      <c r="E509"/>
      <c r="F509" s="5">
        <v>1050</v>
      </c>
      <c r="G509" s="5">
        <v>200</v>
      </c>
      <c r="H509"/>
      <c r="I509" s="5">
        <v>12</v>
      </c>
      <c r="J509"/>
      <c r="K509" s="43">
        <v>2.15</v>
      </c>
      <c r="L509"/>
      <c r="M509" s="5" t="s">
        <v>16</v>
      </c>
      <c r="N509" s="5">
        <v>5</v>
      </c>
      <c r="O509" s="5">
        <v>120</v>
      </c>
      <c r="P509" s="5">
        <v>7.6</v>
      </c>
      <c r="Q509" s="5">
        <v>20</v>
      </c>
      <c r="R509" s="3">
        <f t="shared" si="138"/>
        <v>147.6</v>
      </c>
      <c r="S509" s="3">
        <f t="shared" si="139"/>
        <v>15.789473684210527</v>
      </c>
      <c r="T509" s="59">
        <f>42.2/1.1</f>
        <v>38.36363636363636</v>
      </c>
      <c r="U509" s="59">
        <f>66.2/7.6</f>
        <v>8.7105263157894743</v>
      </c>
      <c r="V509" s="5">
        <v>1</v>
      </c>
      <c r="W509" s="5" t="s">
        <v>169</v>
      </c>
      <c r="X509" s="5" t="s">
        <v>46</v>
      </c>
      <c r="Z509" s="71">
        <v>44831</v>
      </c>
      <c r="AB509" s="5" t="str">
        <f t="shared" si="140"/>
        <v>Poly</v>
      </c>
      <c r="AC509" s="5">
        <v>100</v>
      </c>
      <c r="AD509" s="59">
        <v>0.02</v>
      </c>
      <c r="AE509" s="29">
        <v>4</v>
      </c>
      <c r="AF509" s="29" t="s">
        <v>104</v>
      </c>
      <c r="AG509" s="29" t="s">
        <v>102</v>
      </c>
      <c r="AJ509"/>
    </row>
    <row r="510" spans="1:36" ht="15" customHeight="1" x14ac:dyDescent="0.35">
      <c r="A510" s="71">
        <v>44832</v>
      </c>
      <c r="B510" s="5">
        <v>12</v>
      </c>
      <c r="C510" s="5" t="s">
        <v>218</v>
      </c>
      <c r="D510" s="5" t="s">
        <v>42</v>
      </c>
      <c r="E510"/>
      <c r="F510" s="5">
        <v>1050</v>
      </c>
      <c r="G510" s="5">
        <v>200</v>
      </c>
      <c r="H510"/>
      <c r="I510" s="5">
        <v>12</v>
      </c>
      <c r="J510"/>
      <c r="K510" s="43">
        <v>2.2400000000000002</v>
      </c>
      <c r="L510"/>
      <c r="M510" s="5" t="s">
        <v>16</v>
      </c>
      <c r="N510" s="5">
        <v>5</v>
      </c>
      <c r="O510" s="5">
        <v>120</v>
      </c>
      <c r="P510" s="5">
        <v>4.7</v>
      </c>
      <c r="Q510" s="5">
        <v>20</v>
      </c>
      <c r="R510" s="3">
        <f t="shared" si="138"/>
        <v>144.69999999999999</v>
      </c>
      <c r="S510" s="3">
        <f t="shared" si="139"/>
        <v>25.531914893617021</v>
      </c>
      <c r="T510" s="59">
        <f>44.1/0.5</f>
        <v>88.2</v>
      </c>
      <c r="U510" s="59">
        <f>67.7/4.7</f>
        <v>14.404255319148936</v>
      </c>
      <c r="V510" s="5">
        <v>1</v>
      </c>
      <c r="W510" s="5" t="s">
        <v>169</v>
      </c>
      <c r="X510" s="5" t="s">
        <v>45</v>
      </c>
      <c r="Z510" s="71">
        <v>44831</v>
      </c>
      <c r="AB510" s="5" t="str">
        <f t="shared" si="140"/>
        <v>Single</v>
      </c>
      <c r="AC510" s="5">
        <v>95</v>
      </c>
      <c r="AD510" s="59">
        <v>0.05</v>
      </c>
      <c r="AE510" s="29">
        <v>5</v>
      </c>
      <c r="AF510" s="29"/>
      <c r="AG510" s="29"/>
      <c r="AJ510"/>
    </row>
    <row r="511" spans="1:36" ht="15" customHeight="1" x14ac:dyDescent="0.35">
      <c r="A511" s="71">
        <v>44832</v>
      </c>
      <c r="B511" s="5">
        <v>12</v>
      </c>
      <c r="C511" s="5" t="s">
        <v>218</v>
      </c>
      <c r="D511" s="5" t="s">
        <v>42</v>
      </c>
      <c r="E511"/>
      <c r="F511" s="5">
        <v>1050</v>
      </c>
      <c r="G511" s="5">
        <v>200</v>
      </c>
      <c r="H511"/>
      <c r="I511" s="5">
        <v>12</v>
      </c>
      <c r="J511"/>
      <c r="K511" s="43">
        <v>2.2400000000000002</v>
      </c>
      <c r="L511"/>
      <c r="M511" s="5" t="s">
        <v>16</v>
      </c>
      <c r="N511" s="5">
        <v>5</v>
      </c>
      <c r="O511" s="5">
        <v>120</v>
      </c>
      <c r="P511" s="5">
        <v>4.7</v>
      </c>
      <c r="Q511" s="5">
        <v>20</v>
      </c>
      <c r="R511" s="3">
        <f t="shared" si="138"/>
        <v>144.69999999999999</v>
      </c>
      <c r="S511" s="3">
        <f t="shared" si="139"/>
        <v>25.531914893617021</v>
      </c>
      <c r="T511" s="59">
        <f>44.1/0.5</f>
        <v>88.2</v>
      </c>
      <c r="U511" s="59">
        <f>67.7/4.7</f>
        <v>14.404255319148936</v>
      </c>
      <c r="V511" s="5">
        <v>1</v>
      </c>
      <c r="W511" s="5" t="s">
        <v>169</v>
      </c>
      <c r="X511" s="5" t="s">
        <v>46</v>
      </c>
      <c r="Z511" s="71">
        <v>44831</v>
      </c>
      <c r="AB511" s="5" t="str">
        <f t="shared" si="140"/>
        <v>Poly</v>
      </c>
      <c r="AC511" s="5">
        <v>98</v>
      </c>
      <c r="AD511" s="59">
        <v>0.02</v>
      </c>
      <c r="AE511" s="29">
        <v>3</v>
      </c>
      <c r="AF511" s="29" t="s">
        <v>102</v>
      </c>
      <c r="AG511" s="29" t="s">
        <v>102</v>
      </c>
      <c r="AJ511"/>
    </row>
    <row r="512" spans="1:36" ht="15" customHeight="1" x14ac:dyDescent="0.35">
      <c r="A512" s="71">
        <v>44832</v>
      </c>
      <c r="B512" s="5">
        <v>13</v>
      </c>
      <c r="C512" s="5" t="s">
        <v>219</v>
      </c>
      <c r="D512" s="5" t="s">
        <v>42</v>
      </c>
      <c r="E512"/>
      <c r="F512" s="5">
        <v>1050</v>
      </c>
      <c r="G512" s="5">
        <v>100</v>
      </c>
      <c r="H512"/>
      <c r="I512" s="5">
        <v>12</v>
      </c>
      <c r="J512"/>
      <c r="K512" s="43">
        <v>2.09</v>
      </c>
      <c r="L512"/>
      <c r="M512" s="5" t="s">
        <v>16</v>
      </c>
      <c r="N512" s="5">
        <v>5</v>
      </c>
      <c r="O512" s="29">
        <v>120</v>
      </c>
      <c r="P512" s="29">
        <v>4.8</v>
      </c>
      <c r="Q512" s="29">
        <v>20</v>
      </c>
      <c r="R512" s="59">
        <f t="shared" si="138"/>
        <v>144.80000000000001</v>
      </c>
      <c r="S512" s="59">
        <f t="shared" si="139"/>
        <v>25</v>
      </c>
      <c r="T512" s="59">
        <f>38.2/0.4</f>
        <v>95.5</v>
      </c>
      <c r="U512" s="59">
        <f>61.7/3.4</f>
        <v>18.147058823529413</v>
      </c>
      <c r="V512" s="5">
        <v>1</v>
      </c>
      <c r="W512" s="5" t="s">
        <v>169</v>
      </c>
      <c r="X512" s="5" t="s">
        <v>45</v>
      </c>
      <c r="Z512" s="71">
        <v>44831</v>
      </c>
      <c r="AB512" s="5" t="str">
        <f t="shared" si="140"/>
        <v>Single</v>
      </c>
      <c r="AC512" s="5">
        <v>100</v>
      </c>
      <c r="AD512" s="59">
        <v>0.03</v>
      </c>
      <c r="AE512" s="29">
        <v>1</v>
      </c>
      <c r="AF512" s="29" t="s">
        <v>104</v>
      </c>
      <c r="AG512" s="29" t="s">
        <v>102</v>
      </c>
      <c r="AJ512"/>
    </row>
    <row r="513" spans="1:38" ht="15" customHeight="1" x14ac:dyDescent="0.35">
      <c r="A513" s="71">
        <v>44832</v>
      </c>
      <c r="B513" s="5">
        <v>13</v>
      </c>
      <c r="C513" s="5" t="s">
        <v>219</v>
      </c>
      <c r="D513" s="5" t="s">
        <v>42</v>
      </c>
      <c r="E513"/>
      <c r="F513" s="5">
        <v>1050</v>
      </c>
      <c r="G513" s="5">
        <v>100</v>
      </c>
      <c r="H513"/>
      <c r="I513" s="5">
        <v>12</v>
      </c>
      <c r="J513"/>
      <c r="K513" s="43">
        <v>2.09</v>
      </c>
      <c r="L513"/>
      <c r="M513" s="5" t="s">
        <v>16</v>
      </c>
      <c r="N513" s="6">
        <v>5</v>
      </c>
      <c r="O513" s="29">
        <v>120</v>
      </c>
      <c r="P513" s="29">
        <v>4.8</v>
      </c>
      <c r="Q513" s="29">
        <v>20</v>
      </c>
      <c r="R513" s="59">
        <f t="shared" si="138"/>
        <v>144.80000000000001</v>
      </c>
      <c r="S513" s="59">
        <f t="shared" si="139"/>
        <v>25</v>
      </c>
      <c r="T513" s="59">
        <f>38.2/0.4</f>
        <v>95.5</v>
      </c>
      <c r="U513" s="59">
        <f>61.7/3.4</f>
        <v>18.147058823529413</v>
      </c>
      <c r="V513" s="5">
        <v>1</v>
      </c>
      <c r="W513" s="5" t="s">
        <v>169</v>
      </c>
      <c r="X513" s="5" t="s">
        <v>46</v>
      </c>
      <c r="Z513" s="71">
        <v>44831</v>
      </c>
      <c r="AB513" s="5" t="str">
        <f t="shared" si="140"/>
        <v>Poly</v>
      </c>
      <c r="AC513" s="5">
        <v>99</v>
      </c>
      <c r="AD513" s="59">
        <v>0.03</v>
      </c>
      <c r="AE513" s="29">
        <v>2</v>
      </c>
      <c r="AF513" s="29" t="s">
        <v>102</v>
      </c>
      <c r="AG513" s="29" t="s">
        <v>102</v>
      </c>
      <c r="AJ513"/>
    </row>
    <row r="514" spans="1:38" ht="15" customHeight="1" x14ac:dyDescent="0.35">
      <c r="A514" s="71">
        <v>44832</v>
      </c>
      <c r="B514" s="5">
        <v>14</v>
      </c>
      <c r="C514" s="5" t="s">
        <v>206</v>
      </c>
      <c r="D514" s="5" t="s">
        <v>165</v>
      </c>
      <c r="E514" s="5"/>
      <c r="F514" s="5">
        <v>1050</v>
      </c>
      <c r="G514" s="5">
        <v>200</v>
      </c>
      <c r="H514" s="5"/>
      <c r="I514" s="5">
        <v>10</v>
      </c>
      <c r="J514" s="69"/>
      <c r="K514" s="6">
        <v>2.17</v>
      </c>
      <c r="L514" s="69"/>
      <c r="M514" s="5" t="s">
        <v>16</v>
      </c>
      <c r="N514" s="6">
        <v>5</v>
      </c>
      <c r="O514" s="5">
        <v>132</v>
      </c>
      <c r="P514" s="5">
        <v>0</v>
      </c>
      <c r="Q514" s="5">
        <v>24</v>
      </c>
      <c r="R514" s="3">
        <f t="shared" si="138"/>
        <v>156</v>
      </c>
      <c r="S514" s="3" t="s">
        <v>193</v>
      </c>
      <c r="T514" s="3" t="s">
        <v>193</v>
      </c>
      <c r="U514" s="3" t="s">
        <v>193</v>
      </c>
      <c r="V514" s="5">
        <v>2</v>
      </c>
      <c r="W514" s="5" t="s">
        <v>52</v>
      </c>
      <c r="X514" s="5" t="s">
        <v>46</v>
      </c>
      <c r="Z514" s="71">
        <v>44832</v>
      </c>
      <c r="AB514" s="5"/>
      <c r="AC514" s="5"/>
      <c r="AD514" s="59"/>
      <c r="AF514" s="29"/>
      <c r="AG514" s="29"/>
      <c r="AJ514"/>
    </row>
    <row r="515" spans="1:38" ht="15" customHeight="1" x14ac:dyDescent="0.35">
      <c r="A515" s="71">
        <v>44832</v>
      </c>
      <c r="B515" s="5">
        <v>14</v>
      </c>
      <c r="C515" s="5" t="s">
        <v>212</v>
      </c>
      <c r="D515" s="5" t="s">
        <v>165</v>
      </c>
      <c r="E515" s="5"/>
      <c r="F515" s="5">
        <v>1050</v>
      </c>
      <c r="G515" s="5">
        <v>200</v>
      </c>
      <c r="H515" s="5" t="s">
        <v>208</v>
      </c>
      <c r="I515" s="29">
        <v>12</v>
      </c>
      <c r="J515"/>
      <c r="K515" s="6">
        <v>2.06</v>
      </c>
      <c r="L515"/>
      <c r="M515" s="5" t="s">
        <v>16</v>
      </c>
      <c r="N515" s="5">
        <v>5</v>
      </c>
      <c r="O515" s="5">
        <v>120</v>
      </c>
      <c r="P515" s="5">
        <v>7.6</v>
      </c>
      <c r="Q515" s="5">
        <v>20</v>
      </c>
      <c r="R515" s="3">
        <f t="shared" si="138"/>
        <v>147.6</v>
      </c>
      <c r="S515" s="3">
        <f>O515/P515</f>
        <v>15.789473684210527</v>
      </c>
      <c r="T515" s="59">
        <f>42.2/1.1</f>
        <v>38.36363636363636</v>
      </c>
      <c r="U515" s="59">
        <f>66.2/7.6</f>
        <v>8.7105263157894743</v>
      </c>
      <c r="V515" s="5">
        <v>2</v>
      </c>
      <c r="W515" s="5" t="s">
        <v>52</v>
      </c>
      <c r="X515" s="5" t="s">
        <v>46</v>
      </c>
      <c r="Y515" s="29" t="s">
        <v>209</v>
      </c>
      <c r="Z515" s="71">
        <v>44832</v>
      </c>
      <c r="AB515" s="5" t="str">
        <f>IF(X515="20um Schlenk", "Single", "Poly")</f>
        <v>Poly</v>
      </c>
      <c r="AC515" s="5">
        <v>100</v>
      </c>
      <c r="AD515" s="59">
        <v>0.02</v>
      </c>
      <c r="AE515" s="29">
        <v>2</v>
      </c>
      <c r="AF515" s="29" t="s">
        <v>104</v>
      </c>
      <c r="AG515" s="29" t="s">
        <v>102</v>
      </c>
      <c r="AJ515"/>
    </row>
    <row r="516" spans="1:38" ht="15" customHeight="1" x14ac:dyDescent="0.35">
      <c r="A516" s="71">
        <v>44832</v>
      </c>
      <c r="B516" s="5">
        <v>15</v>
      </c>
      <c r="C516" s="5" t="s">
        <v>206</v>
      </c>
      <c r="D516" s="5" t="s">
        <v>165</v>
      </c>
      <c r="E516" s="5"/>
      <c r="F516" s="5">
        <v>1050</v>
      </c>
      <c r="G516" s="5">
        <v>200</v>
      </c>
      <c r="H516" s="5"/>
      <c r="I516" s="5">
        <v>10</v>
      </c>
      <c r="J516" s="69"/>
      <c r="K516" s="43">
        <v>2.08</v>
      </c>
      <c r="L516" s="69"/>
      <c r="M516" s="5" t="s">
        <v>16</v>
      </c>
      <c r="N516" s="6">
        <v>5</v>
      </c>
      <c r="O516" s="5">
        <v>132</v>
      </c>
      <c r="P516" s="5">
        <v>0</v>
      </c>
      <c r="Q516" s="5">
        <v>24</v>
      </c>
      <c r="R516" s="3">
        <f t="shared" si="138"/>
        <v>156</v>
      </c>
      <c r="S516" s="3" t="s">
        <v>193</v>
      </c>
      <c r="T516" s="3" t="s">
        <v>193</v>
      </c>
      <c r="U516" s="3" t="s">
        <v>193</v>
      </c>
      <c r="V516" s="5">
        <v>10</v>
      </c>
      <c r="W516" s="5" t="s">
        <v>52</v>
      </c>
      <c r="X516" s="5" t="s">
        <v>46</v>
      </c>
      <c r="Z516" s="71">
        <v>44832</v>
      </c>
      <c r="AB516" s="5"/>
      <c r="AC516" s="5"/>
      <c r="AD516" s="59"/>
      <c r="AF516" s="29"/>
      <c r="AG516" s="29"/>
      <c r="AJ516"/>
    </row>
    <row r="517" spans="1:38" ht="15" customHeight="1" x14ac:dyDescent="0.35">
      <c r="A517" s="71">
        <v>44832</v>
      </c>
      <c r="B517" s="5">
        <v>16</v>
      </c>
      <c r="C517" s="5" t="s">
        <v>157</v>
      </c>
      <c r="D517" s="5" t="s">
        <v>165</v>
      </c>
      <c r="E517"/>
      <c r="F517" s="5">
        <v>1050</v>
      </c>
      <c r="G517" s="5">
        <v>100</v>
      </c>
      <c r="H517" s="5" t="s">
        <v>220</v>
      </c>
      <c r="I517" s="5">
        <v>12</v>
      </c>
      <c r="J517" s="67"/>
      <c r="K517" s="6">
        <v>2.8</v>
      </c>
      <c r="L517" s="67"/>
      <c r="M517" s="5" t="s">
        <v>16</v>
      </c>
      <c r="N517" s="5">
        <v>5</v>
      </c>
      <c r="O517" s="5">
        <v>91</v>
      </c>
      <c r="P517" s="5">
        <v>25</v>
      </c>
      <c r="Q517" s="5">
        <v>0</v>
      </c>
      <c r="R517" s="3">
        <f t="shared" si="138"/>
        <v>116</v>
      </c>
      <c r="S517" s="3">
        <f>O517/P517</f>
        <v>3.64</v>
      </c>
      <c r="T517" s="3">
        <f>18.7/4</f>
        <v>4.6749999999999998</v>
      </c>
      <c r="U517" s="3">
        <f>32/22</f>
        <v>1.4545454545454546</v>
      </c>
      <c r="V517" s="5">
        <v>2</v>
      </c>
      <c r="W517" s="5" t="s">
        <v>52</v>
      </c>
      <c r="X517" s="5" t="s">
        <v>46</v>
      </c>
      <c r="Y517" s="29" t="s">
        <v>209</v>
      </c>
      <c r="Z517" s="71">
        <v>44832</v>
      </c>
      <c r="AB517" s="5" t="str">
        <f>IF(X517="20um Schlenk", "Single", "Poly")</f>
        <v>Poly</v>
      </c>
      <c r="AC517" s="5">
        <v>100</v>
      </c>
      <c r="AD517" s="59">
        <v>0.03</v>
      </c>
      <c r="AE517" s="29">
        <v>1</v>
      </c>
      <c r="AF517" s="29" t="s">
        <v>102</v>
      </c>
      <c r="AG517" s="29" t="s">
        <v>104</v>
      </c>
      <c r="AJ517"/>
    </row>
    <row r="518" spans="1:38" ht="15" customHeight="1" x14ac:dyDescent="0.35">
      <c r="A518" s="71"/>
      <c r="B518" s="5"/>
      <c r="C518" s="5"/>
      <c r="D518" s="5"/>
      <c r="E518" s="5"/>
      <c r="F518" s="5"/>
      <c r="G518" s="5"/>
      <c r="H518" s="5"/>
      <c r="I518" s="5"/>
      <c r="J518" s="69"/>
      <c r="K518" s="6"/>
      <c r="L518" s="69"/>
      <c r="M518" s="5"/>
      <c r="N518" s="6"/>
      <c r="O518" s="5"/>
      <c r="P518" s="5"/>
      <c r="Q518" s="5"/>
      <c r="R518" s="3"/>
      <c r="S518" s="3"/>
      <c r="T518" s="3"/>
      <c r="U518" s="3"/>
      <c r="V518" s="5"/>
      <c r="W518" s="5"/>
      <c r="X518" s="5"/>
      <c r="AB518" s="5"/>
      <c r="AC518" s="5"/>
      <c r="AD518" s="59"/>
      <c r="AF518" s="29"/>
      <c r="AG518" s="29"/>
      <c r="AJ518"/>
    </row>
    <row r="519" spans="1:38" ht="15" customHeight="1" x14ac:dyDescent="0.35">
      <c r="A519" s="71">
        <v>44833</v>
      </c>
      <c r="B519" s="5">
        <v>17</v>
      </c>
      <c r="C519" s="5" t="s">
        <v>48</v>
      </c>
      <c r="D519" s="5" t="s">
        <v>42</v>
      </c>
      <c r="E519" s="5"/>
      <c r="F519" s="5">
        <v>1050</v>
      </c>
      <c r="G519" s="5">
        <v>200</v>
      </c>
      <c r="H519" s="5"/>
      <c r="I519" s="5">
        <v>10</v>
      </c>
      <c r="J519" s="69"/>
      <c r="K519" s="6">
        <v>2.1</v>
      </c>
      <c r="L519" s="69"/>
      <c r="M519" s="5" t="s">
        <v>16</v>
      </c>
      <c r="N519" s="6">
        <v>3</v>
      </c>
      <c r="O519" s="5">
        <v>84</v>
      </c>
      <c r="P519" s="5">
        <v>48</v>
      </c>
      <c r="Q519" s="5">
        <v>24</v>
      </c>
      <c r="R519" s="3">
        <f t="shared" ref="R519:R539" si="141">O519+P519+Q519</f>
        <v>156</v>
      </c>
      <c r="S519" s="3">
        <f t="shared" ref="S519:S524" si="142">O519/P519</f>
        <v>1.75</v>
      </c>
      <c r="T519" s="3">
        <f>16.8/18</f>
        <v>0.93333333333333335</v>
      </c>
      <c r="U519" s="3">
        <f>28.5/45</f>
        <v>0.6333333333333333</v>
      </c>
      <c r="V519" s="5">
        <v>1</v>
      </c>
      <c r="W519" s="5" t="s">
        <v>169</v>
      </c>
      <c r="X519" s="5" t="s">
        <v>45</v>
      </c>
      <c r="Z519" s="71">
        <v>44833</v>
      </c>
      <c r="AA519" s="5"/>
      <c r="AB519" s="5" t="str">
        <f t="shared" ref="AB519:AB524" si="143">IF(X519="20um Schlenk", "Single", "Poly")</f>
        <v>Single</v>
      </c>
      <c r="AC519" s="5">
        <v>100</v>
      </c>
      <c r="AD519" s="29">
        <v>0.03</v>
      </c>
      <c r="AE519" s="29">
        <v>2</v>
      </c>
      <c r="AF519" s="29" t="s">
        <v>104</v>
      </c>
      <c r="AG519" t="s">
        <v>104</v>
      </c>
      <c r="AJ519"/>
    </row>
    <row r="520" spans="1:38" ht="15" customHeight="1" x14ac:dyDescent="0.35">
      <c r="A520" s="71">
        <v>44833</v>
      </c>
      <c r="B520" s="5">
        <v>17</v>
      </c>
      <c r="C520" s="5" t="s">
        <v>48</v>
      </c>
      <c r="D520" s="5" t="s">
        <v>42</v>
      </c>
      <c r="E520" s="5"/>
      <c r="F520" s="5">
        <v>1050</v>
      </c>
      <c r="G520" s="5">
        <v>200</v>
      </c>
      <c r="H520" s="5"/>
      <c r="I520" s="5">
        <v>10</v>
      </c>
      <c r="J520" s="69"/>
      <c r="K520" s="6">
        <v>2.1</v>
      </c>
      <c r="L520" s="69"/>
      <c r="M520" s="5" t="s">
        <v>16</v>
      </c>
      <c r="N520" s="6">
        <v>3</v>
      </c>
      <c r="O520" s="5">
        <v>84</v>
      </c>
      <c r="P520" s="5">
        <v>48</v>
      </c>
      <c r="Q520" s="5">
        <v>24</v>
      </c>
      <c r="R520" s="3">
        <f t="shared" si="141"/>
        <v>156</v>
      </c>
      <c r="S520" s="3">
        <f t="shared" si="142"/>
        <v>1.75</v>
      </c>
      <c r="T520" s="3">
        <f>16.8/18</f>
        <v>0.93333333333333335</v>
      </c>
      <c r="U520" s="3">
        <f>28.5/45</f>
        <v>0.6333333333333333</v>
      </c>
      <c r="V520" s="5">
        <v>1</v>
      </c>
      <c r="W520" s="5" t="s">
        <v>169</v>
      </c>
      <c r="X520" s="5" t="s">
        <v>46</v>
      </c>
      <c r="Z520" s="71">
        <v>44833</v>
      </c>
      <c r="AA520" s="5"/>
      <c r="AB520" s="5" t="str">
        <f t="shared" si="143"/>
        <v>Poly</v>
      </c>
      <c r="AC520" s="5">
        <v>100</v>
      </c>
      <c r="AD520" s="29">
        <v>0.09</v>
      </c>
      <c r="AE520" s="29">
        <v>0</v>
      </c>
      <c r="AF520" s="29" t="s">
        <v>103</v>
      </c>
      <c r="AG520" s="29" t="s">
        <v>104</v>
      </c>
      <c r="AJ520"/>
      <c r="AL520" t="s">
        <v>221</v>
      </c>
    </row>
    <row r="521" spans="1:38" ht="15" customHeight="1" x14ac:dyDescent="0.35">
      <c r="A521" s="71">
        <v>44833</v>
      </c>
      <c r="B521" s="5">
        <v>18</v>
      </c>
      <c r="C521" s="5" t="s">
        <v>222</v>
      </c>
      <c r="D521" s="5" t="s">
        <v>42</v>
      </c>
      <c r="E521"/>
      <c r="F521" s="5">
        <v>1050</v>
      </c>
      <c r="G521" s="5">
        <v>200</v>
      </c>
      <c r="H521"/>
      <c r="I521" s="29">
        <v>12</v>
      </c>
      <c r="J521"/>
      <c r="K521" s="43">
        <v>2.71</v>
      </c>
      <c r="L521"/>
      <c r="M521" s="5" t="s">
        <v>16</v>
      </c>
      <c r="N521" s="6">
        <v>5</v>
      </c>
      <c r="O521" s="29">
        <v>140</v>
      </c>
      <c r="P521" s="29">
        <v>4.8</v>
      </c>
      <c r="Q521" s="29">
        <v>20</v>
      </c>
      <c r="R521" s="3">
        <f t="shared" si="141"/>
        <v>164.8</v>
      </c>
      <c r="S521" s="3">
        <f t="shared" si="142"/>
        <v>29.166666666666668</v>
      </c>
      <c r="T521" s="3">
        <f>50.9/0.4</f>
        <v>127.24999999999999</v>
      </c>
      <c r="U521" s="3">
        <f>71.7/3.5</f>
        <v>20.485714285714288</v>
      </c>
      <c r="V521" s="5">
        <v>1</v>
      </c>
      <c r="W521" s="5" t="s">
        <v>169</v>
      </c>
      <c r="X521" s="5" t="s">
        <v>45</v>
      </c>
      <c r="Z521" s="71">
        <v>44833</v>
      </c>
      <c r="AB521" s="5" t="str">
        <f t="shared" si="143"/>
        <v>Single</v>
      </c>
      <c r="AC521" s="5">
        <v>100</v>
      </c>
      <c r="AD521" s="59">
        <v>0.06</v>
      </c>
      <c r="AE521" s="29">
        <v>3</v>
      </c>
      <c r="AF521" s="29" t="s">
        <v>104</v>
      </c>
      <c r="AG521" s="29" t="s">
        <v>102</v>
      </c>
      <c r="AJ521"/>
    </row>
    <row r="522" spans="1:38" ht="15" customHeight="1" x14ac:dyDescent="0.35">
      <c r="A522" s="71">
        <v>44833</v>
      </c>
      <c r="B522" s="5">
        <v>18</v>
      </c>
      <c r="C522" s="5" t="s">
        <v>222</v>
      </c>
      <c r="D522" s="5" t="s">
        <v>42</v>
      </c>
      <c r="E522"/>
      <c r="F522" s="5">
        <v>1050</v>
      </c>
      <c r="G522" s="5">
        <v>200</v>
      </c>
      <c r="H522"/>
      <c r="I522" s="29">
        <v>12</v>
      </c>
      <c r="J522"/>
      <c r="K522" s="43">
        <v>2.71</v>
      </c>
      <c r="L522"/>
      <c r="M522" s="5" t="s">
        <v>16</v>
      </c>
      <c r="N522" s="6">
        <v>5</v>
      </c>
      <c r="O522" s="29">
        <v>140</v>
      </c>
      <c r="P522" s="29">
        <v>4.8</v>
      </c>
      <c r="Q522" s="29">
        <v>20</v>
      </c>
      <c r="R522" s="3">
        <f t="shared" si="141"/>
        <v>164.8</v>
      </c>
      <c r="S522" s="3">
        <f t="shared" si="142"/>
        <v>29.166666666666668</v>
      </c>
      <c r="T522" s="3">
        <f>50.9/0.4</f>
        <v>127.24999999999999</v>
      </c>
      <c r="U522" s="3">
        <f>71.7/3.5</f>
        <v>20.485714285714288</v>
      </c>
      <c r="V522" s="5">
        <v>1</v>
      </c>
      <c r="W522" s="5" t="s">
        <v>169</v>
      </c>
      <c r="X522" s="5" t="s">
        <v>46</v>
      </c>
      <c r="Z522" s="71">
        <v>44833</v>
      </c>
      <c r="AB522" s="5" t="str">
        <f t="shared" si="143"/>
        <v>Poly</v>
      </c>
      <c r="AC522" s="5">
        <v>100</v>
      </c>
      <c r="AD522" s="59">
        <v>0.05</v>
      </c>
      <c r="AE522" s="29">
        <v>3</v>
      </c>
      <c r="AF522" s="29" t="s">
        <v>104</v>
      </c>
      <c r="AG522" s="29" t="s">
        <v>103</v>
      </c>
      <c r="AJ522"/>
    </row>
    <row r="523" spans="1:38" ht="15" customHeight="1" x14ac:dyDescent="0.35">
      <c r="A523" s="71">
        <v>44833</v>
      </c>
      <c r="B523" s="5">
        <v>19</v>
      </c>
      <c r="C523" s="5" t="s">
        <v>223</v>
      </c>
      <c r="D523" s="5" t="s">
        <v>42</v>
      </c>
      <c r="E523"/>
      <c r="F523" s="5">
        <v>1050</v>
      </c>
      <c r="G523" s="5">
        <v>200</v>
      </c>
      <c r="H523"/>
      <c r="I523" s="29">
        <v>12</v>
      </c>
      <c r="J523"/>
      <c r="K523" s="43">
        <v>2.52</v>
      </c>
      <c r="L523"/>
      <c r="M523" s="5" t="s">
        <v>16</v>
      </c>
      <c r="N523" s="6">
        <v>5</v>
      </c>
      <c r="O523" s="29">
        <v>140</v>
      </c>
      <c r="P523" s="29">
        <v>4.8</v>
      </c>
      <c r="Q523" s="29">
        <v>20</v>
      </c>
      <c r="R523" s="3">
        <f t="shared" si="141"/>
        <v>164.8</v>
      </c>
      <c r="S523" s="3">
        <f t="shared" si="142"/>
        <v>29.166666666666668</v>
      </c>
      <c r="T523" s="3">
        <f>50.9/0.4</f>
        <v>127.24999999999999</v>
      </c>
      <c r="U523" s="3">
        <f>71.7/3.5</f>
        <v>20.485714285714288</v>
      </c>
      <c r="V523" s="5">
        <v>1</v>
      </c>
      <c r="W523" s="5" t="s">
        <v>169</v>
      </c>
      <c r="X523" s="5" t="s">
        <v>45</v>
      </c>
      <c r="Z523" s="71">
        <v>44833</v>
      </c>
      <c r="AB523" s="5" t="str">
        <f t="shared" si="143"/>
        <v>Single</v>
      </c>
      <c r="AC523" s="5">
        <v>50</v>
      </c>
      <c r="AD523" s="59">
        <v>2E-3</v>
      </c>
      <c r="AE523" s="29">
        <v>1</v>
      </c>
      <c r="AF523" s="29"/>
      <c r="AG523" s="29"/>
      <c r="AJ523"/>
    </row>
    <row r="524" spans="1:38" ht="15" customHeight="1" x14ac:dyDescent="0.35">
      <c r="A524" s="71">
        <v>44833</v>
      </c>
      <c r="B524" s="5">
        <v>19</v>
      </c>
      <c r="C524" s="5" t="s">
        <v>223</v>
      </c>
      <c r="D524" s="5" t="s">
        <v>42</v>
      </c>
      <c r="E524"/>
      <c r="F524" s="5">
        <v>1050</v>
      </c>
      <c r="G524" s="5">
        <v>200</v>
      </c>
      <c r="H524"/>
      <c r="I524" s="29">
        <v>12</v>
      </c>
      <c r="J524"/>
      <c r="K524" s="43">
        <v>2.52</v>
      </c>
      <c r="L524"/>
      <c r="M524" s="5" t="s">
        <v>16</v>
      </c>
      <c r="N524" s="6">
        <v>5</v>
      </c>
      <c r="O524" s="29">
        <v>140</v>
      </c>
      <c r="P524" s="29">
        <v>4.8</v>
      </c>
      <c r="Q524" s="29">
        <v>20</v>
      </c>
      <c r="R524" s="3">
        <f t="shared" si="141"/>
        <v>164.8</v>
      </c>
      <c r="S524" s="3">
        <f t="shared" si="142"/>
        <v>29.166666666666668</v>
      </c>
      <c r="T524" s="3">
        <f>50.9/0.4</f>
        <v>127.24999999999999</v>
      </c>
      <c r="U524" s="3">
        <f>71.7/3.5</f>
        <v>20.485714285714288</v>
      </c>
      <c r="V524" s="5">
        <v>1</v>
      </c>
      <c r="W524" s="5" t="s">
        <v>169</v>
      </c>
      <c r="X524" s="5" t="s">
        <v>46</v>
      </c>
      <c r="Z524" s="71">
        <v>44833</v>
      </c>
      <c r="AB524" s="5" t="str">
        <f t="shared" si="143"/>
        <v>Poly</v>
      </c>
      <c r="AC524" s="5">
        <v>10</v>
      </c>
      <c r="AD524" s="59"/>
      <c r="AE524" s="29">
        <v>0</v>
      </c>
      <c r="AF524" s="29"/>
      <c r="AG524" s="29"/>
      <c r="AJ524"/>
    </row>
    <row r="525" spans="1:38" ht="15" customHeight="1" x14ac:dyDescent="0.35">
      <c r="A525" s="71">
        <v>44833</v>
      </c>
      <c r="B525" s="5">
        <v>20</v>
      </c>
      <c r="C525" t="s">
        <v>224</v>
      </c>
      <c r="D525" s="5" t="s">
        <v>42</v>
      </c>
      <c r="E525"/>
      <c r="F525" s="5">
        <v>1050</v>
      </c>
      <c r="G525" s="5">
        <v>250</v>
      </c>
      <c r="H525"/>
      <c r="I525" s="29">
        <v>12</v>
      </c>
      <c r="J525"/>
      <c r="K525" s="43">
        <v>2.48</v>
      </c>
      <c r="L525"/>
      <c r="M525" s="5" t="s">
        <v>16</v>
      </c>
      <c r="N525" s="6">
        <v>3</v>
      </c>
      <c r="O525" s="29">
        <v>132</v>
      </c>
      <c r="P525" s="29">
        <v>0</v>
      </c>
      <c r="Q525" s="29">
        <v>24</v>
      </c>
      <c r="R525" s="3">
        <f t="shared" si="141"/>
        <v>156</v>
      </c>
      <c r="S525" s="3" t="s">
        <v>193</v>
      </c>
      <c r="T525" s="3" t="s">
        <v>193</v>
      </c>
      <c r="U525" s="3" t="s">
        <v>193</v>
      </c>
      <c r="V525" s="5">
        <v>1</v>
      </c>
      <c r="W525" s="5" t="s">
        <v>169</v>
      </c>
      <c r="X525" s="5" t="s">
        <v>45</v>
      </c>
      <c r="Z525" s="71">
        <v>44833</v>
      </c>
      <c r="AB525" s="5"/>
      <c r="AC525" s="5"/>
      <c r="AD525" s="59"/>
      <c r="AF525" s="29"/>
      <c r="AG525" s="29"/>
      <c r="AJ525"/>
    </row>
    <row r="526" spans="1:38" ht="15" customHeight="1" x14ac:dyDescent="0.35">
      <c r="A526" s="71">
        <v>44833</v>
      </c>
      <c r="B526" s="5">
        <v>20</v>
      </c>
      <c r="C526" t="s">
        <v>224</v>
      </c>
      <c r="D526" s="5" t="s">
        <v>42</v>
      </c>
      <c r="E526"/>
      <c r="F526" s="5">
        <v>1050</v>
      </c>
      <c r="G526" s="5">
        <v>250</v>
      </c>
      <c r="H526"/>
      <c r="I526" s="29">
        <v>12</v>
      </c>
      <c r="J526"/>
      <c r="K526" s="43">
        <v>2.48</v>
      </c>
      <c r="L526"/>
      <c r="M526" s="5" t="s">
        <v>16</v>
      </c>
      <c r="N526" s="6">
        <v>3</v>
      </c>
      <c r="O526" s="29">
        <v>132</v>
      </c>
      <c r="P526" s="29">
        <v>0</v>
      </c>
      <c r="Q526" s="29">
        <v>24</v>
      </c>
      <c r="R526" s="3">
        <f t="shared" si="141"/>
        <v>156</v>
      </c>
      <c r="S526" s="3" t="s">
        <v>193</v>
      </c>
      <c r="T526" s="3" t="s">
        <v>193</v>
      </c>
      <c r="U526" s="3" t="s">
        <v>193</v>
      </c>
      <c r="V526" s="5">
        <v>1</v>
      </c>
      <c r="W526" s="5" t="s">
        <v>169</v>
      </c>
      <c r="X526" s="5" t="s">
        <v>46</v>
      </c>
      <c r="Z526" s="71">
        <v>44833</v>
      </c>
      <c r="AB526" s="5"/>
      <c r="AC526" s="5"/>
      <c r="AD526" s="59"/>
      <c r="AF526" s="29"/>
      <c r="AG526" s="29"/>
      <c r="AJ526"/>
    </row>
    <row r="527" spans="1:38" ht="15" customHeight="1" x14ac:dyDescent="0.35">
      <c r="A527" s="71">
        <v>44833</v>
      </c>
      <c r="B527" s="5">
        <v>21</v>
      </c>
      <c r="C527" s="5" t="s">
        <v>157</v>
      </c>
      <c r="D527" s="5" t="s">
        <v>165</v>
      </c>
      <c r="E527"/>
      <c r="F527" s="5">
        <v>1050</v>
      </c>
      <c r="G527" s="5">
        <v>100</v>
      </c>
      <c r="H527" s="5" t="s">
        <v>208</v>
      </c>
      <c r="I527" s="5">
        <v>12</v>
      </c>
      <c r="J527" s="67"/>
      <c r="K527" s="6">
        <v>2.35</v>
      </c>
      <c r="L527" s="67"/>
      <c r="M527" s="5" t="s">
        <v>16</v>
      </c>
      <c r="N527" s="5">
        <v>3</v>
      </c>
      <c r="O527" s="5">
        <v>91</v>
      </c>
      <c r="P527" s="5">
        <v>25</v>
      </c>
      <c r="Q527" s="5">
        <v>0</v>
      </c>
      <c r="R527" s="3">
        <f t="shared" si="141"/>
        <v>116</v>
      </c>
      <c r="S527" s="3">
        <f>O527/P527</f>
        <v>3.64</v>
      </c>
      <c r="T527" s="3">
        <f>18.7/4</f>
        <v>4.6749999999999998</v>
      </c>
      <c r="U527" s="3">
        <f>32/22</f>
        <v>1.4545454545454546</v>
      </c>
      <c r="V527" s="5">
        <v>8</v>
      </c>
      <c r="W527" s="5" t="s">
        <v>52</v>
      </c>
      <c r="X527" s="5" t="s">
        <v>46</v>
      </c>
      <c r="Y527" s="29" t="s">
        <v>209</v>
      </c>
      <c r="Z527" s="71">
        <v>44833</v>
      </c>
      <c r="AB527" s="5" t="str">
        <f>IF(X527="20um Schlenk", "Single", "Poly")</f>
        <v>Poly</v>
      </c>
      <c r="AC527" s="5">
        <v>100</v>
      </c>
      <c r="AD527" s="59">
        <v>0.03</v>
      </c>
      <c r="AE527" s="29">
        <v>0</v>
      </c>
      <c r="AF527" s="29" t="s">
        <v>104</v>
      </c>
      <c r="AG527" s="29" t="s">
        <v>102</v>
      </c>
      <c r="AJ527"/>
    </row>
    <row r="528" spans="1:38" ht="15" customHeight="1" x14ac:dyDescent="0.35">
      <c r="A528" s="71">
        <v>44833</v>
      </c>
      <c r="B528" s="5">
        <v>22</v>
      </c>
      <c r="C528" s="5" t="s">
        <v>157</v>
      </c>
      <c r="D528" s="5" t="s">
        <v>42</v>
      </c>
      <c r="E528"/>
      <c r="F528" s="5">
        <v>1050</v>
      </c>
      <c r="G528" s="5">
        <v>300</v>
      </c>
      <c r="H528" s="5" t="s">
        <v>208</v>
      </c>
      <c r="I528" s="5">
        <v>12</v>
      </c>
      <c r="J528" s="67"/>
      <c r="K528" s="6">
        <v>2.35</v>
      </c>
      <c r="L528" s="67"/>
      <c r="M528" s="5" t="s">
        <v>16</v>
      </c>
      <c r="N528" s="5">
        <v>5</v>
      </c>
      <c r="O528" s="5">
        <v>91</v>
      </c>
      <c r="P528" s="5">
        <v>25</v>
      </c>
      <c r="Q528" s="5">
        <v>0</v>
      </c>
      <c r="R528" s="3">
        <f t="shared" si="141"/>
        <v>116</v>
      </c>
      <c r="S528" s="3">
        <f>O528/P528</f>
        <v>3.64</v>
      </c>
      <c r="T528" s="3">
        <f>18.7/4</f>
        <v>4.6749999999999998</v>
      </c>
      <c r="U528" s="3">
        <f>32/22</f>
        <v>1.4545454545454546</v>
      </c>
      <c r="V528" s="5">
        <v>1</v>
      </c>
      <c r="W528" s="5" t="s">
        <v>169</v>
      </c>
      <c r="X528" s="5" t="s">
        <v>45</v>
      </c>
      <c r="Y528" s="29" t="s">
        <v>225</v>
      </c>
      <c r="Z528" s="71">
        <v>44833</v>
      </c>
      <c r="AB528" s="5" t="str">
        <f>IF(X528="20um Schlenk", "Single", "Poly")</f>
        <v>Single</v>
      </c>
      <c r="AC528" s="5">
        <v>100</v>
      </c>
      <c r="AD528" s="59">
        <v>0.04</v>
      </c>
      <c r="AE528" s="29">
        <v>2</v>
      </c>
      <c r="AF528" s="29" t="s">
        <v>104</v>
      </c>
      <c r="AG528" s="29" t="s">
        <v>102</v>
      </c>
      <c r="AJ528"/>
    </row>
    <row r="529" spans="1:36" ht="15" customHeight="1" x14ac:dyDescent="0.35">
      <c r="A529" s="71">
        <v>44833</v>
      </c>
      <c r="B529" s="5">
        <v>22</v>
      </c>
      <c r="C529" s="5" t="s">
        <v>157</v>
      </c>
      <c r="D529" s="5" t="s">
        <v>42</v>
      </c>
      <c r="E529"/>
      <c r="F529" s="5">
        <v>1050</v>
      </c>
      <c r="G529" s="5">
        <v>300</v>
      </c>
      <c r="H529" s="5" t="s">
        <v>208</v>
      </c>
      <c r="I529" s="5">
        <v>12</v>
      </c>
      <c r="J529" s="67"/>
      <c r="K529" s="6">
        <v>2.35</v>
      </c>
      <c r="L529" s="67"/>
      <c r="M529" s="5" t="s">
        <v>16</v>
      </c>
      <c r="N529" s="5">
        <v>5</v>
      </c>
      <c r="O529" s="5">
        <v>91</v>
      </c>
      <c r="P529" s="5">
        <v>25</v>
      </c>
      <c r="Q529" s="5">
        <v>0</v>
      </c>
      <c r="R529" s="3">
        <f t="shared" si="141"/>
        <v>116</v>
      </c>
      <c r="S529" s="3">
        <f>O529/P529</f>
        <v>3.64</v>
      </c>
      <c r="T529" s="3">
        <f>18.7/4</f>
        <v>4.6749999999999998</v>
      </c>
      <c r="U529" s="3">
        <f>32/22</f>
        <v>1.4545454545454546</v>
      </c>
      <c r="V529" s="5">
        <v>1</v>
      </c>
      <c r="W529" s="5" t="s">
        <v>169</v>
      </c>
      <c r="X529" s="5" t="s">
        <v>46</v>
      </c>
      <c r="Y529" s="29" t="s">
        <v>225</v>
      </c>
      <c r="Z529" s="71">
        <v>44833</v>
      </c>
      <c r="AB529" s="5" t="str">
        <f>IF(X529="20um Schlenk", "Single", "Poly")</f>
        <v>Poly</v>
      </c>
      <c r="AC529" s="5">
        <v>100</v>
      </c>
      <c r="AD529" s="59">
        <v>0.02</v>
      </c>
      <c r="AE529" s="29">
        <v>3</v>
      </c>
      <c r="AF529" s="29" t="s">
        <v>104</v>
      </c>
      <c r="AG529" s="29" t="s">
        <v>102</v>
      </c>
      <c r="AJ529"/>
    </row>
    <row r="530" spans="1:36" ht="15" customHeight="1" x14ac:dyDescent="0.35">
      <c r="A530" s="71">
        <v>44833</v>
      </c>
      <c r="B530" s="5">
        <v>23</v>
      </c>
      <c r="C530" s="5" t="s">
        <v>206</v>
      </c>
      <c r="D530" s="5" t="s">
        <v>42</v>
      </c>
      <c r="E530" s="5"/>
      <c r="F530" s="5">
        <v>1050</v>
      </c>
      <c r="G530" s="5">
        <v>200</v>
      </c>
      <c r="H530" s="5"/>
      <c r="I530" s="5">
        <v>10</v>
      </c>
      <c r="J530" s="69"/>
      <c r="K530" s="6">
        <v>2.2000000000000002</v>
      </c>
      <c r="L530" s="69"/>
      <c r="M530" s="5" t="s">
        <v>16</v>
      </c>
      <c r="N530" s="6">
        <v>5</v>
      </c>
      <c r="O530" s="5">
        <v>132</v>
      </c>
      <c r="P530" s="5">
        <v>0</v>
      </c>
      <c r="Q530" s="5">
        <v>24</v>
      </c>
      <c r="R530" s="3">
        <f t="shared" si="141"/>
        <v>156</v>
      </c>
      <c r="S530" s="3" t="s">
        <v>193</v>
      </c>
      <c r="T530" s="3" t="s">
        <v>193</v>
      </c>
      <c r="U530" s="3" t="s">
        <v>193</v>
      </c>
      <c r="V530" s="5">
        <v>1</v>
      </c>
      <c r="W530" s="5" t="s">
        <v>169</v>
      </c>
      <c r="X530" s="5" t="s">
        <v>45</v>
      </c>
      <c r="Z530" s="71">
        <v>44833</v>
      </c>
      <c r="AB530" s="5"/>
      <c r="AC530" s="5"/>
      <c r="AD530" s="59"/>
      <c r="AF530" s="29"/>
      <c r="AG530" s="29"/>
      <c r="AJ530"/>
    </row>
    <row r="531" spans="1:36" ht="15" customHeight="1" x14ac:dyDescent="0.35">
      <c r="A531" s="71">
        <v>44833</v>
      </c>
      <c r="B531" s="5">
        <v>23</v>
      </c>
      <c r="C531" s="5" t="s">
        <v>206</v>
      </c>
      <c r="D531" s="5" t="s">
        <v>42</v>
      </c>
      <c r="E531" s="5"/>
      <c r="F531" s="5">
        <v>1050</v>
      </c>
      <c r="G531" s="5">
        <v>200</v>
      </c>
      <c r="H531" s="5"/>
      <c r="I531" s="5">
        <v>10</v>
      </c>
      <c r="J531" s="69"/>
      <c r="K531" s="6">
        <v>2.2000000000000002</v>
      </c>
      <c r="L531" s="69"/>
      <c r="M531" s="5" t="s">
        <v>16</v>
      </c>
      <c r="N531" s="6">
        <v>5</v>
      </c>
      <c r="O531" s="5">
        <v>132</v>
      </c>
      <c r="P531" s="5">
        <v>0</v>
      </c>
      <c r="Q531" s="5">
        <v>24</v>
      </c>
      <c r="R531" s="3">
        <f t="shared" si="141"/>
        <v>156</v>
      </c>
      <c r="S531" s="3" t="s">
        <v>193</v>
      </c>
      <c r="T531" s="3" t="s">
        <v>193</v>
      </c>
      <c r="U531" s="3" t="s">
        <v>193</v>
      </c>
      <c r="V531" s="5">
        <v>1</v>
      </c>
      <c r="W531" s="5" t="s">
        <v>169</v>
      </c>
      <c r="X531" s="5" t="s">
        <v>46</v>
      </c>
      <c r="Z531" s="71">
        <v>44833</v>
      </c>
      <c r="AB531" s="5"/>
      <c r="AC531" s="5"/>
      <c r="AD531" s="59"/>
      <c r="AF531" s="29"/>
      <c r="AG531" s="29"/>
      <c r="AJ531"/>
    </row>
    <row r="532" spans="1:36" ht="15" customHeight="1" x14ac:dyDescent="0.35">
      <c r="A532" s="71">
        <v>44833</v>
      </c>
      <c r="B532" s="5">
        <v>24</v>
      </c>
      <c r="C532" s="5" t="s">
        <v>226</v>
      </c>
      <c r="D532" s="5" t="s">
        <v>42</v>
      </c>
      <c r="E532"/>
      <c r="F532" s="5">
        <v>1050</v>
      </c>
      <c r="G532" s="5">
        <v>300</v>
      </c>
      <c r="H532" s="5" t="s">
        <v>208</v>
      </c>
      <c r="I532" s="5">
        <v>12</v>
      </c>
      <c r="J532" s="67"/>
      <c r="K532" s="6">
        <v>2.2000000000000002</v>
      </c>
      <c r="L532" s="67"/>
      <c r="M532" s="5" t="s">
        <v>16</v>
      </c>
      <c r="N532" s="5">
        <v>5</v>
      </c>
      <c r="O532" s="5">
        <v>91</v>
      </c>
      <c r="P532" s="5">
        <v>25</v>
      </c>
      <c r="Q532" s="5">
        <v>0</v>
      </c>
      <c r="R532" s="3">
        <f t="shared" si="141"/>
        <v>116</v>
      </c>
      <c r="S532" s="3">
        <f>O532/P532</f>
        <v>3.64</v>
      </c>
      <c r="T532" s="3">
        <f>18.7/4</f>
        <v>4.6749999999999998</v>
      </c>
      <c r="U532" s="3">
        <f>32/22</f>
        <v>1.4545454545454546</v>
      </c>
      <c r="V532" s="5">
        <v>1</v>
      </c>
      <c r="W532" s="5" t="s">
        <v>169</v>
      </c>
      <c r="X532" s="5" t="s">
        <v>45</v>
      </c>
      <c r="Y532" s="29" t="s">
        <v>209</v>
      </c>
      <c r="Z532" s="71">
        <v>44833</v>
      </c>
      <c r="AB532" s="5" t="str">
        <f>IF(X532="20um Schlenk", "Single", "Poly")</f>
        <v>Single</v>
      </c>
      <c r="AC532" s="5">
        <v>100</v>
      </c>
      <c r="AD532" s="59">
        <v>0.04</v>
      </c>
      <c r="AE532" s="29">
        <v>3</v>
      </c>
      <c r="AF532" s="29" t="s">
        <v>104</v>
      </c>
      <c r="AG532" s="29" t="s">
        <v>102</v>
      </c>
      <c r="AJ532"/>
    </row>
    <row r="533" spans="1:36" ht="15" customHeight="1" x14ac:dyDescent="0.35">
      <c r="A533" s="71">
        <v>44833</v>
      </c>
      <c r="B533" s="5">
        <v>24</v>
      </c>
      <c r="C533" s="5" t="s">
        <v>226</v>
      </c>
      <c r="D533" s="5" t="s">
        <v>42</v>
      </c>
      <c r="E533"/>
      <c r="F533" s="5">
        <v>1050</v>
      </c>
      <c r="G533" s="5">
        <v>300</v>
      </c>
      <c r="H533" s="5" t="s">
        <v>208</v>
      </c>
      <c r="I533" s="5">
        <v>12</v>
      </c>
      <c r="J533" s="67"/>
      <c r="K533" s="6">
        <v>2.2000000000000002</v>
      </c>
      <c r="L533" s="67"/>
      <c r="M533" s="5" t="s">
        <v>16</v>
      </c>
      <c r="N533" s="5">
        <v>5</v>
      </c>
      <c r="O533" s="5">
        <v>91</v>
      </c>
      <c r="P533" s="5">
        <v>25</v>
      </c>
      <c r="Q533" s="5">
        <v>0</v>
      </c>
      <c r="R533" s="3">
        <f t="shared" si="141"/>
        <v>116</v>
      </c>
      <c r="S533" s="3">
        <f>O533/P533</f>
        <v>3.64</v>
      </c>
      <c r="T533" s="3">
        <f>18.7/4</f>
        <v>4.6749999999999998</v>
      </c>
      <c r="U533" s="3">
        <f>32/22</f>
        <v>1.4545454545454546</v>
      </c>
      <c r="V533" s="5">
        <v>1</v>
      </c>
      <c r="W533" s="5" t="s">
        <v>169</v>
      </c>
      <c r="X533" s="5" t="s">
        <v>46</v>
      </c>
      <c r="Y533" s="29" t="s">
        <v>209</v>
      </c>
      <c r="Z533" s="71">
        <v>44833</v>
      </c>
      <c r="AB533" s="5" t="str">
        <f>IF(X533="20um Schlenk", "Single", "Poly")</f>
        <v>Poly</v>
      </c>
      <c r="AC533" s="5">
        <v>100</v>
      </c>
      <c r="AD533" s="59">
        <v>0.02</v>
      </c>
      <c r="AE533" s="29">
        <v>4</v>
      </c>
      <c r="AF533" s="29" t="s">
        <v>104</v>
      </c>
      <c r="AG533" s="29" t="s">
        <v>104</v>
      </c>
      <c r="AJ533"/>
    </row>
    <row r="534" spans="1:36" ht="15" customHeight="1" x14ac:dyDescent="0.35">
      <c r="A534" s="71">
        <v>44833</v>
      </c>
      <c r="B534" s="5">
        <v>25</v>
      </c>
      <c r="C534" t="s">
        <v>224</v>
      </c>
      <c r="D534" s="5" t="s">
        <v>42</v>
      </c>
      <c r="E534"/>
      <c r="F534" s="5">
        <v>1050</v>
      </c>
      <c r="G534" s="5">
        <v>300</v>
      </c>
      <c r="H534"/>
      <c r="I534" s="29">
        <v>12</v>
      </c>
      <c r="J534"/>
      <c r="K534" s="43"/>
      <c r="L534"/>
      <c r="M534" s="5" t="s">
        <v>16</v>
      </c>
      <c r="N534" s="6">
        <v>3</v>
      </c>
      <c r="O534" s="29">
        <v>132</v>
      </c>
      <c r="P534" s="29">
        <v>0</v>
      </c>
      <c r="Q534" s="29">
        <v>24</v>
      </c>
      <c r="R534" s="3">
        <f t="shared" si="141"/>
        <v>156</v>
      </c>
      <c r="S534" s="3" t="s">
        <v>193</v>
      </c>
      <c r="T534" s="3" t="s">
        <v>193</v>
      </c>
      <c r="U534" s="3" t="s">
        <v>193</v>
      </c>
      <c r="V534" s="5">
        <v>1</v>
      </c>
      <c r="W534" s="5" t="s">
        <v>169</v>
      </c>
      <c r="X534" s="5" t="s">
        <v>45</v>
      </c>
      <c r="Y534" s="5"/>
      <c r="Z534" s="71">
        <v>44833</v>
      </c>
      <c r="AB534" s="5"/>
      <c r="AC534" s="5"/>
      <c r="AD534" s="59"/>
      <c r="AF534" s="29"/>
      <c r="AG534" s="29"/>
      <c r="AJ534"/>
    </row>
    <row r="535" spans="1:36" ht="15" customHeight="1" x14ac:dyDescent="0.35">
      <c r="A535" s="71">
        <v>44833</v>
      </c>
      <c r="B535" s="5">
        <v>25</v>
      </c>
      <c r="C535" t="s">
        <v>224</v>
      </c>
      <c r="D535" s="5" t="s">
        <v>42</v>
      </c>
      <c r="E535"/>
      <c r="F535" s="5">
        <v>1050</v>
      </c>
      <c r="G535" s="5">
        <v>300</v>
      </c>
      <c r="H535"/>
      <c r="I535" s="29">
        <v>12</v>
      </c>
      <c r="J535"/>
      <c r="K535" s="43"/>
      <c r="L535"/>
      <c r="M535" s="5" t="s">
        <v>16</v>
      </c>
      <c r="N535" s="6">
        <v>3</v>
      </c>
      <c r="O535" s="29">
        <v>132</v>
      </c>
      <c r="P535" s="29">
        <v>0</v>
      </c>
      <c r="Q535" s="29">
        <v>24</v>
      </c>
      <c r="R535" s="3">
        <f t="shared" si="141"/>
        <v>156</v>
      </c>
      <c r="S535" s="3" t="s">
        <v>193</v>
      </c>
      <c r="T535" s="3" t="s">
        <v>193</v>
      </c>
      <c r="U535" s="3" t="s">
        <v>193</v>
      </c>
      <c r="V535" s="5">
        <v>1</v>
      </c>
      <c r="W535" s="5" t="s">
        <v>169</v>
      </c>
      <c r="X535" s="5" t="s">
        <v>46</v>
      </c>
      <c r="Y535" s="5"/>
      <c r="Z535" s="71">
        <v>44833</v>
      </c>
      <c r="AB535" s="5"/>
      <c r="AC535" s="5"/>
      <c r="AD535" s="59"/>
      <c r="AF535" s="29"/>
      <c r="AG535" s="29"/>
      <c r="AJ535"/>
    </row>
    <row r="536" spans="1:36" ht="15" customHeight="1" x14ac:dyDescent="0.35">
      <c r="A536" s="71">
        <v>44833</v>
      </c>
      <c r="B536" s="5">
        <v>25</v>
      </c>
      <c r="C536" t="s">
        <v>224</v>
      </c>
      <c r="D536" s="5" t="s">
        <v>42</v>
      </c>
      <c r="E536"/>
      <c r="F536" s="5">
        <v>1050</v>
      </c>
      <c r="G536" s="5">
        <v>300</v>
      </c>
      <c r="H536"/>
      <c r="I536" s="29">
        <v>12</v>
      </c>
      <c r="J536"/>
      <c r="K536" s="43"/>
      <c r="L536"/>
      <c r="M536" s="5" t="s">
        <v>16</v>
      </c>
      <c r="N536" s="6">
        <v>3</v>
      </c>
      <c r="O536" s="29">
        <v>132</v>
      </c>
      <c r="P536" s="29">
        <v>0</v>
      </c>
      <c r="Q536" s="29">
        <v>24</v>
      </c>
      <c r="R536" s="3">
        <f t="shared" si="141"/>
        <v>156</v>
      </c>
      <c r="S536" s="3" t="s">
        <v>193</v>
      </c>
      <c r="T536" s="3" t="s">
        <v>193</v>
      </c>
      <c r="U536" s="3" t="s">
        <v>193</v>
      </c>
      <c r="V536" s="5">
        <v>1</v>
      </c>
      <c r="W536" s="5" t="s">
        <v>169</v>
      </c>
      <c r="X536" s="5" t="s">
        <v>46</v>
      </c>
      <c r="Y536" s="5" t="s">
        <v>227</v>
      </c>
      <c r="Z536" s="71">
        <v>44833</v>
      </c>
      <c r="AB536" s="5"/>
      <c r="AC536" s="5"/>
      <c r="AD536" s="59"/>
      <c r="AF536" s="29"/>
      <c r="AG536" s="29"/>
      <c r="AJ536"/>
    </row>
    <row r="537" spans="1:36" ht="15" customHeight="1" x14ac:dyDescent="0.35">
      <c r="A537" s="71">
        <v>44833</v>
      </c>
      <c r="B537" s="5">
        <v>26</v>
      </c>
      <c r="C537" s="5" t="s">
        <v>226</v>
      </c>
      <c r="D537" s="5" t="s">
        <v>42</v>
      </c>
      <c r="E537"/>
      <c r="F537" s="5">
        <v>1050</v>
      </c>
      <c r="G537" s="5">
        <v>200</v>
      </c>
      <c r="H537" s="5" t="s">
        <v>208</v>
      </c>
      <c r="I537" s="5">
        <v>12</v>
      </c>
      <c r="J537" s="67"/>
      <c r="K537" s="6"/>
      <c r="L537" s="67"/>
      <c r="M537" s="5" t="s">
        <v>16</v>
      </c>
      <c r="N537" s="5">
        <v>5</v>
      </c>
      <c r="O537" s="5">
        <v>91</v>
      </c>
      <c r="P537" s="5">
        <v>25</v>
      </c>
      <c r="Q537" s="5">
        <v>0</v>
      </c>
      <c r="R537" s="3">
        <f t="shared" si="141"/>
        <v>116</v>
      </c>
      <c r="S537" s="3">
        <f>O537/P537</f>
        <v>3.64</v>
      </c>
      <c r="T537" s="3">
        <f>18.7/4</f>
        <v>4.6749999999999998</v>
      </c>
      <c r="U537" s="3">
        <f>32/22</f>
        <v>1.4545454545454546</v>
      </c>
      <c r="V537" s="5">
        <v>1</v>
      </c>
      <c r="W537" s="5" t="s">
        <v>169</v>
      </c>
      <c r="X537" s="5" t="s">
        <v>45</v>
      </c>
      <c r="Y537" s="29" t="s">
        <v>209</v>
      </c>
      <c r="Z537" s="71">
        <v>44833</v>
      </c>
      <c r="AB537" s="5" t="str">
        <f>IF(X537="20um Schlenk", "Single", "Poly")</f>
        <v>Single</v>
      </c>
      <c r="AC537" s="5">
        <v>100</v>
      </c>
      <c r="AD537" s="59">
        <v>0.04</v>
      </c>
      <c r="AE537" s="29">
        <v>0</v>
      </c>
      <c r="AF537" s="29" t="s">
        <v>104</v>
      </c>
      <c r="AG537" s="29" t="s">
        <v>104</v>
      </c>
      <c r="AJ537"/>
    </row>
    <row r="538" spans="1:36" ht="15" customHeight="1" x14ac:dyDescent="0.35">
      <c r="A538" s="71">
        <v>44833</v>
      </c>
      <c r="B538" s="5">
        <v>26</v>
      </c>
      <c r="C538" s="5" t="s">
        <v>226</v>
      </c>
      <c r="D538" s="5" t="s">
        <v>42</v>
      </c>
      <c r="E538"/>
      <c r="F538" s="5">
        <v>1050</v>
      </c>
      <c r="G538" s="5">
        <v>200</v>
      </c>
      <c r="H538" s="5" t="s">
        <v>208</v>
      </c>
      <c r="I538" s="5">
        <v>12</v>
      </c>
      <c r="J538" s="67"/>
      <c r="K538" s="6"/>
      <c r="L538" s="67"/>
      <c r="M538" s="5" t="s">
        <v>16</v>
      </c>
      <c r="N538" s="5">
        <v>5</v>
      </c>
      <c r="O538" s="5">
        <v>91</v>
      </c>
      <c r="P538" s="5">
        <v>25</v>
      </c>
      <c r="Q538" s="5">
        <v>0</v>
      </c>
      <c r="R538" s="3">
        <f t="shared" si="141"/>
        <v>116</v>
      </c>
      <c r="S538" s="3">
        <f>O538/P538</f>
        <v>3.64</v>
      </c>
      <c r="T538" s="3">
        <f>18.7/4</f>
        <v>4.6749999999999998</v>
      </c>
      <c r="U538" s="3">
        <f>32/22</f>
        <v>1.4545454545454546</v>
      </c>
      <c r="V538" s="5">
        <v>1</v>
      </c>
      <c r="W538" s="5" t="s">
        <v>169</v>
      </c>
      <c r="X538" s="5" t="s">
        <v>46</v>
      </c>
      <c r="Y538" s="29" t="s">
        <v>209</v>
      </c>
      <c r="Z538" s="71">
        <v>44833</v>
      </c>
      <c r="AB538" s="5" t="str">
        <f>IF(X538="20um Schlenk", "Single", "Poly")</f>
        <v>Poly</v>
      </c>
      <c r="AC538" s="5">
        <v>100</v>
      </c>
      <c r="AD538" s="59">
        <v>0.02</v>
      </c>
      <c r="AE538" s="29">
        <v>3</v>
      </c>
      <c r="AF538" s="29" t="s">
        <v>104</v>
      </c>
      <c r="AG538" s="29" t="s">
        <v>102</v>
      </c>
      <c r="AJ538"/>
    </row>
    <row r="539" spans="1:36" ht="15" customHeight="1" x14ac:dyDescent="0.35">
      <c r="A539" s="71">
        <v>44833</v>
      </c>
      <c r="B539" s="5">
        <v>26</v>
      </c>
      <c r="C539" s="5" t="s">
        <v>226</v>
      </c>
      <c r="D539" s="5" t="s">
        <v>42</v>
      </c>
      <c r="E539"/>
      <c r="F539" s="5">
        <v>1050</v>
      </c>
      <c r="G539" s="5">
        <v>200</v>
      </c>
      <c r="H539" s="5" t="s">
        <v>208</v>
      </c>
      <c r="I539" s="5">
        <v>12</v>
      </c>
      <c r="J539" s="67"/>
      <c r="K539" s="6"/>
      <c r="L539" s="67"/>
      <c r="M539" s="5" t="s">
        <v>16</v>
      </c>
      <c r="N539" s="5">
        <v>5</v>
      </c>
      <c r="O539" s="5">
        <v>91</v>
      </c>
      <c r="P539" s="5">
        <v>25</v>
      </c>
      <c r="Q539" s="5">
        <v>0</v>
      </c>
      <c r="R539" s="3">
        <f t="shared" si="141"/>
        <v>116</v>
      </c>
      <c r="S539" s="3">
        <f>O539/P539</f>
        <v>3.64</v>
      </c>
      <c r="T539" s="3">
        <f>18.7/4</f>
        <v>4.6749999999999998</v>
      </c>
      <c r="U539" s="3">
        <f>32/22</f>
        <v>1.4545454545454546</v>
      </c>
      <c r="V539" s="5">
        <v>1</v>
      </c>
      <c r="W539" s="5" t="s">
        <v>169</v>
      </c>
      <c r="X539" s="5" t="s">
        <v>46</v>
      </c>
      <c r="Y539" s="29" t="s">
        <v>228</v>
      </c>
      <c r="Z539" s="71">
        <v>44833</v>
      </c>
      <c r="AB539" s="5" t="str">
        <f>IF(X539="20um Schlenk", "Single", "Poly")</f>
        <v>Poly</v>
      </c>
      <c r="AC539" s="5">
        <v>100</v>
      </c>
      <c r="AD539" s="59">
        <v>0.02</v>
      </c>
      <c r="AE539" s="29">
        <v>3</v>
      </c>
      <c r="AF539" s="29" t="s">
        <v>104</v>
      </c>
      <c r="AG539" s="29" t="s">
        <v>102</v>
      </c>
      <c r="AJ539"/>
    </row>
    <row r="540" spans="1:36" ht="15" customHeight="1" x14ac:dyDescent="0.35">
      <c r="A540" s="71"/>
      <c r="B540"/>
      <c r="C540"/>
      <c r="D540"/>
      <c r="E540"/>
      <c r="F540"/>
      <c r="G540"/>
      <c r="H540"/>
      <c r="J540"/>
      <c r="K540" s="43"/>
      <c r="L540"/>
      <c r="M540"/>
      <c r="R540" s="59"/>
      <c r="Z540"/>
      <c r="AC540"/>
      <c r="AD540" s="59"/>
      <c r="AF540" s="29"/>
      <c r="AG540" s="29"/>
      <c r="AJ540"/>
    </row>
    <row r="541" spans="1:36" ht="15" customHeight="1" x14ac:dyDescent="0.35">
      <c r="A541" s="71">
        <v>44834</v>
      </c>
      <c r="B541" s="5">
        <v>27</v>
      </c>
      <c r="C541" s="5" t="s">
        <v>48</v>
      </c>
      <c r="D541" s="5" t="s">
        <v>42</v>
      </c>
      <c r="E541" s="5"/>
      <c r="F541" s="5">
        <v>1050</v>
      </c>
      <c r="G541" s="5">
        <v>200</v>
      </c>
      <c r="H541" s="5"/>
      <c r="I541" s="5">
        <v>10</v>
      </c>
      <c r="J541" s="69"/>
      <c r="K541" s="6">
        <v>1.92</v>
      </c>
      <c r="L541" s="69"/>
      <c r="M541" s="5" t="s">
        <v>16</v>
      </c>
      <c r="N541" s="6">
        <v>3</v>
      </c>
      <c r="O541" s="5">
        <v>84</v>
      </c>
      <c r="P541" s="5">
        <v>48</v>
      </c>
      <c r="Q541" s="5">
        <v>24</v>
      </c>
      <c r="R541" s="3">
        <f t="shared" ref="R541:R549" si="144">O541+P541+Q541</f>
        <v>156</v>
      </c>
      <c r="S541" s="3">
        <f>O541/P541</f>
        <v>1.75</v>
      </c>
      <c r="T541" s="3">
        <f>16.8/18</f>
        <v>0.93333333333333335</v>
      </c>
      <c r="U541" s="3">
        <f>28.5/45</f>
        <v>0.6333333333333333</v>
      </c>
      <c r="V541" s="5">
        <v>1</v>
      </c>
      <c r="W541" s="5" t="s">
        <v>169</v>
      </c>
      <c r="X541" s="5" t="s">
        <v>45</v>
      </c>
      <c r="Z541" s="71">
        <v>44833</v>
      </c>
      <c r="AA541" s="5"/>
      <c r="AB541" s="5" t="str">
        <f>IF(X541="20um Schlenk", "Single", "Poly")</f>
        <v>Single</v>
      </c>
      <c r="AC541" s="5">
        <v>100</v>
      </c>
      <c r="AD541" s="59">
        <v>7.0000000000000007E-2</v>
      </c>
      <c r="AE541" s="29">
        <v>0</v>
      </c>
      <c r="AF541" s="29" t="s">
        <v>104</v>
      </c>
      <c r="AG541" s="29" t="s">
        <v>104</v>
      </c>
      <c r="AJ541"/>
    </row>
    <row r="542" spans="1:36" ht="15" customHeight="1" x14ac:dyDescent="0.35">
      <c r="A542" s="71">
        <v>44834</v>
      </c>
      <c r="B542" s="5">
        <v>27</v>
      </c>
      <c r="C542" s="5" t="s">
        <v>48</v>
      </c>
      <c r="D542" s="5" t="s">
        <v>42</v>
      </c>
      <c r="E542" s="5"/>
      <c r="F542" s="5">
        <v>1050</v>
      </c>
      <c r="G542" s="5">
        <v>200</v>
      </c>
      <c r="H542" s="5"/>
      <c r="I542" s="5">
        <v>10</v>
      </c>
      <c r="J542" s="69"/>
      <c r="K542" s="6">
        <v>1.92</v>
      </c>
      <c r="L542" s="69"/>
      <c r="M542" s="5" t="s">
        <v>16</v>
      </c>
      <c r="N542" s="6">
        <v>3</v>
      </c>
      <c r="O542" s="5">
        <v>84</v>
      </c>
      <c r="P542" s="5">
        <v>48</v>
      </c>
      <c r="Q542" s="5">
        <v>24</v>
      </c>
      <c r="R542" s="3">
        <f t="shared" si="144"/>
        <v>156</v>
      </c>
      <c r="S542" s="3">
        <f>O542/P542</f>
        <v>1.75</v>
      </c>
      <c r="T542" s="3">
        <f>16.8/18</f>
        <v>0.93333333333333335</v>
      </c>
      <c r="U542" s="3">
        <f>28.5/45</f>
        <v>0.6333333333333333</v>
      </c>
      <c r="V542" s="5">
        <v>1</v>
      </c>
      <c r="W542" s="5" t="s">
        <v>169</v>
      </c>
      <c r="X542" s="5" t="s">
        <v>45</v>
      </c>
      <c r="Y542" s="29" t="s">
        <v>210</v>
      </c>
      <c r="Z542" s="71">
        <v>44799</v>
      </c>
      <c r="AA542" s="5"/>
      <c r="AB542" s="5" t="str">
        <f>IF(X542="20um Schlenk", "Single", "Poly")</f>
        <v>Single</v>
      </c>
      <c r="AC542" s="5">
        <v>100</v>
      </c>
      <c r="AD542" s="59">
        <v>0.02</v>
      </c>
      <c r="AE542" s="29">
        <v>0</v>
      </c>
      <c r="AF542" s="29" t="s">
        <v>104</v>
      </c>
      <c r="AG542" s="29" t="s">
        <v>104</v>
      </c>
      <c r="AJ542"/>
    </row>
    <row r="543" spans="1:36" ht="15" customHeight="1" x14ac:dyDescent="0.35">
      <c r="A543" s="71">
        <v>44834</v>
      </c>
      <c r="B543" s="5">
        <v>27</v>
      </c>
      <c r="C543" s="5" t="s">
        <v>48</v>
      </c>
      <c r="D543" s="5" t="s">
        <v>42</v>
      </c>
      <c r="E543" s="5"/>
      <c r="F543" s="5">
        <v>1050</v>
      </c>
      <c r="G543" s="5">
        <v>200</v>
      </c>
      <c r="H543" s="5"/>
      <c r="I543" s="5">
        <v>10</v>
      </c>
      <c r="J543" s="69"/>
      <c r="K543" s="6">
        <v>1.92</v>
      </c>
      <c r="L543" s="69"/>
      <c r="M543" s="5" t="s">
        <v>16</v>
      </c>
      <c r="N543" s="6">
        <v>3</v>
      </c>
      <c r="O543" s="5">
        <v>84</v>
      </c>
      <c r="P543" s="5">
        <v>48</v>
      </c>
      <c r="Q543" s="5">
        <v>24</v>
      </c>
      <c r="R543" s="3">
        <f t="shared" si="144"/>
        <v>156</v>
      </c>
      <c r="S543" s="3">
        <f>O543/P543</f>
        <v>1.75</v>
      </c>
      <c r="T543" s="3">
        <f>16.8/18</f>
        <v>0.93333333333333335</v>
      </c>
      <c r="U543" s="3">
        <f>28.5/45</f>
        <v>0.6333333333333333</v>
      </c>
      <c r="V543" s="5">
        <v>1</v>
      </c>
      <c r="W543" s="5" t="s">
        <v>169</v>
      </c>
      <c r="X543" s="5" t="s">
        <v>46</v>
      </c>
      <c r="Z543" s="71">
        <v>44833</v>
      </c>
      <c r="AA543" s="5"/>
      <c r="AB543" s="5" t="str">
        <f>IF(X543="20um Schlenk", "Single", "Poly")</f>
        <v>Poly</v>
      </c>
      <c r="AC543" s="5">
        <v>100</v>
      </c>
      <c r="AD543" s="59">
        <v>0.02</v>
      </c>
      <c r="AE543" s="29">
        <v>0.25</v>
      </c>
      <c r="AF543" s="29" t="s">
        <v>103</v>
      </c>
      <c r="AG543" s="29" t="s">
        <v>102</v>
      </c>
      <c r="AJ543"/>
    </row>
    <row r="544" spans="1:36" ht="15" customHeight="1" x14ac:dyDescent="0.35">
      <c r="A544" s="71">
        <v>44834</v>
      </c>
      <c r="B544" s="5">
        <v>27</v>
      </c>
      <c r="C544" s="5" t="s">
        <v>48</v>
      </c>
      <c r="D544" s="5" t="s">
        <v>42</v>
      </c>
      <c r="E544" s="5"/>
      <c r="F544" s="5">
        <v>1050</v>
      </c>
      <c r="G544" s="5">
        <v>200</v>
      </c>
      <c r="H544" s="5"/>
      <c r="I544" s="5">
        <v>10</v>
      </c>
      <c r="J544" s="69"/>
      <c r="K544" s="6">
        <v>1.92</v>
      </c>
      <c r="L544" s="69"/>
      <c r="M544" s="5" t="s">
        <v>16</v>
      </c>
      <c r="N544" s="6">
        <v>3</v>
      </c>
      <c r="O544" s="5">
        <v>84</v>
      </c>
      <c r="P544" s="5">
        <v>48</v>
      </c>
      <c r="Q544" s="5">
        <v>24</v>
      </c>
      <c r="R544" s="3">
        <f t="shared" si="144"/>
        <v>156</v>
      </c>
      <c r="S544" s="3">
        <f>O544/P544</f>
        <v>1.75</v>
      </c>
      <c r="T544" s="3">
        <f>16.8/18</f>
        <v>0.93333333333333335</v>
      </c>
      <c r="U544" s="3">
        <f>28.5/45</f>
        <v>0.6333333333333333</v>
      </c>
      <c r="V544" s="5">
        <v>1</v>
      </c>
      <c r="W544" s="5" t="s">
        <v>169</v>
      </c>
      <c r="X544" s="5" t="s">
        <v>46</v>
      </c>
      <c r="Y544" s="29" t="s">
        <v>227</v>
      </c>
      <c r="Z544" s="71">
        <v>44833</v>
      </c>
      <c r="AA544" s="5"/>
      <c r="AB544" s="5" t="str">
        <f>IF(X544="20um Schlenk", "Single", "Poly")</f>
        <v>Poly</v>
      </c>
      <c r="AC544" s="5">
        <v>100</v>
      </c>
      <c r="AD544" s="59">
        <v>0.03</v>
      </c>
      <c r="AE544" s="29">
        <v>0</v>
      </c>
      <c r="AF544" s="29" t="s">
        <v>103</v>
      </c>
      <c r="AG544" s="29" t="s">
        <v>102</v>
      </c>
      <c r="AJ544"/>
    </row>
    <row r="545" spans="1:44" ht="15" customHeight="1" x14ac:dyDescent="0.35">
      <c r="A545" s="71">
        <v>44834</v>
      </c>
      <c r="B545" s="5">
        <v>28</v>
      </c>
      <c r="C545" t="s">
        <v>224</v>
      </c>
      <c r="D545" s="5" t="s">
        <v>42</v>
      </c>
      <c r="E545"/>
      <c r="F545" s="5">
        <v>1050</v>
      </c>
      <c r="G545" s="5">
        <v>100</v>
      </c>
      <c r="H545"/>
      <c r="I545" s="29">
        <v>10</v>
      </c>
      <c r="J545"/>
      <c r="K545" s="43">
        <v>2.46</v>
      </c>
      <c r="L545"/>
      <c r="M545" s="5" t="s">
        <v>16</v>
      </c>
      <c r="N545" s="6">
        <v>5</v>
      </c>
      <c r="O545" s="29">
        <v>132</v>
      </c>
      <c r="P545" s="29">
        <v>0</v>
      </c>
      <c r="Q545" s="29">
        <v>24</v>
      </c>
      <c r="R545" s="3">
        <f t="shared" si="144"/>
        <v>156</v>
      </c>
      <c r="S545" s="3" t="s">
        <v>193</v>
      </c>
      <c r="T545" s="3" t="s">
        <v>193</v>
      </c>
      <c r="U545" s="3" t="s">
        <v>193</v>
      </c>
      <c r="V545" s="5">
        <v>1</v>
      </c>
      <c r="W545" s="5" t="s">
        <v>169</v>
      </c>
      <c r="X545" s="5" t="s">
        <v>45</v>
      </c>
      <c r="Y545" s="5"/>
      <c r="Z545" s="71">
        <v>44833</v>
      </c>
      <c r="AB545" s="5"/>
      <c r="AC545" s="5"/>
      <c r="AD545" s="59"/>
      <c r="AF545" s="29"/>
      <c r="AG545" s="29"/>
      <c r="AJ545"/>
    </row>
    <row r="546" spans="1:44" ht="15" customHeight="1" x14ac:dyDescent="0.35">
      <c r="A546" s="71">
        <v>44834</v>
      </c>
      <c r="B546" s="5">
        <v>28</v>
      </c>
      <c r="C546" t="s">
        <v>224</v>
      </c>
      <c r="D546" s="5" t="s">
        <v>42</v>
      </c>
      <c r="E546"/>
      <c r="F546" s="5">
        <v>1050</v>
      </c>
      <c r="G546" s="5">
        <v>100</v>
      </c>
      <c r="H546"/>
      <c r="I546" s="29">
        <v>10</v>
      </c>
      <c r="J546"/>
      <c r="K546" s="43">
        <v>2.46</v>
      </c>
      <c r="L546"/>
      <c r="M546" s="5" t="s">
        <v>16</v>
      </c>
      <c r="N546" s="6">
        <v>5</v>
      </c>
      <c r="O546" s="29">
        <v>132</v>
      </c>
      <c r="P546" s="29">
        <v>0</v>
      </c>
      <c r="Q546" s="29">
        <v>24</v>
      </c>
      <c r="R546" s="3">
        <f t="shared" si="144"/>
        <v>156</v>
      </c>
      <c r="S546" s="3" t="s">
        <v>193</v>
      </c>
      <c r="T546" s="3" t="s">
        <v>193</v>
      </c>
      <c r="U546" s="3" t="s">
        <v>193</v>
      </c>
      <c r="V546" s="5">
        <v>1</v>
      </c>
      <c r="W546" s="5" t="s">
        <v>169</v>
      </c>
      <c r="X546" s="5" t="s">
        <v>46</v>
      </c>
      <c r="Y546" s="5" t="s">
        <v>227</v>
      </c>
      <c r="Z546" s="71">
        <v>44833</v>
      </c>
      <c r="AB546" s="5"/>
      <c r="AC546" s="5"/>
      <c r="AD546" s="59"/>
      <c r="AF546" s="29"/>
      <c r="AG546" s="29"/>
      <c r="AJ546"/>
    </row>
    <row r="547" spans="1:44" ht="15" customHeight="1" x14ac:dyDescent="0.35">
      <c r="A547" s="71">
        <v>44834</v>
      </c>
      <c r="B547" s="5">
        <v>29</v>
      </c>
      <c r="C547" s="5" t="s">
        <v>226</v>
      </c>
      <c r="D547" s="5" t="s">
        <v>42</v>
      </c>
      <c r="E547"/>
      <c r="F547" s="5">
        <v>1050</v>
      </c>
      <c r="G547" s="5">
        <v>100</v>
      </c>
      <c r="H547" s="5" t="s">
        <v>208</v>
      </c>
      <c r="I547" s="5">
        <v>12</v>
      </c>
      <c r="J547" s="67"/>
      <c r="K547" s="6"/>
      <c r="L547" s="67"/>
      <c r="M547" s="5" t="s">
        <v>16</v>
      </c>
      <c r="N547" s="5">
        <v>5</v>
      </c>
      <c r="O547" s="5">
        <v>91</v>
      </c>
      <c r="P547" s="5">
        <v>25</v>
      </c>
      <c r="Q547" s="5">
        <v>0</v>
      </c>
      <c r="R547" s="3">
        <f t="shared" si="144"/>
        <v>116</v>
      </c>
      <c r="S547" s="3">
        <f>O547/P547</f>
        <v>3.64</v>
      </c>
      <c r="T547" s="3">
        <f>18.7/4</f>
        <v>4.6749999999999998</v>
      </c>
      <c r="U547" s="3">
        <f>32/22</f>
        <v>1.4545454545454546</v>
      </c>
      <c r="V547" s="5">
        <v>1</v>
      </c>
      <c r="W547" s="5" t="s">
        <v>169</v>
      </c>
      <c r="X547" s="5" t="s">
        <v>45</v>
      </c>
      <c r="Y547" s="29" t="s">
        <v>209</v>
      </c>
      <c r="Z547" s="71">
        <v>44833</v>
      </c>
      <c r="AB547" s="5" t="str">
        <f>IF(X547="20um Schlenk", "Single", "Poly")</f>
        <v>Single</v>
      </c>
      <c r="AC547" s="5">
        <v>100</v>
      </c>
      <c r="AD547" s="59">
        <v>0.02</v>
      </c>
      <c r="AE547" s="29">
        <v>1</v>
      </c>
      <c r="AF547" s="29" t="s">
        <v>104</v>
      </c>
      <c r="AG547" s="29" t="s">
        <v>102</v>
      </c>
      <c r="AJ547"/>
    </row>
    <row r="548" spans="1:44" ht="15" customHeight="1" x14ac:dyDescent="0.35">
      <c r="A548" s="71">
        <v>44834</v>
      </c>
      <c r="B548" s="5">
        <v>29</v>
      </c>
      <c r="C548" s="5" t="s">
        <v>226</v>
      </c>
      <c r="D548" s="5" t="s">
        <v>42</v>
      </c>
      <c r="E548"/>
      <c r="F548" s="5">
        <v>1050</v>
      </c>
      <c r="G548" s="5">
        <v>100</v>
      </c>
      <c r="H548" s="5" t="s">
        <v>208</v>
      </c>
      <c r="I548" s="5">
        <v>12</v>
      </c>
      <c r="J548" s="67"/>
      <c r="K548" s="6"/>
      <c r="L548" s="67"/>
      <c r="M548" s="5" t="s">
        <v>16</v>
      </c>
      <c r="N548" s="5">
        <v>5</v>
      </c>
      <c r="O548" s="5">
        <v>91</v>
      </c>
      <c r="P548" s="5">
        <v>25</v>
      </c>
      <c r="Q548" s="5">
        <v>0</v>
      </c>
      <c r="R548" s="3">
        <f t="shared" si="144"/>
        <v>116</v>
      </c>
      <c r="S548" s="3">
        <f>O548/P548</f>
        <v>3.64</v>
      </c>
      <c r="T548" s="3">
        <f>18.7/4</f>
        <v>4.6749999999999998</v>
      </c>
      <c r="U548" s="3">
        <f>32/22</f>
        <v>1.4545454545454546</v>
      </c>
      <c r="V548" s="5">
        <v>1</v>
      </c>
      <c r="W548" s="5" t="s">
        <v>169</v>
      </c>
      <c r="X548" s="5" t="s">
        <v>46</v>
      </c>
      <c r="Y548" s="29" t="s">
        <v>228</v>
      </c>
      <c r="Z548" s="71">
        <v>44833</v>
      </c>
      <c r="AB548" s="5" t="str">
        <f>IF(X548="20um Schlenk", "Single", "Poly")</f>
        <v>Poly</v>
      </c>
      <c r="AC548" s="5">
        <v>100</v>
      </c>
      <c r="AD548" s="59">
        <v>0.03</v>
      </c>
      <c r="AE548" s="29">
        <v>3</v>
      </c>
      <c r="AF548" s="29" t="s">
        <v>104</v>
      </c>
      <c r="AG548" s="29" t="s">
        <v>102</v>
      </c>
      <c r="AJ548"/>
    </row>
    <row r="549" spans="1:44" ht="15" customHeight="1" x14ac:dyDescent="0.35">
      <c r="A549" s="71">
        <v>44834</v>
      </c>
      <c r="B549" s="5">
        <v>30</v>
      </c>
      <c r="C549" s="5" t="s">
        <v>229</v>
      </c>
      <c r="D549" s="5" t="s">
        <v>42</v>
      </c>
      <c r="E549"/>
      <c r="F549" s="5">
        <v>1050</v>
      </c>
      <c r="G549" s="5">
        <v>200</v>
      </c>
      <c r="H549" s="5"/>
      <c r="I549" s="29">
        <v>10</v>
      </c>
      <c r="J549"/>
      <c r="K549" s="43">
        <v>2.4500000000000002</v>
      </c>
      <c r="L549"/>
      <c r="M549" s="5" t="s">
        <v>16</v>
      </c>
      <c r="N549" s="29">
        <v>3</v>
      </c>
      <c r="O549" s="29">
        <v>117</v>
      </c>
      <c r="P549" s="29">
        <v>7.6</v>
      </c>
      <c r="Q549" s="29">
        <v>20</v>
      </c>
      <c r="R549" s="59">
        <f t="shared" si="144"/>
        <v>144.6</v>
      </c>
      <c r="S549" s="3">
        <f>O549/P549</f>
        <v>15.394736842105264</v>
      </c>
      <c r="T549" s="59">
        <f>40.4/0.8</f>
        <v>50.499999999999993</v>
      </c>
      <c r="U549" s="59">
        <f>61.7/6.5</f>
        <v>9.4923076923076923</v>
      </c>
      <c r="V549" s="5">
        <v>1</v>
      </c>
      <c r="W549" s="5" t="s">
        <v>169</v>
      </c>
      <c r="X549" s="5" t="s">
        <v>46</v>
      </c>
      <c r="Y549" s="5" t="s">
        <v>227</v>
      </c>
      <c r="Z549" s="71">
        <v>44833</v>
      </c>
      <c r="AB549" s="5" t="str">
        <f>IF(X549="20um Schlenk", "Single", "Poly")</f>
        <v>Poly</v>
      </c>
      <c r="AC549" s="5">
        <v>75</v>
      </c>
      <c r="AD549" s="59"/>
      <c r="AE549" s="29">
        <v>2</v>
      </c>
      <c r="AF549" s="29"/>
      <c r="AG549" s="29"/>
      <c r="AJ549"/>
    </row>
    <row r="550" spans="1:44" ht="15" customHeight="1" thickBot="1" x14ac:dyDescent="0.4">
      <c r="A550" s="71"/>
      <c r="B550"/>
      <c r="C550"/>
      <c r="D550"/>
      <c r="E550"/>
      <c r="F550"/>
      <c r="G550"/>
      <c r="H550"/>
      <c r="J550"/>
      <c r="K550" s="43"/>
      <c r="L550"/>
      <c r="M550"/>
      <c r="R550" s="59"/>
      <c r="Z550"/>
      <c r="AC550"/>
      <c r="AD550" s="59"/>
      <c r="AF550" s="29"/>
      <c r="AG550" s="29"/>
      <c r="AJ550"/>
    </row>
    <row r="551" spans="1:44" s="30" customFormat="1" ht="15" customHeight="1" thickBot="1" x14ac:dyDescent="0.4">
      <c r="A551" s="118"/>
      <c r="I551" s="39"/>
      <c r="K551" s="53"/>
      <c r="N551" s="39"/>
      <c r="O551" s="39"/>
      <c r="P551" s="39"/>
      <c r="Q551" s="39"/>
      <c r="R551" s="60"/>
      <c r="S551" s="60"/>
      <c r="T551" s="60"/>
      <c r="U551" s="60"/>
      <c r="V551" s="39"/>
      <c r="W551" s="39"/>
      <c r="X551" s="39"/>
      <c r="Y551" s="39"/>
      <c r="AB551" s="39"/>
      <c r="AD551" s="60"/>
      <c r="AE551" s="39"/>
      <c r="AF551" s="39"/>
      <c r="AG551" s="39"/>
    </row>
    <row r="552" spans="1:44" ht="15" customHeight="1" x14ac:dyDescent="0.35">
      <c r="A552" s="71"/>
      <c r="B552"/>
      <c r="C552"/>
      <c r="D552"/>
      <c r="E552"/>
      <c r="F552"/>
      <c r="G552"/>
      <c r="H552"/>
      <c r="J552"/>
      <c r="K552" s="43"/>
      <c r="L552"/>
      <c r="M552"/>
      <c r="R552" s="59"/>
      <c r="Z552"/>
      <c r="AC552"/>
      <c r="AD552" s="59"/>
      <c r="AF552" s="29"/>
      <c r="AG552" s="29"/>
      <c r="AJ552"/>
    </row>
    <row r="553" spans="1:44" s="5" customFormat="1" ht="15" customHeight="1" x14ac:dyDescent="0.35">
      <c r="A553" s="4">
        <v>44851</v>
      </c>
      <c r="B553" s="5">
        <v>1</v>
      </c>
      <c r="C553" s="5" t="s">
        <v>48</v>
      </c>
      <c r="D553" s="5" t="s">
        <v>42</v>
      </c>
      <c r="F553" s="5">
        <v>1050</v>
      </c>
      <c r="G553" s="5">
        <v>200</v>
      </c>
      <c r="I553" s="5">
        <v>10</v>
      </c>
      <c r="J553" s="69"/>
      <c r="K553" s="6">
        <v>2.08</v>
      </c>
      <c r="L553" s="69"/>
      <c r="M553" s="5" t="s">
        <v>16</v>
      </c>
      <c r="N553" s="6">
        <v>3</v>
      </c>
      <c r="O553" s="5">
        <v>84</v>
      </c>
      <c r="P553" s="5">
        <v>48</v>
      </c>
      <c r="Q553" s="5">
        <v>24</v>
      </c>
      <c r="R553" s="3">
        <v>156</v>
      </c>
      <c r="S553" s="3">
        <v>1.75</v>
      </c>
      <c r="T553" s="3">
        <v>0.93</v>
      </c>
      <c r="U553" s="3">
        <v>0.63</v>
      </c>
      <c r="V553" s="5">
        <v>1</v>
      </c>
      <c r="W553" s="5" t="s">
        <v>169</v>
      </c>
      <c r="X553" s="5" t="s">
        <v>45</v>
      </c>
      <c r="Z553" s="4">
        <v>44848</v>
      </c>
      <c r="AB553" s="5" t="s">
        <v>155</v>
      </c>
      <c r="AC553" s="5">
        <v>100</v>
      </c>
      <c r="AD553" s="3">
        <v>0.14000000000000001</v>
      </c>
      <c r="AE553" s="13">
        <v>3</v>
      </c>
      <c r="AF553" s="6" t="s">
        <v>104</v>
      </c>
      <c r="AG553" s="5" t="s">
        <v>104</v>
      </c>
      <c r="AJ553" s="6"/>
      <c r="AK553" s="7"/>
      <c r="AL553" s="6"/>
      <c r="AM553" s="90"/>
      <c r="AQ553" s="67"/>
      <c r="AR553"/>
    </row>
    <row r="554" spans="1:44" s="5" customFormat="1" ht="15" customHeight="1" x14ac:dyDescent="0.35">
      <c r="A554" s="4">
        <v>44851</v>
      </c>
      <c r="B554" s="5">
        <v>1</v>
      </c>
      <c r="C554" s="5" t="s">
        <v>48</v>
      </c>
      <c r="D554" s="5" t="s">
        <v>42</v>
      </c>
      <c r="F554" s="5">
        <v>1050</v>
      </c>
      <c r="G554" s="5">
        <v>200</v>
      </c>
      <c r="I554" s="5">
        <v>10</v>
      </c>
      <c r="J554" s="69"/>
      <c r="K554" s="6">
        <v>2.08</v>
      </c>
      <c r="L554" s="69"/>
      <c r="M554" s="5" t="s">
        <v>16</v>
      </c>
      <c r="N554" s="6">
        <v>3</v>
      </c>
      <c r="O554" s="5">
        <v>84</v>
      </c>
      <c r="P554" s="5">
        <v>48</v>
      </c>
      <c r="Q554" s="5">
        <v>24</v>
      </c>
      <c r="R554" s="3">
        <v>156</v>
      </c>
      <c r="S554" s="3">
        <v>1.75</v>
      </c>
      <c r="T554" s="3">
        <v>0.93</v>
      </c>
      <c r="U554" s="3">
        <v>0.63</v>
      </c>
      <c r="V554" s="5">
        <v>1</v>
      </c>
      <c r="W554" s="5" t="s">
        <v>169</v>
      </c>
      <c r="X554" s="5" t="s">
        <v>46</v>
      </c>
      <c r="Z554" s="4">
        <v>44848</v>
      </c>
      <c r="AB554" s="5" t="s">
        <v>138</v>
      </c>
      <c r="AC554" s="5">
        <v>100</v>
      </c>
      <c r="AD554" s="3">
        <v>0.05</v>
      </c>
      <c r="AE554" s="5">
        <v>0</v>
      </c>
      <c r="AF554" s="5" t="s">
        <v>103</v>
      </c>
      <c r="AG554" s="5" t="s">
        <v>104</v>
      </c>
      <c r="AM554" s="67"/>
      <c r="AQ554" s="67"/>
      <c r="AR554"/>
    </row>
    <row r="555" spans="1:44" s="5" customFormat="1" ht="15" customHeight="1" x14ac:dyDescent="0.35">
      <c r="A555" s="4">
        <v>44851</v>
      </c>
      <c r="B555" s="5">
        <v>2</v>
      </c>
      <c r="C555" s="5" t="s">
        <v>206</v>
      </c>
      <c r="D555" s="5" t="s">
        <v>42</v>
      </c>
      <c r="F555" s="5">
        <v>1050</v>
      </c>
      <c r="G555" s="5">
        <v>200</v>
      </c>
      <c r="I555" s="5">
        <v>10</v>
      </c>
      <c r="J555" s="69"/>
      <c r="K555" s="6">
        <v>4.42</v>
      </c>
      <c r="L555" s="69"/>
      <c r="M555" s="5" t="s">
        <v>16</v>
      </c>
      <c r="N555" s="6">
        <v>5</v>
      </c>
      <c r="O555" s="5">
        <v>132</v>
      </c>
      <c r="P555" s="5">
        <v>0</v>
      </c>
      <c r="Q555" s="5">
        <v>24</v>
      </c>
      <c r="R555" s="3">
        <v>156</v>
      </c>
      <c r="S555" s="3" t="s">
        <v>193</v>
      </c>
      <c r="T555" s="3" t="s">
        <v>193</v>
      </c>
      <c r="U555" s="3" t="s">
        <v>193</v>
      </c>
      <c r="V555" s="5">
        <v>1</v>
      </c>
      <c r="W555" s="5" t="s">
        <v>169</v>
      </c>
      <c r="X555" s="5" t="s">
        <v>45</v>
      </c>
      <c r="Z555" s="4">
        <v>44848</v>
      </c>
      <c r="AM555" s="67"/>
      <c r="AQ555" s="67"/>
      <c r="AR555"/>
    </row>
    <row r="556" spans="1:44" ht="15" customHeight="1" x14ac:dyDescent="0.35">
      <c r="A556" s="4">
        <v>44851</v>
      </c>
      <c r="B556" s="5">
        <v>2</v>
      </c>
      <c r="C556" s="5" t="s">
        <v>206</v>
      </c>
      <c r="D556" s="5" t="s">
        <v>42</v>
      </c>
      <c r="E556" s="5"/>
      <c r="F556" s="5">
        <v>1050</v>
      </c>
      <c r="G556" s="5">
        <v>200</v>
      </c>
      <c r="H556" s="5"/>
      <c r="I556" s="5">
        <v>10</v>
      </c>
      <c r="J556" s="69"/>
      <c r="K556" s="6">
        <v>4.42</v>
      </c>
      <c r="L556" s="69"/>
      <c r="M556" s="5" t="s">
        <v>16</v>
      </c>
      <c r="N556" s="6">
        <v>5</v>
      </c>
      <c r="O556" s="5">
        <v>132</v>
      </c>
      <c r="P556" s="5">
        <v>0</v>
      </c>
      <c r="Q556" s="5">
        <v>24</v>
      </c>
      <c r="R556" s="3">
        <v>156</v>
      </c>
      <c r="S556" s="3" t="s">
        <v>193</v>
      </c>
      <c r="T556" s="3" t="s">
        <v>193</v>
      </c>
      <c r="U556" s="3" t="s">
        <v>193</v>
      </c>
      <c r="V556" s="5">
        <v>1</v>
      </c>
      <c r="W556" s="5" t="s">
        <v>169</v>
      </c>
      <c r="X556" s="5" t="s">
        <v>46</v>
      </c>
      <c r="Y556" s="5"/>
      <c r="Z556" s="4">
        <v>44848</v>
      </c>
      <c r="AA556" s="5"/>
      <c r="AB556" s="5"/>
      <c r="AC556" s="5"/>
      <c r="AD556" s="59"/>
      <c r="AE556" s="5"/>
      <c r="AF556" s="5"/>
      <c r="AG556" s="5"/>
      <c r="AH556" s="5"/>
      <c r="AJ556"/>
    </row>
    <row r="557" spans="1:44" ht="15" customHeight="1" x14ac:dyDescent="0.35">
      <c r="A557" s="4">
        <v>44851</v>
      </c>
      <c r="B557" s="5">
        <v>3</v>
      </c>
      <c r="C557" s="5" t="s">
        <v>157</v>
      </c>
      <c r="D557" s="5" t="s">
        <v>42</v>
      </c>
      <c r="E557" s="5"/>
      <c r="F557" s="5">
        <v>1050</v>
      </c>
      <c r="G557" s="5">
        <v>100</v>
      </c>
      <c r="H557" s="5"/>
      <c r="I557" s="5">
        <v>12</v>
      </c>
      <c r="J557" s="67"/>
      <c r="K557" s="6">
        <v>5.9</v>
      </c>
      <c r="L557" s="67"/>
      <c r="M557" s="5" t="s">
        <v>16</v>
      </c>
      <c r="N557" s="5">
        <v>5</v>
      </c>
      <c r="O557" s="5">
        <v>91</v>
      </c>
      <c r="P557" s="5">
        <v>25</v>
      </c>
      <c r="Q557" s="5">
        <v>0</v>
      </c>
      <c r="R557" s="3">
        <v>116</v>
      </c>
      <c r="S557" s="3">
        <v>3.64</v>
      </c>
      <c r="T557" s="3">
        <v>4.68</v>
      </c>
      <c r="U557" s="3">
        <v>1.45</v>
      </c>
      <c r="V557" s="5">
        <v>1</v>
      </c>
      <c r="W557" s="5" t="s">
        <v>169</v>
      </c>
      <c r="X557" s="5" t="s">
        <v>45</v>
      </c>
      <c r="Y557" s="29" t="s">
        <v>209</v>
      </c>
      <c r="Z557" s="4">
        <v>44848</v>
      </c>
      <c r="AB557" s="5" t="s">
        <v>155</v>
      </c>
      <c r="AC557" s="5">
        <v>100</v>
      </c>
      <c r="AD557" s="3">
        <v>7.0000000000000007E-2</v>
      </c>
      <c r="AE557" s="29">
        <v>0.25</v>
      </c>
      <c r="AF557" s="29" t="s">
        <v>104</v>
      </c>
      <c r="AG557" s="29" t="s">
        <v>104</v>
      </c>
      <c r="AJ557"/>
    </row>
    <row r="558" spans="1:44" ht="15" customHeight="1" x14ac:dyDescent="0.35">
      <c r="A558" s="4">
        <v>44851</v>
      </c>
      <c r="B558" s="5">
        <v>3</v>
      </c>
      <c r="C558" s="5" t="s">
        <v>157</v>
      </c>
      <c r="D558" s="5" t="s">
        <v>42</v>
      </c>
      <c r="E558" s="5"/>
      <c r="F558" s="5">
        <v>1050</v>
      </c>
      <c r="G558" s="5">
        <v>100</v>
      </c>
      <c r="H558" s="5"/>
      <c r="I558" s="5">
        <v>12</v>
      </c>
      <c r="J558" s="67"/>
      <c r="K558" s="6">
        <v>5.9</v>
      </c>
      <c r="L558" s="67"/>
      <c r="M558" s="5" t="s">
        <v>16</v>
      </c>
      <c r="N558" s="5">
        <v>5</v>
      </c>
      <c r="O558" s="5">
        <v>91</v>
      </c>
      <c r="P558" s="5">
        <v>25</v>
      </c>
      <c r="Q558" s="5">
        <v>0</v>
      </c>
      <c r="R558" s="3">
        <v>116</v>
      </c>
      <c r="S558" s="3">
        <v>3.64</v>
      </c>
      <c r="T558" s="3">
        <v>4.68</v>
      </c>
      <c r="U558" s="3">
        <v>1.45</v>
      </c>
      <c r="V558" s="5">
        <v>1</v>
      </c>
      <c r="W558" s="5" t="s">
        <v>169</v>
      </c>
      <c r="X558" s="5" t="s">
        <v>46</v>
      </c>
      <c r="Y558" s="29" t="s">
        <v>209</v>
      </c>
      <c r="Z558" s="4">
        <v>44848</v>
      </c>
      <c r="AB558" s="5" t="s">
        <v>138</v>
      </c>
      <c r="AC558" s="5">
        <v>100</v>
      </c>
      <c r="AD558" s="3">
        <v>0.02</v>
      </c>
      <c r="AE558" s="29">
        <v>0.25</v>
      </c>
      <c r="AF558" s="29" t="s">
        <v>104</v>
      </c>
      <c r="AG558" s="29" t="s">
        <v>104</v>
      </c>
      <c r="AJ558"/>
    </row>
    <row r="559" spans="1:44" ht="15" customHeight="1" x14ac:dyDescent="0.35">
      <c r="A559" s="4">
        <v>44851</v>
      </c>
      <c r="B559" s="5">
        <v>4</v>
      </c>
      <c r="C559" s="5" t="s">
        <v>48</v>
      </c>
      <c r="D559" s="5" t="s">
        <v>42</v>
      </c>
      <c r="E559" s="5"/>
      <c r="F559" s="5">
        <v>1050</v>
      </c>
      <c r="G559" s="5">
        <v>200</v>
      </c>
      <c r="H559" s="5"/>
      <c r="I559" s="5">
        <v>10</v>
      </c>
      <c r="J559" s="69"/>
      <c r="K559" s="6">
        <v>6.5</v>
      </c>
      <c r="L559" s="69"/>
      <c r="M559" s="5" t="s">
        <v>16</v>
      </c>
      <c r="N559" s="6">
        <v>3</v>
      </c>
      <c r="O559" s="5">
        <v>84</v>
      </c>
      <c r="P559" s="5">
        <v>48</v>
      </c>
      <c r="Q559" s="5">
        <v>24</v>
      </c>
      <c r="R559" s="3">
        <v>156</v>
      </c>
      <c r="S559" s="3">
        <v>1.75</v>
      </c>
      <c r="T559" s="3">
        <v>0.93</v>
      </c>
      <c r="U559" s="3">
        <v>0.63</v>
      </c>
      <c r="V559" s="5">
        <v>1</v>
      </c>
      <c r="W559" s="5" t="s">
        <v>169</v>
      </c>
      <c r="X559" s="5" t="s">
        <v>45</v>
      </c>
      <c r="Z559" s="4">
        <v>44848</v>
      </c>
      <c r="AB559" s="5" t="s">
        <v>155</v>
      </c>
      <c r="AC559" s="5">
        <v>100</v>
      </c>
      <c r="AD559" s="59">
        <v>0.15</v>
      </c>
      <c r="AE559" s="29">
        <v>1</v>
      </c>
      <c r="AF559" s="29" t="s">
        <v>104</v>
      </c>
      <c r="AG559" s="29" t="s">
        <v>104</v>
      </c>
      <c r="AJ559"/>
    </row>
    <row r="560" spans="1:44" ht="15" customHeight="1" x14ac:dyDescent="0.35">
      <c r="A560" s="4">
        <v>44851</v>
      </c>
      <c r="B560" s="5">
        <v>4</v>
      </c>
      <c r="C560" s="5" t="s">
        <v>48</v>
      </c>
      <c r="D560" s="5" t="s">
        <v>42</v>
      </c>
      <c r="E560" s="5"/>
      <c r="F560" s="5">
        <v>1050</v>
      </c>
      <c r="G560" s="5">
        <v>200</v>
      </c>
      <c r="H560" s="5"/>
      <c r="I560" s="5">
        <v>10</v>
      </c>
      <c r="J560" s="69"/>
      <c r="K560" s="6">
        <v>6.5</v>
      </c>
      <c r="L560" s="69"/>
      <c r="M560" s="5" t="s">
        <v>16</v>
      </c>
      <c r="N560" s="6">
        <v>3</v>
      </c>
      <c r="O560" s="5">
        <v>84</v>
      </c>
      <c r="P560" s="5">
        <v>48</v>
      </c>
      <c r="Q560" s="5">
        <v>24</v>
      </c>
      <c r="R560" s="3">
        <v>156</v>
      </c>
      <c r="S560" s="3">
        <v>1.75</v>
      </c>
      <c r="T560" s="3">
        <v>0.93</v>
      </c>
      <c r="U560" s="3">
        <v>0.63</v>
      </c>
      <c r="V560" s="5">
        <v>1</v>
      </c>
      <c r="W560" s="5" t="s">
        <v>169</v>
      </c>
      <c r="X560" s="5" t="s">
        <v>46</v>
      </c>
      <c r="Z560" s="4">
        <v>44848</v>
      </c>
      <c r="AB560" s="5" t="s">
        <v>138</v>
      </c>
      <c r="AC560" s="5">
        <v>100</v>
      </c>
      <c r="AD560" s="59">
        <v>0.06</v>
      </c>
      <c r="AE560" s="29">
        <v>0</v>
      </c>
      <c r="AF560" s="29" t="s">
        <v>103</v>
      </c>
      <c r="AG560" s="29" t="s">
        <v>104</v>
      </c>
      <c r="AJ560"/>
    </row>
    <row r="561" spans="1:39" ht="15" customHeight="1" x14ac:dyDescent="0.35">
      <c r="A561" s="4">
        <v>44851</v>
      </c>
      <c r="B561" s="5">
        <v>5</v>
      </c>
      <c r="C561" s="5" t="s">
        <v>206</v>
      </c>
      <c r="D561" s="5" t="s">
        <v>165</v>
      </c>
      <c r="E561" s="5"/>
      <c r="F561" s="5">
        <v>1050</v>
      </c>
      <c r="G561" s="5">
        <v>200</v>
      </c>
      <c r="H561" s="5"/>
      <c r="I561" s="5">
        <v>10</v>
      </c>
      <c r="J561" s="69"/>
      <c r="K561" s="6">
        <v>6</v>
      </c>
      <c r="L561" s="69"/>
      <c r="M561" s="5" t="s">
        <v>16</v>
      </c>
      <c r="N561" s="6">
        <v>5</v>
      </c>
      <c r="O561" s="5">
        <v>132</v>
      </c>
      <c r="P561" s="5">
        <v>0</v>
      </c>
      <c r="Q561" s="5">
        <v>24</v>
      </c>
      <c r="R561" s="3">
        <v>156</v>
      </c>
      <c r="S561" s="3" t="s">
        <v>193</v>
      </c>
      <c r="T561" s="3" t="s">
        <v>193</v>
      </c>
      <c r="U561" s="3" t="s">
        <v>193</v>
      </c>
      <c r="V561" s="5">
        <v>10</v>
      </c>
      <c r="W561" s="5" t="s">
        <v>52</v>
      </c>
      <c r="X561" s="5" t="s">
        <v>46</v>
      </c>
      <c r="Z561" s="4">
        <v>44848</v>
      </c>
      <c r="AB561" s="5"/>
      <c r="AC561" s="5"/>
      <c r="AD561" s="59"/>
      <c r="AF561" s="29"/>
      <c r="AG561" s="29"/>
      <c r="AJ561"/>
    </row>
    <row r="562" spans="1:39" ht="15" customHeight="1" x14ac:dyDescent="0.35">
      <c r="A562" s="4">
        <v>44851</v>
      </c>
      <c r="B562" s="5">
        <v>6</v>
      </c>
      <c r="C562" s="5" t="s">
        <v>157</v>
      </c>
      <c r="D562" s="5" t="s">
        <v>165</v>
      </c>
      <c r="E562" s="5"/>
      <c r="F562" s="5">
        <v>1050</v>
      </c>
      <c r="G562" s="5">
        <v>100</v>
      </c>
      <c r="H562" s="5"/>
      <c r="I562" s="5">
        <v>12</v>
      </c>
      <c r="J562" s="67"/>
      <c r="K562" s="6">
        <v>6.5</v>
      </c>
      <c r="L562" s="67"/>
      <c r="M562" s="5" t="s">
        <v>16</v>
      </c>
      <c r="N562" s="5">
        <v>5</v>
      </c>
      <c r="O562" s="5">
        <v>91</v>
      </c>
      <c r="P562" s="5">
        <v>25</v>
      </c>
      <c r="Q562" s="5">
        <v>0</v>
      </c>
      <c r="R562" s="3">
        <v>116</v>
      </c>
      <c r="S562" s="3">
        <v>3.64</v>
      </c>
      <c r="T562" s="3">
        <v>4.68</v>
      </c>
      <c r="U562" s="3">
        <v>1.45</v>
      </c>
      <c r="V562" s="5">
        <v>10</v>
      </c>
      <c r="W562" s="5" t="s">
        <v>52</v>
      </c>
      <c r="X562" s="5" t="s">
        <v>46</v>
      </c>
      <c r="Y562" s="29" t="s">
        <v>209</v>
      </c>
      <c r="Z562" s="4">
        <v>44848</v>
      </c>
      <c r="AB562" s="5" t="s">
        <v>138</v>
      </c>
      <c r="AC562" s="5">
        <v>100</v>
      </c>
      <c r="AD562" s="59">
        <v>0.04</v>
      </c>
      <c r="AE562" s="29">
        <v>0</v>
      </c>
      <c r="AF562" s="29" t="s">
        <v>104</v>
      </c>
      <c r="AG562" s="29" t="s">
        <v>104</v>
      </c>
      <c r="AJ562"/>
    </row>
    <row r="563" spans="1:39" ht="15" customHeight="1" x14ac:dyDescent="0.35">
      <c r="A563" s="4">
        <v>44851</v>
      </c>
      <c r="B563" s="5">
        <v>7</v>
      </c>
      <c r="C563" s="5" t="s">
        <v>206</v>
      </c>
      <c r="D563" s="5" t="s">
        <v>165</v>
      </c>
      <c r="E563" s="5"/>
      <c r="F563" s="5">
        <v>1050</v>
      </c>
      <c r="G563" s="5">
        <v>200</v>
      </c>
      <c r="H563" s="5"/>
      <c r="I563" s="5">
        <v>10</v>
      </c>
      <c r="J563" s="69"/>
      <c r="K563" s="6">
        <v>6</v>
      </c>
      <c r="L563" s="69"/>
      <c r="M563" s="5" t="s">
        <v>16</v>
      </c>
      <c r="N563" s="6">
        <v>5</v>
      </c>
      <c r="O563" s="5">
        <v>132</v>
      </c>
      <c r="P563" s="5">
        <v>0</v>
      </c>
      <c r="Q563" s="5">
        <v>24</v>
      </c>
      <c r="R563" s="3">
        <v>156</v>
      </c>
      <c r="S563" s="3" t="s">
        <v>193</v>
      </c>
      <c r="T563" s="3" t="s">
        <v>193</v>
      </c>
      <c r="U563" s="3" t="s">
        <v>193</v>
      </c>
      <c r="V563" s="5">
        <v>10</v>
      </c>
      <c r="W563" s="5" t="s">
        <v>52</v>
      </c>
      <c r="X563" s="5" t="s">
        <v>46</v>
      </c>
      <c r="Z563" s="4">
        <v>44848</v>
      </c>
      <c r="AB563" s="5"/>
      <c r="AC563" s="5"/>
      <c r="AD563" s="59"/>
      <c r="AF563" s="29"/>
      <c r="AG563" s="29"/>
      <c r="AJ563"/>
    </row>
    <row r="564" spans="1:39" ht="15" customHeight="1" x14ac:dyDescent="0.35">
      <c r="AI564" s="29"/>
      <c r="AJ564" s="29"/>
      <c r="AK564" s="29"/>
      <c r="AL564" s="29"/>
      <c r="AM564" s="29"/>
    </row>
    <row r="565" spans="1:39" ht="15" customHeight="1" x14ac:dyDescent="0.35">
      <c r="A565" s="77">
        <v>44852</v>
      </c>
      <c r="B565" s="83">
        <v>8</v>
      </c>
      <c r="C565" s="29" t="s">
        <v>48</v>
      </c>
      <c r="D565" s="47" t="s">
        <v>42</v>
      </c>
      <c r="F565" s="29">
        <v>1050</v>
      </c>
      <c r="G565" s="29">
        <v>200</v>
      </c>
      <c r="I565" s="29">
        <v>10</v>
      </c>
      <c r="K565" s="65">
        <v>2.79</v>
      </c>
      <c r="M565" s="29" t="s">
        <v>16</v>
      </c>
      <c r="N565" s="29">
        <v>3</v>
      </c>
      <c r="O565" s="29">
        <v>84</v>
      </c>
      <c r="P565" s="29">
        <v>48</v>
      </c>
      <c r="Q565" s="29">
        <v>24</v>
      </c>
      <c r="R565" s="29">
        <v>156</v>
      </c>
      <c r="S565" s="59">
        <v>1.75</v>
      </c>
      <c r="T565" s="59">
        <v>0.93</v>
      </c>
      <c r="U565" s="59">
        <v>0.63</v>
      </c>
      <c r="V565" s="29">
        <v>1</v>
      </c>
      <c r="W565" s="29" t="s">
        <v>169</v>
      </c>
      <c r="X565" s="29" t="s">
        <v>45</v>
      </c>
      <c r="Z565" s="71">
        <v>44848</v>
      </c>
      <c r="AB565" s="29" t="s">
        <v>155</v>
      </c>
      <c r="AC565" s="29">
        <v>100</v>
      </c>
      <c r="AD565" s="93">
        <v>0.04</v>
      </c>
      <c r="AE565" s="29">
        <v>0</v>
      </c>
      <c r="AF565" t="s">
        <v>104</v>
      </c>
      <c r="AG565" s="55" t="s">
        <v>104</v>
      </c>
      <c r="AI565" s="29"/>
      <c r="AJ565" s="29"/>
      <c r="AK565" s="29"/>
      <c r="AL565" s="29"/>
      <c r="AM565" s="29"/>
    </row>
    <row r="566" spans="1:39" ht="15" customHeight="1" x14ac:dyDescent="0.35">
      <c r="A566" s="77">
        <v>44852</v>
      </c>
      <c r="B566" s="83">
        <v>8</v>
      </c>
      <c r="C566" s="29" t="s">
        <v>48</v>
      </c>
      <c r="D566" s="47" t="s">
        <v>42</v>
      </c>
      <c r="F566" s="29">
        <v>1050</v>
      </c>
      <c r="G566" s="29">
        <v>200</v>
      </c>
      <c r="I566" s="29">
        <v>10</v>
      </c>
      <c r="K566" s="65">
        <v>2.79</v>
      </c>
      <c r="M566" s="29" t="s">
        <v>16</v>
      </c>
      <c r="N566" s="29">
        <v>3</v>
      </c>
      <c r="O566" s="29">
        <v>84</v>
      </c>
      <c r="P566" s="29">
        <v>48</v>
      </c>
      <c r="Q566" s="29">
        <v>24</v>
      </c>
      <c r="R566" s="29">
        <v>156</v>
      </c>
      <c r="S566" s="59">
        <v>1.75</v>
      </c>
      <c r="T566" s="59">
        <v>0.93</v>
      </c>
      <c r="U566" s="59">
        <v>0.63</v>
      </c>
      <c r="V566" s="29">
        <v>1</v>
      </c>
      <c r="W566" s="29" t="s">
        <v>169</v>
      </c>
      <c r="X566" s="29" t="s">
        <v>46</v>
      </c>
      <c r="Z566" s="71">
        <v>44848</v>
      </c>
      <c r="AB566" s="29" t="s">
        <v>138</v>
      </c>
      <c r="AC566" s="29">
        <v>100</v>
      </c>
      <c r="AD566" s="93">
        <v>0.02</v>
      </c>
      <c r="AE566" s="29">
        <v>0</v>
      </c>
      <c r="AF566" t="s">
        <v>102</v>
      </c>
      <c r="AG566" s="55" t="s">
        <v>104</v>
      </c>
      <c r="AI566" s="29"/>
      <c r="AJ566" s="29"/>
      <c r="AK566" s="29"/>
      <c r="AL566" s="29"/>
      <c r="AM566" s="29"/>
    </row>
    <row r="567" spans="1:39" ht="15" customHeight="1" x14ac:dyDescent="0.35">
      <c r="A567" s="77">
        <v>44852</v>
      </c>
      <c r="B567" s="83">
        <v>9</v>
      </c>
      <c r="C567" s="29" t="s">
        <v>157</v>
      </c>
      <c r="D567" s="47" t="s">
        <v>165</v>
      </c>
      <c r="F567" s="29">
        <v>1050</v>
      </c>
      <c r="G567" s="29">
        <v>100</v>
      </c>
      <c r="I567" s="29">
        <v>12</v>
      </c>
      <c r="K567" s="65">
        <v>5.59</v>
      </c>
      <c r="M567" s="29" t="s">
        <v>16</v>
      </c>
      <c r="N567" s="29">
        <v>5</v>
      </c>
      <c r="O567" s="29">
        <v>91</v>
      </c>
      <c r="P567" s="29">
        <v>25</v>
      </c>
      <c r="Q567" s="29">
        <v>0</v>
      </c>
      <c r="R567" s="29">
        <v>116</v>
      </c>
      <c r="S567" s="59">
        <v>3.64</v>
      </c>
      <c r="T567" s="59">
        <v>4.68</v>
      </c>
      <c r="U567" s="59">
        <v>1.45</v>
      </c>
      <c r="V567" s="29">
        <v>1</v>
      </c>
      <c r="W567" s="29" t="s">
        <v>52</v>
      </c>
      <c r="X567" s="29" t="s">
        <v>46</v>
      </c>
      <c r="Y567" s="29" t="s">
        <v>209</v>
      </c>
      <c r="Z567" s="71">
        <v>44848</v>
      </c>
      <c r="AB567" s="29" t="s">
        <v>138</v>
      </c>
      <c r="AC567" s="29">
        <v>100</v>
      </c>
      <c r="AD567" s="93">
        <v>0.03</v>
      </c>
      <c r="AE567" s="29">
        <v>0</v>
      </c>
      <c r="AF567" t="s">
        <v>104</v>
      </c>
      <c r="AG567" s="55" t="s">
        <v>104</v>
      </c>
      <c r="AI567" s="29"/>
      <c r="AJ567" s="29"/>
      <c r="AK567" s="29"/>
      <c r="AL567" s="29"/>
      <c r="AM567" s="29"/>
    </row>
    <row r="568" spans="1:39" ht="15" customHeight="1" x14ac:dyDescent="0.35">
      <c r="A568" s="77">
        <v>44852</v>
      </c>
      <c r="B568" s="83">
        <v>10</v>
      </c>
      <c r="C568" s="29" t="s">
        <v>157</v>
      </c>
      <c r="D568" s="47" t="s">
        <v>165</v>
      </c>
      <c r="F568" s="29">
        <v>1050</v>
      </c>
      <c r="G568" s="29">
        <v>100</v>
      </c>
      <c r="I568" s="29">
        <v>12</v>
      </c>
      <c r="K568" s="65">
        <v>6.43</v>
      </c>
      <c r="M568" s="29" t="s">
        <v>16</v>
      </c>
      <c r="N568" s="29">
        <v>5</v>
      </c>
      <c r="O568" s="29">
        <v>91</v>
      </c>
      <c r="P568" s="29">
        <v>25</v>
      </c>
      <c r="Q568" s="29">
        <v>0</v>
      </c>
      <c r="R568" s="29">
        <v>116</v>
      </c>
      <c r="S568" s="59">
        <v>3.64</v>
      </c>
      <c r="T568" s="59">
        <v>4.68</v>
      </c>
      <c r="U568" s="59">
        <v>1.45</v>
      </c>
      <c r="V568" s="29">
        <v>9</v>
      </c>
      <c r="W568" s="29" t="s">
        <v>52</v>
      </c>
      <c r="X568" s="29" t="s">
        <v>46</v>
      </c>
      <c r="Y568" s="29" t="s">
        <v>209</v>
      </c>
      <c r="Z568" s="71">
        <v>44848</v>
      </c>
      <c r="AB568" s="29" t="s">
        <v>138</v>
      </c>
      <c r="AC568" s="29">
        <v>100</v>
      </c>
      <c r="AE568" s="29">
        <v>0</v>
      </c>
      <c r="AF568" t="s">
        <v>104</v>
      </c>
      <c r="AG568" s="55" t="s">
        <v>104</v>
      </c>
      <c r="AI568" s="29"/>
      <c r="AJ568" s="29"/>
      <c r="AK568" s="29"/>
      <c r="AL568" s="29"/>
      <c r="AM568" s="29"/>
    </row>
    <row r="569" spans="1:39" ht="15" customHeight="1" x14ac:dyDescent="0.35">
      <c r="A569" s="77">
        <v>44852</v>
      </c>
      <c r="B569" s="83">
        <v>11</v>
      </c>
      <c r="C569" s="29" t="s">
        <v>206</v>
      </c>
      <c r="D569" s="47" t="s">
        <v>165</v>
      </c>
      <c r="F569" s="29">
        <v>1050</v>
      </c>
      <c r="G569" s="29">
        <v>200</v>
      </c>
      <c r="I569" s="29">
        <v>10</v>
      </c>
      <c r="K569" s="65">
        <v>6.5</v>
      </c>
      <c r="M569" s="29" t="s">
        <v>16</v>
      </c>
      <c r="N569" s="29">
        <v>5</v>
      </c>
      <c r="O569" s="29">
        <v>132</v>
      </c>
      <c r="P569" s="29">
        <v>0</v>
      </c>
      <c r="Q569" s="29">
        <v>24</v>
      </c>
      <c r="R569" s="29">
        <v>156</v>
      </c>
      <c r="S569" s="59" t="s">
        <v>193</v>
      </c>
      <c r="T569" s="59" t="s">
        <v>193</v>
      </c>
      <c r="U569" s="59" t="s">
        <v>193</v>
      </c>
      <c r="V569" s="29">
        <v>10</v>
      </c>
      <c r="W569" s="29" t="s">
        <v>52</v>
      </c>
      <c r="X569" s="29" t="s">
        <v>46</v>
      </c>
      <c r="Z569" s="71">
        <v>44848</v>
      </c>
      <c r="AI569" s="29"/>
      <c r="AJ569" s="29"/>
      <c r="AK569" s="29"/>
      <c r="AL569" s="29"/>
      <c r="AM569" s="29"/>
    </row>
    <row r="570" spans="1:39" ht="15" customHeight="1" x14ac:dyDescent="0.35">
      <c r="A570" s="77">
        <v>44852</v>
      </c>
      <c r="B570" s="83">
        <v>12</v>
      </c>
      <c r="C570" s="29" t="s">
        <v>157</v>
      </c>
      <c r="D570" s="47" t="s">
        <v>165</v>
      </c>
      <c r="F570" s="29">
        <v>1050</v>
      </c>
      <c r="G570" s="29">
        <v>100</v>
      </c>
      <c r="I570" s="29">
        <v>12</v>
      </c>
      <c r="K570" s="65">
        <v>7.5</v>
      </c>
      <c r="M570" s="29" t="s">
        <v>16</v>
      </c>
      <c r="N570" s="29">
        <v>5</v>
      </c>
      <c r="O570" s="29">
        <v>91</v>
      </c>
      <c r="P570" s="29">
        <v>25</v>
      </c>
      <c r="Q570" s="29">
        <v>0</v>
      </c>
      <c r="R570" s="29">
        <v>116</v>
      </c>
      <c r="S570" s="59">
        <v>3.64</v>
      </c>
      <c r="T570" s="59">
        <v>4.68</v>
      </c>
      <c r="U570" s="59">
        <v>1.45</v>
      </c>
      <c r="V570" s="29">
        <v>10</v>
      </c>
      <c r="W570" s="29" t="s">
        <v>52</v>
      </c>
      <c r="X570" s="29" t="s">
        <v>46</v>
      </c>
      <c r="Y570" s="29" t="s">
        <v>209</v>
      </c>
      <c r="Z570" s="71">
        <v>44848</v>
      </c>
      <c r="AB570" s="29" t="s">
        <v>138</v>
      </c>
      <c r="AC570" s="29">
        <v>100</v>
      </c>
      <c r="AD570" s="93">
        <v>0.02</v>
      </c>
      <c r="AE570" s="29">
        <v>0</v>
      </c>
      <c r="AF570" t="s">
        <v>104</v>
      </c>
      <c r="AG570" s="55" t="s">
        <v>102</v>
      </c>
      <c r="AI570" s="29"/>
      <c r="AJ570" s="29"/>
      <c r="AK570" s="29"/>
      <c r="AL570" s="29"/>
      <c r="AM570" s="29"/>
    </row>
    <row r="571" spans="1:39" ht="15" customHeight="1" x14ac:dyDescent="0.35">
      <c r="A571" s="77">
        <v>44852</v>
      </c>
      <c r="B571" s="83">
        <v>13</v>
      </c>
      <c r="C571" s="29" t="s">
        <v>206</v>
      </c>
      <c r="D571" s="47" t="s">
        <v>165</v>
      </c>
      <c r="F571" s="29">
        <v>1050</v>
      </c>
      <c r="G571" s="29">
        <v>200</v>
      </c>
      <c r="I571" s="29">
        <v>10</v>
      </c>
      <c r="K571" s="65">
        <v>8.25</v>
      </c>
      <c r="M571" s="29" t="s">
        <v>16</v>
      </c>
      <c r="N571" s="29">
        <v>5</v>
      </c>
      <c r="O571" s="29">
        <v>132</v>
      </c>
      <c r="P571" s="29">
        <v>0</v>
      </c>
      <c r="Q571" s="29">
        <v>24</v>
      </c>
      <c r="R571" s="29">
        <v>156</v>
      </c>
      <c r="S571" s="59" t="s">
        <v>193</v>
      </c>
      <c r="T571" s="59" t="s">
        <v>193</v>
      </c>
      <c r="U571" s="59" t="s">
        <v>193</v>
      </c>
      <c r="V571" s="29">
        <v>4</v>
      </c>
      <c r="W571" s="29" t="s">
        <v>52</v>
      </c>
      <c r="X571" s="29" t="s">
        <v>46</v>
      </c>
      <c r="Z571" s="71">
        <v>44849</v>
      </c>
      <c r="AI571" s="29"/>
      <c r="AJ571" s="29"/>
      <c r="AK571" s="29"/>
      <c r="AL571" s="29"/>
      <c r="AM571" s="29"/>
    </row>
    <row r="572" spans="1:39" ht="15" customHeight="1" x14ac:dyDescent="0.35">
      <c r="AI572" s="29"/>
      <c r="AJ572" s="29"/>
      <c r="AK572" s="29"/>
      <c r="AL572" s="29"/>
      <c r="AM572" s="29"/>
    </row>
    <row r="573" spans="1:39" ht="15" customHeight="1" x14ac:dyDescent="0.35">
      <c r="A573" s="77">
        <v>44853</v>
      </c>
      <c r="B573" s="83">
        <v>14</v>
      </c>
      <c r="C573" s="29" t="s">
        <v>157</v>
      </c>
      <c r="D573" s="47" t="s">
        <v>165</v>
      </c>
      <c r="F573" s="29">
        <v>1050</v>
      </c>
      <c r="G573" s="29">
        <v>100</v>
      </c>
      <c r="I573" s="29">
        <v>12</v>
      </c>
      <c r="K573" s="65">
        <v>3.87</v>
      </c>
      <c r="M573" s="29" t="s">
        <v>16</v>
      </c>
      <c r="N573" s="29">
        <v>5</v>
      </c>
      <c r="O573" s="29">
        <v>91</v>
      </c>
      <c r="P573" s="29">
        <v>25</v>
      </c>
      <c r="Q573" s="29">
        <v>0</v>
      </c>
      <c r="R573" s="29">
        <v>116</v>
      </c>
      <c r="S573" s="59">
        <v>3.64</v>
      </c>
      <c r="T573" s="59">
        <v>4.68</v>
      </c>
      <c r="U573" s="59">
        <v>1.45</v>
      </c>
      <c r="V573" s="29">
        <v>1</v>
      </c>
      <c r="W573" s="29" t="s">
        <v>52</v>
      </c>
      <c r="X573" s="29" t="s">
        <v>46</v>
      </c>
      <c r="Y573" s="29" t="s">
        <v>209</v>
      </c>
      <c r="Z573" s="71">
        <v>44849</v>
      </c>
      <c r="AB573" s="29" t="s">
        <v>138</v>
      </c>
      <c r="AC573" s="29">
        <v>100</v>
      </c>
      <c r="AD573" s="93">
        <v>0.02</v>
      </c>
      <c r="AI573" s="29"/>
      <c r="AJ573" s="29"/>
      <c r="AK573" s="29"/>
      <c r="AL573" s="29"/>
      <c r="AM573" s="29"/>
    </row>
    <row r="574" spans="1:39" ht="15" customHeight="1" x14ac:dyDescent="0.35">
      <c r="A574" s="77">
        <v>44853</v>
      </c>
      <c r="B574" s="83">
        <v>15</v>
      </c>
      <c r="C574" s="29" t="s">
        <v>48</v>
      </c>
      <c r="D574" s="47" t="s">
        <v>42</v>
      </c>
      <c r="F574" s="29">
        <v>1050</v>
      </c>
      <c r="G574" s="29">
        <v>200</v>
      </c>
      <c r="I574" s="29">
        <v>10</v>
      </c>
      <c r="K574" s="65">
        <v>8.1</v>
      </c>
      <c r="M574" s="29" t="s">
        <v>16</v>
      </c>
      <c r="N574" s="29">
        <v>3</v>
      </c>
      <c r="O574" s="29">
        <v>84</v>
      </c>
      <c r="P574" s="29">
        <v>48</v>
      </c>
      <c r="Q574" s="29">
        <v>24</v>
      </c>
      <c r="R574" s="29">
        <v>156</v>
      </c>
      <c r="S574" s="59">
        <v>1.75</v>
      </c>
      <c r="T574" s="59">
        <v>0.93</v>
      </c>
      <c r="U574" s="59">
        <v>0.63</v>
      </c>
      <c r="V574" s="29">
        <v>1</v>
      </c>
      <c r="W574" s="29" t="s">
        <v>52</v>
      </c>
      <c r="X574" s="29" t="s">
        <v>45</v>
      </c>
      <c r="Z574" s="71">
        <v>44849</v>
      </c>
      <c r="AB574" s="29" t="s">
        <v>155</v>
      </c>
      <c r="AC574" s="29">
        <v>100</v>
      </c>
      <c r="AD574" s="93">
        <v>0.12</v>
      </c>
      <c r="AE574" s="29">
        <v>0</v>
      </c>
      <c r="AF574" t="s">
        <v>104</v>
      </c>
      <c r="AG574" s="55" t="s">
        <v>104</v>
      </c>
      <c r="AI574" s="29"/>
      <c r="AJ574" s="29"/>
      <c r="AK574" s="29"/>
      <c r="AL574" s="29"/>
      <c r="AM574" s="29"/>
    </row>
    <row r="575" spans="1:39" ht="15" customHeight="1" x14ac:dyDescent="0.35">
      <c r="A575" s="77">
        <v>44853</v>
      </c>
      <c r="B575" s="83">
        <v>16</v>
      </c>
      <c r="C575" s="29" t="s">
        <v>157</v>
      </c>
      <c r="D575" s="47" t="s">
        <v>165</v>
      </c>
      <c r="F575" s="29">
        <v>1050</v>
      </c>
      <c r="G575" s="29">
        <v>100</v>
      </c>
      <c r="I575" s="29">
        <v>12</v>
      </c>
      <c r="K575" s="65">
        <v>6.95</v>
      </c>
      <c r="M575" s="29" t="s">
        <v>16</v>
      </c>
      <c r="N575" s="29">
        <v>5</v>
      </c>
      <c r="O575" s="29">
        <v>91</v>
      </c>
      <c r="P575" s="29">
        <v>25</v>
      </c>
      <c r="Q575" s="29">
        <v>0</v>
      </c>
      <c r="R575" s="29">
        <v>116</v>
      </c>
      <c r="S575" s="59">
        <v>3.64</v>
      </c>
      <c r="T575" s="59">
        <v>4.68</v>
      </c>
      <c r="U575" s="59">
        <v>1.45</v>
      </c>
      <c r="V575" s="29">
        <v>3</v>
      </c>
      <c r="W575" s="29" t="s">
        <v>52</v>
      </c>
      <c r="X575" s="29" t="s">
        <v>46</v>
      </c>
      <c r="Y575" s="29" t="s">
        <v>209</v>
      </c>
      <c r="Z575" s="71">
        <v>44849</v>
      </c>
      <c r="AB575" s="29" t="s">
        <v>138</v>
      </c>
      <c r="AC575" s="29">
        <v>100</v>
      </c>
      <c r="AD575" s="93">
        <v>0.02</v>
      </c>
      <c r="AI575" s="29"/>
      <c r="AJ575" s="29"/>
      <c r="AK575" s="29"/>
      <c r="AL575" s="29"/>
      <c r="AM575" s="29"/>
    </row>
    <row r="576" spans="1:39" ht="15" customHeight="1" x14ac:dyDescent="0.35">
      <c r="A576" s="77">
        <v>44853</v>
      </c>
      <c r="B576" s="83">
        <v>17</v>
      </c>
      <c r="C576" s="29" t="s">
        <v>206</v>
      </c>
      <c r="D576" s="47" t="s">
        <v>165</v>
      </c>
      <c r="F576" s="29">
        <v>1050</v>
      </c>
      <c r="G576" s="29">
        <v>200</v>
      </c>
      <c r="I576" s="29">
        <v>10</v>
      </c>
      <c r="M576" s="29" t="s">
        <v>16</v>
      </c>
      <c r="N576" s="29">
        <v>5</v>
      </c>
      <c r="O576" s="29">
        <v>132</v>
      </c>
      <c r="P576" s="29">
        <v>0</v>
      </c>
      <c r="Q576" s="29">
        <v>24</v>
      </c>
      <c r="R576" s="29">
        <v>156</v>
      </c>
      <c r="S576" s="59" t="s">
        <v>193</v>
      </c>
      <c r="T576" s="59" t="s">
        <v>193</v>
      </c>
      <c r="U576" s="59" t="s">
        <v>193</v>
      </c>
      <c r="V576" s="29">
        <v>10</v>
      </c>
      <c r="W576" s="29" t="s">
        <v>52</v>
      </c>
      <c r="X576" s="29" t="s">
        <v>46</v>
      </c>
      <c r="Z576" s="71">
        <v>44849</v>
      </c>
      <c r="AI576" s="29"/>
      <c r="AJ576" s="29"/>
      <c r="AK576" s="29"/>
      <c r="AL576" s="29"/>
      <c r="AM576" s="29"/>
    </row>
    <row r="577" spans="1:39" ht="15" customHeight="1" x14ac:dyDescent="0.35">
      <c r="A577" s="77">
        <v>44853</v>
      </c>
      <c r="B577" s="83">
        <v>18</v>
      </c>
      <c r="C577" s="29" t="s">
        <v>157</v>
      </c>
      <c r="D577" s="47" t="s">
        <v>165</v>
      </c>
      <c r="F577" s="29">
        <v>1050</v>
      </c>
      <c r="G577" s="29">
        <v>100</v>
      </c>
      <c r="I577" s="29">
        <v>12</v>
      </c>
      <c r="M577" s="29" t="s">
        <v>16</v>
      </c>
      <c r="N577" s="29">
        <v>5</v>
      </c>
      <c r="O577" s="29">
        <v>91</v>
      </c>
      <c r="P577" s="29">
        <v>25</v>
      </c>
      <c r="Q577" s="29">
        <v>0</v>
      </c>
      <c r="R577" s="29">
        <v>116</v>
      </c>
      <c r="S577" s="59">
        <v>3.64</v>
      </c>
      <c r="T577" s="59">
        <v>4.68</v>
      </c>
      <c r="U577" s="59">
        <v>1.45</v>
      </c>
      <c r="V577" s="29">
        <v>10</v>
      </c>
      <c r="W577" s="29" t="s">
        <v>52</v>
      </c>
      <c r="X577" s="29" t="s">
        <v>46</v>
      </c>
      <c r="Y577" s="29" t="s">
        <v>209</v>
      </c>
      <c r="Z577" s="71">
        <v>44849</v>
      </c>
      <c r="AB577" s="29" t="s">
        <v>138</v>
      </c>
      <c r="AC577" s="29">
        <v>100</v>
      </c>
      <c r="AD577" s="93">
        <v>0.05</v>
      </c>
      <c r="AE577" s="29">
        <v>0</v>
      </c>
      <c r="AF577" t="s">
        <v>104</v>
      </c>
      <c r="AG577" s="55" t="s">
        <v>104</v>
      </c>
      <c r="AI577" s="29"/>
      <c r="AJ577" s="29"/>
      <c r="AK577" s="29"/>
      <c r="AL577" s="29"/>
      <c r="AM577" s="29"/>
    </row>
    <row r="578" spans="1:39" ht="15" customHeight="1" x14ac:dyDescent="0.35">
      <c r="A578" s="77">
        <v>44853</v>
      </c>
      <c r="B578" s="83">
        <v>19</v>
      </c>
      <c r="C578" s="29" t="s">
        <v>48</v>
      </c>
      <c r="D578" s="47" t="s">
        <v>165</v>
      </c>
      <c r="F578" s="29">
        <v>1050</v>
      </c>
      <c r="G578" s="29">
        <v>200</v>
      </c>
      <c r="I578" s="29">
        <v>10</v>
      </c>
      <c r="K578" s="65">
        <v>7.2</v>
      </c>
      <c r="M578" s="29" t="s">
        <v>16</v>
      </c>
      <c r="N578" s="29">
        <v>3</v>
      </c>
      <c r="O578" s="29">
        <v>84</v>
      </c>
      <c r="P578" s="29">
        <v>48</v>
      </c>
      <c r="Q578" s="29">
        <v>24</v>
      </c>
      <c r="R578" s="29">
        <v>156</v>
      </c>
      <c r="S578" s="59">
        <v>1.75</v>
      </c>
      <c r="T578" s="59">
        <v>0.93</v>
      </c>
      <c r="U578" s="59">
        <v>0.63</v>
      </c>
      <c r="V578" s="29">
        <v>5</v>
      </c>
      <c r="W578" s="29" t="s">
        <v>52</v>
      </c>
      <c r="X578" s="29" t="s">
        <v>45</v>
      </c>
      <c r="Z578" s="71">
        <v>44849</v>
      </c>
      <c r="AB578" s="29" t="s">
        <v>155</v>
      </c>
      <c r="AC578" s="29">
        <v>100</v>
      </c>
      <c r="AD578" s="93">
        <v>0.15</v>
      </c>
      <c r="AE578" s="29">
        <v>0.25</v>
      </c>
      <c r="AF578" t="s">
        <v>104</v>
      </c>
      <c r="AG578" s="55" t="s">
        <v>104</v>
      </c>
      <c r="AI578" s="29"/>
      <c r="AJ578" s="29"/>
      <c r="AK578" s="29"/>
      <c r="AL578" s="29"/>
      <c r="AM578" s="29"/>
    </row>
    <row r="579" spans="1:39" ht="15" customHeight="1" x14ac:dyDescent="0.35">
      <c r="A579" s="77">
        <v>44853</v>
      </c>
      <c r="B579" s="83">
        <v>20</v>
      </c>
      <c r="C579" s="29" t="s">
        <v>48</v>
      </c>
      <c r="D579" s="47" t="s">
        <v>165</v>
      </c>
      <c r="F579" s="29">
        <v>1050</v>
      </c>
      <c r="G579" s="29">
        <v>200</v>
      </c>
      <c r="I579" s="29">
        <v>10</v>
      </c>
      <c r="K579" s="65">
        <v>5.5</v>
      </c>
      <c r="M579" s="29" t="s">
        <v>16</v>
      </c>
      <c r="N579" s="29">
        <v>3</v>
      </c>
      <c r="O579" s="29">
        <v>84</v>
      </c>
      <c r="P579" s="29">
        <v>48</v>
      </c>
      <c r="Q579" s="29">
        <v>24</v>
      </c>
      <c r="R579" s="29">
        <v>156</v>
      </c>
      <c r="S579" s="59">
        <v>1.75</v>
      </c>
      <c r="T579" s="59">
        <v>0.93</v>
      </c>
      <c r="U579" s="59">
        <v>0.63</v>
      </c>
      <c r="V579" s="29">
        <v>5</v>
      </c>
      <c r="W579" s="29" t="s">
        <v>52</v>
      </c>
      <c r="X579" s="29" t="s">
        <v>45</v>
      </c>
      <c r="Z579" s="71">
        <v>44849</v>
      </c>
      <c r="AB579" s="29" t="s">
        <v>138</v>
      </c>
      <c r="AC579" s="29">
        <v>100</v>
      </c>
      <c r="AD579" s="93">
        <v>0.14000000000000001</v>
      </c>
      <c r="AE579" s="29">
        <v>1</v>
      </c>
      <c r="AF579" t="s">
        <v>104</v>
      </c>
      <c r="AG579" s="55" t="s">
        <v>104</v>
      </c>
      <c r="AI579" s="29"/>
      <c r="AJ579" s="29"/>
      <c r="AK579" s="29"/>
      <c r="AL579" s="29"/>
      <c r="AM579" s="29"/>
    </row>
    <row r="580" spans="1:39" ht="15" customHeight="1" x14ac:dyDescent="0.35">
      <c r="A580" s="77">
        <v>44853</v>
      </c>
      <c r="B580" s="83">
        <v>20</v>
      </c>
      <c r="C580" s="29" t="s">
        <v>48</v>
      </c>
      <c r="D580" s="47" t="s">
        <v>165</v>
      </c>
      <c r="F580" s="29">
        <v>1050</v>
      </c>
      <c r="G580" s="29">
        <v>200</v>
      </c>
      <c r="I580" s="29">
        <v>10</v>
      </c>
      <c r="K580" s="65">
        <v>5.5</v>
      </c>
      <c r="M580" s="29" t="s">
        <v>16</v>
      </c>
      <c r="N580" s="29">
        <v>3</v>
      </c>
      <c r="O580" s="29">
        <v>84</v>
      </c>
      <c r="P580" s="29">
        <v>48</v>
      </c>
      <c r="Q580" s="29">
        <v>24</v>
      </c>
      <c r="R580" s="29">
        <v>156</v>
      </c>
      <c r="S580" s="59">
        <v>1.75</v>
      </c>
      <c r="T580" s="59">
        <v>0.93</v>
      </c>
      <c r="U580" s="59">
        <v>0.63</v>
      </c>
      <c r="V580" s="29">
        <v>1</v>
      </c>
      <c r="W580" s="29" t="s">
        <v>52</v>
      </c>
      <c r="X580" s="29" t="s">
        <v>45</v>
      </c>
      <c r="Y580" s="29" t="s">
        <v>230</v>
      </c>
      <c r="Z580" s="71">
        <v>44849</v>
      </c>
      <c r="AB580" s="29" t="s">
        <v>138</v>
      </c>
      <c r="AC580" s="29">
        <v>100</v>
      </c>
      <c r="AD580" s="93">
        <v>0.18</v>
      </c>
      <c r="AE580" s="29">
        <v>0</v>
      </c>
      <c r="AF580" t="s">
        <v>102</v>
      </c>
      <c r="AG580" s="55" t="s">
        <v>104</v>
      </c>
      <c r="AI580" s="29"/>
      <c r="AJ580" s="29"/>
      <c r="AK580" s="29"/>
      <c r="AL580" s="29"/>
      <c r="AM580" s="29"/>
    </row>
    <row r="581" spans="1:39" ht="15" customHeight="1" x14ac:dyDescent="0.35">
      <c r="A581" s="77">
        <v>44853</v>
      </c>
      <c r="B581" s="83">
        <v>20</v>
      </c>
      <c r="C581" s="29" t="s">
        <v>48</v>
      </c>
      <c r="D581" s="47" t="s">
        <v>165</v>
      </c>
      <c r="F581" s="29">
        <v>1050</v>
      </c>
      <c r="G581" s="29">
        <v>200</v>
      </c>
      <c r="I581" s="29">
        <v>10</v>
      </c>
      <c r="K581" s="65">
        <v>5.5</v>
      </c>
      <c r="M581" s="29" t="s">
        <v>16</v>
      </c>
      <c r="N581" s="29">
        <v>3</v>
      </c>
      <c r="O581" s="29">
        <v>84</v>
      </c>
      <c r="P581" s="29">
        <v>48</v>
      </c>
      <c r="Q581" s="29">
        <v>24</v>
      </c>
      <c r="R581" s="29">
        <v>156</v>
      </c>
      <c r="S581" s="59">
        <v>1.75</v>
      </c>
      <c r="T581" s="59">
        <v>0.93</v>
      </c>
      <c r="U581" s="59">
        <v>0.63</v>
      </c>
      <c r="V581" s="29">
        <v>1</v>
      </c>
      <c r="W581" s="29" t="s">
        <v>52</v>
      </c>
      <c r="X581" s="29" t="s">
        <v>46</v>
      </c>
      <c r="Y581" s="29" t="s">
        <v>230</v>
      </c>
      <c r="Z581" s="71">
        <v>44849</v>
      </c>
      <c r="AB581" s="29" t="s">
        <v>155</v>
      </c>
      <c r="AC581" s="29">
        <v>100</v>
      </c>
      <c r="AE581" s="29">
        <v>3</v>
      </c>
      <c r="AF581" t="s">
        <v>103</v>
      </c>
      <c r="AG581" s="55" t="s">
        <v>102</v>
      </c>
      <c r="AI581" s="29"/>
      <c r="AJ581" s="29"/>
      <c r="AK581" s="29"/>
      <c r="AL581" s="29"/>
      <c r="AM581" s="29"/>
    </row>
    <row r="582" spans="1:39" ht="15" customHeight="1" x14ac:dyDescent="0.35">
      <c r="AI582" s="29"/>
      <c r="AJ582" s="29"/>
      <c r="AK582" s="29"/>
      <c r="AL582" s="29"/>
      <c r="AM582" s="29"/>
    </row>
    <row r="583" spans="1:39" ht="15" customHeight="1" x14ac:dyDescent="0.35">
      <c r="A583" s="77">
        <v>44854</v>
      </c>
      <c r="B583" s="83">
        <v>21</v>
      </c>
      <c r="C583" s="29" t="s">
        <v>211</v>
      </c>
      <c r="D583" s="47" t="s">
        <v>42</v>
      </c>
      <c r="F583" s="29">
        <v>1050</v>
      </c>
      <c r="G583" s="29">
        <v>200</v>
      </c>
      <c r="I583" s="29">
        <v>10</v>
      </c>
      <c r="M583" s="29" t="s">
        <v>16</v>
      </c>
      <c r="N583" s="29">
        <v>5</v>
      </c>
      <c r="O583" s="29">
        <v>120</v>
      </c>
      <c r="P583" s="29">
        <v>15.2</v>
      </c>
      <c r="Q583" s="29">
        <v>20</v>
      </c>
      <c r="R583" s="29">
        <v>155.19999999999999</v>
      </c>
      <c r="S583" s="59">
        <v>7.89</v>
      </c>
      <c r="T583" s="59">
        <v>17.5</v>
      </c>
      <c r="U583" s="59">
        <v>4.1100000000000003</v>
      </c>
      <c r="V583" s="29">
        <v>3</v>
      </c>
      <c r="W583" s="29" t="s">
        <v>52</v>
      </c>
      <c r="X583" s="29" t="s">
        <v>45</v>
      </c>
      <c r="Z583" s="71">
        <v>44849</v>
      </c>
      <c r="AB583" s="29" t="s">
        <v>155</v>
      </c>
      <c r="AC583" s="29">
        <v>100</v>
      </c>
      <c r="AD583" s="93">
        <v>0.08</v>
      </c>
      <c r="AE583" s="29">
        <v>0</v>
      </c>
      <c r="AF583" t="s">
        <v>104</v>
      </c>
      <c r="AG583" s="55" t="s">
        <v>104</v>
      </c>
      <c r="AI583" s="29"/>
      <c r="AJ583" s="29"/>
      <c r="AK583" s="29"/>
      <c r="AL583" s="29"/>
      <c r="AM583" s="29"/>
    </row>
    <row r="584" spans="1:39" ht="15" customHeight="1" x14ac:dyDescent="0.35">
      <c r="A584" s="77">
        <v>44854</v>
      </c>
      <c r="B584" s="83">
        <v>21</v>
      </c>
      <c r="C584" s="29" t="s">
        <v>211</v>
      </c>
      <c r="D584" s="47" t="s">
        <v>42</v>
      </c>
      <c r="F584" s="29">
        <v>1050</v>
      </c>
      <c r="G584" s="29">
        <v>200</v>
      </c>
      <c r="I584" s="29">
        <v>10</v>
      </c>
      <c r="M584" s="29" t="s">
        <v>16</v>
      </c>
      <c r="N584" s="29">
        <v>5</v>
      </c>
      <c r="O584" s="29">
        <v>120</v>
      </c>
      <c r="P584" s="29">
        <v>15.2</v>
      </c>
      <c r="Q584" s="29">
        <v>20</v>
      </c>
      <c r="R584" s="29">
        <v>155.19999999999999</v>
      </c>
      <c r="S584" s="59">
        <v>7.89</v>
      </c>
      <c r="T584" s="59">
        <v>17.5</v>
      </c>
      <c r="U584" s="59">
        <v>4.1100000000000003</v>
      </c>
      <c r="V584" s="29">
        <v>3</v>
      </c>
      <c r="W584" s="29" t="s">
        <v>52</v>
      </c>
      <c r="X584" s="29" t="s">
        <v>46</v>
      </c>
      <c r="Z584" s="71">
        <v>44849</v>
      </c>
      <c r="AB584" s="29" t="s">
        <v>138</v>
      </c>
      <c r="AC584" s="29">
        <v>100</v>
      </c>
      <c r="AD584" s="93">
        <v>0.1</v>
      </c>
      <c r="AE584" s="29">
        <v>3</v>
      </c>
      <c r="AF584" t="s">
        <v>104</v>
      </c>
      <c r="AG584" s="55" t="s">
        <v>104</v>
      </c>
      <c r="AI584" s="29"/>
      <c r="AJ584" s="29"/>
      <c r="AK584" s="29"/>
      <c r="AL584" s="29"/>
      <c r="AM584" s="29"/>
    </row>
    <row r="585" spans="1:39" ht="15" customHeight="1" x14ac:dyDescent="0.35">
      <c r="A585" s="77">
        <v>44854</v>
      </c>
      <c r="B585" s="83">
        <v>22</v>
      </c>
      <c r="C585" s="29" t="s">
        <v>206</v>
      </c>
      <c r="D585" s="47" t="s">
        <v>144</v>
      </c>
      <c r="F585" s="29">
        <v>1050</v>
      </c>
      <c r="G585" s="29">
        <v>200</v>
      </c>
      <c r="I585" s="29">
        <v>10</v>
      </c>
      <c r="K585" s="65">
        <v>6.7</v>
      </c>
      <c r="M585" s="29" t="s">
        <v>16</v>
      </c>
      <c r="N585" s="29">
        <v>5</v>
      </c>
      <c r="O585" s="29">
        <v>132</v>
      </c>
      <c r="P585" s="29">
        <v>0</v>
      </c>
      <c r="Q585" s="29">
        <v>24</v>
      </c>
      <c r="R585" s="29">
        <v>156</v>
      </c>
      <c r="S585" s="59" t="s">
        <v>193</v>
      </c>
      <c r="T585" s="59" t="s">
        <v>193</v>
      </c>
      <c r="U585" s="59" t="s">
        <v>193</v>
      </c>
      <c r="V585" s="29">
        <v>1</v>
      </c>
      <c r="W585" s="29" t="s">
        <v>122</v>
      </c>
      <c r="X585" s="29" t="s">
        <v>46</v>
      </c>
      <c r="AI585" s="29"/>
      <c r="AJ585" s="29"/>
      <c r="AK585" s="29"/>
      <c r="AL585" s="29"/>
      <c r="AM585" s="29"/>
    </row>
    <row r="586" spans="1:39" ht="15" customHeight="1" x14ac:dyDescent="0.35">
      <c r="A586" s="77">
        <v>44854</v>
      </c>
      <c r="B586" s="83">
        <v>23</v>
      </c>
      <c r="C586" s="29" t="s">
        <v>211</v>
      </c>
      <c r="D586" s="47" t="s">
        <v>42</v>
      </c>
      <c r="F586" s="29">
        <v>1050</v>
      </c>
      <c r="G586" s="29">
        <v>200</v>
      </c>
      <c r="I586" s="29">
        <v>10</v>
      </c>
      <c r="K586" s="65">
        <v>7.5</v>
      </c>
      <c r="M586" s="29" t="s">
        <v>16</v>
      </c>
      <c r="N586" s="29">
        <v>5</v>
      </c>
      <c r="O586" s="29">
        <v>120</v>
      </c>
      <c r="P586" s="29">
        <v>15.2</v>
      </c>
      <c r="Q586" s="29">
        <v>20</v>
      </c>
      <c r="R586" s="29">
        <v>155.19999999999999</v>
      </c>
      <c r="S586" s="59">
        <v>7.89</v>
      </c>
      <c r="T586" s="59">
        <v>17.5</v>
      </c>
      <c r="U586" s="59">
        <v>4.1100000000000003</v>
      </c>
      <c r="V586" s="29">
        <v>3</v>
      </c>
      <c r="W586" s="29" t="s">
        <v>52</v>
      </c>
      <c r="X586" s="29" t="s">
        <v>45</v>
      </c>
      <c r="Z586" s="71">
        <v>44849</v>
      </c>
      <c r="AB586" s="29" t="s">
        <v>155</v>
      </c>
      <c r="AC586" s="29">
        <v>100</v>
      </c>
      <c r="AD586" s="93">
        <v>0.02</v>
      </c>
      <c r="AE586" s="29">
        <v>0</v>
      </c>
      <c r="AF586" t="s">
        <v>104</v>
      </c>
      <c r="AG586" s="55" t="s">
        <v>102</v>
      </c>
      <c r="AI586" s="29"/>
      <c r="AJ586" s="29"/>
      <c r="AK586" s="29"/>
      <c r="AL586" s="29"/>
      <c r="AM586" s="29"/>
    </row>
    <row r="587" spans="1:39" ht="15" customHeight="1" x14ac:dyDescent="0.35">
      <c r="AI587" s="29"/>
      <c r="AJ587" s="29"/>
      <c r="AK587" s="29"/>
      <c r="AL587" s="29"/>
      <c r="AM587" s="29"/>
    </row>
    <row r="588" spans="1:39" ht="15" customHeight="1" x14ac:dyDescent="0.35">
      <c r="A588" s="77">
        <v>44855</v>
      </c>
      <c r="B588" s="83">
        <v>24</v>
      </c>
      <c r="C588" s="29" t="s">
        <v>222</v>
      </c>
      <c r="D588" s="47" t="s">
        <v>42</v>
      </c>
      <c r="F588" s="29">
        <v>1050</v>
      </c>
      <c r="G588" s="29">
        <v>200</v>
      </c>
      <c r="I588" s="29">
        <v>10</v>
      </c>
      <c r="K588" s="65">
        <v>2.31</v>
      </c>
      <c r="M588" s="29" t="s">
        <v>16</v>
      </c>
      <c r="N588" s="29">
        <v>3</v>
      </c>
      <c r="O588" s="29">
        <v>160</v>
      </c>
      <c r="P588" s="29">
        <v>15.2</v>
      </c>
      <c r="Q588" s="29">
        <v>20</v>
      </c>
      <c r="R588" s="29">
        <v>195.2</v>
      </c>
      <c r="S588" s="59">
        <v>10.53</v>
      </c>
      <c r="T588" s="59">
        <v>7.16</v>
      </c>
      <c r="U588" s="59">
        <v>5.43</v>
      </c>
      <c r="V588" s="29">
        <v>1</v>
      </c>
      <c r="W588" s="29" t="s">
        <v>52</v>
      </c>
      <c r="X588" s="29" t="s">
        <v>45</v>
      </c>
      <c r="Z588" s="71">
        <v>44849</v>
      </c>
      <c r="AB588" s="29" t="s">
        <v>155</v>
      </c>
      <c r="AC588" s="29">
        <v>100</v>
      </c>
      <c r="AD588" s="93">
        <v>0.04</v>
      </c>
      <c r="AE588" s="29">
        <v>0</v>
      </c>
      <c r="AF588" t="s">
        <v>104</v>
      </c>
      <c r="AG588" s="55" t="s">
        <v>104</v>
      </c>
      <c r="AI588" s="29"/>
      <c r="AJ588" s="29"/>
      <c r="AK588" s="29"/>
      <c r="AL588" s="29"/>
      <c r="AM588" s="29"/>
    </row>
    <row r="589" spans="1:39" ht="15" customHeight="1" x14ac:dyDescent="0.35">
      <c r="A589" s="77">
        <v>44855</v>
      </c>
      <c r="B589" s="83">
        <v>24</v>
      </c>
      <c r="C589" s="29" t="s">
        <v>222</v>
      </c>
      <c r="D589" s="47" t="s">
        <v>42</v>
      </c>
      <c r="F589" s="29">
        <v>1050</v>
      </c>
      <c r="G589" s="29">
        <v>200</v>
      </c>
      <c r="I589" s="29">
        <v>10</v>
      </c>
      <c r="K589" s="65">
        <v>2.31</v>
      </c>
      <c r="M589" s="29" t="s">
        <v>16</v>
      </c>
      <c r="N589" s="29">
        <v>3</v>
      </c>
      <c r="O589" s="29">
        <v>160</v>
      </c>
      <c r="P589" s="29">
        <v>15.2</v>
      </c>
      <c r="Q589" s="29">
        <v>20</v>
      </c>
      <c r="R589" s="29">
        <v>195.2</v>
      </c>
      <c r="S589" s="59">
        <v>10.53</v>
      </c>
      <c r="T589" s="59">
        <v>7.16</v>
      </c>
      <c r="U589" s="59">
        <v>5.43</v>
      </c>
      <c r="V589" s="29">
        <v>1</v>
      </c>
      <c r="W589" s="29" t="s">
        <v>52</v>
      </c>
      <c r="X589" s="29" t="s">
        <v>46</v>
      </c>
      <c r="Z589" s="71">
        <v>44849</v>
      </c>
      <c r="AB589" s="29" t="s">
        <v>138</v>
      </c>
      <c r="AC589" s="29">
        <v>100</v>
      </c>
      <c r="AD589" s="93">
        <v>0.03</v>
      </c>
      <c r="AE589" s="29">
        <v>1</v>
      </c>
      <c r="AF589" t="s">
        <v>104</v>
      </c>
      <c r="AG589" s="55" t="s">
        <v>103</v>
      </c>
      <c r="AI589" s="29"/>
      <c r="AJ589" s="29"/>
      <c r="AK589" s="29"/>
      <c r="AL589" s="29"/>
      <c r="AM589" s="29"/>
    </row>
    <row r="590" spans="1:39" ht="15" customHeight="1" x14ac:dyDescent="0.35">
      <c r="A590" s="77">
        <v>44855</v>
      </c>
      <c r="B590" s="83">
        <v>25</v>
      </c>
      <c r="C590" s="29" t="s">
        <v>231</v>
      </c>
      <c r="D590" s="47" t="s">
        <v>144</v>
      </c>
      <c r="F590" s="29">
        <v>1050</v>
      </c>
      <c r="G590" s="29">
        <v>100</v>
      </c>
      <c r="I590" s="29">
        <v>10</v>
      </c>
      <c r="K590" s="65">
        <v>6.78</v>
      </c>
      <c r="M590" s="29" t="s">
        <v>16</v>
      </c>
      <c r="N590" s="29">
        <v>5</v>
      </c>
      <c r="O590" s="29">
        <v>93</v>
      </c>
      <c r="P590" s="29">
        <v>60.1</v>
      </c>
      <c r="Q590" s="29">
        <v>24</v>
      </c>
      <c r="R590" s="29">
        <v>177.1</v>
      </c>
      <c r="S590" s="59">
        <v>1.55</v>
      </c>
      <c r="T590" s="59">
        <v>0.67</v>
      </c>
      <c r="U590" s="59">
        <v>0.48</v>
      </c>
      <c r="V590" s="29">
        <v>1</v>
      </c>
      <c r="W590" s="29" t="s">
        <v>122</v>
      </c>
      <c r="X590" s="29" t="s">
        <v>46</v>
      </c>
      <c r="Y590" s="29" t="s">
        <v>232</v>
      </c>
      <c r="AB590" s="29" t="s">
        <v>138</v>
      </c>
      <c r="AC590" s="29">
        <v>100</v>
      </c>
      <c r="AD590" s="93">
        <v>0.08</v>
      </c>
      <c r="AE590" s="29">
        <v>15</v>
      </c>
      <c r="AF590" t="s">
        <v>104</v>
      </c>
      <c r="AG590" s="55" t="s">
        <v>104</v>
      </c>
      <c r="AL590" t="s">
        <v>233</v>
      </c>
    </row>
    <row r="591" spans="1:39" ht="15" customHeight="1" x14ac:dyDescent="0.35">
      <c r="A591" s="77">
        <v>44855</v>
      </c>
      <c r="B591" s="83">
        <v>26</v>
      </c>
      <c r="C591" s="29" t="s">
        <v>157</v>
      </c>
      <c r="D591" s="47" t="s">
        <v>42</v>
      </c>
      <c r="F591" s="29">
        <v>1050</v>
      </c>
      <c r="G591" s="29">
        <v>100</v>
      </c>
      <c r="I591" s="29">
        <v>10</v>
      </c>
      <c r="K591" s="65">
        <v>6.9</v>
      </c>
      <c r="M591" s="29" t="s">
        <v>16</v>
      </c>
      <c r="N591" s="29">
        <v>1</v>
      </c>
      <c r="O591" s="29">
        <v>91</v>
      </c>
      <c r="P591" s="29">
        <v>25</v>
      </c>
      <c r="Q591" s="29">
        <v>0</v>
      </c>
      <c r="R591" s="29">
        <v>116</v>
      </c>
      <c r="S591" s="59">
        <v>3.64</v>
      </c>
      <c r="T591" s="59">
        <v>4.68</v>
      </c>
      <c r="U591" s="59">
        <v>1.45</v>
      </c>
      <c r="V591" s="29">
        <v>1</v>
      </c>
      <c r="W591" s="29" t="s">
        <v>122</v>
      </c>
      <c r="X591" s="29" t="s">
        <v>46</v>
      </c>
      <c r="Y591" s="29" t="s">
        <v>232</v>
      </c>
      <c r="AB591" s="29" t="s">
        <v>138</v>
      </c>
      <c r="AC591" s="29">
        <v>100</v>
      </c>
      <c r="AD591" s="93">
        <v>0.05</v>
      </c>
      <c r="AE591" s="29">
        <v>20</v>
      </c>
      <c r="AF591" t="s">
        <v>104</v>
      </c>
      <c r="AG591" s="55" t="s">
        <v>104</v>
      </c>
    </row>
    <row r="592" spans="1:39" ht="15" customHeight="1" x14ac:dyDescent="0.35">
      <c r="A592" s="77">
        <v>44855</v>
      </c>
      <c r="B592" s="83">
        <v>27</v>
      </c>
      <c r="C592" s="29" t="s">
        <v>206</v>
      </c>
      <c r="D592" s="47" t="s">
        <v>144</v>
      </c>
      <c r="F592" s="29">
        <v>1050</v>
      </c>
      <c r="G592" s="29">
        <v>200</v>
      </c>
      <c r="I592" s="29">
        <v>10</v>
      </c>
      <c r="K592" s="65">
        <v>7.42</v>
      </c>
      <c r="M592" s="29" t="s">
        <v>16</v>
      </c>
      <c r="N592" s="29">
        <v>5</v>
      </c>
      <c r="O592" s="29">
        <v>132</v>
      </c>
      <c r="P592" s="29">
        <v>0</v>
      </c>
      <c r="Q592" s="29">
        <v>24</v>
      </c>
      <c r="R592" s="29">
        <v>156</v>
      </c>
      <c r="S592" s="59" t="s">
        <v>193</v>
      </c>
      <c r="T592" s="59" t="s">
        <v>193</v>
      </c>
      <c r="U592" s="59" t="s">
        <v>193</v>
      </c>
      <c r="V592" s="29">
        <v>1</v>
      </c>
      <c r="W592" s="29" t="s">
        <v>122</v>
      </c>
      <c r="X592" s="29" t="s">
        <v>46</v>
      </c>
    </row>
    <row r="593" spans="1:40" ht="15" customHeight="1" x14ac:dyDescent="0.35">
      <c r="A593" s="77">
        <v>44855</v>
      </c>
      <c r="B593" s="83">
        <v>28</v>
      </c>
      <c r="C593" s="29" t="s">
        <v>219</v>
      </c>
      <c r="D593" s="47" t="s">
        <v>42</v>
      </c>
      <c r="F593" s="29">
        <v>1050</v>
      </c>
      <c r="G593" s="29">
        <v>200</v>
      </c>
      <c r="I593" s="29">
        <v>10</v>
      </c>
      <c r="M593" s="29" t="s">
        <v>16</v>
      </c>
      <c r="N593" s="29">
        <v>5</v>
      </c>
      <c r="O593" s="29">
        <v>100</v>
      </c>
      <c r="P593" s="29">
        <v>15.2</v>
      </c>
      <c r="Q593" s="29">
        <v>80</v>
      </c>
      <c r="R593" s="29">
        <v>195.2</v>
      </c>
      <c r="S593" s="59">
        <v>6.58</v>
      </c>
      <c r="T593" s="59">
        <v>7.16</v>
      </c>
      <c r="U593" s="59">
        <v>5.43</v>
      </c>
      <c r="V593" s="29">
        <v>1</v>
      </c>
      <c r="W593" s="29" t="s">
        <v>122</v>
      </c>
      <c r="X593" s="29" t="s">
        <v>46</v>
      </c>
      <c r="Y593" s="29" t="s">
        <v>232</v>
      </c>
      <c r="AB593" s="29" t="s">
        <v>138</v>
      </c>
      <c r="AC593" s="29">
        <v>100</v>
      </c>
      <c r="AD593" s="93">
        <v>0.05</v>
      </c>
      <c r="AE593" s="29">
        <v>30</v>
      </c>
      <c r="AF593" t="s">
        <v>104</v>
      </c>
      <c r="AG593" s="55" t="s">
        <v>102</v>
      </c>
    </row>
    <row r="594" spans="1:40" ht="15" customHeight="1" thickBot="1" x14ac:dyDescent="0.4"/>
    <row r="595" spans="1:40" s="30" customFormat="1" ht="15" customHeight="1" thickBot="1" x14ac:dyDescent="0.4">
      <c r="A595" s="101"/>
      <c r="B595" s="85"/>
      <c r="C595" s="39"/>
      <c r="D595" s="48"/>
      <c r="E595" s="39"/>
      <c r="F595" s="39"/>
      <c r="G595" s="39"/>
      <c r="H595" s="73"/>
      <c r="I595" s="39"/>
      <c r="J595" s="66"/>
      <c r="K595" s="66"/>
      <c r="L595" s="66"/>
      <c r="M595" s="39"/>
      <c r="N595" s="39"/>
      <c r="O595" s="39"/>
      <c r="P595" s="39"/>
      <c r="Q595" s="39"/>
      <c r="R595" s="39"/>
      <c r="S595" s="60"/>
      <c r="T595" s="60"/>
      <c r="U595" s="60"/>
      <c r="V595" s="39"/>
      <c r="W595" s="39"/>
      <c r="X595" s="39"/>
      <c r="Y595" s="39"/>
      <c r="Z595" s="80"/>
      <c r="AB595" s="39"/>
      <c r="AC595" s="39"/>
      <c r="AD595" s="122"/>
      <c r="AE595" s="39"/>
      <c r="AG595" s="56"/>
      <c r="AJ595" s="56"/>
    </row>
    <row r="597" spans="1:40" ht="15" customHeight="1" x14ac:dyDescent="0.35">
      <c r="A597" s="4"/>
      <c r="B597" s="5"/>
      <c r="C597" s="6"/>
      <c r="D597" s="6"/>
      <c r="E597" s="6"/>
      <c r="F597" s="6"/>
      <c r="G597" s="6"/>
      <c r="H597" s="6"/>
      <c r="I597" s="6"/>
      <c r="J597" s="69"/>
      <c r="K597" s="6"/>
      <c r="L597" s="69"/>
      <c r="M597" s="6"/>
      <c r="N597" s="6"/>
      <c r="O597" s="6"/>
      <c r="P597" s="6"/>
      <c r="Q597" s="6"/>
      <c r="R597" s="8"/>
      <c r="S597" s="8"/>
      <c r="T597" s="8"/>
      <c r="U597" s="8"/>
      <c r="V597" s="6"/>
      <c r="W597" s="6"/>
      <c r="X597" s="6"/>
      <c r="Y597" s="5"/>
      <c r="Z597" s="6"/>
      <c r="AA597" s="6"/>
      <c r="AB597" s="6"/>
      <c r="AC597" s="5"/>
      <c r="AD597" s="7"/>
      <c r="AE597" s="13"/>
      <c r="AF597" s="6"/>
      <c r="AG597" s="5"/>
      <c r="AH597" s="5"/>
      <c r="AI597" s="5"/>
      <c r="AJ597" s="6"/>
      <c r="AK597" s="5"/>
      <c r="AL597" s="6"/>
      <c r="AM597" s="15"/>
      <c r="AN597" s="6"/>
    </row>
    <row r="598" spans="1:40" ht="15" customHeight="1" x14ac:dyDescent="0.35">
      <c r="A598" s="4">
        <v>44872</v>
      </c>
      <c r="B598" s="5">
        <v>1</v>
      </c>
      <c r="C598" s="5" t="s">
        <v>234</v>
      </c>
      <c r="D598" s="5" t="s">
        <v>42</v>
      </c>
      <c r="E598" s="5"/>
      <c r="F598" s="5">
        <v>1050</v>
      </c>
      <c r="G598" s="5">
        <v>200</v>
      </c>
      <c r="H598" s="5" t="s">
        <v>235</v>
      </c>
      <c r="I598" s="5">
        <v>12</v>
      </c>
      <c r="J598" s="69"/>
      <c r="K598" s="6">
        <v>2.92</v>
      </c>
      <c r="L598" s="69"/>
      <c r="M598" s="5" t="s">
        <v>16</v>
      </c>
      <c r="N598" s="6">
        <v>1</v>
      </c>
      <c r="O598" s="5">
        <v>84</v>
      </c>
      <c r="P598" s="5">
        <v>48</v>
      </c>
      <c r="Q598" s="5">
        <v>24</v>
      </c>
      <c r="R598" s="3">
        <f t="shared" ref="R598:R609" si="145">O598+P598+Q598</f>
        <v>156</v>
      </c>
      <c r="S598" s="3">
        <f>O598/P598</f>
        <v>1.75</v>
      </c>
      <c r="T598" s="3">
        <f>16.8/18</f>
        <v>0.93333333333333335</v>
      </c>
      <c r="U598" s="3">
        <f>28.5/45</f>
        <v>0.6333333333333333</v>
      </c>
      <c r="V598" s="5">
        <v>1</v>
      </c>
      <c r="W598" s="5" t="s">
        <v>169</v>
      </c>
      <c r="X598" s="5" t="s">
        <v>45</v>
      </c>
      <c r="Y598" s="5"/>
      <c r="Z598" s="4">
        <v>44869</v>
      </c>
      <c r="AA598" s="5"/>
      <c r="AB598" s="5" t="str">
        <f>IF(X598="20um Schlenk", "Single", "Poly")</f>
        <v>Single</v>
      </c>
      <c r="AC598" s="5">
        <v>100</v>
      </c>
      <c r="AD598" s="3">
        <v>0.47</v>
      </c>
      <c r="AE598" s="13">
        <v>0</v>
      </c>
      <c r="AF598" s="6" t="s">
        <v>104</v>
      </c>
      <c r="AG598" s="5" t="s">
        <v>104</v>
      </c>
      <c r="AH598" s="5"/>
      <c r="AI598" s="5"/>
      <c r="AJ598" s="6"/>
      <c r="AK598" s="7"/>
      <c r="AL598" s="6"/>
      <c r="AM598" s="90"/>
      <c r="AN598" s="5"/>
    </row>
    <row r="599" spans="1:40" ht="15" customHeight="1" x14ac:dyDescent="0.35">
      <c r="A599" s="4">
        <v>44872</v>
      </c>
      <c r="B599" s="5">
        <v>1</v>
      </c>
      <c r="C599" s="5" t="s">
        <v>234</v>
      </c>
      <c r="D599" s="5" t="s">
        <v>42</v>
      </c>
      <c r="E599" s="5"/>
      <c r="F599" s="5">
        <v>1050</v>
      </c>
      <c r="G599" s="5">
        <v>200</v>
      </c>
      <c r="H599" s="5" t="s">
        <v>235</v>
      </c>
      <c r="I599" s="5">
        <v>12</v>
      </c>
      <c r="J599" s="69"/>
      <c r="K599" s="6">
        <v>2.92</v>
      </c>
      <c r="L599" s="69"/>
      <c r="M599" s="5" t="s">
        <v>16</v>
      </c>
      <c r="N599" s="6">
        <v>1</v>
      </c>
      <c r="O599" s="5">
        <v>84</v>
      </c>
      <c r="P599" s="5">
        <v>48</v>
      </c>
      <c r="Q599" s="5">
        <v>24</v>
      </c>
      <c r="R599" s="3">
        <f t="shared" si="145"/>
        <v>156</v>
      </c>
      <c r="S599" s="3">
        <f>O599/P599</f>
        <v>1.75</v>
      </c>
      <c r="T599" s="3">
        <f>16.8/18</f>
        <v>0.93333333333333335</v>
      </c>
      <c r="U599" s="3">
        <f>28.5/45</f>
        <v>0.6333333333333333</v>
      </c>
      <c r="V599" s="5">
        <v>1</v>
      </c>
      <c r="W599" s="5" t="s">
        <v>169</v>
      </c>
      <c r="X599" s="5" t="s">
        <v>46</v>
      </c>
      <c r="Y599" s="5"/>
      <c r="Z599" s="4">
        <v>44869</v>
      </c>
      <c r="AA599" s="5"/>
      <c r="AB599" s="5" t="str">
        <f>IF(X599="20um Schlenk", "Single", "Poly")</f>
        <v>Poly</v>
      </c>
      <c r="AC599" s="5">
        <v>100</v>
      </c>
      <c r="AD599" s="3">
        <v>0.56999999999999995</v>
      </c>
      <c r="AE599" s="13">
        <v>3</v>
      </c>
      <c r="AF599" s="6" t="s">
        <v>104</v>
      </c>
      <c r="AG599" s="5" t="s">
        <v>104</v>
      </c>
      <c r="AH599" s="5"/>
      <c r="AI599" s="5"/>
      <c r="AJ599" s="6"/>
      <c r="AK599" s="7"/>
      <c r="AL599" s="6"/>
      <c r="AM599" s="90"/>
      <c r="AN599" s="5"/>
    </row>
    <row r="600" spans="1:40" ht="15" customHeight="1" x14ac:dyDescent="0.35">
      <c r="A600" s="4">
        <v>44872</v>
      </c>
      <c r="B600" s="5">
        <v>2</v>
      </c>
      <c r="C600" s="5" t="s">
        <v>236</v>
      </c>
      <c r="D600" s="5" t="s">
        <v>42</v>
      </c>
      <c r="E600" s="5"/>
      <c r="F600" s="5">
        <v>1050</v>
      </c>
      <c r="G600" s="5">
        <v>200</v>
      </c>
      <c r="H600" s="5" t="s">
        <v>235</v>
      </c>
      <c r="I600" s="5">
        <v>12</v>
      </c>
      <c r="J600" s="69"/>
      <c r="K600" s="6">
        <v>5.26</v>
      </c>
      <c r="L600" s="69"/>
      <c r="M600" s="5" t="s">
        <v>16</v>
      </c>
      <c r="N600" s="6">
        <v>1</v>
      </c>
      <c r="O600" s="5">
        <v>132</v>
      </c>
      <c r="P600" s="5">
        <v>0</v>
      </c>
      <c r="Q600" s="5">
        <v>24</v>
      </c>
      <c r="R600" s="3">
        <f t="shared" si="145"/>
        <v>156</v>
      </c>
      <c r="S600" s="3" t="s">
        <v>193</v>
      </c>
      <c r="T600" s="3" t="s">
        <v>193</v>
      </c>
      <c r="U600" s="3" t="s">
        <v>193</v>
      </c>
      <c r="V600" s="5">
        <v>1</v>
      </c>
      <c r="W600" s="5" t="s">
        <v>169</v>
      </c>
      <c r="X600" s="5" t="s">
        <v>45</v>
      </c>
      <c r="Y600" s="5"/>
      <c r="Z600" s="4">
        <v>44869</v>
      </c>
      <c r="AA600" s="5"/>
      <c r="AB600" s="5"/>
      <c r="AC600" s="5"/>
      <c r="AD600" s="3"/>
      <c r="AE600" s="5"/>
      <c r="AF600" s="5"/>
      <c r="AG600" s="5"/>
      <c r="AH600" s="5"/>
      <c r="AI600" s="5"/>
      <c r="AJ600" s="5"/>
      <c r="AK600" s="5"/>
      <c r="AL600" s="5"/>
      <c r="AM600" s="67"/>
      <c r="AN600" s="5"/>
    </row>
    <row r="601" spans="1:40" ht="15" customHeight="1" x14ac:dyDescent="0.35">
      <c r="A601" s="4">
        <v>44872</v>
      </c>
      <c r="B601" s="5">
        <v>2</v>
      </c>
      <c r="C601" s="5" t="s">
        <v>236</v>
      </c>
      <c r="D601" s="5" t="s">
        <v>42</v>
      </c>
      <c r="E601" s="5"/>
      <c r="F601" s="5">
        <v>1050</v>
      </c>
      <c r="G601" s="5">
        <v>200</v>
      </c>
      <c r="H601" s="5" t="s">
        <v>235</v>
      </c>
      <c r="I601" s="5">
        <v>12</v>
      </c>
      <c r="J601" s="69"/>
      <c r="K601" s="6">
        <v>5.26</v>
      </c>
      <c r="L601" s="69"/>
      <c r="M601" s="5" t="s">
        <v>16</v>
      </c>
      <c r="N601" s="6">
        <v>1</v>
      </c>
      <c r="O601" s="5">
        <v>132</v>
      </c>
      <c r="P601" s="5">
        <v>0</v>
      </c>
      <c r="Q601" s="5">
        <v>24</v>
      </c>
      <c r="R601" s="3">
        <f t="shared" si="145"/>
        <v>156</v>
      </c>
      <c r="S601" s="3" t="s">
        <v>193</v>
      </c>
      <c r="T601" s="3" t="s">
        <v>193</v>
      </c>
      <c r="U601" s="3" t="s">
        <v>193</v>
      </c>
      <c r="V601" s="5">
        <v>1</v>
      </c>
      <c r="W601" s="5" t="s">
        <v>169</v>
      </c>
      <c r="X601" s="5" t="s">
        <v>46</v>
      </c>
      <c r="Y601" s="5"/>
      <c r="Z601" s="4">
        <v>44869</v>
      </c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67"/>
      <c r="AN601" s="5"/>
    </row>
    <row r="602" spans="1:40" ht="15" customHeight="1" x14ac:dyDescent="0.35">
      <c r="A602" s="4">
        <v>44872</v>
      </c>
      <c r="B602" s="5">
        <v>3</v>
      </c>
      <c r="C602" s="5" t="s">
        <v>163</v>
      </c>
      <c r="D602" s="5" t="s">
        <v>42</v>
      </c>
      <c r="E602" s="5"/>
      <c r="F602" s="5">
        <v>1050</v>
      </c>
      <c r="G602" s="5">
        <v>100</v>
      </c>
      <c r="H602" s="5" t="s">
        <v>235</v>
      </c>
      <c r="I602" s="5">
        <v>12</v>
      </c>
      <c r="J602" s="69"/>
      <c r="K602" s="6">
        <v>7.86</v>
      </c>
      <c r="L602" s="69"/>
      <c r="M602" s="5" t="s">
        <v>16</v>
      </c>
      <c r="N602" s="6">
        <v>1</v>
      </c>
      <c r="O602" s="5">
        <v>91</v>
      </c>
      <c r="P602" s="5">
        <v>25</v>
      </c>
      <c r="Q602" s="5">
        <v>0</v>
      </c>
      <c r="R602" s="3">
        <f t="shared" si="145"/>
        <v>116</v>
      </c>
      <c r="S602" s="3">
        <f>O602/P602</f>
        <v>3.64</v>
      </c>
      <c r="T602" s="3">
        <f>18.7/4</f>
        <v>4.6749999999999998</v>
      </c>
      <c r="U602" s="3">
        <f>32/22</f>
        <v>1.4545454545454546</v>
      </c>
      <c r="V602" s="5">
        <v>1</v>
      </c>
      <c r="W602" s="5" t="s">
        <v>169</v>
      </c>
      <c r="X602" s="5" t="s">
        <v>45</v>
      </c>
      <c r="Y602" s="5" t="s">
        <v>185</v>
      </c>
      <c r="Z602" s="4">
        <v>44869</v>
      </c>
      <c r="AA602" s="5"/>
      <c r="AB602" s="5" t="str">
        <f>IF(X602="20um Schlenk", "Single", "Poly")</f>
        <v>Single</v>
      </c>
      <c r="AC602" s="5">
        <v>100</v>
      </c>
      <c r="AD602" s="3">
        <v>0.1</v>
      </c>
      <c r="AE602" s="5">
        <v>0</v>
      </c>
      <c r="AF602" s="5" t="s">
        <v>104</v>
      </c>
      <c r="AG602" s="5" t="s">
        <v>104</v>
      </c>
      <c r="AH602" s="5"/>
      <c r="AI602" s="5"/>
      <c r="AJ602" s="5"/>
      <c r="AK602" s="5"/>
      <c r="AL602" s="5"/>
      <c r="AM602" s="67"/>
      <c r="AN602" s="5"/>
    </row>
    <row r="603" spans="1:40" ht="15" customHeight="1" x14ac:dyDescent="0.35">
      <c r="A603" s="4">
        <v>44872</v>
      </c>
      <c r="B603" s="5">
        <v>3</v>
      </c>
      <c r="C603" s="5" t="s">
        <v>163</v>
      </c>
      <c r="D603" s="5" t="s">
        <v>42</v>
      </c>
      <c r="E603" s="5"/>
      <c r="F603" s="5">
        <v>1050</v>
      </c>
      <c r="G603" s="5">
        <v>100</v>
      </c>
      <c r="H603" s="5" t="s">
        <v>235</v>
      </c>
      <c r="I603" s="5">
        <v>12</v>
      </c>
      <c r="J603" s="69"/>
      <c r="K603" s="6">
        <v>7.86</v>
      </c>
      <c r="L603" s="69"/>
      <c r="M603" s="5" t="s">
        <v>16</v>
      </c>
      <c r="N603" s="6">
        <v>1</v>
      </c>
      <c r="O603" s="5">
        <v>91</v>
      </c>
      <c r="P603" s="5">
        <v>25</v>
      </c>
      <c r="Q603" s="5">
        <v>0</v>
      </c>
      <c r="R603" s="3">
        <f t="shared" si="145"/>
        <v>116</v>
      </c>
      <c r="S603" s="3">
        <f>O603/P603</f>
        <v>3.64</v>
      </c>
      <c r="T603" s="3">
        <f>18.7/4</f>
        <v>4.6749999999999998</v>
      </c>
      <c r="U603" s="3">
        <f>32/22</f>
        <v>1.4545454545454546</v>
      </c>
      <c r="V603" s="5">
        <v>1</v>
      </c>
      <c r="W603" s="5" t="s">
        <v>169</v>
      </c>
      <c r="X603" s="5" t="s">
        <v>46</v>
      </c>
      <c r="Y603" s="5" t="s">
        <v>185</v>
      </c>
      <c r="Z603" s="4">
        <v>44869</v>
      </c>
      <c r="AA603" s="5"/>
      <c r="AB603" s="5" t="str">
        <f>IF(X603="20um Schlenk", "Single", "Poly")</f>
        <v>Poly</v>
      </c>
      <c r="AC603" s="5">
        <v>100</v>
      </c>
      <c r="AD603" s="5">
        <v>7.0000000000000007E-2</v>
      </c>
      <c r="AE603" s="5">
        <v>3</v>
      </c>
      <c r="AF603" s="5" t="s">
        <v>104</v>
      </c>
      <c r="AG603" s="5" t="s">
        <v>104</v>
      </c>
      <c r="AH603" s="5"/>
      <c r="AI603" s="5"/>
      <c r="AJ603" s="5"/>
      <c r="AK603" s="5"/>
      <c r="AL603" s="5" t="s">
        <v>237</v>
      </c>
      <c r="AM603" s="67"/>
      <c r="AN603" s="5"/>
    </row>
    <row r="604" spans="1:40" ht="15" customHeight="1" x14ac:dyDescent="0.35">
      <c r="A604" s="4">
        <v>44872</v>
      </c>
      <c r="B604" s="5">
        <v>4</v>
      </c>
      <c r="C604" s="5" t="s">
        <v>234</v>
      </c>
      <c r="D604" s="5" t="s">
        <v>42</v>
      </c>
      <c r="E604" s="5"/>
      <c r="F604" s="5">
        <v>1050</v>
      </c>
      <c r="G604" s="5">
        <v>200</v>
      </c>
      <c r="H604" s="5" t="s">
        <v>235</v>
      </c>
      <c r="I604" s="5">
        <v>12</v>
      </c>
      <c r="J604" s="69"/>
      <c r="K604" s="6"/>
      <c r="L604" s="69"/>
      <c r="M604" s="5" t="s">
        <v>16</v>
      </c>
      <c r="N604" s="6">
        <v>1</v>
      </c>
      <c r="O604" s="5">
        <v>84</v>
      </c>
      <c r="P604" s="5">
        <v>48</v>
      </c>
      <c r="Q604" s="5">
        <v>24</v>
      </c>
      <c r="R604" s="3">
        <f t="shared" si="145"/>
        <v>156</v>
      </c>
      <c r="S604" s="3">
        <f>O604/P604</f>
        <v>1.75</v>
      </c>
      <c r="T604" s="3">
        <f>16.8/18</f>
        <v>0.93333333333333335</v>
      </c>
      <c r="U604" s="3">
        <f>28.5/45</f>
        <v>0.6333333333333333</v>
      </c>
      <c r="V604" s="5">
        <v>1</v>
      </c>
      <c r="W604" s="5" t="s">
        <v>169</v>
      </c>
      <c r="X604" s="5" t="s">
        <v>45</v>
      </c>
      <c r="Y604" s="5"/>
      <c r="Z604" s="4">
        <v>44869</v>
      </c>
      <c r="AA604" s="5"/>
      <c r="AB604" s="5" t="str">
        <f>IF(X604="20um Schlenk", "Single", "Poly")</f>
        <v>Single</v>
      </c>
      <c r="AC604" s="5">
        <v>100</v>
      </c>
      <c r="AD604" s="5">
        <v>0.48</v>
      </c>
      <c r="AE604" s="5">
        <v>1</v>
      </c>
      <c r="AF604" s="5" t="s">
        <v>104</v>
      </c>
      <c r="AG604" s="5" t="s">
        <v>104</v>
      </c>
      <c r="AH604" s="5"/>
      <c r="AJ604"/>
    </row>
    <row r="605" spans="1:40" ht="15" customHeight="1" x14ac:dyDescent="0.35">
      <c r="A605" s="4">
        <v>44872</v>
      </c>
      <c r="B605" s="5">
        <v>4</v>
      </c>
      <c r="C605" s="5" t="s">
        <v>234</v>
      </c>
      <c r="D605" s="5" t="s">
        <v>42</v>
      </c>
      <c r="E605" s="5"/>
      <c r="F605" s="5">
        <v>1050</v>
      </c>
      <c r="G605" s="5">
        <v>200</v>
      </c>
      <c r="H605" s="5" t="s">
        <v>235</v>
      </c>
      <c r="I605" s="5">
        <v>12</v>
      </c>
      <c r="J605" s="69"/>
      <c r="K605" s="6"/>
      <c r="L605" s="69"/>
      <c r="M605" s="5" t="s">
        <v>16</v>
      </c>
      <c r="N605" s="6">
        <v>1</v>
      </c>
      <c r="O605" s="5">
        <v>84</v>
      </c>
      <c r="P605" s="5">
        <v>48</v>
      </c>
      <c r="Q605" s="5">
        <v>24</v>
      </c>
      <c r="R605" s="3">
        <f t="shared" si="145"/>
        <v>156</v>
      </c>
      <c r="S605" s="3">
        <f>O605/P605</f>
        <v>1.75</v>
      </c>
      <c r="T605" s="3">
        <f>16.8/18</f>
        <v>0.93333333333333335</v>
      </c>
      <c r="U605" s="3">
        <f>28.5/45</f>
        <v>0.6333333333333333</v>
      </c>
      <c r="V605" s="5">
        <v>1</v>
      </c>
      <c r="W605" s="5" t="s">
        <v>169</v>
      </c>
      <c r="X605" s="5" t="s">
        <v>46</v>
      </c>
      <c r="Y605" s="5"/>
      <c r="Z605" s="4">
        <v>44869</v>
      </c>
      <c r="AA605" s="5"/>
      <c r="AB605" s="5" t="str">
        <f>IF(X605="20um Schlenk", "Single", "Poly")</f>
        <v>Poly</v>
      </c>
      <c r="AC605" s="5">
        <v>100</v>
      </c>
      <c r="AD605" s="59">
        <v>0.17</v>
      </c>
      <c r="AE605" s="5">
        <v>3</v>
      </c>
      <c r="AF605" s="5" t="s">
        <v>104</v>
      </c>
      <c r="AG605" s="5" t="s">
        <v>104</v>
      </c>
      <c r="AH605" s="5"/>
      <c r="AJ605"/>
    </row>
    <row r="606" spans="1:40" ht="15" customHeight="1" x14ac:dyDescent="0.35">
      <c r="A606" s="4">
        <v>44872</v>
      </c>
      <c r="B606" s="5">
        <v>5</v>
      </c>
      <c r="C606" s="5" t="s">
        <v>206</v>
      </c>
      <c r="D606" s="5" t="s">
        <v>42</v>
      </c>
      <c r="E606" s="5"/>
      <c r="F606" s="5">
        <v>1050</v>
      </c>
      <c r="G606" s="5">
        <v>200</v>
      </c>
      <c r="H606" s="5" t="s">
        <v>238</v>
      </c>
      <c r="I606" s="5">
        <v>12</v>
      </c>
      <c r="J606" s="67"/>
      <c r="K606" s="6">
        <v>3.4</v>
      </c>
      <c r="L606" s="67"/>
      <c r="M606" s="5" t="s">
        <v>16</v>
      </c>
      <c r="N606" s="6">
        <v>1</v>
      </c>
      <c r="O606" s="5">
        <v>132</v>
      </c>
      <c r="P606" s="5">
        <v>0</v>
      </c>
      <c r="Q606" s="5">
        <v>24</v>
      </c>
      <c r="R606" s="3">
        <f t="shared" si="145"/>
        <v>156</v>
      </c>
      <c r="S606" s="3" t="s">
        <v>193</v>
      </c>
      <c r="T606" s="3" t="s">
        <v>193</v>
      </c>
      <c r="U606" s="3" t="s">
        <v>193</v>
      </c>
      <c r="V606" s="5">
        <v>1</v>
      </c>
      <c r="W606" s="5" t="s">
        <v>169</v>
      </c>
      <c r="X606" s="5" t="s">
        <v>45</v>
      </c>
      <c r="Z606" s="4">
        <v>44869</v>
      </c>
      <c r="AB606" s="5"/>
      <c r="AC606" s="5"/>
      <c r="AD606" s="3"/>
      <c r="AF606" s="29"/>
      <c r="AG606" s="29"/>
      <c r="AJ606"/>
    </row>
    <row r="607" spans="1:40" ht="15" customHeight="1" x14ac:dyDescent="0.35">
      <c r="A607" s="4">
        <v>44872</v>
      </c>
      <c r="B607" s="5">
        <v>5</v>
      </c>
      <c r="C607" s="5" t="s">
        <v>206</v>
      </c>
      <c r="D607" s="5" t="s">
        <v>42</v>
      </c>
      <c r="E607" s="5"/>
      <c r="F607" s="5">
        <v>1050</v>
      </c>
      <c r="G607" s="5">
        <v>200</v>
      </c>
      <c r="H607" s="5" t="s">
        <v>238</v>
      </c>
      <c r="I607" s="5">
        <v>12</v>
      </c>
      <c r="J607" s="67"/>
      <c r="K607" s="6">
        <v>3.4</v>
      </c>
      <c r="L607" s="67"/>
      <c r="M607" s="5" t="s">
        <v>16</v>
      </c>
      <c r="N607" s="6">
        <v>1</v>
      </c>
      <c r="O607" s="5">
        <v>132</v>
      </c>
      <c r="P607" s="5">
        <v>0</v>
      </c>
      <c r="Q607" s="5">
        <v>24</v>
      </c>
      <c r="R607" s="3">
        <f t="shared" si="145"/>
        <v>156</v>
      </c>
      <c r="S607" s="3" t="s">
        <v>193</v>
      </c>
      <c r="T607" s="3" t="s">
        <v>193</v>
      </c>
      <c r="U607" s="3" t="s">
        <v>193</v>
      </c>
      <c r="V607" s="5">
        <v>1</v>
      </c>
      <c r="W607" s="5" t="s">
        <v>169</v>
      </c>
      <c r="X607" s="5" t="s">
        <v>46</v>
      </c>
      <c r="Z607" s="4">
        <v>44869</v>
      </c>
      <c r="AB607" s="5"/>
      <c r="AC607" s="5"/>
      <c r="AD607" s="3"/>
      <c r="AF607" s="29"/>
      <c r="AG607" s="29"/>
      <c r="AJ607"/>
    </row>
    <row r="608" spans="1:40" ht="15" customHeight="1" x14ac:dyDescent="0.35">
      <c r="A608" s="4">
        <v>44872</v>
      </c>
      <c r="B608" s="5">
        <v>6</v>
      </c>
      <c r="C608" s="5" t="s">
        <v>157</v>
      </c>
      <c r="D608" s="5" t="s">
        <v>42</v>
      </c>
      <c r="E608" s="5"/>
      <c r="F608" s="5">
        <v>1050</v>
      </c>
      <c r="G608" s="5">
        <v>100</v>
      </c>
      <c r="H608" s="5" t="s">
        <v>238</v>
      </c>
      <c r="I608" s="5">
        <v>12</v>
      </c>
      <c r="J608" s="67"/>
      <c r="K608" s="6">
        <v>5.8</v>
      </c>
      <c r="L608" s="67"/>
      <c r="M608" s="5" t="s">
        <v>16</v>
      </c>
      <c r="N608" s="6">
        <v>1</v>
      </c>
      <c r="O608" s="5">
        <v>91</v>
      </c>
      <c r="P608" s="5">
        <v>25</v>
      </c>
      <c r="Q608" s="5">
        <v>0</v>
      </c>
      <c r="R608" s="3">
        <f t="shared" si="145"/>
        <v>116</v>
      </c>
      <c r="S608" s="3">
        <f>O608/P608</f>
        <v>3.64</v>
      </c>
      <c r="T608" s="3">
        <f>18.7/4</f>
        <v>4.6749999999999998</v>
      </c>
      <c r="U608" s="3">
        <f>32/22</f>
        <v>1.4545454545454546</v>
      </c>
      <c r="V608" s="5">
        <v>1</v>
      </c>
      <c r="W608" s="5" t="s">
        <v>169</v>
      </c>
      <c r="X608" s="5" t="s">
        <v>45</v>
      </c>
      <c r="Y608" s="5" t="s">
        <v>185</v>
      </c>
      <c r="Z608" s="4">
        <v>44869</v>
      </c>
      <c r="AB608" s="5" t="str">
        <f>IF(X608="20um Schlenk", "Single", "Poly")</f>
        <v>Single</v>
      </c>
      <c r="AC608" s="5">
        <v>100</v>
      </c>
      <c r="AD608" s="3">
        <v>0.06</v>
      </c>
      <c r="AE608" s="29">
        <v>1</v>
      </c>
      <c r="AF608" s="29" t="s">
        <v>104</v>
      </c>
      <c r="AG608" s="29" t="s">
        <v>104</v>
      </c>
      <c r="AJ608"/>
    </row>
    <row r="609" spans="1:38" ht="15" customHeight="1" x14ac:dyDescent="0.35">
      <c r="A609" s="4">
        <v>44872</v>
      </c>
      <c r="B609" s="5">
        <v>6</v>
      </c>
      <c r="C609" s="5" t="s">
        <v>157</v>
      </c>
      <c r="D609" s="5" t="s">
        <v>42</v>
      </c>
      <c r="E609" s="5"/>
      <c r="F609" s="5">
        <v>1050</v>
      </c>
      <c r="G609" s="5">
        <v>100</v>
      </c>
      <c r="H609" s="5" t="s">
        <v>238</v>
      </c>
      <c r="I609" s="5">
        <v>12</v>
      </c>
      <c r="J609" s="67"/>
      <c r="K609" s="6">
        <v>5.8</v>
      </c>
      <c r="L609" s="67"/>
      <c r="M609" s="5" t="s">
        <v>16</v>
      </c>
      <c r="N609" s="6">
        <v>1</v>
      </c>
      <c r="O609" s="5">
        <v>91</v>
      </c>
      <c r="P609" s="5">
        <v>25</v>
      </c>
      <c r="Q609" s="5">
        <v>0</v>
      </c>
      <c r="R609" s="3">
        <f t="shared" si="145"/>
        <v>116</v>
      </c>
      <c r="S609" s="3">
        <f>O609/P609</f>
        <v>3.64</v>
      </c>
      <c r="T609" s="3">
        <f>18.7/4</f>
        <v>4.6749999999999998</v>
      </c>
      <c r="U609" s="3">
        <f>32/22</f>
        <v>1.4545454545454546</v>
      </c>
      <c r="V609" s="5">
        <v>1</v>
      </c>
      <c r="W609" s="5" t="s">
        <v>169</v>
      </c>
      <c r="X609" s="5" t="s">
        <v>46</v>
      </c>
      <c r="Y609" s="5" t="s">
        <v>185</v>
      </c>
      <c r="Z609" s="4">
        <v>44869</v>
      </c>
      <c r="AB609" s="5" t="str">
        <f>IF(X609="20um Schlenk", "Single", "Poly")</f>
        <v>Poly</v>
      </c>
      <c r="AC609" s="5">
        <v>100</v>
      </c>
      <c r="AD609" s="3">
        <v>0.03</v>
      </c>
      <c r="AE609" s="29">
        <v>1</v>
      </c>
      <c r="AF609" s="29" t="s">
        <v>104</v>
      </c>
      <c r="AG609" s="29" t="s">
        <v>104</v>
      </c>
      <c r="AJ609"/>
    </row>
    <row r="610" spans="1:38" ht="15" customHeight="1" x14ac:dyDescent="0.35">
      <c r="A610" s="4"/>
      <c r="B610" s="5"/>
      <c r="C610" s="5"/>
      <c r="D610" s="5"/>
      <c r="E610" s="5"/>
      <c r="F610" s="5"/>
      <c r="G610" s="5"/>
      <c r="H610" s="5"/>
      <c r="I610" s="5"/>
      <c r="J610" s="67"/>
      <c r="K610" s="6"/>
      <c r="L610" s="67"/>
      <c r="M610" s="5"/>
      <c r="N610" s="6"/>
      <c r="O610" s="5"/>
      <c r="P610" s="5"/>
      <c r="Q610" s="5"/>
      <c r="R610" s="3"/>
      <c r="S610" s="3"/>
      <c r="T610" s="3"/>
      <c r="U610" s="3"/>
      <c r="V610" s="5"/>
      <c r="W610" s="5"/>
      <c r="X610" s="5"/>
      <c r="Z610" s="4"/>
      <c r="AB610" s="5"/>
      <c r="AC610" s="5"/>
      <c r="AD610" s="3"/>
      <c r="AF610" s="29"/>
      <c r="AG610" s="29"/>
      <c r="AJ610"/>
    </row>
    <row r="611" spans="1:38" ht="15" customHeight="1" x14ac:dyDescent="0.35">
      <c r="A611" s="4">
        <v>44873</v>
      </c>
      <c r="B611" s="5">
        <v>7</v>
      </c>
      <c r="C611" s="5" t="s">
        <v>211</v>
      </c>
      <c r="D611" s="5" t="s">
        <v>42</v>
      </c>
      <c r="E611" s="5"/>
      <c r="F611" s="5">
        <v>1050</v>
      </c>
      <c r="G611" s="5">
        <v>100</v>
      </c>
      <c r="H611" s="5"/>
      <c r="I611" s="5">
        <v>12</v>
      </c>
      <c r="J611" s="69"/>
      <c r="K611" s="6">
        <v>2.4300000000000002</v>
      </c>
      <c r="L611" s="69"/>
      <c r="M611" s="5" t="s">
        <v>16</v>
      </c>
      <c r="N611" s="6">
        <v>1</v>
      </c>
      <c r="O611" s="5">
        <v>120</v>
      </c>
      <c r="P611" s="5">
        <v>15.2</v>
      </c>
      <c r="Q611" s="5">
        <v>20</v>
      </c>
      <c r="R611" s="3">
        <f t="shared" ref="R611:R629" si="146">O611+P611+Q611</f>
        <v>155.19999999999999</v>
      </c>
      <c r="S611" s="59">
        <f t="shared" ref="S611:S616" si="147">O611/P611</f>
        <v>7.8947368421052637</v>
      </c>
      <c r="T611" s="59">
        <v>17.5</v>
      </c>
      <c r="U611" s="59">
        <v>4.1100000000000003</v>
      </c>
      <c r="V611" s="5">
        <v>1</v>
      </c>
      <c r="W611" s="5" t="s">
        <v>169</v>
      </c>
      <c r="X611" s="5" t="s">
        <v>45</v>
      </c>
      <c r="Z611" s="4">
        <v>44872</v>
      </c>
      <c r="AB611" s="5" t="str">
        <f t="shared" ref="AB611:AB616" si="148">IF(X611="20um Schlenk", "Single", "Poly")</f>
        <v>Single</v>
      </c>
      <c r="AC611" s="5">
        <v>100</v>
      </c>
      <c r="AD611" s="59">
        <v>0.06</v>
      </c>
      <c r="AE611" s="29">
        <v>0</v>
      </c>
      <c r="AF611" s="29" t="s">
        <v>104</v>
      </c>
      <c r="AG611" s="29" t="s">
        <v>104</v>
      </c>
      <c r="AJ611"/>
      <c r="AL611" t="s">
        <v>239</v>
      </c>
    </row>
    <row r="612" spans="1:38" ht="15" customHeight="1" x14ac:dyDescent="0.35">
      <c r="A612" s="4">
        <v>44873</v>
      </c>
      <c r="B612" s="5">
        <v>7</v>
      </c>
      <c r="C612" s="5" t="s">
        <v>211</v>
      </c>
      <c r="D612" s="5" t="s">
        <v>42</v>
      </c>
      <c r="E612" s="5"/>
      <c r="F612" s="5">
        <v>1050</v>
      </c>
      <c r="G612" s="5">
        <v>100</v>
      </c>
      <c r="H612" s="5"/>
      <c r="I612" s="5">
        <v>12</v>
      </c>
      <c r="J612" s="69"/>
      <c r="K612" s="6">
        <v>2.4300000000000002</v>
      </c>
      <c r="L612" s="69"/>
      <c r="M612" s="5" t="s">
        <v>16</v>
      </c>
      <c r="N612" s="6">
        <v>1</v>
      </c>
      <c r="O612" s="5">
        <v>120</v>
      </c>
      <c r="P612" s="5">
        <v>15.2</v>
      </c>
      <c r="Q612" s="5">
        <v>20</v>
      </c>
      <c r="R612" s="3">
        <f t="shared" si="146"/>
        <v>155.19999999999999</v>
      </c>
      <c r="S612" s="59">
        <f t="shared" si="147"/>
        <v>7.8947368421052637</v>
      </c>
      <c r="T612" s="59">
        <v>17.5</v>
      </c>
      <c r="U612" s="59">
        <v>4.1100000000000003</v>
      </c>
      <c r="V612" s="5">
        <v>1</v>
      </c>
      <c r="W612" s="5" t="s">
        <v>169</v>
      </c>
      <c r="X612" s="5" t="s">
        <v>45</v>
      </c>
      <c r="Y612" s="29" t="s">
        <v>168</v>
      </c>
      <c r="Z612" s="4"/>
      <c r="AB612" s="5" t="str">
        <f t="shared" si="148"/>
        <v>Single</v>
      </c>
      <c r="AC612" s="5">
        <v>100</v>
      </c>
      <c r="AD612" s="59">
        <v>0.04</v>
      </c>
      <c r="AE612" s="29">
        <v>0</v>
      </c>
      <c r="AF612" s="29" t="s">
        <v>104</v>
      </c>
      <c r="AG612" s="29" t="s">
        <v>104</v>
      </c>
      <c r="AJ612"/>
    </row>
    <row r="613" spans="1:38" ht="15" customHeight="1" x14ac:dyDescent="0.35">
      <c r="A613" s="4">
        <v>44873</v>
      </c>
      <c r="B613" s="5">
        <v>7</v>
      </c>
      <c r="C613" s="5" t="s">
        <v>211</v>
      </c>
      <c r="D613" s="5" t="s">
        <v>42</v>
      </c>
      <c r="E613" s="5"/>
      <c r="F613" s="5">
        <v>1050</v>
      </c>
      <c r="G613" s="5">
        <v>100</v>
      </c>
      <c r="H613" s="5"/>
      <c r="I613" s="5">
        <v>12</v>
      </c>
      <c r="J613" s="69"/>
      <c r="K613" s="6">
        <v>2.4300000000000002</v>
      </c>
      <c r="L613" s="69"/>
      <c r="M613" s="5" t="s">
        <v>16</v>
      </c>
      <c r="N613" s="6">
        <v>1</v>
      </c>
      <c r="O613" s="5">
        <v>120</v>
      </c>
      <c r="P613" s="5">
        <v>15.2</v>
      </c>
      <c r="Q613" s="5">
        <v>20</v>
      </c>
      <c r="R613" s="3">
        <f t="shared" si="146"/>
        <v>155.19999999999999</v>
      </c>
      <c r="S613" s="59">
        <f t="shared" si="147"/>
        <v>7.8947368421052637</v>
      </c>
      <c r="T613" s="59">
        <v>17.5</v>
      </c>
      <c r="U613" s="59">
        <v>4.1100000000000003</v>
      </c>
      <c r="V613" s="5">
        <v>1</v>
      </c>
      <c r="W613" s="5" t="s">
        <v>169</v>
      </c>
      <c r="X613" s="5" t="s">
        <v>46</v>
      </c>
      <c r="Z613" s="4">
        <v>44872</v>
      </c>
      <c r="AB613" s="5" t="str">
        <f t="shared" si="148"/>
        <v>Poly</v>
      </c>
      <c r="AC613" s="5">
        <v>100</v>
      </c>
      <c r="AD613" s="59">
        <v>0.03</v>
      </c>
      <c r="AE613" s="29">
        <v>1</v>
      </c>
      <c r="AF613" s="29" t="s">
        <v>104</v>
      </c>
      <c r="AG613" s="29" t="s">
        <v>104</v>
      </c>
      <c r="AJ613"/>
    </row>
    <row r="614" spans="1:38" ht="15" customHeight="1" x14ac:dyDescent="0.35">
      <c r="A614" s="4">
        <v>44873</v>
      </c>
      <c r="B614" s="5">
        <v>8</v>
      </c>
      <c r="C614" s="5" t="s">
        <v>48</v>
      </c>
      <c r="D614" s="5" t="s">
        <v>42</v>
      </c>
      <c r="E614" s="5"/>
      <c r="F614" s="5">
        <v>1050</v>
      </c>
      <c r="G614" s="5">
        <v>200</v>
      </c>
      <c r="H614" s="5"/>
      <c r="I614" s="5">
        <v>12</v>
      </c>
      <c r="J614" s="69"/>
      <c r="K614" s="6">
        <v>4.7699999999999996</v>
      </c>
      <c r="L614" s="69"/>
      <c r="M614" s="5" t="s">
        <v>16</v>
      </c>
      <c r="N614" s="6">
        <v>1</v>
      </c>
      <c r="O614" s="5">
        <v>84</v>
      </c>
      <c r="P614" s="5">
        <v>48</v>
      </c>
      <c r="Q614" s="5">
        <v>24</v>
      </c>
      <c r="R614" s="3">
        <f t="shared" si="146"/>
        <v>156</v>
      </c>
      <c r="S614" s="3">
        <f t="shared" si="147"/>
        <v>1.75</v>
      </c>
      <c r="T614" s="3">
        <f>16.8/18</f>
        <v>0.93333333333333335</v>
      </c>
      <c r="U614" s="3">
        <f>28.5/45</f>
        <v>0.6333333333333333</v>
      </c>
      <c r="V614" s="5">
        <v>1</v>
      </c>
      <c r="W614" s="5" t="s">
        <v>169</v>
      </c>
      <c r="X614" s="5" t="s">
        <v>45</v>
      </c>
      <c r="Z614" s="4">
        <v>44872</v>
      </c>
      <c r="AB614" s="5" t="str">
        <f t="shared" si="148"/>
        <v>Single</v>
      </c>
      <c r="AC614" s="5">
        <v>100</v>
      </c>
      <c r="AD614" s="59">
        <v>0.03</v>
      </c>
      <c r="AE614" s="29">
        <v>0</v>
      </c>
      <c r="AF614" s="29" t="s">
        <v>104</v>
      </c>
      <c r="AG614" s="29" t="s">
        <v>104</v>
      </c>
      <c r="AJ614"/>
      <c r="AL614" t="s">
        <v>240</v>
      </c>
    </row>
    <row r="615" spans="1:38" ht="15" customHeight="1" x14ac:dyDescent="0.35">
      <c r="A615" s="4">
        <v>44873</v>
      </c>
      <c r="B615" s="5">
        <v>8</v>
      </c>
      <c r="C615" s="5" t="s">
        <v>48</v>
      </c>
      <c r="D615" s="5" t="s">
        <v>42</v>
      </c>
      <c r="E615" s="5"/>
      <c r="F615" s="5">
        <v>1050</v>
      </c>
      <c r="G615" s="5">
        <v>200</v>
      </c>
      <c r="H615" s="5"/>
      <c r="I615" s="5">
        <v>12</v>
      </c>
      <c r="J615" s="69"/>
      <c r="K615" s="6">
        <v>4.7699999999999996</v>
      </c>
      <c r="L615" s="69"/>
      <c r="M615" s="5" t="s">
        <v>16</v>
      </c>
      <c r="N615" s="6">
        <v>1</v>
      </c>
      <c r="O615" s="5">
        <v>84</v>
      </c>
      <c r="P615" s="5">
        <v>48</v>
      </c>
      <c r="Q615" s="5">
        <v>24</v>
      </c>
      <c r="R615" s="3">
        <f t="shared" si="146"/>
        <v>156</v>
      </c>
      <c r="S615" s="3">
        <f t="shared" si="147"/>
        <v>1.75</v>
      </c>
      <c r="T615" s="3">
        <f>16.8/18</f>
        <v>0.93333333333333335</v>
      </c>
      <c r="U615" s="3">
        <f>28.5/45</f>
        <v>0.6333333333333333</v>
      </c>
      <c r="V615" s="5">
        <v>1</v>
      </c>
      <c r="W615" s="5" t="s">
        <v>169</v>
      </c>
      <c r="X615" s="5" t="s">
        <v>45</v>
      </c>
      <c r="Y615" s="29" t="s">
        <v>168</v>
      </c>
      <c r="Z615" s="4"/>
      <c r="AB615" s="5" t="str">
        <f t="shared" si="148"/>
        <v>Single</v>
      </c>
      <c r="AC615" s="5">
        <v>100</v>
      </c>
      <c r="AD615" s="59">
        <v>0.2</v>
      </c>
      <c r="AE615" s="29">
        <v>2</v>
      </c>
      <c r="AF615" s="29" t="s">
        <v>104</v>
      </c>
      <c r="AG615" s="29" t="s">
        <v>104</v>
      </c>
      <c r="AJ615"/>
      <c r="AL615" t="s">
        <v>241</v>
      </c>
    </row>
    <row r="616" spans="1:38" ht="15" customHeight="1" x14ac:dyDescent="0.35">
      <c r="A616" s="4">
        <v>44873</v>
      </c>
      <c r="B616" s="5">
        <v>8</v>
      </c>
      <c r="C616" s="5" t="s">
        <v>48</v>
      </c>
      <c r="D616" s="5" t="s">
        <v>42</v>
      </c>
      <c r="E616" s="5"/>
      <c r="F616" s="5">
        <v>1050</v>
      </c>
      <c r="G616" s="5">
        <v>200</v>
      </c>
      <c r="H616" s="5"/>
      <c r="I616" s="5">
        <v>12</v>
      </c>
      <c r="J616" s="69"/>
      <c r="K616" s="6">
        <v>4.7699999999999996</v>
      </c>
      <c r="L616" s="69"/>
      <c r="M616" s="5" t="s">
        <v>16</v>
      </c>
      <c r="N616" s="6">
        <v>1</v>
      </c>
      <c r="O616" s="5">
        <v>84</v>
      </c>
      <c r="P616" s="5">
        <v>48</v>
      </c>
      <c r="Q616" s="5">
        <v>24</v>
      </c>
      <c r="R616" s="3">
        <f t="shared" si="146"/>
        <v>156</v>
      </c>
      <c r="S616" s="3">
        <f t="shared" si="147"/>
        <v>1.75</v>
      </c>
      <c r="T616" s="3">
        <f>16.8/18</f>
        <v>0.93333333333333335</v>
      </c>
      <c r="U616" s="3">
        <f>28.5/45</f>
        <v>0.6333333333333333</v>
      </c>
      <c r="V616" s="5">
        <v>1</v>
      </c>
      <c r="W616" s="5" t="s">
        <v>169</v>
      </c>
      <c r="X616" s="5" t="s">
        <v>46</v>
      </c>
      <c r="Z616" s="4">
        <v>44872</v>
      </c>
      <c r="AB616" s="5" t="str">
        <f t="shared" si="148"/>
        <v>Poly</v>
      </c>
      <c r="AC616" s="5">
        <v>100</v>
      </c>
      <c r="AD616" s="59">
        <v>0.05</v>
      </c>
      <c r="AE616" s="29">
        <v>0</v>
      </c>
      <c r="AF616" s="29" t="s">
        <v>102</v>
      </c>
      <c r="AG616" s="29" t="s">
        <v>102</v>
      </c>
      <c r="AJ616"/>
    </row>
    <row r="617" spans="1:38" ht="15" customHeight="1" x14ac:dyDescent="0.35">
      <c r="A617" s="4">
        <v>44873</v>
      </c>
      <c r="B617" s="5">
        <v>9</v>
      </c>
      <c r="C617" s="5" t="s">
        <v>206</v>
      </c>
      <c r="D617" s="5" t="s">
        <v>42</v>
      </c>
      <c r="E617" s="5"/>
      <c r="F617" s="5">
        <v>1050</v>
      </c>
      <c r="G617" s="5">
        <v>200</v>
      </c>
      <c r="H617" s="5"/>
      <c r="I617" s="5">
        <v>12</v>
      </c>
      <c r="J617" s="67"/>
      <c r="K617" s="6">
        <v>4.87</v>
      </c>
      <c r="L617" s="67"/>
      <c r="M617" s="5" t="s">
        <v>16</v>
      </c>
      <c r="N617" s="6">
        <v>1</v>
      </c>
      <c r="O617" s="5">
        <v>132</v>
      </c>
      <c r="P617" s="5">
        <v>0</v>
      </c>
      <c r="Q617" s="5">
        <v>24</v>
      </c>
      <c r="R617" s="3">
        <f t="shared" si="146"/>
        <v>156</v>
      </c>
      <c r="S617" s="3" t="s">
        <v>193</v>
      </c>
      <c r="T617" s="3" t="s">
        <v>193</v>
      </c>
      <c r="U617" s="3" t="s">
        <v>193</v>
      </c>
      <c r="V617" s="5">
        <v>1</v>
      </c>
      <c r="W617" s="5" t="s">
        <v>169</v>
      </c>
      <c r="X617" s="5" t="s">
        <v>45</v>
      </c>
      <c r="Z617" s="4">
        <v>44872</v>
      </c>
      <c r="AB617" s="5"/>
      <c r="AC617" s="5"/>
      <c r="AD617" s="59"/>
      <c r="AF617" s="29"/>
      <c r="AG617" s="29"/>
      <c r="AJ617"/>
    </row>
    <row r="618" spans="1:38" ht="15" customHeight="1" x14ac:dyDescent="0.35">
      <c r="A618" s="4">
        <v>44873</v>
      </c>
      <c r="B618" s="5">
        <v>9</v>
      </c>
      <c r="C618" s="5" t="s">
        <v>206</v>
      </c>
      <c r="D618" s="5" t="s">
        <v>42</v>
      </c>
      <c r="E618" s="5"/>
      <c r="F618" s="5">
        <v>1050</v>
      </c>
      <c r="G618" s="5">
        <v>200</v>
      </c>
      <c r="H618" s="5"/>
      <c r="I618" s="5">
        <v>12</v>
      </c>
      <c r="J618" s="67"/>
      <c r="K618" s="6">
        <v>4.87</v>
      </c>
      <c r="L618" s="67"/>
      <c r="M618" s="5" t="s">
        <v>16</v>
      </c>
      <c r="N618" s="6">
        <v>1</v>
      </c>
      <c r="O618" s="5">
        <v>132</v>
      </c>
      <c r="P618" s="5">
        <v>0</v>
      </c>
      <c r="Q618" s="5">
        <v>24</v>
      </c>
      <c r="R618" s="3">
        <f t="shared" si="146"/>
        <v>156</v>
      </c>
      <c r="S618" s="3" t="s">
        <v>193</v>
      </c>
      <c r="T618" s="3" t="s">
        <v>193</v>
      </c>
      <c r="U618" s="3" t="s">
        <v>193</v>
      </c>
      <c r="V618" s="5">
        <v>1</v>
      </c>
      <c r="W618" s="5" t="s">
        <v>169</v>
      </c>
      <c r="X618" s="5" t="s">
        <v>46</v>
      </c>
      <c r="Z618" s="4">
        <v>44872</v>
      </c>
      <c r="AB618" s="5"/>
      <c r="AC618" s="5"/>
      <c r="AD618" s="59"/>
      <c r="AF618" s="29"/>
      <c r="AG618" s="29"/>
      <c r="AJ618"/>
    </row>
    <row r="619" spans="1:38" ht="15" customHeight="1" x14ac:dyDescent="0.35">
      <c r="A619" s="4">
        <v>44873</v>
      </c>
      <c r="B619" s="5">
        <v>9</v>
      </c>
      <c r="C619" s="5" t="s">
        <v>206</v>
      </c>
      <c r="D619" s="5" t="s">
        <v>42</v>
      </c>
      <c r="E619" s="5"/>
      <c r="F619" s="5">
        <v>1050</v>
      </c>
      <c r="G619" s="5">
        <v>200</v>
      </c>
      <c r="H619" s="5"/>
      <c r="I619" s="5">
        <v>12</v>
      </c>
      <c r="J619" s="67"/>
      <c r="K619" s="6">
        <v>4.87</v>
      </c>
      <c r="L619" s="67"/>
      <c r="M619" s="5" t="s">
        <v>16</v>
      </c>
      <c r="N619" s="6">
        <v>1</v>
      </c>
      <c r="O619" s="5">
        <v>132</v>
      </c>
      <c r="P619" s="5">
        <v>0</v>
      </c>
      <c r="Q619" s="5">
        <v>24</v>
      </c>
      <c r="R619" s="3">
        <f t="shared" si="146"/>
        <v>156</v>
      </c>
      <c r="S619" s="3" t="s">
        <v>193</v>
      </c>
      <c r="T619" s="3" t="s">
        <v>193</v>
      </c>
      <c r="U619" s="3" t="s">
        <v>193</v>
      </c>
      <c r="V619" s="5">
        <v>1</v>
      </c>
      <c r="W619" s="5" t="s">
        <v>52</v>
      </c>
      <c r="X619" s="5" t="s">
        <v>46</v>
      </c>
      <c r="Z619" s="4">
        <v>44872</v>
      </c>
      <c r="AB619" s="5"/>
      <c r="AC619" s="5"/>
      <c r="AD619" s="59"/>
      <c r="AF619" s="29"/>
      <c r="AG619" s="29"/>
      <c r="AJ619"/>
    </row>
    <row r="620" spans="1:38" ht="15" customHeight="1" x14ac:dyDescent="0.35">
      <c r="A620" s="4">
        <v>44873</v>
      </c>
      <c r="B620" s="5">
        <v>9</v>
      </c>
      <c r="C620" s="5" t="s">
        <v>206</v>
      </c>
      <c r="D620" s="5" t="s">
        <v>42</v>
      </c>
      <c r="E620" s="5"/>
      <c r="F620" s="5">
        <v>1050</v>
      </c>
      <c r="G620" s="5">
        <v>200</v>
      </c>
      <c r="H620" s="5"/>
      <c r="I620" s="5">
        <v>12</v>
      </c>
      <c r="J620" s="67"/>
      <c r="K620" s="6">
        <v>4.87</v>
      </c>
      <c r="L620" s="67"/>
      <c r="M620" s="5" t="s">
        <v>16</v>
      </c>
      <c r="N620" s="6">
        <v>1</v>
      </c>
      <c r="O620" s="5">
        <v>132</v>
      </c>
      <c r="P620" s="5">
        <v>0</v>
      </c>
      <c r="Q620" s="5">
        <v>24</v>
      </c>
      <c r="R620" s="3">
        <f t="shared" si="146"/>
        <v>156</v>
      </c>
      <c r="S620" s="3" t="s">
        <v>193</v>
      </c>
      <c r="T620" s="3" t="s">
        <v>193</v>
      </c>
      <c r="U620" s="3" t="s">
        <v>193</v>
      </c>
      <c r="V620" s="5">
        <v>1</v>
      </c>
      <c r="W620" s="5" t="s">
        <v>52</v>
      </c>
      <c r="X620" s="5" t="s">
        <v>46</v>
      </c>
      <c r="Y620" s="29" t="s">
        <v>242</v>
      </c>
      <c r="Z620" s="4">
        <v>44872</v>
      </c>
      <c r="AB620" s="5"/>
      <c r="AC620" s="5"/>
      <c r="AD620" s="59"/>
      <c r="AF620" s="29"/>
      <c r="AG620" s="29"/>
      <c r="AJ620"/>
    </row>
    <row r="621" spans="1:38" ht="15" customHeight="1" x14ac:dyDescent="0.35">
      <c r="A621" s="4">
        <v>44873</v>
      </c>
      <c r="B621" s="5">
        <v>9</v>
      </c>
      <c r="C621" s="5" t="s">
        <v>206</v>
      </c>
      <c r="D621" s="5" t="s">
        <v>42</v>
      </c>
      <c r="E621" s="5"/>
      <c r="F621" s="5">
        <v>1050</v>
      </c>
      <c r="G621" s="5">
        <v>200</v>
      </c>
      <c r="H621" s="5"/>
      <c r="I621" s="5">
        <v>12</v>
      </c>
      <c r="J621" s="67"/>
      <c r="K621" s="6">
        <v>4.87</v>
      </c>
      <c r="L621" s="67"/>
      <c r="M621" s="5" t="s">
        <v>16</v>
      </c>
      <c r="N621" s="6">
        <v>1</v>
      </c>
      <c r="O621" s="5">
        <v>132</v>
      </c>
      <c r="P621" s="5">
        <v>0</v>
      </c>
      <c r="Q621" s="5">
        <v>24</v>
      </c>
      <c r="R621" s="3">
        <f t="shared" si="146"/>
        <v>156</v>
      </c>
      <c r="S621" s="3" t="s">
        <v>193</v>
      </c>
      <c r="T621" s="3" t="s">
        <v>193</v>
      </c>
      <c r="U621" s="3" t="s">
        <v>193</v>
      </c>
      <c r="V621" s="5">
        <v>1</v>
      </c>
      <c r="W621" s="5" t="s">
        <v>52</v>
      </c>
      <c r="X621" s="5" t="s">
        <v>46</v>
      </c>
      <c r="Y621" s="29" t="s">
        <v>243</v>
      </c>
      <c r="Z621" s="4">
        <v>44872</v>
      </c>
      <c r="AB621" s="5"/>
      <c r="AC621" s="5"/>
      <c r="AD621" s="59"/>
      <c r="AF621" s="29"/>
      <c r="AG621" s="29"/>
      <c r="AJ621"/>
    </row>
    <row r="622" spans="1:38" ht="15" customHeight="1" x14ac:dyDescent="0.35">
      <c r="A622" s="4">
        <v>44873</v>
      </c>
      <c r="B622" s="5">
        <v>9</v>
      </c>
      <c r="C622" s="5" t="s">
        <v>206</v>
      </c>
      <c r="D622" s="5" t="s">
        <v>42</v>
      </c>
      <c r="E622" s="5"/>
      <c r="F622" s="5">
        <v>1050</v>
      </c>
      <c r="G622" s="5">
        <v>200</v>
      </c>
      <c r="H622" s="5"/>
      <c r="I622" s="5">
        <v>12</v>
      </c>
      <c r="J622" s="67"/>
      <c r="K622" s="6">
        <v>4.87</v>
      </c>
      <c r="L622" s="67"/>
      <c r="M622" s="5" t="s">
        <v>16</v>
      </c>
      <c r="N622" s="6">
        <v>1</v>
      </c>
      <c r="O622" s="5">
        <v>132</v>
      </c>
      <c r="P622" s="5">
        <v>0</v>
      </c>
      <c r="Q622" s="5">
        <v>24</v>
      </c>
      <c r="R622" s="3">
        <f t="shared" si="146"/>
        <v>156</v>
      </c>
      <c r="S622" s="3" t="s">
        <v>193</v>
      </c>
      <c r="T622" s="3" t="s">
        <v>193</v>
      </c>
      <c r="U622" s="3" t="s">
        <v>193</v>
      </c>
      <c r="V622" s="5">
        <v>1</v>
      </c>
      <c r="W622" s="5" t="s">
        <v>169</v>
      </c>
      <c r="X622" s="5" t="s">
        <v>45</v>
      </c>
      <c r="Y622" s="29" t="s">
        <v>168</v>
      </c>
      <c r="Z622" s="4"/>
      <c r="AB622" s="5"/>
      <c r="AC622" s="5"/>
      <c r="AD622" s="59"/>
      <c r="AF622" s="29"/>
      <c r="AG622" s="29"/>
      <c r="AJ622"/>
    </row>
    <row r="623" spans="1:38" ht="15" customHeight="1" x14ac:dyDescent="0.35">
      <c r="A623" s="4">
        <v>44873</v>
      </c>
      <c r="B623" s="5">
        <v>10</v>
      </c>
      <c r="C623" s="5" t="s">
        <v>157</v>
      </c>
      <c r="D623" s="5" t="s">
        <v>42</v>
      </c>
      <c r="E623" s="5"/>
      <c r="F623" s="5">
        <v>1050</v>
      </c>
      <c r="G623" s="5">
        <v>100</v>
      </c>
      <c r="H623" s="5"/>
      <c r="I623" s="5">
        <v>12</v>
      </c>
      <c r="J623" s="67"/>
      <c r="K623" s="6">
        <v>5.35</v>
      </c>
      <c r="L623" s="67"/>
      <c r="M623" s="5" t="s">
        <v>16</v>
      </c>
      <c r="N623" s="6">
        <v>1</v>
      </c>
      <c r="O623" s="5">
        <v>91</v>
      </c>
      <c r="P623" s="5">
        <v>25</v>
      </c>
      <c r="Q623" s="5">
        <v>0</v>
      </c>
      <c r="R623" s="3">
        <f t="shared" si="146"/>
        <v>116</v>
      </c>
      <c r="S623" s="3">
        <f t="shared" ref="S623:S629" si="149">O623/P623</f>
        <v>3.64</v>
      </c>
      <c r="T623" s="3">
        <f t="shared" ref="T623:T628" si="150">18.7/4</f>
        <v>4.6749999999999998</v>
      </c>
      <c r="U623" s="3">
        <f t="shared" ref="U623:U628" si="151">32/22</f>
        <v>1.4545454545454546</v>
      </c>
      <c r="V623" s="5">
        <v>1</v>
      </c>
      <c r="W623" s="5" t="s">
        <v>169</v>
      </c>
      <c r="X623" s="5" t="s">
        <v>45</v>
      </c>
      <c r="Y623" s="29" t="s">
        <v>185</v>
      </c>
      <c r="Z623" s="4">
        <v>44872</v>
      </c>
      <c r="AB623" s="5" t="str">
        <f t="shared" ref="AB623:AB629" si="152">IF(X623="20um Schlenk", "Single", "Poly")</f>
        <v>Single</v>
      </c>
      <c r="AC623" s="5">
        <v>100</v>
      </c>
      <c r="AD623" s="59">
        <v>0.02</v>
      </c>
      <c r="AE623" s="29">
        <v>0</v>
      </c>
      <c r="AF623" s="29" t="s">
        <v>104</v>
      </c>
      <c r="AG623" s="29" t="s">
        <v>104</v>
      </c>
      <c r="AJ623"/>
    </row>
    <row r="624" spans="1:38" ht="15" customHeight="1" x14ac:dyDescent="0.35">
      <c r="A624" s="4">
        <v>44873</v>
      </c>
      <c r="B624" s="5">
        <v>10</v>
      </c>
      <c r="C624" s="5" t="s">
        <v>157</v>
      </c>
      <c r="D624" s="5" t="s">
        <v>42</v>
      </c>
      <c r="E624" s="5"/>
      <c r="F624" s="5">
        <v>1050</v>
      </c>
      <c r="G624" s="5">
        <v>100</v>
      </c>
      <c r="H624" s="5"/>
      <c r="I624" s="5">
        <v>12</v>
      </c>
      <c r="J624" s="67"/>
      <c r="K624" s="6">
        <v>5.35</v>
      </c>
      <c r="L624" s="67"/>
      <c r="M624" s="5" t="s">
        <v>16</v>
      </c>
      <c r="N624" s="6">
        <v>1</v>
      </c>
      <c r="O624" s="5">
        <v>91</v>
      </c>
      <c r="P624" s="5">
        <v>25</v>
      </c>
      <c r="Q624" s="5">
        <v>0</v>
      </c>
      <c r="R624" s="3">
        <f t="shared" si="146"/>
        <v>116</v>
      </c>
      <c r="S624" s="3">
        <f t="shared" si="149"/>
        <v>3.64</v>
      </c>
      <c r="T624" s="3">
        <f t="shared" si="150"/>
        <v>4.6749999999999998</v>
      </c>
      <c r="U624" s="3">
        <f t="shared" si="151"/>
        <v>1.4545454545454546</v>
      </c>
      <c r="V624" s="5">
        <v>1</v>
      </c>
      <c r="W624" s="5" t="s">
        <v>169</v>
      </c>
      <c r="X624" s="5" t="s">
        <v>45</v>
      </c>
      <c r="Y624" s="29" t="s">
        <v>244</v>
      </c>
      <c r="Z624" s="5"/>
      <c r="AB624" s="5" t="str">
        <f t="shared" si="152"/>
        <v>Single</v>
      </c>
      <c r="AC624" s="5">
        <v>100</v>
      </c>
      <c r="AD624" s="59">
        <v>0.03</v>
      </c>
      <c r="AE624" s="29">
        <v>1</v>
      </c>
      <c r="AF624" s="29" t="s">
        <v>104</v>
      </c>
      <c r="AG624" s="29" t="s">
        <v>104</v>
      </c>
      <c r="AJ624"/>
    </row>
    <row r="625" spans="1:38" ht="15" customHeight="1" x14ac:dyDescent="0.35">
      <c r="A625" s="4">
        <v>44873</v>
      </c>
      <c r="B625" s="5">
        <v>10</v>
      </c>
      <c r="C625" s="5" t="s">
        <v>157</v>
      </c>
      <c r="D625" s="5" t="s">
        <v>42</v>
      </c>
      <c r="E625" s="5"/>
      <c r="F625" s="5">
        <v>1050</v>
      </c>
      <c r="G625" s="5">
        <v>100</v>
      </c>
      <c r="H625" s="5"/>
      <c r="I625" s="5">
        <v>12</v>
      </c>
      <c r="J625" s="67"/>
      <c r="K625" s="6">
        <v>5.35</v>
      </c>
      <c r="L625" s="67"/>
      <c r="M625" s="5" t="s">
        <v>16</v>
      </c>
      <c r="N625" s="6">
        <v>1</v>
      </c>
      <c r="O625" s="5">
        <v>91</v>
      </c>
      <c r="P625" s="5">
        <v>25</v>
      </c>
      <c r="Q625" s="5">
        <v>0</v>
      </c>
      <c r="R625" s="3">
        <f t="shared" si="146"/>
        <v>116</v>
      </c>
      <c r="S625" s="3">
        <f t="shared" si="149"/>
        <v>3.64</v>
      </c>
      <c r="T625" s="3">
        <f t="shared" si="150"/>
        <v>4.6749999999999998</v>
      </c>
      <c r="U625" s="3">
        <f t="shared" si="151"/>
        <v>1.4545454545454546</v>
      </c>
      <c r="V625" s="5">
        <v>1</v>
      </c>
      <c r="W625" s="5" t="s">
        <v>169</v>
      </c>
      <c r="X625" s="5" t="s">
        <v>46</v>
      </c>
      <c r="Y625" s="29" t="s">
        <v>185</v>
      </c>
      <c r="Z625" s="4">
        <v>44872</v>
      </c>
      <c r="AB625" s="5" t="str">
        <f t="shared" si="152"/>
        <v>Poly</v>
      </c>
      <c r="AC625" s="5">
        <v>100</v>
      </c>
      <c r="AD625" s="59">
        <v>0.02</v>
      </c>
      <c r="AE625" s="29">
        <v>1</v>
      </c>
      <c r="AF625" s="29" t="s">
        <v>104</v>
      </c>
      <c r="AG625" s="29" t="s">
        <v>104</v>
      </c>
      <c r="AJ625"/>
    </row>
    <row r="626" spans="1:38" ht="15" customHeight="1" x14ac:dyDescent="0.35">
      <c r="A626" s="4">
        <v>44873</v>
      </c>
      <c r="B626" s="5">
        <v>10</v>
      </c>
      <c r="C626" s="5" t="s">
        <v>157</v>
      </c>
      <c r="D626" s="5" t="s">
        <v>42</v>
      </c>
      <c r="E626" s="5"/>
      <c r="F626" s="5">
        <v>1050</v>
      </c>
      <c r="G626" s="5">
        <v>100</v>
      </c>
      <c r="H626" s="5"/>
      <c r="I626" s="5">
        <v>12</v>
      </c>
      <c r="J626" s="67"/>
      <c r="K626" s="6">
        <v>5.35</v>
      </c>
      <c r="L626" s="67"/>
      <c r="M626" s="5" t="s">
        <v>16</v>
      </c>
      <c r="N626" s="6">
        <v>1</v>
      </c>
      <c r="O626" s="5">
        <v>91</v>
      </c>
      <c r="P626" s="5">
        <v>25</v>
      </c>
      <c r="Q626" s="5">
        <v>0</v>
      </c>
      <c r="R626" s="3">
        <f t="shared" si="146"/>
        <v>116</v>
      </c>
      <c r="S626" s="3">
        <f t="shared" si="149"/>
        <v>3.64</v>
      </c>
      <c r="T626" s="3">
        <f t="shared" si="150"/>
        <v>4.6749999999999998</v>
      </c>
      <c r="U626" s="3">
        <f t="shared" si="151"/>
        <v>1.4545454545454546</v>
      </c>
      <c r="V626" s="5">
        <v>1</v>
      </c>
      <c r="W626" s="5" t="s">
        <v>52</v>
      </c>
      <c r="X626" s="5" t="s">
        <v>46</v>
      </c>
      <c r="Y626" s="29" t="s">
        <v>185</v>
      </c>
      <c r="Z626" s="4">
        <v>44872</v>
      </c>
      <c r="AB626" s="5" t="str">
        <f t="shared" si="152"/>
        <v>Poly</v>
      </c>
      <c r="AC626" s="5">
        <v>100</v>
      </c>
      <c r="AD626" s="59">
        <v>0.03</v>
      </c>
      <c r="AE626" s="29">
        <v>1</v>
      </c>
      <c r="AF626" s="29" t="s">
        <v>104</v>
      </c>
      <c r="AG626" s="29" t="s">
        <v>102</v>
      </c>
      <c r="AJ626"/>
    </row>
    <row r="627" spans="1:38" ht="15" customHeight="1" x14ac:dyDescent="0.35">
      <c r="A627" s="4">
        <v>44873</v>
      </c>
      <c r="B627" s="5">
        <v>10</v>
      </c>
      <c r="C627" s="5" t="s">
        <v>157</v>
      </c>
      <c r="D627" s="5" t="s">
        <v>42</v>
      </c>
      <c r="E627" s="5"/>
      <c r="F627" s="5">
        <v>1050</v>
      </c>
      <c r="G627" s="5">
        <v>100</v>
      </c>
      <c r="H627" s="5"/>
      <c r="I627" s="5">
        <v>12</v>
      </c>
      <c r="J627" s="67"/>
      <c r="K627" s="6">
        <v>5.35</v>
      </c>
      <c r="L627" s="67"/>
      <c r="M627" s="5" t="s">
        <v>16</v>
      </c>
      <c r="N627" s="6">
        <v>1</v>
      </c>
      <c r="O627" s="5">
        <v>91</v>
      </c>
      <c r="P627" s="5">
        <v>25</v>
      </c>
      <c r="Q627" s="5">
        <v>0</v>
      </c>
      <c r="R627" s="3">
        <f t="shared" si="146"/>
        <v>116</v>
      </c>
      <c r="S627" s="3">
        <f t="shared" si="149"/>
        <v>3.64</v>
      </c>
      <c r="T627" s="3">
        <f t="shared" si="150"/>
        <v>4.6749999999999998</v>
      </c>
      <c r="U627" s="3">
        <f t="shared" si="151"/>
        <v>1.4545454545454546</v>
      </c>
      <c r="V627" s="5">
        <v>1</v>
      </c>
      <c r="W627" s="5" t="s">
        <v>52</v>
      </c>
      <c r="X627" s="5" t="s">
        <v>46</v>
      </c>
      <c r="Y627" s="29" t="s">
        <v>245</v>
      </c>
      <c r="Z627" s="4">
        <v>44872</v>
      </c>
      <c r="AB627" s="5" t="str">
        <f t="shared" si="152"/>
        <v>Poly</v>
      </c>
      <c r="AC627" s="5">
        <v>100</v>
      </c>
      <c r="AD627" s="59">
        <v>0.02</v>
      </c>
      <c r="AE627" s="29">
        <v>1</v>
      </c>
      <c r="AF627" s="29" t="s">
        <v>104</v>
      </c>
      <c r="AG627" s="29" t="s">
        <v>102</v>
      </c>
      <c r="AJ627"/>
    </row>
    <row r="628" spans="1:38" ht="15" customHeight="1" x14ac:dyDescent="0.35">
      <c r="A628" s="4">
        <v>44873</v>
      </c>
      <c r="B628" s="5">
        <v>10</v>
      </c>
      <c r="C628" s="5" t="s">
        <v>157</v>
      </c>
      <c r="D628" s="5" t="s">
        <v>42</v>
      </c>
      <c r="E628" s="5"/>
      <c r="F628" s="5">
        <v>1050</v>
      </c>
      <c r="G628" s="5">
        <v>100</v>
      </c>
      <c r="H628" s="5"/>
      <c r="I628" s="5">
        <v>12</v>
      </c>
      <c r="J628" s="67"/>
      <c r="K628" s="6">
        <v>5.35</v>
      </c>
      <c r="L628" s="67"/>
      <c r="M628" s="5" t="s">
        <v>16</v>
      </c>
      <c r="N628" s="6">
        <v>1</v>
      </c>
      <c r="O628" s="5">
        <v>91</v>
      </c>
      <c r="P628" s="5">
        <v>25</v>
      </c>
      <c r="Q628" s="5">
        <v>0</v>
      </c>
      <c r="R628" s="3">
        <f t="shared" si="146"/>
        <v>116</v>
      </c>
      <c r="S628" s="3">
        <f t="shared" si="149"/>
        <v>3.64</v>
      </c>
      <c r="T628" s="3">
        <f t="shared" si="150"/>
        <v>4.6749999999999998</v>
      </c>
      <c r="U628" s="3">
        <f t="shared" si="151"/>
        <v>1.4545454545454546</v>
      </c>
      <c r="V628" s="5">
        <v>1</v>
      </c>
      <c r="W628" s="5" t="s">
        <v>52</v>
      </c>
      <c r="X628" s="5" t="s">
        <v>46</v>
      </c>
      <c r="Y628" s="29" t="s">
        <v>246</v>
      </c>
      <c r="Z628" s="4">
        <v>44872</v>
      </c>
      <c r="AB628" s="5" t="str">
        <f t="shared" si="152"/>
        <v>Poly</v>
      </c>
      <c r="AC628" s="5">
        <v>100</v>
      </c>
      <c r="AD628" s="59">
        <v>0.02</v>
      </c>
      <c r="AE628" s="29">
        <v>1</v>
      </c>
      <c r="AF628" s="29" t="s">
        <v>104</v>
      </c>
      <c r="AG628" s="29" t="s">
        <v>102</v>
      </c>
      <c r="AJ628"/>
    </row>
    <row r="629" spans="1:38" ht="15" customHeight="1" x14ac:dyDescent="0.35">
      <c r="A629" s="4">
        <v>44873</v>
      </c>
      <c r="B629" s="5">
        <v>11</v>
      </c>
      <c r="C629" s="5" t="s">
        <v>211</v>
      </c>
      <c r="D629" s="5" t="s">
        <v>165</v>
      </c>
      <c r="E629" s="5"/>
      <c r="F629" s="5">
        <v>1050</v>
      </c>
      <c r="G629" s="5">
        <v>100</v>
      </c>
      <c r="H629" s="5"/>
      <c r="I629" s="5">
        <v>12</v>
      </c>
      <c r="J629" s="69"/>
      <c r="K629" s="6">
        <v>4.5999999999999996</v>
      </c>
      <c r="L629" s="69"/>
      <c r="M629" s="5" t="s">
        <v>16</v>
      </c>
      <c r="N629" s="6">
        <v>1</v>
      </c>
      <c r="O629" s="5">
        <v>120</v>
      </c>
      <c r="P629" s="5">
        <v>15.2</v>
      </c>
      <c r="Q629" s="5">
        <v>20</v>
      </c>
      <c r="R629" s="3">
        <f t="shared" si="146"/>
        <v>155.19999999999999</v>
      </c>
      <c r="S629" s="59">
        <f t="shared" si="149"/>
        <v>7.8947368421052637</v>
      </c>
      <c r="T629" s="59">
        <v>17.5</v>
      </c>
      <c r="U629" s="59">
        <v>4.1100000000000003</v>
      </c>
      <c r="V629" s="5">
        <v>10</v>
      </c>
      <c r="W629" s="5" t="s">
        <v>52</v>
      </c>
      <c r="X629" s="5" t="s">
        <v>45</v>
      </c>
      <c r="Y629" s="29" t="s">
        <v>168</v>
      </c>
      <c r="Z629" s="4"/>
      <c r="AB629" s="5" t="str">
        <f t="shared" si="152"/>
        <v>Single</v>
      </c>
      <c r="AC629" s="5">
        <v>100</v>
      </c>
      <c r="AD629" s="59">
        <v>0.03</v>
      </c>
      <c r="AE629" s="29">
        <v>1</v>
      </c>
      <c r="AF629" s="29" t="s">
        <v>104</v>
      </c>
      <c r="AG629" s="29" t="s">
        <v>102</v>
      </c>
      <c r="AJ629"/>
    </row>
    <row r="630" spans="1:38" ht="15" customHeight="1" x14ac:dyDescent="0.35">
      <c r="A630" s="4"/>
      <c r="B630" s="5"/>
      <c r="C630" s="5"/>
      <c r="D630" s="5"/>
      <c r="E630" s="5"/>
      <c r="F630" s="5"/>
      <c r="G630" s="5"/>
      <c r="H630" s="5"/>
      <c r="I630" s="5"/>
      <c r="J630" s="67"/>
      <c r="K630" s="6"/>
      <c r="L630" s="67"/>
      <c r="M630" s="5"/>
      <c r="N630" s="5"/>
      <c r="O630" s="5"/>
      <c r="P630" s="5"/>
      <c r="Q630" s="5"/>
      <c r="R630" s="3"/>
      <c r="S630" s="3"/>
      <c r="T630" s="3"/>
      <c r="U630" s="3"/>
      <c r="V630" s="5"/>
      <c r="Z630" s="4"/>
      <c r="AB630" s="5"/>
      <c r="AC630" s="5"/>
      <c r="AD630" s="59"/>
      <c r="AF630" s="29"/>
      <c r="AG630" s="29"/>
      <c r="AJ630"/>
    </row>
    <row r="631" spans="1:38" ht="15" customHeight="1" x14ac:dyDescent="0.35">
      <c r="A631" s="4">
        <v>44874</v>
      </c>
      <c r="B631" s="5">
        <v>12</v>
      </c>
      <c r="C631" s="5" t="s">
        <v>211</v>
      </c>
      <c r="D631" s="5" t="s">
        <v>42</v>
      </c>
      <c r="E631" s="5"/>
      <c r="F631" s="5">
        <v>1050</v>
      </c>
      <c r="G631" s="5">
        <v>200</v>
      </c>
      <c r="H631" s="5"/>
      <c r="I631" s="5">
        <v>12</v>
      </c>
      <c r="J631" s="69"/>
      <c r="K631" s="6">
        <v>3.06</v>
      </c>
      <c r="L631" s="69"/>
      <c r="M631" s="5" t="s">
        <v>16</v>
      </c>
      <c r="N631" s="6">
        <v>1</v>
      </c>
      <c r="O631" s="5">
        <v>120</v>
      </c>
      <c r="P631" s="5">
        <v>15.2</v>
      </c>
      <c r="Q631" s="5">
        <v>20</v>
      </c>
      <c r="R631" s="3">
        <f t="shared" ref="R631:R639" si="153">O631+P631+Q631</f>
        <v>155.19999999999999</v>
      </c>
      <c r="S631" s="59">
        <f t="shared" ref="S631:S638" si="154">O631/P631</f>
        <v>7.8947368421052637</v>
      </c>
      <c r="T631" s="59">
        <v>17.5</v>
      </c>
      <c r="U631" s="59">
        <v>4.1100000000000003</v>
      </c>
      <c r="V631" s="5">
        <v>1</v>
      </c>
      <c r="W631" s="5" t="s">
        <v>52</v>
      </c>
      <c r="X631" s="5" t="s">
        <v>45</v>
      </c>
      <c r="Z631" s="4">
        <v>44872</v>
      </c>
      <c r="AB631" s="5" t="str">
        <f t="shared" ref="AB631:AB638" si="155">IF(X631="20um Schlenk", "Single", "Poly")</f>
        <v>Single</v>
      </c>
      <c r="AC631" s="5">
        <v>100</v>
      </c>
      <c r="AD631" s="59">
        <v>0.04</v>
      </c>
      <c r="AE631" s="29">
        <v>0</v>
      </c>
      <c r="AF631" s="29" t="s">
        <v>104</v>
      </c>
      <c r="AG631" s="29" t="s">
        <v>104</v>
      </c>
      <c r="AJ631"/>
    </row>
    <row r="632" spans="1:38" ht="15" customHeight="1" x14ac:dyDescent="0.35">
      <c r="A632" s="4">
        <v>44874</v>
      </c>
      <c r="B632" s="5">
        <v>12</v>
      </c>
      <c r="C632" s="5" t="s">
        <v>211</v>
      </c>
      <c r="D632" s="5" t="s">
        <v>42</v>
      </c>
      <c r="E632" s="5"/>
      <c r="F632" s="5">
        <v>1050</v>
      </c>
      <c r="G632" s="5">
        <v>200</v>
      </c>
      <c r="H632" s="5"/>
      <c r="I632" s="5">
        <v>12</v>
      </c>
      <c r="J632" s="69"/>
      <c r="K632" s="6">
        <v>3.06</v>
      </c>
      <c r="L632" s="69"/>
      <c r="M632" s="5" t="s">
        <v>16</v>
      </c>
      <c r="N632" s="6">
        <v>1</v>
      </c>
      <c r="O632" s="5">
        <v>120</v>
      </c>
      <c r="P632" s="5">
        <v>15.2</v>
      </c>
      <c r="Q632" s="5">
        <v>20</v>
      </c>
      <c r="R632" s="3">
        <f t="shared" si="153"/>
        <v>155.19999999999999</v>
      </c>
      <c r="S632" s="59">
        <f t="shared" si="154"/>
        <v>7.8947368421052637</v>
      </c>
      <c r="T632" s="59">
        <v>17.5</v>
      </c>
      <c r="U632" s="59">
        <v>4.1100000000000003</v>
      </c>
      <c r="V632" s="5">
        <v>1</v>
      </c>
      <c r="W632" s="5" t="s">
        <v>52</v>
      </c>
      <c r="X632" s="5" t="s">
        <v>45</v>
      </c>
      <c r="Y632" s="29" t="s">
        <v>168</v>
      </c>
      <c r="Z632" s="4"/>
      <c r="AB632" s="5" t="str">
        <f t="shared" si="155"/>
        <v>Single</v>
      </c>
      <c r="AC632" s="5">
        <v>100</v>
      </c>
      <c r="AD632" s="59">
        <v>0.03</v>
      </c>
      <c r="AE632" s="29">
        <v>0</v>
      </c>
      <c r="AF632" s="29" t="s">
        <v>104</v>
      </c>
      <c r="AG632" s="29" t="s">
        <v>104</v>
      </c>
      <c r="AJ632"/>
      <c r="AL632" t="s">
        <v>247</v>
      </c>
    </row>
    <row r="633" spans="1:38" ht="15" customHeight="1" x14ac:dyDescent="0.35">
      <c r="A633" s="4">
        <v>44874</v>
      </c>
      <c r="B633" s="5">
        <v>12</v>
      </c>
      <c r="C633" s="5" t="s">
        <v>211</v>
      </c>
      <c r="D633" s="5" t="s">
        <v>42</v>
      </c>
      <c r="E633" s="5"/>
      <c r="F633" s="5">
        <v>1050</v>
      </c>
      <c r="G633" s="5">
        <v>200</v>
      </c>
      <c r="H633" s="5"/>
      <c r="I633" s="5">
        <v>12</v>
      </c>
      <c r="J633" s="69"/>
      <c r="K633" s="6">
        <v>3.06</v>
      </c>
      <c r="L633" s="69"/>
      <c r="M633" s="5" t="s">
        <v>16</v>
      </c>
      <c r="N633" s="6">
        <v>1</v>
      </c>
      <c r="O633" s="5">
        <v>120</v>
      </c>
      <c r="P633" s="5">
        <v>15.2</v>
      </c>
      <c r="Q633" s="5">
        <v>20</v>
      </c>
      <c r="R633" s="3">
        <f t="shared" si="153"/>
        <v>155.19999999999999</v>
      </c>
      <c r="S633" s="59">
        <f t="shared" si="154"/>
        <v>7.8947368421052637</v>
      </c>
      <c r="T633" s="59">
        <v>17.5</v>
      </c>
      <c r="U633" s="59">
        <v>4.1100000000000003</v>
      </c>
      <c r="V633" s="5">
        <v>1</v>
      </c>
      <c r="W633" s="5" t="s">
        <v>169</v>
      </c>
      <c r="X633" s="5" t="s">
        <v>46</v>
      </c>
      <c r="Z633" s="4"/>
      <c r="AB633" s="5" t="str">
        <f t="shared" si="155"/>
        <v>Poly</v>
      </c>
      <c r="AC633" s="5">
        <v>100</v>
      </c>
      <c r="AD633" s="59">
        <v>0.03</v>
      </c>
      <c r="AE633" s="29">
        <v>5</v>
      </c>
      <c r="AF633" s="29" t="s">
        <v>104</v>
      </c>
      <c r="AG633" s="29" t="s">
        <v>102</v>
      </c>
      <c r="AJ633"/>
      <c r="AL633" t="s">
        <v>248</v>
      </c>
    </row>
    <row r="634" spans="1:38" ht="15" customHeight="1" x14ac:dyDescent="0.35">
      <c r="A634" s="4">
        <v>44874</v>
      </c>
      <c r="B634" s="5">
        <v>13</v>
      </c>
      <c r="C634" s="5" t="s">
        <v>249</v>
      </c>
      <c r="D634" s="5" t="s">
        <v>42</v>
      </c>
      <c r="E634" s="5"/>
      <c r="F634" s="5">
        <v>1050</v>
      </c>
      <c r="G634" s="5">
        <v>200</v>
      </c>
      <c r="H634" s="5"/>
      <c r="I634" s="5">
        <v>12</v>
      </c>
      <c r="J634" s="69"/>
      <c r="K634" s="6">
        <v>4.5999999999999996</v>
      </c>
      <c r="L634" s="69"/>
      <c r="M634" s="5" t="s">
        <v>16</v>
      </c>
      <c r="N634" s="6">
        <v>1</v>
      </c>
      <c r="O634" s="5">
        <v>120</v>
      </c>
      <c r="P634" s="5">
        <v>30</v>
      </c>
      <c r="Q634" s="5">
        <v>20</v>
      </c>
      <c r="R634" s="3">
        <f t="shared" si="153"/>
        <v>170</v>
      </c>
      <c r="S634" s="59">
        <f t="shared" si="154"/>
        <v>4</v>
      </c>
      <c r="T634" s="3">
        <f>31/8</f>
        <v>3.875</v>
      </c>
      <c r="U634" s="3">
        <f>55/30</f>
        <v>1.8333333333333333</v>
      </c>
      <c r="V634" s="5">
        <v>1</v>
      </c>
      <c r="W634" s="5" t="s">
        <v>169</v>
      </c>
      <c r="X634" s="5" t="s">
        <v>45</v>
      </c>
      <c r="Z634" s="4">
        <v>44872</v>
      </c>
      <c r="AB634" s="5" t="str">
        <f t="shared" si="155"/>
        <v>Single</v>
      </c>
      <c r="AC634" s="5">
        <v>100</v>
      </c>
      <c r="AD634" s="59">
        <v>0.03</v>
      </c>
      <c r="AE634" s="29">
        <v>0</v>
      </c>
      <c r="AF634" s="29" t="s">
        <v>104</v>
      </c>
      <c r="AG634" s="29" t="s">
        <v>104</v>
      </c>
      <c r="AJ634"/>
    </row>
    <row r="635" spans="1:38" ht="15" customHeight="1" x14ac:dyDescent="0.35">
      <c r="A635" s="4">
        <v>44874</v>
      </c>
      <c r="B635" s="5">
        <v>13</v>
      </c>
      <c r="C635" s="5" t="s">
        <v>249</v>
      </c>
      <c r="D635" s="5" t="s">
        <v>42</v>
      </c>
      <c r="E635" s="5"/>
      <c r="F635" s="5">
        <v>1050</v>
      </c>
      <c r="G635" s="5">
        <v>200</v>
      </c>
      <c r="H635" s="5"/>
      <c r="I635" s="5">
        <v>12</v>
      </c>
      <c r="J635" s="69"/>
      <c r="K635" s="6">
        <v>4.5999999999999996</v>
      </c>
      <c r="L635" s="69"/>
      <c r="M635" s="5" t="s">
        <v>16</v>
      </c>
      <c r="N635" s="6">
        <v>1</v>
      </c>
      <c r="O635" s="5">
        <v>120</v>
      </c>
      <c r="P635" s="5">
        <v>30</v>
      </c>
      <c r="Q635" s="5">
        <v>20</v>
      </c>
      <c r="R635" s="3">
        <f t="shared" si="153"/>
        <v>170</v>
      </c>
      <c r="S635" s="59">
        <f t="shared" si="154"/>
        <v>4</v>
      </c>
      <c r="T635" s="3">
        <f>31/8</f>
        <v>3.875</v>
      </c>
      <c r="U635" s="3">
        <f>55/30</f>
        <v>1.8333333333333333</v>
      </c>
      <c r="V635" s="5">
        <v>1</v>
      </c>
      <c r="W635" s="5" t="s">
        <v>169</v>
      </c>
      <c r="X635" s="5" t="s">
        <v>45</v>
      </c>
      <c r="Y635" s="29" t="s">
        <v>168</v>
      </c>
      <c r="Z635" s="4"/>
      <c r="AB635" s="5" t="str">
        <f t="shared" si="155"/>
        <v>Single</v>
      </c>
      <c r="AC635" s="5">
        <v>100</v>
      </c>
      <c r="AD635" s="59">
        <v>0.04</v>
      </c>
      <c r="AE635" s="29">
        <v>2</v>
      </c>
      <c r="AF635" s="29" t="s">
        <v>104</v>
      </c>
      <c r="AG635" s="29" t="s">
        <v>104</v>
      </c>
      <c r="AJ635"/>
    </row>
    <row r="636" spans="1:38" ht="15" customHeight="1" x14ac:dyDescent="0.35">
      <c r="A636" s="4">
        <v>44874</v>
      </c>
      <c r="B636" s="5">
        <v>13</v>
      </c>
      <c r="C636" s="5" t="s">
        <v>249</v>
      </c>
      <c r="D636" s="5" t="s">
        <v>42</v>
      </c>
      <c r="E636" s="5"/>
      <c r="F636" s="5">
        <v>1050</v>
      </c>
      <c r="G636" s="5">
        <v>200</v>
      </c>
      <c r="H636" s="5"/>
      <c r="I636" s="5">
        <v>12</v>
      </c>
      <c r="J636" s="69"/>
      <c r="K636" s="6">
        <v>4.5999999999999996</v>
      </c>
      <c r="L636" s="69"/>
      <c r="M636" s="5" t="s">
        <v>16</v>
      </c>
      <c r="N636" s="6">
        <v>1</v>
      </c>
      <c r="O636" s="5">
        <v>120</v>
      </c>
      <c r="P636" s="5">
        <v>30</v>
      </c>
      <c r="Q636" s="5">
        <v>20</v>
      </c>
      <c r="R636" s="3">
        <f t="shared" si="153"/>
        <v>170</v>
      </c>
      <c r="S636" s="59">
        <f t="shared" si="154"/>
        <v>4</v>
      </c>
      <c r="T636" s="3">
        <f>31/8</f>
        <v>3.875</v>
      </c>
      <c r="U636" s="3">
        <f>55/30</f>
        <v>1.8333333333333333</v>
      </c>
      <c r="V636" s="5">
        <v>1</v>
      </c>
      <c r="W636" s="5" t="s">
        <v>169</v>
      </c>
      <c r="X636" s="5" t="s">
        <v>46</v>
      </c>
      <c r="Z636" s="4">
        <v>44872</v>
      </c>
      <c r="AB636" s="5" t="str">
        <f t="shared" si="155"/>
        <v>Poly</v>
      </c>
      <c r="AC636" s="5">
        <v>100</v>
      </c>
      <c r="AD636" s="59">
        <v>0.05</v>
      </c>
      <c r="AE636" s="29">
        <v>3</v>
      </c>
      <c r="AF636" s="29" t="s">
        <v>104</v>
      </c>
      <c r="AG636" s="29" t="s">
        <v>102</v>
      </c>
      <c r="AJ636"/>
    </row>
    <row r="637" spans="1:38" ht="15" customHeight="1" x14ac:dyDescent="0.35">
      <c r="A637" s="4">
        <v>44874</v>
      </c>
      <c r="B637" s="5">
        <v>14</v>
      </c>
      <c r="C637" s="5" t="s">
        <v>211</v>
      </c>
      <c r="D637" s="5" t="s">
        <v>165</v>
      </c>
      <c r="E637" s="5"/>
      <c r="F637" s="5">
        <v>1050</v>
      </c>
      <c r="G637" s="5">
        <v>100</v>
      </c>
      <c r="H637" s="5"/>
      <c r="I637" s="5">
        <v>12</v>
      </c>
      <c r="J637" s="69"/>
      <c r="K637" s="6"/>
      <c r="L637" s="69"/>
      <c r="M637" s="5" t="s">
        <v>16</v>
      </c>
      <c r="N637" s="6">
        <v>1</v>
      </c>
      <c r="O637" s="5">
        <v>120</v>
      </c>
      <c r="P637" s="5">
        <v>15.2</v>
      </c>
      <c r="Q637" s="5">
        <v>20</v>
      </c>
      <c r="R637" s="3">
        <f t="shared" si="153"/>
        <v>155.19999999999999</v>
      </c>
      <c r="S637" s="59">
        <f t="shared" si="154"/>
        <v>7.8947368421052637</v>
      </c>
      <c r="T637" s="59">
        <v>17.5</v>
      </c>
      <c r="U637" s="59">
        <v>4.1100000000000003</v>
      </c>
      <c r="V637" s="5">
        <v>10</v>
      </c>
      <c r="W637" s="5" t="s">
        <v>52</v>
      </c>
      <c r="X637" s="5" t="s">
        <v>45</v>
      </c>
      <c r="Y637" s="29" t="s">
        <v>168</v>
      </c>
      <c r="Z637" s="4"/>
      <c r="AB637" s="5" t="str">
        <f t="shared" si="155"/>
        <v>Single</v>
      </c>
      <c r="AC637" s="5">
        <v>100</v>
      </c>
      <c r="AD637" s="59">
        <v>0.06</v>
      </c>
      <c r="AE637" s="29">
        <v>0</v>
      </c>
      <c r="AF637" s="29" t="s">
        <v>104</v>
      </c>
      <c r="AG637" s="29" t="s">
        <v>104</v>
      </c>
      <c r="AJ637"/>
      <c r="AL637" t="s">
        <v>250</v>
      </c>
    </row>
    <row r="638" spans="1:38" ht="15" customHeight="1" x14ac:dyDescent="0.35">
      <c r="A638" s="77">
        <v>44874</v>
      </c>
      <c r="B638" s="5">
        <v>15</v>
      </c>
      <c r="C638" s="5" t="s">
        <v>48</v>
      </c>
      <c r="D638" s="5" t="s">
        <v>165</v>
      </c>
      <c r="E638" s="5"/>
      <c r="F638" s="5">
        <v>1050</v>
      </c>
      <c r="G638" s="5">
        <v>200</v>
      </c>
      <c r="H638" s="5"/>
      <c r="I638" s="5">
        <v>12</v>
      </c>
      <c r="J638" s="69"/>
      <c r="K638" s="6">
        <v>5</v>
      </c>
      <c r="L638" s="69"/>
      <c r="M638" s="5" t="s">
        <v>16</v>
      </c>
      <c r="N638" s="6">
        <v>1</v>
      </c>
      <c r="O638" s="5">
        <v>84</v>
      </c>
      <c r="P638" s="5">
        <v>48</v>
      </c>
      <c r="Q638" s="5">
        <v>24</v>
      </c>
      <c r="R638" s="3">
        <f t="shared" si="153"/>
        <v>156</v>
      </c>
      <c r="S638" s="3">
        <f t="shared" si="154"/>
        <v>1.75</v>
      </c>
      <c r="T638" s="3">
        <f>16.8/18</f>
        <v>0.93333333333333335</v>
      </c>
      <c r="U638" s="3">
        <f>28.5/45</f>
        <v>0.6333333333333333</v>
      </c>
      <c r="V638" s="5">
        <v>10</v>
      </c>
      <c r="W638" s="5" t="s">
        <v>52</v>
      </c>
      <c r="X638" s="5" t="s">
        <v>45</v>
      </c>
      <c r="Z638" s="4">
        <v>44872</v>
      </c>
      <c r="AB638" s="5" t="str">
        <f t="shared" si="155"/>
        <v>Single</v>
      </c>
      <c r="AC638" s="5">
        <v>100</v>
      </c>
      <c r="AD638" s="59">
        <v>0.03</v>
      </c>
      <c r="AE638" s="29">
        <v>0</v>
      </c>
      <c r="AF638" s="29" t="s">
        <v>104</v>
      </c>
      <c r="AG638" s="29" t="s">
        <v>104</v>
      </c>
      <c r="AJ638"/>
    </row>
    <row r="639" spans="1:38" ht="15" customHeight="1" x14ac:dyDescent="0.35">
      <c r="A639" s="4">
        <v>44874</v>
      </c>
      <c r="B639" s="5">
        <v>16</v>
      </c>
      <c r="C639" s="5" t="s">
        <v>206</v>
      </c>
      <c r="D639" s="5" t="s">
        <v>165</v>
      </c>
      <c r="E639" s="5"/>
      <c r="F639" s="5">
        <v>1050</v>
      </c>
      <c r="G639" s="5">
        <v>200</v>
      </c>
      <c r="H639" s="5"/>
      <c r="I639" s="5">
        <v>12</v>
      </c>
      <c r="J639" s="67"/>
      <c r="K639" s="6">
        <v>4.5</v>
      </c>
      <c r="L639" s="67"/>
      <c r="M639" s="5" t="s">
        <v>16</v>
      </c>
      <c r="N639" s="6">
        <v>1</v>
      </c>
      <c r="O639" s="5">
        <v>132</v>
      </c>
      <c r="P639" s="5">
        <v>0</v>
      </c>
      <c r="Q639" s="5">
        <v>24</v>
      </c>
      <c r="R639" s="3">
        <f t="shared" si="153"/>
        <v>156</v>
      </c>
      <c r="S639" s="3" t="s">
        <v>193</v>
      </c>
      <c r="T639" s="3" t="s">
        <v>193</v>
      </c>
      <c r="U639" s="3" t="s">
        <v>193</v>
      </c>
      <c r="V639" s="5">
        <v>15</v>
      </c>
      <c r="W639" s="5" t="s">
        <v>52</v>
      </c>
      <c r="X639" s="5" t="s">
        <v>46</v>
      </c>
      <c r="Z639" s="4">
        <v>44872</v>
      </c>
      <c r="AB639" s="5"/>
      <c r="AC639" s="5"/>
      <c r="AD639" s="59"/>
      <c r="AF639" s="29"/>
      <c r="AG639" s="29"/>
      <c r="AJ639"/>
    </row>
    <row r="640" spans="1:38" ht="15" customHeight="1" x14ac:dyDescent="0.35">
      <c r="A640" s="4"/>
      <c r="B640" s="5"/>
      <c r="C640" s="5"/>
      <c r="D640" s="5"/>
      <c r="E640" s="5"/>
      <c r="F640" s="5"/>
      <c r="G640" s="5"/>
      <c r="H640" s="5"/>
      <c r="I640" s="5"/>
      <c r="J640" s="67"/>
      <c r="K640" s="6"/>
      <c r="L640" s="67"/>
      <c r="M640" s="5"/>
      <c r="N640" s="6"/>
      <c r="O640" s="5"/>
      <c r="P640" s="5"/>
      <c r="Q640" s="5"/>
      <c r="R640" s="3"/>
      <c r="S640" s="3"/>
      <c r="T640" s="3"/>
      <c r="U640" s="3"/>
      <c r="V640" s="5"/>
      <c r="W640" s="5"/>
      <c r="X640" s="5"/>
      <c r="Z640" s="4"/>
      <c r="AB640" s="5"/>
      <c r="AC640" s="5"/>
      <c r="AD640" s="59"/>
      <c r="AF640" s="29"/>
      <c r="AG640" s="29"/>
      <c r="AJ640"/>
    </row>
    <row r="641" spans="1:36" ht="15" customHeight="1" x14ac:dyDescent="0.35">
      <c r="A641" s="77">
        <v>44875</v>
      </c>
      <c r="B641" s="5">
        <v>17</v>
      </c>
      <c r="C641" s="5" t="s">
        <v>157</v>
      </c>
      <c r="D641" s="5" t="s">
        <v>165</v>
      </c>
      <c r="E641" s="5"/>
      <c r="F641" s="5">
        <v>1050</v>
      </c>
      <c r="G641" s="5">
        <v>100</v>
      </c>
      <c r="H641" s="5"/>
      <c r="I641" s="5">
        <v>12</v>
      </c>
      <c r="J641" s="67"/>
      <c r="K641" s="6">
        <v>2.48</v>
      </c>
      <c r="L641" s="67"/>
      <c r="M641" s="5" t="s">
        <v>16</v>
      </c>
      <c r="N641" s="6">
        <v>1</v>
      </c>
      <c r="O641" s="5">
        <v>91</v>
      </c>
      <c r="P641" s="5">
        <v>25</v>
      </c>
      <c r="Q641" s="5">
        <v>0</v>
      </c>
      <c r="R641" s="3">
        <f>O641+P641+Q641</f>
        <v>116</v>
      </c>
      <c r="S641" s="3">
        <f>O641/P641</f>
        <v>3.64</v>
      </c>
      <c r="T641" s="3">
        <f>18.7/4</f>
        <v>4.6749999999999998</v>
      </c>
      <c r="U641" s="3">
        <f>32/22</f>
        <v>1.4545454545454546</v>
      </c>
      <c r="V641" s="5">
        <v>5</v>
      </c>
      <c r="W641" s="5" t="s">
        <v>52</v>
      </c>
      <c r="X641" s="5" t="s">
        <v>46</v>
      </c>
      <c r="Y641" s="29" t="s">
        <v>185</v>
      </c>
      <c r="Z641" s="4">
        <v>44872</v>
      </c>
      <c r="AB641" s="5" t="str">
        <f>IF(X641="20um Schlenk", "Single", "Poly")</f>
        <v>Poly</v>
      </c>
      <c r="AC641" s="5">
        <v>100</v>
      </c>
      <c r="AD641" s="59">
        <v>0.03</v>
      </c>
      <c r="AE641" s="29">
        <v>1</v>
      </c>
      <c r="AF641" s="29" t="s">
        <v>104</v>
      </c>
      <c r="AG641" s="29" t="s">
        <v>102</v>
      </c>
      <c r="AJ641"/>
    </row>
    <row r="642" spans="1:36" ht="15" customHeight="1" x14ac:dyDescent="0.35">
      <c r="A642" s="77">
        <v>44875</v>
      </c>
      <c r="B642" s="5">
        <v>18</v>
      </c>
      <c r="C642" s="5" t="s">
        <v>157</v>
      </c>
      <c r="D642" s="5" t="s">
        <v>165</v>
      </c>
      <c r="E642" s="5"/>
      <c r="F642" s="5">
        <v>1050</v>
      </c>
      <c r="G642" s="5">
        <v>100</v>
      </c>
      <c r="H642" s="5"/>
      <c r="I642" s="5">
        <v>12</v>
      </c>
      <c r="J642" s="67"/>
      <c r="K642" s="6">
        <v>2.48</v>
      </c>
      <c r="L642" s="67"/>
      <c r="M642" s="5" t="s">
        <v>16</v>
      </c>
      <c r="N642" s="6">
        <v>1</v>
      </c>
      <c r="O642" s="5">
        <v>91</v>
      </c>
      <c r="P642" s="5">
        <v>25</v>
      </c>
      <c r="Q642" s="5">
        <v>0</v>
      </c>
      <c r="R642" s="3">
        <f>O642+P642+Q642</f>
        <v>116</v>
      </c>
      <c r="S642" s="3">
        <f>O642/P642</f>
        <v>3.64</v>
      </c>
      <c r="T642" s="3">
        <f>18.7/4</f>
        <v>4.6749999999999998</v>
      </c>
      <c r="U642" s="3">
        <f>32/22</f>
        <v>1.4545454545454546</v>
      </c>
      <c r="V642" s="5">
        <v>10</v>
      </c>
      <c r="W642" s="5" t="s">
        <v>52</v>
      </c>
      <c r="X642" s="5" t="s">
        <v>46</v>
      </c>
      <c r="Y642" s="29" t="s">
        <v>185</v>
      </c>
      <c r="Z642" s="4">
        <v>44872</v>
      </c>
      <c r="AB642" s="5" t="str">
        <f>IF(X642="20um Schlenk", "Single", "Poly")</f>
        <v>Poly</v>
      </c>
      <c r="AC642" s="5">
        <v>100</v>
      </c>
      <c r="AD642" s="59"/>
      <c r="AE642" s="29">
        <v>1</v>
      </c>
      <c r="AF642" s="29" t="s">
        <v>104</v>
      </c>
      <c r="AG642" s="29" t="s">
        <v>102</v>
      </c>
      <c r="AJ642"/>
    </row>
    <row r="643" spans="1:36" ht="15" customHeight="1" x14ac:dyDescent="0.35">
      <c r="A643" s="77">
        <v>44875</v>
      </c>
      <c r="B643" s="5">
        <v>19</v>
      </c>
      <c r="C643" s="5" t="s">
        <v>211</v>
      </c>
      <c r="D643" s="5" t="s">
        <v>144</v>
      </c>
      <c r="E643" s="5"/>
      <c r="F643" s="5">
        <v>1030</v>
      </c>
      <c r="G643" s="5">
        <v>100</v>
      </c>
      <c r="H643" s="5"/>
      <c r="I643" s="5">
        <v>12</v>
      </c>
      <c r="J643" s="69"/>
      <c r="K643" s="6">
        <v>3.77</v>
      </c>
      <c r="L643" s="69"/>
      <c r="M643" s="5" t="s">
        <v>16</v>
      </c>
      <c r="N643" s="6">
        <v>1</v>
      </c>
      <c r="O643" s="5">
        <v>120</v>
      </c>
      <c r="P643" s="5">
        <v>15.2</v>
      </c>
      <c r="Q643" s="5">
        <v>20</v>
      </c>
      <c r="R643" s="3">
        <f>O643+P643+Q643</f>
        <v>155.19999999999999</v>
      </c>
      <c r="S643" s="59">
        <f>O643/P643</f>
        <v>7.8947368421052637</v>
      </c>
      <c r="T643" s="59">
        <v>17.5</v>
      </c>
      <c r="U643" s="59">
        <v>4.1100000000000003</v>
      </c>
      <c r="V643" s="5">
        <v>1</v>
      </c>
      <c r="W643" s="5" t="s">
        <v>122</v>
      </c>
      <c r="X643" s="5" t="s">
        <v>45</v>
      </c>
      <c r="Y643" s="29" t="s">
        <v>168</v>
      </c>
      <c r="Z643" s="4"/>
      <c r="AB643" s="5" t="str">
        <f>IF(X643="20um Schlenk", "Single", "Poly")</f>
        <v>Single</v>
      </c>
      <c r="AC643" s="5">
        <v>100</v>
      </c>
      <c r="AD643" s="59">
        <v>0.03</v>
      </c>
      <c r="AE643" s="29">
        <v>1</v>
      </c>
      <c r="AF643" s="29" t="s">
        <v>104</v>
      </c>
      <c r="AG643" s="29" t="s">
        <v>104</v>
      </c>
      <c r="AJ643"/>
    </row>
    <row r="644" spans="1:36" ht="15" customHeight="1" x14ac:dyDescent="0.35">
      <c r="A644" s="77">
        <v>44875</v>
      </c>
      <c r="B644" s="5">
        <v>20</v>
      </c>
      <c r="C644" s="5" t="s">
        <v>211</v>
      </c>
      <c r="D644" s="5" t="s">
        <v>144</v>
      </c>
      <c r="E644" s="5"/>
      <c r="F644" s="5">
        <v>1050</v>
      </c>
      <c r="G644" s="5">
        <v>100</v>
      </c>
      <c r="H644" s="5"/>
      <c r="I644" s="5">
        <v>12</v>
      </c>
      <c r="J644" s="69"/>
      <c r="K644" s="6">
        <v>5.48</v>
      </c>
      <c r="L644" s="69"/>
      <c r="M644" s="5" t="s">
        <v>16</v>
      </c>
      <c r="N644" s="6">
        <v>1</v>
      </c>
      <c r="O644" s="5">
        <v>120</v>
      </c>
      <c r="P644" s="5">
        <v>15.2</v>
      </c>
      <c r="Q644" s="5">
        <v>20</v>
      </c>
      <c r="R644" s="3">
        <f>O644+P644+Q644</f>
        <v>155.19999999999999</v>
      </c>
      <c r="S644" s="59">
        <f>O644/P644</f>
        <v>7.8947368421052637</v>
      </c>
      <c r="T644" s="59">
        <v>17.5</v>
      </c>
      <c r="U644" s="59">
        <v>4.1100000000000003</v>
      </c>
      <c r="V644" s="5">
        <v>1</v>
      </c>
      <c r="W644" s="5" t="s">
        <v>122</v>
      </c>
      <c r="X644" s="5" t="s">
        <v>45</v>
      </c>
      <c r="Y644" s="29" t="s">
        <v>168</v>
      </c>
      <c r="Z644" s="4"/>
      <c r="AB644" s="5" t="str">
        <f>IF(X644="20um Schlenk", "Single", "Poly")</f>
        <v>Single</v>
      </c>
      <c r="AC644" s="5">
        <v>100</v>
      </c>
      <c r="AD644" s="59">
        <v>0.04</v>
      </c>
      <c r="AE644" s="29">
        <v>1</v>
      </c>
      <c r="AF644" s="29" t="s">
        <v>104</v>
      </c>
      <c r="AG644" s="29" t="s">
        <v>102</v>
      </c>
      <c r="AJ644"/>
    </row>
    <row r="645" spans="1:36" ht="15" customHeight="1" thickBot="1" x14ac:dyDescent="0.4">
      <c r="B645" s="5"/>
      <c r="C645" s="5"/>
      <c r="D645"/>
      <c r="E645"/>
      <c r="F645" s="5"/>
      <c r="G645" s="5"/>
      <c r="H645"/>
      <c r="J645"/>
      <c r="K645" s="6"/>
      <c r="L645"/>
      <c r="M645" s="5"/>
      <c r="R645" s="3"/>
      <c r="T645" s="3"/>
      <c r="W645" s="5"/>
      <c r="X645" s="5"/>
      <c r="Z645" s="4"/>
      <c r="AB645" s="5"/>
      <c r="AC645" s="5"/>
      <c r="AD645" s="59"/>
      <c r="AF645" s="29"/>
      <c r="AG645" s="29"/>
      <c r="AJ645"/>
    </row>
    <row r="646" spans="1:36" s="30" customFormat="1" ht="15" customHeight="1" thickBot="1" x14ac:dyDescent="0.4">
      <c r="A646" s="101"/>
      <c r="B646" s="34"/>
      <c r="C646" s="34"/>
      <c r="F646" s="34"/>
      <c r="G646" s="34"/>
      <c r="H646" s="34"/>
      <c r="I646" s="34"/>
      <c r="J646" s="68"/>
      <c r="K646" s="31"/>
      <c r="L646" s="68"/>
      <c r="M646" s="34"/>
      <c r="N646" s="34"/>
      <c r="O646" s="34"/>
      <c r="P646" s="34"/>
      <c r="Q646" s="34"/>
      <c r="R646" s="37"/>
      <c r="S646" s="37"/>
      <c r="T646" s="37"/>
      <c r="U646" s="37"/>
      <c r="V646" s="34"/>
      <c r="W646" s="39"/>
      <c r="X646" s="34"/>
      <c r="Y646" s="39"/>
      <c r="Z646" s="82"/>
      <c r="AB646" s="34"/>
      <c r="AC646" s="34"/>
      <c r="AD646" s="60"/>
      <c r="AE646" s="39"/>
      <c r="AF646" s="39"/>
      <c r="AG646" s="39"/>
    </row>
    <row r="647" spans="1:36" ht="15" customHeight="1" x14ac:dyDescent="0.35">
      <c r="B647" s="5"/>
      <c r="C647" s="5"/>
      <c r="D647"/>
      <c r="E647" s="5"/>
      <c r="F647" s="5"/>
      <c r="G647" s="5"/>
      <c r="H647" s="5"/>
      <c r="I647" s="5"/>
      <c r="J647" s="69"/>
      <c r="K647" s="6"/>
      <c r="L647" s="69"/>
      <c r="M647" s="5"/>
      <c r="N647" s="6"/>
      <c r="O647" s="5"/>
      <c r="P647" s="5"/>
      <c r="Q647" s="5"/>
      <c r="R647" s="3"/>
      <c r="S647" s="3"/>
      <c r="T647" s="3"/>
      <c r="U647" s="3"/>
      <c r="V647" s="5"/>
      <c r="X647" s="5"/>
      <c r="Z647" s="4"/>
      <c r="AB647" s="5"/>
      <c r="AC647" s="5"/>
      <c r="AD647" s="59"/>
      <c r="AF647" s="29"/>
      <c r="AG647" s="29"/>
      <c r="AJ647"/>
    </row>
    <row r="648" spans="1:36" ht="15" customHeight="1" x14ac:dyDescent="0.35">
      <c r="A648" s="77">
        <v>44956</v>
      </c>
      <c r="B648" s="5">
        <v>1</v>
      </c>
      <c r="C648" s="5" t="s">
        <v>211</v>
      </c>
      <c r="D648" s="5" t="s">
        <v>42</v>
      </c>
      <c r="E648" s="5"/>
      <c r="F648" s="5">
        <v>1050</v>
      </c>
      <c r="G648" s="5">
        <v>200</v>
      </c>
      <c r="H648" s="5"/>
      <c r="I648" s="5">
        <v>10</v>
      </c>
      <c r="J648" s="69"/>
      <c r="K648" s="6"/>
      <c r="L648" s="69"/>
      <c r="M648" s="5" t="s">
        <v>16</v>
      </c>
      <c r="N648" s="6">
        <v>1</v>
      </c>
      <c r="O648" s="5">
        <v>84</v>
      </c>
      <c r="P648" s="5">
        <v>48</v>
      </c>
      <c r="Q648" s="5">
        <v>24</v>
      </c>
      <c r="R648" s="3">
        <f t="shared" ref="R648:R654" si="156">O648+P648+Q648</f>
        <v>156</v>
      </c>
      <c r="S648" s="3">
        <f t="shared" ref="S648:S649" si="157">O648/P648</f>
        <v>1.75</v>
      </c>
      <c r="T648" s="3">
        <f t="shared" ref="T648:T649" si="158">16.8/18</f>
        <v>0.93333333333333335</v>
      </c>
      <c r="U648" s="3">
        <f t="shared" ref="U648:U649" si="159">28.5/45</f>
        <v>0.6333333333333333</v>
      </c>
      <c r="V648" s="5">
        <v>1</v>
      </c>
      <c r="W648" s="5" t="s">
        <v>52</v>
      </c>
      <c r="X648" s="5" t="s">
        <v>45</v>
      </c>
      <c r="Z648" s="4">
        <v>44953</v>
      </c>
      <c r="AB648" s="5" t="str">
        <f t="shared" ref="AB648:AB666" si="160">IF(X648="20um Schlenk", "Single", "Poly")</f>
        <v>Single</v>
      </c>
      <c r="AC648" s="5">
        <v>100</v>
      </c>
      <c r="AD648" s="59">
        <v>0.02</v>
      </c>
      <c r="AE648" s="29">
        <v>0.25</v>
      </c>
      <c r="AF648" s="29" t="s">
        <v>104</v>
      </c>
      <c r="AG648" s="29" t="s">
        <v>104</v>
      </c>
      <c r="AJ648"/>
    </row>
    <row r="649" spans="1:36" ht="15" customHeight="1" x14ac:dyDescent="0.35">
      <c r="A649" s="77">
        <v>44956</v>
      </c>
      <c r="B649" s="5">
        <v>1</v>
      </c>
      <c r="C649" s="5" t="s">
        <v>211</v>
      </c>
      <c r="D649" s="5" t="s">
        <v>42</v>
      </c>
      <c r="E649" s="5"/>
      <c r="F649" s="5">
        <v>1050</v>
      </c>
      <c r="G649" s="5">
        <v>200</v>
      </c>
      <c r="H649" s="5"/>
      <c r="I649" s="5">
        <v>10</v>
      </c>
      <c r="J649" s="69"/>
      <c r="K649" s="6"/>
      <c r="L649" s="69"/>
      <c r="M649" s="5" t="s">
        <v>16</v>
      </c>
      <c r="N649" s="6">
        <v>1</v>
      </c>
      <c r="O649" s="5">
        <v>84</v>
      </c>
      <c r="P649" s="5">
        <v>48</v>
      </c>
      <c r="Q649" s="5">
        <v>24</v>
      </c>
      <c r="R649" s="3">
        <f t="shared" si="156"/>
        <v>156</v>
      </c>
      <c r="S649" s="3">
        <f t="shared" si="157"/>
        <v>1.75</v>
      </c>
      <c r="T649" s="3">
        <f t="shared" si="158"/>
        <v>0.93333333333333335</v>
      </c>
      <c r="U649" s="3">
        <f t="shared" si="159"/>
        <v>0.6333333333333333</v>
      </c>
      <c r="V649" s="5">
        <v>1</v>
      </c>
      <c r="W649" s="5" t="s">
        <v>52</v>
      </c>
      <c r="X649" s="5" t="s">
        <v>46</v>
      </c>
      <c r="Z649" s="4">
        <v>44953</v>
      </c>
      <c r="AA649" s="5"/>
      <c r="AB649" s="5" t="str">
        <f t="shared" si="160"/>
        <v>Poly</v>
      </c>
      <c r="AC649" s="5">
        <v>100</v>
      </c>
      <c r="AD649" s="29">
        <v>0.01</v>
      </c>
      <c r="AE649" s="29">
        <v>0</v>
      </c>
      <c r="AF649" s="29" t="s">
        <v>102</v>
      </c>
      <c r="AG649" s="29" t="s">
        <v>102</v>
      </c>
      <c r="AJ649"/>
    </row>
    <row r="650" spans="1:36" ht="15" customHeight="1" x14ac:dyDescent="0.35">
      <c r="A650" s="4">
        <v>44956</v>
      </c>
      <c r="B650" s="5">
        <v>2</v>
      </c>
      <c r="C650" s="5" t="s">
        <v>251</v>
      </c>
      <c r="D650" s="5" t="s">
        <v>165</v>
      </c>
      <c r="E650" s="5"/>
      <c r="F650" s="5">
        <v>1050</v>
      </c>
      <c r="G650" s="5">
        <v>200</v>
      </c>
      <c r="H650" s="5"/>
      <c r="I650" s="5">
        <v>10</v>
      </c>
      <c r="J650" s="67"/>
      <c r="K650" s="6"/>
      <c r="L650" s="67"/>
      <c r="M650" s="5" t="s">
        <v>16</v>
      </c>
      <c r="N650" s="6">
        <v>1</v>
      </c>
      <c r="O650" s="5">
        <v>132</v>
      </c>
      <c r="P650" s="5">
        <v>0</v>
      </c>
      <c r="Q650" s="5">
        <v>24</v>
      </c>
      <c r="R650" s="3">
        <f t="shared" si="156"/>
        <v>156</v>
      </c>
      <c r="S650" s="3" t="s">
        <v>193</v>
      </c>
      <c r="T650" s="3" t="s">
        <v>193</v>
      </c>
      <c r="U650" s="3" t="s">
        <v>193</v>
      </c>
      <c r="V650" s="5">
        <v>18</v>
      </c>
      <c r="W650" s="5" t="s">
        <v>52</v>
      </c>
      <c r="X650" s="5" t="s">
        <v>46</v>
      </c>
      <c r="Z650" s="4">
        <v>44953</v>
      </c>
      <c r="AB650" s="5"/>
      <c r="AC650" s="5"/>
      <c r="AD650" s="3"/>
      <c r="AF650" s="29"/>
      <c r="AG650" s="29"/>
      <c r="AJ650"/>
    </row>
    <row r="651" spans="1:36" ht="15" customHeight="1" x14ac:dyDescent="0.35">
      <c r="A651" s="4">
        <v>44956</v>
      </c>
      <c r="B651" s="5">
        <v>2</v>
      </c>
      <c r="C651" s="5" t="s">
        <v>251</v>
      </c>
      <c r="D651" s="5" t="s">
        <v>165</v>
      </c>
      <c r="E651" s="5"/>
      <c r="F651" s="5">
        <v>1050</v>
      </c>
      <c r="G651" s="5">
        <v>200</v>
      </c>
      <c r="H651" s="5"/>
      <c r="I651" s="5">
        <v>10</v>
      </c>
      <c r="J651" s="67"/>
      <c r="K651" s="6"/>
      <c r="L651" s="67"/>
      <c r="M651" s="5" t="s">
        <v>16</v>
      </c>
      <c r="N651" s="6">
        <v>1</v>
      </c>
      <c r="O651" s="5">
        <v>132</v>
      </c>
      <c r="P651" s="5">
        <v>0</v>
      </c>
      <c r="Q651" s="5">
        <v>24</v>
      </c>
      <c r="R651" s="3">
        <f t="shared" si="156"/>
        <v>156</v>
      </c>
      <c r="S651" s="3" t="s">
        <v>193</v>
      </c>
      <c r="T651" s="3" t="s">
        <v>193</v>
      </c>
      <c r="U651" s="3" t="s">
        <v>193</v>
      </c>
      <c r="V651" s="5">
        <v>3</v>
      </c>
      <c r="W651" s="5" t="s">
        <v>52</v>
      </c>
      <c r="X651" s="5" t="s">
        <v>46</v>
      </c>
      <c r="Y651" s="29" t="s">
        <v>168</v>
      </c>
      <c r="Z651" s="4"/>
      <c r="AB651" s="5"/>
      <c r="AC651" s="5"/>
      <c r="AD651" s="3"/>
      <c r="AF651" s="29"/>
      <c r="AG651" s="29"/>
      <c r="AJ651"/>
    </row>
    <row r="652" spans="1:36" ht="15" customHeight="1" x14ac:dyDescent="0.35">
      <c r="A652" s="4">
        <v>44956</v>
      </c>
      <c r="B652" s="5">
        <v>3</v>
      </c>
      <c r="C652" s="5" t="s">
        <v>157</v>
      </c>
      <c r="D652" s="5" t="s">
        <v>42</v>
      </c>
      <c r="E652" s="5"/>
      <c r="F652" s="5">
        <v>1050</v>
      </c>
      <c r="G652" s="5">
        <v>100</v>
      </c>
      <c r="H652" s="5"/>
      <c r="I652" s="5">
        <v>10</v>
      </c>
      <c r="J652" s="67"/>
      <c r="K652" s="6"/>
      <c r="L652" s="67"/>
      <c r="M652" s="5" t="s">
        <v>16</v>
      </c>
      <c r="N652" s="6">
        <v>1</v>
      </c>
      <c r="O652" s="5">
        <v>91</v>
      </c>
      <c r="P652" s="5">
        <v>25</v>
      </c>
      <c r="Q652" s="5">
        <v>0</v>
      </c>
      <c r="R652" s="3">
        <f t="shared" si="156"/>
        <v>116</v>
      </c>
      <c r="S652" s="3">
        <f>O652/P652</f>
        <v>3.64</v>
      </c>
      <c r="T652" s="3">
        <f t="shared" ref="T652:T656" si="161">18.7/4</f>
        <v>4.6749999999999998</v>
      </c>
      <c r="U652" s="3">
        <f t="shared" ref="U652:U656" si="162">32/22</f>
        <v>1.4545454545454546</v>
      </c>
      <c r="V652" s="5">
        <v>1</v>
      </c>
      <c r="W652" s="5" t="s">
        <v>52</v>
      </c>
      <c r="X652" s="5" t="s">
        <v>46</v>
      </c>
      <c r="Y652" s="5" t="s">
        <v>185</v>
      </c>
      <c r="Z652" s="4">
        <v>44953</v>
      </c>
      <c r="AB652" s="5" t="str">
        <f t="shared" si="160"/>
        <v>Poly</v>
      </c>
      <c r="AC652" s="5">
        <v>100</v>
      </c>
      <c r="AD652" s="3">
        <v>0.01</v>
      </c>
      <c r="AE652" s="29">
        <v>0</v>
      </c>
      <c r="AF652" s="29" t="s">
        <v>104</v>
      </c>
      <c r="AG652" s="29" t="s">
        <v>102</v>
      </c>
      <c r="AJ652"/>
    </row>
    <row r="653" spans="1:36" ht="15" customHeight="1" x14ac:dyDescent="0.35">
      <c r="A653" s="4">
        <v>44956</v>
      </c>
      <c r="B653" s="5">
        <v>3</v>
      </c>
      <c r="C653" s="5" t="s">
        <v>157</v>
      </c>
      <c r="D653" s="5" t="s">
        <v>42</v>
      </c>
      <c r="E653" s="5"/>
      <c r="F653" s="5">
        <v>1050</v>
      </c>
      <c r="G653" s="5">
        <v>100</v>
      </c>
      <c r="H653" s="5"/>
      <c r="I653" s="5">
        <v>10</v>
      </c>
      <c r="J653" s="67"/>
      <c r="K653" s="6"/>
      <c r="L653" s="67"/>
      <c r="M653" s="5" t="s">
        <v>16</v>
      </c>
      <c r="N653" s="6">
        <v>1</v>
      </c>
      <c r="O653" s="5">
        <v>91</v>
      </c>
      <c r="P653" s="5">
        <v>25</v>
      </c>
      <c r="Q653" s="5">
        <v>0</v>
      </c>
      <c r="R653" s="3">
        <f t="shared" si="156"/>
        <v>116</v>
      </c>
      <c r="S653" s="3">
        <f>O653/P653</f>
        <v>3.64</v>
      </c>
      <c r="T653" s="3">
        <f t="shared" si="161"/>
        <v>4.6749999999999998</v>
      </c>
      <c r="U653" s="3">
        <f t="shared" si="162"/>
        <v>1.4545454545454546</v>
      </c>
      <c r="V653" s="5">
        <v>1</v>
      </c>
      <c r="W653" s="5" t="s">
        <v>52</v>
      </c>
      <c r="X653" s="5" t="s">
        <v>46</v>
      </c>
      <c r="Y653" s="5" t="s">
        <v>232</v>
      </c>
      <c r="Z653" s="4"/>
      <c r="AB653" s="5" t="str">
        <f t="shared" si="160"/>
        <v>Poly</v>
      </c>
      <c r="AC653" s="5">
        <v>100</v>
      </c>
      <c r="AD653" s="3">
        <v>0.05</v>
      </c>
      <c r="AE653" s="29">
        <v>25</v>
      </c>
      <c r="AF653" s="29" t="s">
        <v>104</v>
      </c>
      <c r="AG653" s="29" t="s">
        <v>104</v>
      </c>
      <c r="AJ653"/>
    </row>
    <row r="654" spans="1:36" ht="15" customHeight="1" x14ac:dyDescent="0.35">
      <c r="A654" s="4">
        <v>44956</v>
      </c>
      <c r="B654" s="5">
        <v>4</v>
      </c>
      <c r="C654" s="5" t="s">
        <v>157</v>
      </c>
      <c r="D654" s="5" t="s">
        <v>165</v>
      </c>
      <c r="E654" s="5"/>
      <c r="F654" s="5">
        <v>1050</v>
      </c>
      <c r="G654" s="5">
        <v>100</v>
      </c>
      <c r="H654" s="5"/>
      <c r="I654" s="5">
        <v>10</v>
      </c>
      <c r="J654" s="67"/>
      <c r="K654" s="6"/>
      <c r="L654" s="67"/>
      <c r="M654" s="5" t="s">
        <v>16</v>
      </c>
      <c r="N654" s="6">
        <v>1</v>
      </c>
      <c r="O654" s="5">
        <v>91</v>
      </c>
      <c r="P654" s="5">
        <v>25</v>
      </c>
      <c r="Q654" s="5">
        <v>0</v>
      </c>
      <c r="R654" s="3">
        <f t="shared" si="156"/>
        <v>116</v>
      </c>
      <c r="S654" s="3">
        <f>O654/P654</f>
        <v>3.64</v>
      </c>
      <c r="T654" s="3">
        <f t="shared" si="161"/>
        <v>4.6749999999999998</v>
      </c>
      <c r="U654" s="3">
        <f t="shared" si="162"/>
        <v>1.4545454545454546</v>
      </c>
      <c r="V654" s="5">
        <v>10</v>
      </c>
      <c r="W654" s="5" t="s">
        <v>52</v>
      </c>
      <c r="X654" s="5" t="s">
        <v>46</v>
      </c>
      <c r="Y654" s="5" t="s">
        <v>185</v>
      </c>
      <c r="Z654" s="4">
        <v>44953</v>
      </c>
      <c r="AB654" s="5" t="str">
        <f t="shared" si="160"/>
        <v>Poly</v>
      </c>
      <c r="AC654" s="5">
        <v>100</v>
      </c>
      <c r="AD654" s="3">
        <f>AVERAGE(0.03,0.02)</f>
        <v>2.5000000000000001E-2</v>
      </c>
      <c r="AE654" s="29">
        <v>0</v>
      </c>
      <c r="AF654" s="29" t="s">
        <v>104</v>
      </c>
      <c r="AG654" s="29" t="s">
        <v>104</v>
      </c>
      <c r="AJ654"/>
    </row>
    <row r="655" spans="1:36" ht="15" customHeight="1" x14ac:dyDescent="0.35">
      <c r="B655" s="5"/>
      <c r="C655" s="5"/>
      <c r="D655"/>
      <c r="E655" s="5"/>
      <c r="F655" s="5"/>
      <c r="G655" s="5"/>
      <c r="H655" s="5"/>
      <c r="I655" s="5"/>
      <c r="J655" s="69"/>
      <c r="K655" s="6"/>
      <c r="L655" s="69"/>
      <c r="M655" s="5"/>
      <c r="N655" s="6"/>
      <c r="O655" s="5"/>
      <c r="P655" s="5"/>
      <c r="Q655" s="5"/>
      <c r="R655" s="3"/>
      <c r="S655" s="3"/>
      <c r="T655" s="3"/>
      <c r="U655" s="3"/>
      <c r="V655" s="5"/>
      <c r="W655" s="5"/>
      <c r="X655" s="5"/>
      <c r="Z655" s="4"/>
      <c r="AB655" s="5"/>
      <c r="AC655" s="5"/>
      <c r="AD655" s="59"/>
      <c r="AF655" s="29"/>
      <c r="AG655" s="29"/>
      <c r="AJ655"/>
    </row>
    <row r="656" spans="1:36" ht="15" customHeight="1" x14ac:dyDescent="0.35">
      <c r="A656" s="77">
        <v>44957</v>
      </c>
      <c r="B656" s="5">
        <v>5</v>
      </c>
      <c r="C656" s="5" t="s">
        <v>157</v>
      </c>
      <c r="D656" s="5" t="s">
        <v>42</v>
      </c>
      <c r="E656" s="5"/>
      <c r="F656" s="5">
        <v>1050</v>
      </c>
      <c r="G656" s="5">
        <v>100</v>
      </c>
      <c r="H656" s="5"/>
      <c r="I656" s="5">
        <v>10</v>
      </c>
      <c r="J656" s="67"/>
      <c r="K656" s="6"/>
      <c r="L656" s="67"/>
      <c r="M656" s="5" t="s">
        <v>16</v>
      </c>
      <c r="N656" s="6">
        <v>1</v>
      </c>
      <c r="O656" s="5">
        <v>91</v>
      </c>
      <c r="P656" s="5">
        <v>25</v>
      </c>
      <c r="Q656" s="5">
        <v>0</v>
      </c>
      <c r="R656" s="3">
        <f t="shared" ref="R656:R659" si="163">O656+P656+Q656</f>
        <v>116</v>
      </c>
      <c r="S656" s="3">
        <f>O656/P656</f>
        <v>3.64</v>
      </c>
      <c r="T656" s="3">
        <f t="shared" si="161"/>
        <v>4.6749999999999998</v>
      </c>
      <c r="U656" s="3">
        <f t="shared" si="162"/>
        <v>1.4545454545454546</v>
      </c>
      <c r="V656" s="5">
        <v>1</v>
      </c>
      <c r="W656" s="5" t="s">
        <v>52</v>
      </c>
      <c r="X656" s="5" t="s">
        <v>46</v>
      </c>
      <c r="Y656" s="5" t="s">
        <v>185</v>
      </c>
      <c r="Z656" s="4">
        <v>44957</v>
      </c>
      <c r="AB656" s="5" t="str">
        <f t="shared" si="160"/>
        <v>Poly</v>
      </c>
      <c r="AC656" s="5">
        <v>100</v>
      </c>
      <c r="AD656" s="3">
        <v>0.02</v>
      </c>
      <c r="AE656" s="29">
        <v>0</v>
      </c>
      <c r="AF656" s="29" t="s">
        <v>104</v>
      </c>
      <c r="AG656" s="29" t="s">
        <v>104</v>
      </c>
      <c r="AJ656"/>
    </row>
    <row r="657" spans="1:38" ht="15" customHeight="1" x14ac:dyDescent="0.35">
      <c r="A657" s="77">
        <v>44957</v>
      </c>
      <c r="B657" s="5">
        <v>6</v>
      </c>
      <c r="C657" s="5" t="s">
        <v>211</v>
      </c>
      <c r="D657" s="5" t="s">
        <v>42</v>
      </c>
      <c r="E657" s="5"/>
      <c r="F657" s="5">
        <v>1050</v>
      </c>
      <c r="G657" s="5">
        <v>200</v>
      </c>
      <c r="H657" s="5"/>
      <c r="I657" s="5">
        <v>10</v>
      </c>
      <c r="J657" s="69"/>
      <c r="K657" s="6"/>
      <c r="L657" s="69"/>
      <c r="M657" s="5" t="s">
        <v>16</v>
      </c>
      <c r="N657" s="6">
        <v>1</v>
      </c>
      <c r="O657" s="5">
        <v>84</v>
      </c>
      <c r="P657" s="5">
        <v>48</v>
      </c>
      <c r="Q657" s="5">
        <v>24</v>
      </c>
      <c r="R657" s="3">
        <f t="shared" si="163"/>
        <v>156</v>
      </c>
      <c r="S657" s="3">
        <f t="shared" ref="S657:S658" si="164">O657/P657</f>
        <v>1.75</v>
      </c>
      <c r="T657" s="3">
        <f t="shared" ref="T657:T658" si="165">16.8/18</f>
        <v>0.93333333333333335</v>
      </c>
      <c r="U657" s="3">
        <f t="shared" ref="U657:U658" si="166">28.5/45</f>
        <v>0.6333333333333333</v>
      </c>
      <c r="V657" s="5">
        <v>1</v>
      </c>
      <c r="W657" s="5" t="s">
        <v>52</v>
      </c>
      <c r="X657" s="5" t="s">
        <v>45</v>
      </c>
      <c r="Z657" s="4">
        <v>44957</v>
      </c>
      <c r="AB657" s="5" t="str">
        <f t="shared" si="160"/>
        <v>Single</v>
      </c>
      <c r="AC657" s="5">
        <v>100</v>
      </c>
      <c r="AD657" s="59">
        <v>0.2</v>
      </c>
      <c r="AE657" s="29">
        <v>0</v>
      </c>
      <c r="AF657" s="29" t="s">
        <v>104</v>
      </c>
      <c r="AG657" s="29" t="s">
        <v>104</v>
      </c>
      <c r="AJ657"/>
      <c r="AL657" t="s">
        <v>252</v>
      </c>
    </row>
    <row r="658" spans="1:38" ht="15" customHeight="1" x14ac:dyDescent="0.35">
      <c r="A658" s="77">
        <v>44957</v>
      </c>
      <c r="B658" s="5">
        <v>6</v>
      </c>
      <c r="C658" s="5" t="s">
        <v>211</v>
      </c>
      <c r="D658" s="5" t="s">
        <v>42</v>
      </c>
      <c r="E658" s="5"/>
      <c r="F658" s="5">
        <v>1050</v>
      </c>
      <c r="G658" s="5">
        <v>200</v>
      </c>
      <c r="H658" s="5"/>
      <c r="I658" s="5">
        <v>10</v>
      </c>
      <c r="J658" s="69"/>
      <c r="K658" s="6"/>
      <c r="L658" s="69"/>
      <c r="M658" s="5" t="s">
        <v>16</v>
      </c>
      <c r="N658" s="6">
        <v>1</v>
      </c>
      <c r="O658" s="5">
        <v>84</v>
      </c>
      <c r="P658" s="5">
        <v>48</v>
      </c>
      <c r="Q658" s="5">
        <v>24</v>
      </c>
      <c r="R658" s="3">
        <f t="shared" si="163"/>
        <v>156</v>
      </c>
      <c r="S658" s="3">
        <f t="shared" si="164"/>
        <v>1.75</v>
      </c>
      <c r="T658" s="3">
        <f t="shared" si="165"/>
        <v>0.93333333333333335</v>
      </c>
      <c r="U658" s="3">
        <f t="shared" si="166"/>
        <v>0.6333333333333333</v>
      </c>
      <c r="V658" s="5">
        <v>1</v>
      </c>
      <c r="W658" s="5" t="s">
        <v>52</v>
      </c>
      <c r="X658" s="5" t="s">
        <v>45</v>
      </c>
      <c r="Y658" s="29" t="s">
        <v>168</v>
      </c>
      <c r="Z658" s="4"/>
      <c r="AA658" s="5"/>
      <c r="AB658" s="5" t="str">
        <f t="shared" si="160"/>
        <v>Single</v>
      </c>
      <c r="AC658" s="5">
        <v>100</v>
      </c>
      <c r="AD658" s="29">
        <v>0.05</v>
      </c>
      <c r="AE658" s="29">
        <v>0</v>
      </c>
      <c r="AF658" s="29" t="s">
        <v>104</v>
      </c>
      <c r="AG658" s="29" t="s">
        <v>104</v>
      </c>
      <c r="AJ658"/>
      <c r="AL658" t="s">
        <v>253</v>
      </c>
    </row>
    <row r="659" spans="1:38" ht="15" customHeight="1" x14ac:dyDescent="0.35">
      <c r="A659" s="77">
        <v>44957</v>
      </c>
      <c r="B659" s="5">
        <v>7</v>
      </c>
      <c r="C659" s="5" t="s">
        <v>157</v>
      </c>
      <c r="D659" s="5" t="s">
        <v>165</v>
      </c>
      <c r="E659" s="5"/>
      <c r="F659" s="5">
        <v>1050</v>
      </c>
      <c r="G659" s="5">
        <v>100</v>
      </c>
      <c r="H659" s="5"/>
      <c r="I659" s="5">
        <v>10</v>
      </c>
      <c r="J659" s="67"/>
      <c r="K659" s="6"/>
      <c r="L659" s="67"/>
      <c r="M659" s="5" t="s">
        <v>16</v>
      </c>
      <c r="N659" s="6">
        <v>1</v>
      </c>
      <c r="O659" s="5">
        <v>91</v>
      </c>
      <c r="P659" s="5">
        <v>25</v>
      </c>
      <c r="Q659" s="5">
        <v>0</v>
      </c>
      <c r="R659" s="3">
        <f t="shared" si="163"/>
        <v>116</v>
      </c>
      <c r="S659" s="3">
        <f>O659/P659</f>
        <v>3.64</v>
      </c>
      <c r="T659" s="3">
        <f t="shared" ref="T659" si="167">18.7/4</f>
        <v>4.6749999999999998</v>
      </c>
      <c r="U659" s="3">
        <f t="shared" ref="U659" si="168">32/22</f>
        <v>1.4545454545454546</v>
      </c>
      <c r="V659" s="5">
        <v>5</v>
      </c>
      <c r="W659" s="5" t="s">
        <v>52</v>
      </c>
      <c r="X659" s="5" t="s">
        <v>46</v>
      </c>
      <c r="Y659" s="5" t="s">
        <v>185</v>
      </c>
      <c r="Z659" s="4">
        <v>44957</v>
      </c>
      <c r="AB659" s="5" t="str">
        <f t="shared" si="160"/>
        <v>Poly</v>
      </c>
      <c r="AC659" s="5">
        <v>100</v>
      </c>
      <c r="AD659" s="59">
        <v>0.03</v>
      </c>
      <c r="AE659" s="29">
        <v>0</v>
      </c>
      <c r="AF659" s="29" t="s">
        <v>104</v>
      </c>
      <c r="AG659" s="29" t="s">
        <v>102</v>
      </c>
      <c r="AJ659"/>
    </row>
    <row r="660" spans="1:38" ht="15" customHeight="1" x14ac:dyDescent="0.35">
      <c r="A660" s="77">
        <v>44957</v>
      </c>
      <c r="B660" s="5">
        <v>8</v>
      </c>
      <c r="C660" s="144" t="s">
        <v>211</v>
      </c>
      <c r="D660" s="5" t="s">
        <v>165</v>
      </c>
      <c r="E660"/>
      <c r="F660" s="5">
        <v>1050</v>
      </c>
      <c r="G660" s="5">
        <v>200</v>
      </c>
      <c r="H660" s="29"/>
      <c r="I660" s="5">
        <v>10</v>
      </c>
      <c r="J660"/>
      <c r="K660" s="43"/>
      <c r="L660"/>
      <c r="M660" s="5" t="s">
        <v>16</v>
      </c>
      <c r="N660" s="6">
        <v>1</v>
      </c>
      <c r="O660" s="29">
        <v>120</v>
      </c>
      <c r="P660" s="29">
        <v>15.2</v>
      </c>
      <c r="Q660" s="29">
        <v>20</v>
      </c>
      <c r="R660" s="3">
        <v>155.19999999999999</v>
      </c>
      <c r="S660" s="3">
        <v>7.89</v>
      </c>
      <c r="T660" s="3">
        <v>17.5</v>
      </c>
      <c r="U660" s="3">
        <v>4.1100000000000003</v>
      </c>
      <c r="V660" s="5">
        <v>20</v>
      </c>
      <c r="W660" s="5" t="s">
        <v>52</v>
      </c>
      <c r="X660" s="5" t="s">
        <v>45</v>
      </c>
      <c r="Y660" s="5"/>
      <c r="Z660" s="4">
        <v>44957</v>
      </c>
      <c r="AB660" s="5" t="str">
        <f t="shared" si="160"/>
        <v>Single</v>
      </c>
      <c r="AC660" s="5">
        <v>100</v>
      </c>
      <c r="AD660" s="59">
        <f>AVERAGE(0.13,0.03)</f>
        <v>0.08</v>
      </c>
      <c r="AE660" s="29">
        <v>0.25</v>
      </c>
      <c r="AF660" s="29" t="s">
        <v>104</v>
      </c>
      <c r="AG660" s="29" t="s">
        <v>104</v>
      </c>
      <c r="AJ660"/>
    </row>
    <row r="661" spans="1:38" ht="15" customHeight="1" x14ac:dyDescent="0.35">
      <c r="A661" s="77">
        <v>44957</v>
      </c>
      <c r="B661" s="5">
        <v>9</v>
      </c>
      <c r="C661" s="5" t="s">
        <v>211</v>
      </c>
      <c r="D661" s="5" t="s">
        <v>42</v>
      </c>
      <c r="E661"/>
      <c r="F661" s="5">
        <v>1050</v>
      </c>
      <c r="G661" s="5">
        <v>100</v>
      </c>
      <c r="H661" s="29"/>
      <c r="I661" s="5">
        <v>10</v>
      </c>
      <c r="J661"/>
      <c r="K661" s="43"/>
      <c r="L661"/>
      <c r="M661" s="5" t="s">
        <v>16</v>
      </c>
      <c r="N661" s="6">
        <v>1</v>
      </c>
      <c r="O661" s="29">
        <v>120</v>
      </c>
      <c r="P661" s="29">
        <v>15.2</v>
      </c>
      <c r="Q661" s="29">
        <v>20</v>
      </c>
      <c r="R661" s="3">
        <v>155.19999999999999</v>
      </c>
      <c r="S661" s="3">
        <v>7.89</v>
      </c>
      <c r="T661" s="3">
        <v>17.5</v>
      </c>
      <c r="U661" s="3">
        <v>4.1100000000000003</v>
      </c>
      <c r="V661" s="5">
        <v>1</v>
      </c>
      <c r="W661" s="5" t="s">
        <v>52</v>
      </c>
      <c r="X661" s="5" t="s">
        <v>45</v>
      </c>
      <c r="Y661" s="5"/>
      <c r="Z661" s="4">
        <v>44957</v>
      </c>
      <c r="AB661" s="5" t="str">
        <f t="shared" si="160"/>
        <v>Single</v>
      </c>
      <c r="AC661" s="5">
        <v>100</v>
      </c>
      <c r="AD661" s="59">
        <v>0.03</v>
      </c>
      <c r="AE661" s="29">
        <v>0</v>
      </c>
      <c r="AF661" s="29" t="s">
        <v>104</v>
      </c>
      <c r="AG661" s="29" t="s">
        <v>104</v>
      </c>
      <c r="AJ661"/>
      <c r="AL661" t="s">
        <v>254</v>
      </c>
    </row>
    <row r="662" spans="1:38" ht="15" customHeight="1" x14ac:dyDescent="0.35">
      <c r="A662" s="77">
        <v>44957</v>
      </c>
      <c r="B662" s="5">
        <v>9</v>
      </c>
      <c r="C662" s="5" t="s">
        <v>211</v>
      </c>
      <c r="D662" s="5" t="s">
        <v>42</v>
      </c>
      <c r="E662"/>
      <c r="F662" s="5">
        <v>1050</v>
      </c>
      <c r="G662" s="5">
        <v>100</v>
      </c>
      <c r="H662" s="29"/>
      <c r="I662" s="5">
        <v>10</v>
      </c>
      <c r="J662"/>
      <c r="K662" s="43"/>
      <c r="L662"/>
      <c r="M662" s="5" t="s">
        <v>16</v>
      </c>
      <c r="N662" s="6">
        <v>1</v>
      </c>
      <c r="O662" s="29">
        <v>120</v>
      </c>
      <c r="P662" s="29">
        <v>15.2</v>
      </c>
      <c r="Q662" s="29">
        <v>20</v>
      </c>
      <c r="R662" s="3">
        <v>155.19999999999999</v>
      </c>
      <c r="S662" s="3">
        <v>7.89</v>
      </c>
      <c r="T662" s="3">
        <v>17.5</v>
      </c>
      <c r="U662" s="3">
        <v>4.1100000000000003</v>
      </c>
      <c r="V662" s="5">
        <v>1</v>
      </c>
      <c r="W662" s="5" t="s">
        <v>52</v>
      </c>
      <c r="X662" s="5" t="s">
        <v>45</v>
      </c>
      <c r="Y662" s="5" t="s">
        <v>168</v>
      </c>
      <c r="Z662" s="4"/>
      <c r="AB662" s="5" t="str">
        <f t="shared" si="160"/>
        <v>Single</v>
      </c>
      <c r="AC662" s="5">
        <v>100</v>
      </c>
      <c r="AD662" s="59">
        <v>0.03</v>
      </c>
      <c r="AE662" s="29">
        <v>0</v>
      </c>
      <c r="AF662" s="29" t="s">
        <v>104</v>
      </c>
      <c r="AG662" s="29" t="s">
        <v>103</v>
      </c>
      <c r="AJ662"/>
      <c r="AL662" t="s">
        <v>255</v>
      </c>
    </row>
    <row r="663" spans="1:38" ht="15" customHeight="1" x14ac:dyDescent="0.35">
      <c r="A663" s="77">
        <v>44957</v>
      </c>
      <c r="B663" s="5">
        <v>9</v>
      </c>
      <c r="C663" s="5" t="s">
        <v>211</v>
      </c>
      <c r="D663" s="5" t="s">
        <v>42</v>
      </c>
      <c r="E663"/>
      <c r="F663" s="5">
        <v>1050</v>
      </c>
      <c r="G663" s="5">
        <v>100</v>
      </c>
      <c r="H663" s="29"/>
      <c r="I663" s="5">
        <v>10</v>
      </c>
      <c r="J663"/>
      <c r="K663" s="43"/>
      <c r="L663"/>
      <c r="M663" s="5" t="s">
        <v>16</v>
      </c>
      <c r="N663" s="6">
        <v>1</v>
      </c>
      <c r="O663" s="29">
        <v>120</v>
      </c>
      <c r="P663" s="29">
        <v>15.2</v>
      </c>
      <c r="Q663" s="29">
        <v>20</v>
      </c>
      <c r="R663" s="3">
        <v>155.19999999999999</v>
      </c>
      <c r="S663" s="3">
        <v>7.89</v>
      </c>
      <c r="T663" s="3">
        <v>17.5</v>
      </c>
      <c r="U663" s="3">
        <v>4.1100000000000003</v>
      </c>
      <c r="V663" s="5">
        <v>1</v>
      </c>
      <c r="W663" s="5" t="s">
        <v>52</v>
      </c>
      <c r="X663" s="5" t="s">
        <v>46</v>
      </c>
      <c r="Y663" s="5"/>
      <c r="Z663" s="4">
        <v>44957</v>
      </c>
      <c r="AB663" s="5" t="str">
        <f t="shared" si="160"/>
        <v>Poly</v>
      </c>
      <c r="AC663" s="5">
        <v>100</v>
      </c>
      <c r="AD663" s="59">
        <v>0.04</v>
      </c>
      <c r="AE663" s="29">
        <v>2</v>
      </c>
      <c r="AF663" s="29" t="s">
        <v>104</v>
      </c>
      <c r="AG663" s="29" t="s">
        <v>103</v>
      </c>
      <c r="AJ663"/>
    </row>
    <row r="664" spans="1:38" ht="15" customHeight="1" x14ac:dyDescent="0.35">
      <c r="A664" s="77">
        <v>44957</v>
      </c>
      <c r="B664" s="5">
        <v>9</v>
      </c>
      <c r="C664" s="5" t="s">
        <v>211</v>
      </c>
      <c r="D664" s="5" t="s">
        <v>42</v>
      </c>
      <c r="E664"/>
      <c r="F664" s="5">
        <v>1050</v>
      </c>
      <c r="G664" s="5">
        <v>100</v>
      </c>
      <c r="H664" s="29"/>
      <c r="I664" s="5">
        <v>10</v>
      </c>
      <c r="J664"/>
      <c r="K664" s="43"/>
      <c r="L664"/>
      <c r="M664" s="5" t="s">
        <v>16</v>
      </c>
      <c r="N664" s="6">
        <v>1</v>
      </c>
      <c r="O664" s="29">
        <v>120</v>
      </c>
      <c r="P664" s="29">
        <v>15.2</v>
      </c>
      <c r="Q664" s="29">
        <v>20</v>
      </c>
      <c r="R664" s="3">
        <v>155.19999999999999</v>
      </c>
      <c r="S664" s="3">
        <v>7.89</v>
      </c>
      <c r="T664" s="3">
        <v>17.5</v>
      </c>
      <c r="U664" s="3">
        <v>4.1100000000000003</v>
      </c>
      <c r="V664" s="5">
        <v>1</v>
      </c>
      <c r="W664" s="5" t="s">
        <v>52</v>
      </c>
      <c r="X664" s="5" t="s">
        <v>46</v>
      </c>
      <c r="Y664" s="5" t="s">
        <v>168</v>
      </c>
      <c r="Z664" s="4"/>
      <c r="AB664" s="5" t="str">
        <f t="shared" si="160"/>
        <v>Poly</v>
      </c>
      <c r="AC664" s="5">
        <v>100</v>
      </c>
      <c r="AD664" s="59">
        <v>0.05</v>
      </c>
      <c r="AE664" s="29">
        <v>40</v>
      </c>
      <c r="AF664" s="29" t="s">
        <v>104</v>
      </c>
      <c r="AG664" s="29" t="s">
        <v>104</v>
      </c>
      <c r="AJ664"/>
    </row>
    <row r="665" spans="1:38" ht="15" customHeight="1" x14ac:dyDescent="0.35">
      <c r="A665" s="77">
        <v>44957</v>
      </c>
      <c r="B665" s="5">
        <v>9</v>
      </c>
      <c r="C665" s="5" t="s">
        <v>211</v>
      </c>
      <c r="D665" s="5" t="s">
        <v>42</v>
      </c>
      <c r="E665"/>
      <c r="F665" s="5">
        <v>1050</v>
      </c>
      <c r="G665" s="5">
        <v>100</v>
      </c>
      <c r="H665" s="29"/>
      <c r="I665" s="5">
        <v>10</v>
      </c>
      <c r="J665"/>
      <c r="K665" s="43"/>
      <c r="L665"/>
      <c r="M665" s="5" t="s">
        <v>16</v>
      </c>
      <c r="N665" s="6">
        <v>1</v>
      </c>
      <c r="O665" s="29">
        <v>120</v>
      </c>
      <c r="P665" s="29">
        <v>15.2</v>
      </c>
      <c r="Q665" s="29">
        <v>20</v>
      </c>
      <c r="R665" s="3">
        <v>155.19999999999999</v>
      </c>
      <c r="S665" s="3">
        <v>7.89</v>
      </c>
      <c r="T665" s="3">
        <v>17.5</v>
      </c>
      <c r="U665" s="3">
        <v>4.1100000000000003</v>
      </c>
      <c r="V665" s="5">
        <v>1</v>
      </c>
      <c r="W665" s="5" t="s">
        <v>52</v>
      </c>
      <c r="X665" s="5" t="s">
        <v>46</v>
      </c>
      <c r="Y665" s="5" t="s">
        <v>232</v>
      </c>
      <c r="Z665" s="4"/>
      <c r="AB665" s="5" t="str">
        <f t="shared" si="160"/>
        <v>Poly</v>
      </c>
      <c r="AC665" s="5">
        <v>100</v>
      </c>
      <c r="AD665" s="59">
        <v>0.05</v>
      </c>
      <c r="AE665" s="29">
        <v>30</v>
      </c>
      <c r="AF665" s="29" t="s">
        <v>104</v>
      </c>
      <c r="AG665" s="29" t="s">
        <v>104</v>
      </c>
      <c r="AJ665"/>
    </row>
    <row r="666" spans="1:38" ht="15" customHeight="1" x14ac:dyDescent="0.35">
      <c r="A666" s="77">
        <v>44957</v>
      </c>
      <c r="B666" s="5">
        <v>9</v>
      </c>
      <c r="C666" s="5" t="s">
        <v>211</v>
      </c>
      <c r="D666" s="5" t="s">
        <v>42</v>
      </c>
      <c r="E666"/>
      <c r="F666" s="5">
        <v>1050</v>
      </c>
      <c r="G666" s="5">
        <v>100</v>
      </c>
      <c r="H666" s="29"/>
      <c r="I666" s="5">
        <v>10</v>
      </c>
      <c r="J666"/>
      <c r="K666" s="43"/>
      <c r="L666"/>
      <c r="M666" s="5" t="s">
        <v>16</v>
      </c>
      <c r="N666" s="6">
        <v>1</v>
      </c>
      <c r="O666" s="29">
        <v>120</v>
      </c>
      <c r="P666" s="29">
        <v>15.2</v>
      </c>
      <c r="Q666" s="29">
        <v>20</v>
      </c>
      <c r="R666" s="3">
        <v>155.19999999999999</v>
      </c>
      <c r="S666" s="3">
        <v>7.89</v>
      </c>
      <c r="T666" s="3">
        <v>17.5</v>
      </c>
      <c r="U666" s="3">
        <v>4.1100000000000003</v>
      </c>
      <c r="V666" s="5">
        <v>1</v>
      </c>
      <c r="W666" s="5" t="s">
        <v>44</v>
      </c>
      <c r="X666" s="5" t="s">
        <v>46</v>
      </c>
      <c r="Y666" s="5" t="s">
        <v>122</v>
      </c>
      <c r="Z666" s="4">
        <v>44957</v>
      </c>
      <c r="AB666" s="5" t="str">
        <f t="shared" si="160"/>
        <v>Poly</v>
      </c>
      <c r="AC666" s="5">
        <v>100</v>
      </c>
      <c r="AD666" s="59">
        <v>0.03</v>
      </c>
      <c r="AE666" s="29">
        <v>1</v>
      </c>
      <c r="AF666" s="29" t="s">
        <v>104</v>
      </c>
      <c r="AG666" s="29" t="s">
        <v>102</v>
      </c>
      <c r="AJ666"/>
    </row>
    <row r="667" spans="1:38" ht="15" customHeight="1" x14ac:dyDescent="0.35">
      <c r="B667" s="5"/>
      <c r="C667" s="5"/>
      <c r="D667" s="5"/>
      <c r="E667" s="5"/>
      <c r="F667" s="5"/>
      <c r="G667" s="5"/>
      <c r="H667" s="5"/>
      <c r="I667" s="5"/>
      <c r="J667" s="69"/>
      <c r="K667" s="6"/>
      <c r="L667" s="69"/>
      <c r="M667" s="5"/>
      <c r="N667" s="6"/>
      <c r="O667" s="5"/>
      <c r="P667" s="5"/>
      <c r="Q667" s="5"/>
      <c r="R667" s="3"/>
      <c r="S667" s="3"/>
      <c r="T667" s="3"/>
      <c r="U667" s="3"/>
      <c r="V667" s="5"/>
      <c r="W667" s="5"/>
      <c r="X667" s="5"/>
      <c r="Z667" s="4"/>
      <c r="AA667" s="5"/>
      <c r="AB667" s="5"/>
      <c r="AC667" s="5"/>
      <c r="AD667" s="59"/>
      <c r="AF667" s="29"/>
      <c r="AG667" s="29"/>
      <c r="AJ667"/>
    </row>
    <row r="668" spans="1:38" ht="15" customHeight="1" x14ac:dyDescent="0.35">
      <c r="A668" s="77">
        <v>44958</v>
      </c>
      <c r="B668" s="5">
        <v>10</v>
      </c>
      <c r="C668" s="5" t="s">
        <v>251</v>
      </c>
      <c r="D668" s="5" t="s">
        <v>42</v>
      </c>
      <c r="E668" s="5"/>
      <c r="F668" s="5">
        <v>1050</v>
      </c>
      <c r="G668" s="5">
        <v>200</v>
      </c>
      <c r="H668" s="5"/>
      <c r="I668" s="5">
        <v>10</v>
      </c>
      <c r="J668" s="67"/>
      <c r="K668" s="6"/>
      <c r="L668" s="67"/>
      <c r="M668" s="5" t="s">
        <v>16</v>
      </c>
      <c r="N668" s="6">
        <v>1</v>
      </c>
      <c r="O668" s="5">
        <v>132</v>
      </c>
      <c r="P668" s="5">
        <v>0</v>
      </c>
      <c r="Q668" s="5">
        <v>24</v>
      </c>
      <c r="R668" s="3">
        <f t="shared" ref="R668:R681" si="169">O668+P668+Q668</f>
        <v>156</v>
      </c>
      <c r="S668" s="3" t="s">
        <v>193</v>
      </c>
      <c r="T668" s="3" t="s">
        <v>193</v>
      </c>
      <c r="U668" s="3" t="s">
        <v>193</v>
      </c>
      <c r="V668" s="5">
        <v>1</v>
      </c>
      <c r="W668" s="5" t="s">
        <v>52</v>
      </c>
      <c r="X668" s="5" t="s">
        <v>45</v>
      </c>
      <c r="Y668" s="5" t="s">
        <v>185</v>
      </c>
      <c r="Z668" s="4">
        <v>44957</v>
      </c>
      <c r="AA668" s="5"/>
      <c r="AB668" s="5"/>
      <c r="AC668" s="5"/>
      <c r="AD668" s="59"/>
      <c r="AF668" s="29"/>
      <c r="AG668" s="29"/>
      <c r="AJ668"/>
    </row>
    <row r="669" spans="1:38" ht="15" customHeight="1" x14ac:dyDescent="0.35">
      <c r="A669" s="77">
        <v>44958</v>
      </c>
      <c r="B669" s="5">
        <v>10</v>
      </c>
      <c r="C669" s="5" t="s">
        <v>251</v>
      </c>
      <c r="D669" s="5" t="s">
        <v>42</v>
      </c>
      <c r="E669" s="5"/>
      <c r="F669" s="5">
        <v>1050</v>
      </c>
      <c r="G669" s="5">
        <v>200</v>
      </c>
      <c r="H669" s="5"/>
      <c r="I669" s="5">
        <v>10</v>
      </c>
      <c r="J669" s="67"/>
      <c r="K669" s="6"/>
      <c r="L669" s="67"/>
      <c r="M669" s="5" t="s">
        <v>16</v>
      </c>
      <c r="N669" s="6">
        <v>1</v>
      </c>
      <c r="O669" s="5">
        <v>132</v>
      </c>
      <c r="P669" s="5">
        <v>0</v>
      </c>
      <c r="Q669" s="5">
        <v>24</v>
      </c>
      <c r="R669" s="3">
        <f t="shared" si="169"/>
        <v>156</v>
      </c>
      <c r="S669" s="3" t="s">
        <v>193</v>
      </c>
      <c r="T669" s="3" t="s">
        <v>193</v>
      </c>
      <c r="U669" s="3" t="s">
        <v>193</v>
      </c>
      <c r="V669" s="5">
        <v>1</v>
      </c>
      <c r="W669" s="5" t="s">
        <v>52</v>
      </c>
      <c r="X669" s="5" t="s">
        <v>45</v>
      </c>
      <c r="Y669" s="5" t="s">
        <v>232</v>
      </c>
      <c r="Z669" s="4"/>
      <c r="AA669" s="5"/>
      <c r="AB669" s="5"/>
      <c r="AC669" s="5"/>
      <c r="AD669" s="59"/>
      <c r="AF669" s="29"/>
      <c r="AG669" s="29"/>
      <c r="AJ669"/>
    </row>
    <row r="670" spans="1:38" ht="15" customHeight="1" x14ac:dyDescent="0.35">
      <c r="A670" s="77">
        <v>44958</v>
      </c>
      <c r="B670" s="5">
        <v>10</v>
      </c>
      <c r="C670" s="5" t="s">
        <v>251</v>
      </c>
      <c r="D670" s="5" t="s">
        <v>42</v>
      </c>
      <c r="E670" s="5"/>
      <c r="F670" s="5">
        <v>1050</v>
      </c>
      <c r="G670" s="5">
        <v>200</v>
      </c>
      <c r="H670" s="5"/>
      <c r="I670" s="5">
        <v>10</v>
      </c>
      <c r="J670" s="67"/>
      <c r="K670" s="6"/>
      <c r="L670" s="67"/>
      <c r="M670" s="5" t="s">
        <v>16</v>
      </c>
      <c r="N670" s="6">
        <v>1</v>
      </c>
      <c r="O670" s="5">
        <v>132</v>
      </c>
      <c r="P670" s="5">
        <v>0</v>
      </c>
      <c r="Q670" s="5">
        <v>24</v>
      </c>
      <c r="R670" s="3">
        <f t="shared" si="169"/>
        <v>156</v>
      </c>
      <c r="S670" s="3" t="s">
        <v>193</v>
      </c>
      <c r="T670" s="3" t="s">
        <v>193</v>
      </c>
      <c r="U670" s="3" t="s">
        <v>193</v>
      </c>
      <c r="V670" s="5">
        <v>1</v>
      </c>
      <c r="W670" s="5" t="s">
        <v>52</v>
      </c>
      <c r="X670" s="5" t="s">
        <v>46</v>
      </c>
      <c r="Y670" s="5" t="s">
        <v>185</v>
      </c>
      <c r="Z670" s="4">
        <v>44957</v>
      </c>
      <c r="AA670" s="5"/>
      <c r="AB670" s="5"/>
      <c r="AC670" s="5"/>
      <c r="AD670" s="59"/>
      <c r="AF670" s="29"/>
      <c r="AG670" s="29"/>
      <c r="AJ670"/>
    </row>
    <row r="671" spans="1:38" ht="15" customHeight="1" x14ac:dyDescent="0.35">
      <c r="A671" s="77">
        <v>44958</v>
      </c>
      <c r="B671" s="5">
        <v>10</v>
      </c>
      <c r="C671" s="5" t="s">
        <v>251</v>
      </c>
      <c r="D671" s="5" t="s">
        <v>42</v>
      </c>
      <c r="E671" s="5"/>
      <c r="F671" s="5">
        <v>1050</v>
      </c>
      <c r="G671" s="5">
        <v>200</v>
      </c>
      <c r="H671" s="5"/>
      <c r="I671" s="5">
        <v>10</v>
      </c>
      <c r="J671" s="67"/>
      <c r="K671" s="6"/>
      <c r="L671" s="67"/>
      <c r="M671" s="5" t="s">
        <v>16</v>
      </c>
      <c r="N671" s="6">
        <v>1</v>
      </c>
      <c r="O671" s="5">
        <v>132</v>
      </c>
      <c r="P671" s="5">
        <v>0</v>
      </c>
      <c r="Q671" s="5">
        <v>24</v>
      </c>
      <c r="R671" s="3">
        <f t="shared" si="169"/>
        <v>156</v>
      </c>
      <c r="S671" s="3" t="s">
        <v>193</v>
      </c>
      <c r="T671" s="3" t="s">
        <v>193</v>
      </c>
      <c r="U671" s="3" t="s">
        <v>193</v>
      </c>
      <c r="V671" s="5">
        <v>1</v>
      </c>
      <c r="W671" s="5" t="s">
        <v>52</v>
      </c>
      <c r="X671" s="5" t="s">
        <v>46</v>
      </c>
      <c r="Y671" s="5" t="s">
        <v>232</v>
      </c>
      <c r="Z671" s="59"/>
      <c r="AA671" s="5"/>
      <c r="AB671" s="5"/>
      <c r="AC671" s="5"/>
      <c r="AD671" s="59"/>
      <c r="AF671" s="29"/>
      <c r="AG671" s="29"/>
      <c r="AJ671"/>
    </row>
    <row r="672" spans="1:38" ht="15" customHeight="1" x14ac:dyDescent="0.35">
      <c r="A672" s="77">
        <v>44958</v>
      </c>
      <c r="B672" s="5">
        <v>10</v>
      </c>
      <c r="C672" s="5" t="s">
        <v>251</v>
      </c>
      <c r="D672" s="5" t="s">
        <v>42</v>
      </c>
      <c r="E672" s="5"/>
      <c r="F672" s="5">
        <v>1050</v>
      </c>
      <c r="G672" s="5">
        <v>200</v>
      </c>
      <c r="H672" s="5"/>
      <c r="I672" s="5">
        <v>10</v>
      </c>
      <c r="J672" s="67"/>
      <c r="K672" s="6"/>
      <c r="L672" s="67"/>
      <c r="M672" s="5" t="s">
        <v>16</v>
      </c>
      <c r="N672" s="6">
        <v>1</v>
      </c>
      <c r="O672" s="5">
        <v>132</v>
      </c>
      <c r="P672" s="5">
        <v>0</v>
      </c>
      <c r="Q672" s="5">
        <v>24</v>
      </c>
      <c r="R672" s="3">
        <f t="shared" si="169"/>
        <v>156</v>
      </c>
      <c r="S672" s="3" t="s">
        <v>193</v>
      </c>
      <c r="T672" s="3" t="s">
        <v>193</v>
      </c>
      <c r="U672" s="3" t="s">
        <v>193</v>
      </c>
      <c r="V672" s="5">
        <v>1</v>
      </c>
      <c r="W672" s="5" t="s">
        <v>52</v>
      </c>
      <c r="X672" s="5" t="s">
        <v>46</v>
      </c>
      <c r="Y672" s="5" t="s">
        <v>256</v>
      </c>
      <c r="Z672" s="4"/>
      <c r="AA672" s="5"/>
      <c r="AB672" s="5"/>
      <c r="AC672" s="5"/>
      <c r="AD672" s="59"/>
      <c r="AE672" s="5"/>
      <c r="AF672" s="29"/>
      <c r="AG672" s="29"/>
      <c r="AJ672"/>
    </row>
    <row r="673" spans="1:38" ht="15" customHeight="1" x14ac:dyDescent="0.35">
      <c r="A673" s="77">
        <v>44958</v>
      </c>
      <c r="B673" s="5">
        <v>11</v>
      </c>
      <c r="C673" s="5" t="s">
        <v>130</v>
      </c>
      <c r="D673" s="5" t="s">
        <v>42</v>
      </c>
      <c r="E673"/>
      <c r="F673" s="5">
        <v>1050</v>
      </c>
      <c r="G673" s="5">
        <v>200</v>
      </c>
      <c r="H673" s="5"/>
      <c r="I673" s="5">
        <v>10</v>
      </c>
      <c r="J673" s="67"/>
      <c r="K673" s="6"/>
      <c r="L673" s="67"/>
      <c r="M673" s="5" t="s">
        <v>16</v>
      </c>
      <c r="N673" s="5">
        <v>5</v>
      </c>
      <c r="O673" s="5">
        <v>93</v>
      </c>
      <c r="P673" s="5">
        <v>60.1</v>
      </c>
      <c r="Q673" s="5">
        <v>24</v>
      </c>
      <c r="R673" s="3">
        <f t="shared" si="169"/>
        <v>177.1</v>
      </c>
      <c r="S673" s="3">
        <v>1.55</v>
      </c>
      <c r="T673" s="3">
        <v>0.67</v>
      </c>
      <c r="U673" s="3">
        <v>0.48</v>
      </c>
      <c r="V673" s="5">
        <v>1</v>
      </c>
      <c r="W673" s="5" t="s">
        <v>52</v>
      </c>
      <c r="X673" s="5" t="s">
        <v>45</v>
      </c>
      <c r="Y673" s="29" t="s">
        <v>185</v>
      </c>
      <c r="Z673" s="4">
        <v>44957</v>
      </c>
      <c r="AB673" s="5" t="str">
        <f t="shared" ref="AB673:AB681" si="170">IF(X673="20um Schlenk", "Single", "Poly")</f>
        <v>Single</v>
      </c>
      <c r="AC673" s="5">
        <v>100</v>
      </c>
      <c r="AD673" s="59">
        <v>7.0000000000000007E-2</v>
      </c>
      <c r="AE673" s="5">
        <v>2</v>
      </c>
      <c r="AF673" s="29" t="s">
        <v>104</v>
      </c>
      <c r="AG673" s="29" t="s">
        <v>104</v>
      </c>
      <c r="AJ673"/>
    </row>
    <row r="674" spans="1:38" ht="15" customHeight="1" x14ac:dyDescent="0.35">
      <c r="A674" s="77">
        <v>44958</v>
      </c>
      <c r="B674" s="5">
        <v>11</v>
      </c>
      <c r="C674" s="5" t="s">
        <v>130</v>
      </c>
      <c r="D674" s="5" t="s">
        <v>42</v>
      </c>
      <c r="E674"/>
      <c r="F674" s="5">
        <v>1050</v>
      </c>
      <c r="G674" s="5">
        <v>200</v>
      </c>
      <c r="H674" s="5"/>
      <c r="I674" s="5">
        <v>10</v>
      </c>
      <c r="J674" s="67"/>
      <c r="K674" s="6"/>
      <c r="L674" s="67"/>
      <c r="M674" s="5" t="s">
        <v>16</v>
      </c>
      <c r="N674" s="5">
        <v>5</v>
      </c>
      <c r="O674" s="5">
        <v>93</v>
      </c>
      <c r="P674" s="5">
        <v>60.1</v>
      </c>
      <c r="Q674" s="5">
        <v>24</v>
      </c>
      <c r="R674" s="3">
        <f t="shared" si="169"/>
        <v>177.1</v>
      </c>
      <c r="S674" s="3">
        <v>1.55</v>
      </c>
      <c r="T674" s="3">
        <v>0.67</v>
      </c>
      <c r="U674" s="3">
        <v>0.48</v>
      </c>
      <c r="V674" s="5">
        <v>1</v>
      </c>
      <c r="W674" s="5" t="s">
        <v>52</v>
      </c>
      <c r="X674" s="5" t="s">
        <v>45</v>
      </c>
      <c r="Y674" s="29" t="s">
        <v>232</v>
      </c>
      <c r="Z674" s="4"/>
      <c r="AB674" s="5" t="str">
        <f t="shared" si="170"/>
        <v>Single</v>
      </c>
      <c r="AC674" s="5">
        <v>100</v>
      </c>
      <c r="AD674" s="59">
        <v>0.12</v>
      </c>
      <c r="AE674" s="5">
        <v>1</v>
      </c>
      <c r="AF674" s="29" t="s">
        <v>104</v>
      </c>
      <c r="AG674" s="29" t="s">
        <v>104</v>
      </c>
      <c r="AJ674"/>
    </row>
    <row r="675" spans="1:38" ht="15" customHeight="1" x14ac:dyDescent="0.35">
      <c r="A675" s="77">
        <v>44958</v>
      </c>
      <c r="B675" s="5">
        <v>11</v>
      </c>
      <c r="C675" s="5" t="s">
        <v>130</v>
      </c>
      <c r="D675" s="5" t="s">
        <v>42</v>
      </c>
      <c r="E675"/>
      <c r="F675" s="5">
        <v>1050</v>
      </c>
      <c r="G675" s="5">
        <v>200</v>
      </c>
      <c r="H675" s="5"/>
      <c r="I675" s="5">
        <v>10</v>
      </c>
      <c r="J675" s="67"/>
      <c r="K675" s="6"/>
      <c r="L675" s="67"/>
      <c r="M675" s="5" t="s">
        <v>16</v>
      </c>
      <c r="N675" s="5">
        <v>5</v>
      </c>
      <c r="O675" s="5">
        <v>93</v>
      </c>
      <c r="P675" s="5">
        <v>60.1</v>
      </c>
      <c r="Q675" s="5">
        <v>24</v>
      </c>
      <c r="R675" s="3">
        <f t="shared" si="169"/>
        <v>177.1</v>
      </c>
      <c r="S675" s="3">
        <v>1.55</v>
      </c>
      <c r="T675" s="3">
        <v>0.67</v>
      </c>
      <c r="U675" s="3">
        <v>0.48</v>
      </c>
      <c r="V675" s="5">
        <v>1</v>
      </c>
      <c r="W675" s="5" t="s">
        <v>52</v>
      </c>
      <c r="X675" s="5" t="s">
        <v>45</v>
      </c>
      <c r="Z675" s="4">
        <v>44957</v>
      </c>
      <c r="AB675" s="5" t="str">
        <f t="shared" si="170"/>
        <v>Single</v>
      </c>
      <c r="AC675" s="5">
        <v>100</v>
      </c>
      <c r="AD675" s="59">
        <v>0.25</v>
      </c>
      <c r="AE675" s="5">
        <v>2</v>
      </c>
      <c r="AF675" s="29" t="s">
        <v>104</v>
      </c>
      <c r="AG675" s="29" t="s">
        <v>104</v>
      </c>
      <c r="AJ675"/>
      <c r="AL675" t="s">
        <v>257</v>
      </c>
    </row>
    <row r="676" spans="1:38" ht="15" customHeight="1" x14ac:dyDescent="0.35">
      <c r="A676" s="77">
        <v>44958</v>
      </c>
      <c r="B676" s="5">
        <v>11</v>
      </c>
      <c r="C676" s="5" t="s">
        <v>130</v>
      </c>
      <c r="D676" s="5" t="s">
        <v>42</v>
      </c>
      <c r="E676"/>
      <c r="F676" s="5">
        <v>1050</v>
      </c>
      <c r="G676" s="5">
        <v>200</v>
      </c>
      <c r="H676" s="5"/>
      <c r="I676" s="5">
        <v>10</v>
      </c>
      <c r="J676" s="67"/>
      <c r="K676" s="6"/>
      <c r="L676" s="67"/>
      <c r="M676" s="5" t="s">
        <v>16</v>
      </c>
      <c r="N676" s="5">
        <v>5</v>
      </c>
      <c r="O676" s="5">
        <v>93</v>
      </c>
      <c r="P676" s="5">
        <v>60.1</v>
      </c>
      <c r="Q676" s="5">
        <v>24</v>
      </c>
      <c r="R676" s="3">
        <f t="shared" si="169"/>
        <v>177.1</v>
      </c>
      <c r="S676" s="3">
        <v>1.55</v>
      </c>
      <c r="T676" s="3">
        <v>0.67</v>
      </c>
      <c r="U676" s="3">
        <v>0.48</v>
      </c>
      <c r="V676" s="5">
        <v>1</v>
      </c>
      <c r="W676" s="5" t="s">
        <v>52</v>
      </c>
      <c r="X676" s="5" t="s">
        <v>45</v>
      </c>
      <c r="Y676" s="29" t="s">
        <v>168</v>
      </c>
      <c r="Z676" s="4"/>
      <c r="AB676" s="5" t="str">
        <f t="shared" si="170"/>
        <v>Single</v>
      </c>
      <c r="AC676" s="5">
        <v>100</v>
      </c>
      <c r="AD676" s="59">
        <v>0.14000000000000001</v>
      </c>
      <c r="AE676" s="29">
        <v>2</v>
      </c>
      <c r="AF676" s="29" t="s">
        <v>104</v>
      </c>
      <c r="AG676" s="29" t="s">
        <v>104</v>
      </c>
      <c r="AJ676"/>
    </row>
    <row r="677" spans="1:38" ht="15" customHeight="1" x14ac:dyDescent="0.35">
      <c r="A677" s="77">
        <v>44958</v>
      </c>
      <c r="B677" s="5">
        <v>11</v>
      </c>
      <c r="C677" s="5" t="s">
        <v>130</v>
      </c>
      <c r="D677" s="5" t="s">
        <v>42</v>
      </c>
      <c r="E677"/>
      <c r="F677" s="5">
        <v>1050</v>
      </c>
      <c r="G677" s="5">
        <v>200</v>
      </c>
      <c r="H677" s="5"/>
      <c r="I677" s="5">
        <v>10</v>
      </c>
      <c r="J677" s="67"/>
      <c r="K677" s="6"/>
      <c r="L677" s="67"/>
      <c r="M677" s="5" t="s">
        <v>16</v>
      </c>
      <c r="N677" s="5">
        <v>5</v>
      </c>
      <c r="O677" s="5">
        <v>93</v>
      </c>
      <c r="P677" s="5">
        <v>60.1</v>
      </c>
      <c r="Q677" s="5">
        <v>24</v>
      </c>
      <c r="R677" s="3">
        <f t="shared" si="169"/>
        <v>177.1</v>
      </c>
      <c r="S677" s="3">
        <v>1.55</v>
      </c>
      <c r="T677" s="3">
        <v>0.67</v>
      </c>
      <c r="U677" s="3">
        <v>0.48</v>
      </c>
      <c r="V677" s="5">
        <v>1</v>
      </c>
      <c r="W677" s="5" t="s">
        <v>52</v>
      </c>
      <c r="X677" s="5" t="s">
        <v>46</v>
      </c>
      <c r="Y677" s="29" t="s">
        <v>185</v>
      </c>
      <c r="Z677" s="4">
        <v>44957</v>
      </c>
      <c r="AB677" s="5" t="str">
        <f t="shared" si="170"/>
        <v>Poly</v>
      </c>
      <c r="AC677" s="5">
        <v>100</v>
      </c>
      <c r="AD677" s="59"/>
      <c r="AE677" s="29">
        <v>2</v>
      </c>
      <c r="AF677" s="29" t="s">
        <v>104</v>
      </c>
      <c r="AG677" s="29" t="s">
        <v>104</v>
      </c>
      <c r="AJ677"/>
    </row>
    <row r="678" spans="1:38" ht="15" customHeight="1" x14ac:dyDescent="0.35">
      <c r="A678" s="77">
        <v>44958</v>
      </c>
      <c r="B678" s="5">
        <v>11</v>
      </c>
      <c r="C678" s="5" t="s">
        <v>130</v>
      </c>
      <c r="D678" s="5" t="s">
        <v>42</v>
      </c>
      <c r="E678"/>
      <c r="F678" s="5">
        <v>1050</v>
      </c>
      <c r="G678" s="5">
        <v>200</v>
      </c>
      <c r="H678" s="5"/>
      <c r="I678" s="5">
        <v>10</v>
      </c>
      <c r="J678" s="67"/>
      <c r="K678" s="6"/>
      <c r="L678" s="67"/>
      <c r="M678" s="5" t="s">
        <v>16</v>
      </c>
      <c r="N678" s="5">
        <v>5</v>
      </c>
      <c r="O678" s="5">
        <v>93</v>
      </c>
      <c r="P678" s="5">
        <v>60.1</v>
      </c>
      <c r="Q678" s="5">
        <v>24</v>
      </c>
      <c r="R678" s="3">
        <f t="shared" si="169"/>
        <v>177.1</v>
      </c>
      <c r="S678" s="3">
        <v>1.55</v>
      </c>
      <c r="T678" s="3">
        <v>0.67</v>
      </c>
      <c r="U678" s="3">
        <v>0.48</v>
      </c>
      <c r="V678" s="5">
        <v>1</v>
      </c>
      <c r="W678" s="5" t="s">
        <v>52</v>
      </c>
      <c r="X678" s="5" t="s">
        <v>46</v>
      </c>
      <c r="Y678" s="29" t="s">
        <v>256</v>
      </c>
      <c r="Z678" s="4"/>
      <c r="AB678" s="5" t="str">
        <f t="shared" si="170"/>
        <v>Poly</v>
      </c>
      <c r="AC678" s="5">
        <v>100</v>
      </c>
      <c r="AD678" s="59">
        <v>0.04</v>
      </c>
      <c r="AE678" s="29">
        <v>3</v>
      </c>
      <c r="AF678" s="29" t="s">
        <v>104</v>
      </c>
      <c r="AG678" s="29" t="s">
        <v>104</v>
      </c>
      <c r="AJ678"/>
    </row>
    <row r="679" spans="1:38" ht="15" customHeight="1" x14ac:dyDescent="0.35">
      <c r="A679" s="77">
        <v>44958</v>
      </c>
      <c r="B679" s="5">
        <v>11</v>
      </c>
      <c r="C679" s="5" t="s">
        <v>130</v>
      </c>
      <c r="D679" s="5" t="s">
        <v>42</v>
      </c>
      <c r="E679"/>
      <c r="F679" s="5">
        <v>1050</v>
      </c>
      <c r="G679" s="5">
        <v>200</v>
      </c>
      <c r="H679" s="5"/>
      <c r="I679" s="5">
        <v>10</v>
      </c>
      <c r="J679" s="67"/>
      <c r="K679" s="6"/>
      <c r="L679" s="67"/>
      <c r="M679" s="5" t="s">
        <v>16</v>
      </c>
      <c r="N679" s="5">
        <v>5</v>
      </c>
      <c r="O679" s="5">
        <v>93</v>
      </c>
      <c r="P679" s="5">
        <v>60.1</v>
      </c>
      <c r="Q679" s="5">
        <v>24</v>
      </c>
      <c r="R679" s="3">
        <f t="shared" si="169"/>
        <v>177.1</v>
      </c>
      <c r="S679" s="3">
        <v>1.55</v>
      </c>
      <c r="T679" s="3">
        <v>0.67</v>
      </c>
      <c r="U679" s="3">
        <v>0.48</v>
      </c>
      <c r="V679" s="5">
        <v>1</v>
      </c>
      <c r="W679" s="5" t="s">
        <v>52</v>
      </c>
      <c r="X679" s="5" t="s">
        <v>46</v>
      </c>
      <c r="Z679" s="4">
        <v>44957</v>
      </c>
      <c r="AB679" s="5" t="str">
        <f t="shared" si="170"/>
        <v>Poly</v>
      </c>
      <c r="AC679" s="5">
        <v>100</v>
      </c>
      <c r="AD679" s="59">
        <v>0.09</v>
      </c>
      <c r="AE679" s="29">
        <v>2</v>
      </c>
      <c r="AF679" s="29" t="s">
        <v>102</v>
      </c>
      <c r="AG679" s="29" t="s">
        <v>102</v>
      </c>
      <c r="AJ679"/>
    </row>
    <row r="680" spans="1:38" ht="15" customHeight="1" x14ac:dyDescent="0.35">
      <c r="A680" s="77">
        <v>44958</v>
      </c>
      <c r="B680" s="5">
        <v>11</v>
      </c>
      <c r="C680" s="5" t="s">
        <v>130</v>
      </c>
      <c r="D680" s="5" t="s">
        <v>42</v>
      </c>
      <c r="E680"/>
      <c r="F680" s="5">
        <v>1050</v>
      </c>
      <c r="G680" s="5">
        <v>200</v>
      </c>
      <c r="H680" s="5"/>
      <c r="I680" s="5">
        <v>10</v>
      </c>
      <c r="J680" s="67"/>
      <c r="K680" s="6"/>
      <c r="L680" s="67"/>
      <c r="M680" s="5" t="s">
        <v>16</v>
      </c>
      <c r="N680" s="5">
        <v>5</v>
      </c>
      <c r="O680" s="5">
        <v>93</v>
      </c>
      <c r="P680" s="5">
        <v>60.1</v>
      </c>
      <c r="Q680" s="5">
        <v>24</v>
      </c>
      <c r="R680" s="3">
        <f t="shared" si="169"/>
        <v>177.1</v>
      </c>
      <c r="S680" s="3">
        <v>1.55</v>
      </c>
      <c r="T680" s="3">
        <v>0.67</v>
      </c>
      <c r="U680" s="3">
        <v>0.48</v>
      </c>
      <c r="V680" s="5">
        <v>1</v>
      </c>
      <c r="W680" s="5" t="s">
        <v>52</v>
      </c>
      <c r="X680" s="5" t="s">
        <v>46</v>
      </c>
      <c r="Y680" s="29" t="s">
        <v>232</v>
      </c>
      <c r="Z680" s="4"/>
      <c r="AB680" s="5" t="str">
        <f t="shared" si="170"/>
        <v>Poly</v>
      </c>
      <c r="AC680" s="5">
        <v>100</v>
      </c>
      <c r="AD680" s="59">
        <v>0.09</v>
      </c>
      <c r="AE680" s="29">
        <v>20</v>
      </c>
      <c r="AF680" s="29" t="s">
        <v>104</v>
      </c>
      <c r="AG680" s="29" t="s">
        <v>104</v>
      </c>
      <c r="AJ680"/>
    </row>
    <row r="681" spans="1:38" ht="15" customHeight="1" x14ac:dyDescent="0.35">
      <c r="A681" s="77">
        <v>44958</v>
      </c>
      <c r="B681" s="5">
        <v>12</v>
      </c>
      <c r="C681" s="5" t="s">
        <v>206</v>
      </c>
      <c r="D681" s="5" t="s">
        <v>121</v>
      </c>
      <c r="E681"/>
      <c r="F681" s="5">
        <v>1050</v>
      </c>
      <c r="G681" s="5">
        <v>200</v>
      </c>
      <c r="H681" s="5" t="s">
        <v>258</v>
      </c>
      <c r="I681" s="5">
        <v>10</v>
      </c>
      <c r="J681" s="67"/>
      <c r="K681" s="6"/>
      <c r="L681" s="67"/>
      <c r="M681" s="5" t="s">
        <v>16</v>
      </c>
      <c r="N681" s="6">
        <v>1</v>
      </c>
      <c r="O681" s="5">
        <v>132</v>
      </c>
      <c r="P681" s="5">
        <v>0</v>
      </c>
      <c r="Q681" s="5">
        <v>24</v>
      </c>
      <c r="R681" s="3">
        <f t="shared" si="169"/>
        <v>156</v>
      </c>
      <c r="S681" s="3" t="s">
        <v>193</v>
      </c>
      <c r="T681" s="3" t="s">
        <v>193</v>
      </c>
      <c r="U681" s="3" t="s">
        <v>193</v>
      </c>
      <c r="V681" s="5">
        <v>1</v>
      </c>
      <c r="W681" s="5" t="s">
        <v>122</v>
      </c>
      <c r="X681" s="5" t="s">
        <v>46</v>
      </c>
      <c r="Z681" s="4"/>
      <c r="AB681" s="5" t="str">
        <f t="shared" si="170"/>
        <v>Poly</v>
      </c>
      <c r="AC681" s="5">
        <v>100</v>
      </c>
      <c r="AD681" s="59"/>
      <c r="AF681" s="29"/>
      <c r="AG681" s="29"/>
      <c r="AJ681"/>
      <c r="AL681" t="s">
        <v>259</v>
      </c>
    </row>
    <row r="682" spans="1:38" ht="15" customHeight="1" x14ac:dyDescent="0.35">
      <c r="B682"/>
      <c r="C682"/>
      <c r="D682"/>
      <c r="E682"/>
      <c r="F682"/>
      <c r="G682"/>
      <c r="H682" s="29"/>
      <c r="I682" s="5"/>
      <c r="J682"/>
      <c r="K682" s="43"/>
      <c r="L682"/>
      <c r="M682"/>
      <c r="R682" s="59"/>
      <c r="Z682" s="5"/>
      <c r="AB682" s="5"/>
      <c r="AC682" s="5"/>
      <c r="AD682" s="59"/>
      <c r="AF682" s="29"/>
      <c r="AG682" s="29"/>
      <c r="AJ682"/>
    </row>
    <row r="683" spans="1:38" ht="15" customHeight="1" x14ac:dyDescent="0.35">
      <c r="A683" s="77">
        <v>44959</v>
      </c>
      <c r="B683" s="5">
        <v>13</v>
      </c>
      <c r="C683" s="5" t="s">
        <v>211</v>
      </c>
      <c r="D683" s="5" t="s">
        <v>42</v>
      </c>
      <c r="E683"/>
      <c r="F683" s="5">
        <v>1050</v>
      </c>
      <c r="G683" s="5">
        <v>100</v>
      </c>
      <c r="H683" s="29"/>
      <c r="I683" s="5">
        <v>10</v>
      </c>
      <c r="J683"/>
      <c r="K683" s="43"/>
      <c r="L683"/>
      <c r="M683" s="5" t="s">
        <v>16</v>
      </c>
      <c r="N683" s="6">
        <v>1</v>
      </c>
      <c r="O683" s="29">
        <v>120</v>
      </c>
      <c r="P683" s="29">
        <v>15.2</v>
      </c>
      <c r="Q683" s="29">
        <v>20</v>
      </c>
      <c r="R683" s="3">
        <v>155.19999999999999</v>
      </c>
      <c r="S683" s="3">
        <v>7.89</v>
      </c>
      <c r="T683" s="3">
        <v>17.5</v>
      </c>
      <c r="U683" s="3">
        <v>4.1100000000000003</v>
      </c>
      <c r="V683" s="5">
        <v>2</v>
      </c>
      <c r="W683" s="5" t="s">
        <v>52</v>
      </c>
      <c r="X683" s="5" t="s">
        <v>46</v>
      </c>
      <c r="Y683" s="5" t="s">
        <v>260</v>
      </c>
      <c r="Z683" s="4">
        <v>44958</v>
      </c>
      <c r="AB683" s="5" t="str">
        <f t="shared" ref="AB683:AB690" si="171">IF(X683="20um Schlenk", "Single", "Poly")</f>
        <v>Poly</v>
      </c>
      <c r="AC683" s="5">
        <v>98</v>
      </c>
      <c r="AD683" s="59"/>
      <c r="AE683" s="29">
        <v>2</v>
      </c>
      <c r="AF683" s="29" t="s">
        <v>104</v>
      </c>
      <c r="AG683" s="29" t="s">
        <v>110</v>
      </c>
      <c r="AJ683"/>
    </row>
    <row r="684" spans="1:38" ht="15" customHeight="1" x14ac:dyDescent="0.35">
      <c r="A684" s="77">
        <v>44959</v>
      </c>
      <c r="B684" s="5">
        <v>13</v>
      </c>
      <c r="C684" s="5" t="s">
        <v>211</v>
      </c>
      <c r="D684" s="5" t="s">
        <v>42</v>
      </c>
      <c r="E684"/>
      <c r="F684" s="5">
        <v>1050</v>
      </c>
      <c r="G684" s="5">
        <v>100</v>
      </c>
      <c r="H684" s="29"/>
      <c r="I684" s="5">
        <v>10</v>
      </c>
      <c r="J684"/>
      <c r="K684" s="43"/>
      <c r="L684"/>
      <c r="M684" s="5" t="s">
        <v>16</v>
      </c>
      <c r="N684" s="6">
        <v>1</v>
      </c>
      <c r="O684" s="29">
        <v>120</v>
      </c>
      <c r="P684" s="29">
        <v>15.2</v>
      </c>
      <c r="Q684" s="29">
        <v>20</v>
      </c>
      <c r="R684" s="3">
        <v>155.19999999999999</v>
      </c>
      <c r="S684" s="3">
        <v>7.89</v>
      </c>
      <c r="T684" s="3">
        <v>17.5</v>
      </c>
      <c r="U684" s="3">
        <v>4.1100000000000003</v>
      </c>
      <c r="V684" s="5">
        <v>1</v>
      </c>
      <c r="W684" s="5" t="s">
        <v>52</v>
      </c>
      <c r="X684" s="5" t="s">
        <v>46</v>
      </c>
      <c r="Y684" s="5" t="s">
        <v>185</v>
      </c>
      <c r="Z684" s="4">
        <v>44958</v>
      </c>
      <c r="AB684" s="5" t="str">
        <f t="shared" si="171"/>
        <v>Poly</v>
      </c>
      <c r="AC684" s="5">
        <v>100</v>
      </c>
      <c r="AD684" s="59"/>
      <c r="AE684" s="29">
        <v>2</v>
      </c>
      <c r="AF684" s="29" t="s">
        <v>104</v>
      </c>
      <c r="AG684" s="29" t="s">
        <v>102</v>
      </c>
      <c r="AJ684"/>
    </row>
    <row r="685" spans="1:38" ht="15" customHeight="1" x14ac:dyDescent="0.35">
      <c r="A685" s="77">
        <v>44959</v>
      </c>
      <c r="B685" s="5">
        <v>13</v>
      </c>
      <c r="C685" s="5" t="s">
        <v>211</v>
      </c>
      <c r="D685" s="5" t="s">
        <v>42</v>
      </c>
      <c r="E685"/>
      <c r="F685" s="5">
        <v>1050</v>
      </c>
      <c r="G685" s="5">
        <v>100</v>
      </c>
      <c r="H685" s="29"/>
      <c r="I685" s="5">
        <v>10</v>
      </c>
      <c r="J685"/>
      <c r="K685" s="43"/>
      <c r="L685"/>
      <c r="M685" s="5" t="s">
        <v>16</v>
      </c>
      <c r="N685" s="6">
        <v>1</v>
      </c>
      <c r="O685" s="29">
        <v>120</v>
      </c>
      <c r="P685" s="29">
        <v>15.2</v>
      </c>
      <c r="Q685" s="29">
        <v>20</v>
      </c>
      <c r="R685" s="3">
        <v>155.19999999999999</v>
      </c>
      <c r="S685" s="3">
        <v>7.89</v>
      </c>
      <c r="T685" s="3">
        <v>17.5</v>
      </c>
      <c r="U685" s="3">
        <v>4.1100000000000003</v>
      </c>
      <c r="V685" s="5">
        <v>1</v>
      </c>
      <c r="W685" s="5" t="s">
        <v>52</v>
      </c>
      <c r="X685" s="5" t="s">
        <v>46</v>
      </c>
      <c r="Y685" s="5" t="s">
        <v>256</v>
      </c>
      <c r="Z685" s="4">
        <v>44958</v>
      </c>
      <c r="AB685" s="5" t="str">
        <f t="shared" si="171"/>
        <v>Poly</v>
      </c>
      <c r="AC685" s="5">
        <v>100</v>
      </c>
      <c r="AD685" s="59">
        <v>0.03</v>
      </c>
      <c r="AE685" s="29">
        <v>1</v>
      </c>
      <c r="AF685" s="29" t="s">
        <v>104</v>
      </c>
      <c r="AG685" s="29" t="s">
        <v>102</v>
      </c>
      <c r="AJ685"/>
    </row>
    <row r="686" spans="1:38" ht="15" customHeight="1" x14ac:dyDescent="0.35">
      <c r="A686" s="77">
        <v>44959</v>
      </c>
      <c r="B686" s="5">
        <v>14</v>
      </c>
      <c r="C686" s="5" t="s">
        <v>211</v>
      </c>
      <c r="D686" s="5" t="s">
        <v>121</v>
      </c>
      <c r="E686"/>
      <c r="F686" s="5">
        <v>1050</v>
      </c>
      <c r="G686" s="5">
        <v>100</v>
      </c>
      <c r="H686" s="29" t="s">
        <v>261</v>
      </c>
      <c r="I686" s="5">
        <v>10</v>
      </c>
      <c r="J686"/>
      <c r="K686" s="43"/>
      <c r="L686"/>
      <c r="M686" s="5" t="s">
        <v>16</v>
      </c>
      <c r="N686" s="6">
        <v>1</v>
      </c>
      <c r="O686" s="29">
        <v>120</v>
      </c>
      <c r="P686" s="29">
        <v>15.2</v>
      </c>
      <c r="Q686" s="29">
        <v>20</v>
      </c>
      <c r="R686" s="3">
        <v>155.19999999999999</v>
      </c>
      <c r="S686" s="3">
        <v>7.89</v>
      </c>
      <c r="T686" s="3">
        <v>17.5</v>
      </c>
      <c r="U686" s="3">
        <v>4.1100000000000003</v>
      </c>
      <c r="V686" s="5">
        <v>1</v>
      </c>
      <c r="W686" s="5" t="s">
        <v>122</v>
      </c>
      <c r="X686" s="5" t="s">
        <v>46</v>
      </c>
      <c r="Y686" s="5" t="s">
        <v>185</v>
      </c>
      <c r="Z686" s="4">
        <v>44958</v>
      </c>
      <c r="AB686" s="5" t="str">
        <f t="shared" si="171"/>
        <v>Poly</v>
      </c>
      <c r="AC686" s="5">
        <v>100</v>
      </c>
      <c r="AD686" s="59"/>
      <c r="AE686" s="29">
        <v>2</v>
      </c>
      <c r="AF686" s="29" t="s">
        <v>104</v>
      </c>
      <c r="AG686" s="29" t="s">
        <v>110</v>
      </c>
      <c r="AJ686"/>
    </row>
    <row r="687" spans="1:38" ht="15" customHeight="1" x14ac:dyDescent="0.35">
      <c r="A687" s="77">
        <v>44959</v>
      </c>
      <c r="B687" s="5">
        <v>14</v>
      </c>
      <c r="C687" s="5" t="s">
        <v>211</v>
      </c>
      <c r="D687" s="5" t="s">
        <v>121</v>
      </c>
      <c r="E687"/>
      <c r="F687" s="5">
        <v>1050</v>
      </c>
      <c r="G687" s="5">
        <v>200</v>
      </c>
      <c r="H687" s="29" t="s">
        <v>261</v>
      </c>
      <c r="I687" s="5">
        <v>10</v>
      </c>
      <c r="J687"/>
      <c r="K687" s="43"/>
      <c r="L687"/>
      <c r="M687" s="5" t="s">
        <v>16</v>
      </c>
      <c r="N687" s="6">
        <v>1</v>
      </c>
      <c r="O687" s="29">
        <v>120</v>
      </c>
      <c r="P687" s="29">
        <v>15.2</v>
      </c>
      <c r="Q687" s="29">
        <v>20</v>
      </c>
      <c r="R687" s="3">
        <v>155.19999999999999</v>
      </c>
      <c r="S687" s="3">
        <v>7.89</v>
      </c>
      <c r="T687" s="3">
        <v>17.5</v>
      </c>
      <c r="U687" s="3">
        <v>4.1100000000000003</v>
      </c>
      <c r="V687" s="5">
        <v>1</v>
      </c>
      <c r="W687" s="5" t="s">
        <v>122</v>
      </c>
      <c r="X687" s="5" t="s">
        <v>46</v>
      </c>
      <c r="Y687" s="5" t="s">
        <v>185</v>
      </c>
      <c r="Z687" s="4">
        <v>44958</v>
      </c>
      <c r="AB687" s="5" t="str">
        <f t="shared" si="171"/>
        <v>Poly</v>
      </c>
      <c r="AC687" s="5">
        <v>99</v>
      </c>
      <c r="AD687" s="59">
        <v>0.02</v>
      </c>
      <c r="AE687" s="29">
        <v>2</v>
      </c>
      <c r="AF687" s="29" t="s">
        <v>104</v>
      </c>
      <c r="AG687" s="29" t="s">
        <v>103</v>
      </c>
      <c r="AJ687"/>
    </row>
    <row r="688" spans="1:38" ht="15" customHeight="1" x14ac:dyDescent="0.35">
      <c r="A688" s="77">
        <v>44959</v>
      </c>
      <c r="B688" s="5">
        <v>14</v>
      </c>
      <c r="C688" s="5" t="s">
        <v>211</v>
      </c>
      <c r="D688" s="5" t="s">
        <v>121</v>
      </c>
      <c r="E688"/>
      <c r="F688" s="5">
        <v>1050</v>
      </c>
      <c r="G688" s="5">
        <v>100</v>
      </c>
      <c r="H688" s="29" t="s">
        <v>261</v>
      </c>
      <c r="I688" s="5">
        <v>10</v>
      </c>
      <c r="J688"/>
      <c r="K688" s="43"/>
      <c r="L688"/>
      <c r="M688" s="5" t="s">
        <v>16</v>
      </c>
      <c r="N688" s="6">
        <v>1</v>
      </c>
      <c r="O688" s="29">
        <v>120</v>
      </c>
      <c r="P688" s="29">
        <v>15.2</v>
      </c>
      <c r="Q688" s="29">
        <v>20</v>
      </c>
      <c r="R688" s="3">
        <v>155.19999999999999</v>
      </c>
      <c r="S688" s="3">
        <v>7.89</v>
      </c>
      <c r="T688" s="3">
        <v>17.5</v>
      </c>
      <c r="U688" s="3">
        <v>4.1100000000000003</v>
      </c>
      <c r="V688" s="5">
        <v>1</v>
      </c>
      <c r="W688" s="5" t="s">
        <v>122</v>
      </c>
      <c r="X688" s="5" t="s">
        <v>46</v>
      </c>
      <c r="Y688" s="5" t="s">
        <v>185</v>
      </c>
      <c r="Z688" s="4">
        <v>44958</v>
      </c>
      <c r="AB688" s="5" t="str">
        <f t="shared" si="171"/>
        <v>Poly</v>
      </c>
      <c r="AC688" s="5">
        <v>100</v>
      </c>
      <c r="AD688" s="59">
        <v>0.06</v>
      </c>
      <c r="AE688" s="29">
        <v>0</v>
      </c>
      <c r="AF688" s="29" t="s">
        <v>104</v>
      </c>
      <c r="AG688" s="29" t="s">
        <v>103</v>
      </c>
      <c r="AJ688"/>
      <c r="AL688" t="s">
        <v>262</v>
      </c>
    </row>
    <row r="689" spans="1:38" ht="15" customHeight="1" x14ac:dyDescent="0.35">
      <c r="A689" s="77">
        <v>44959</v>
      </c>
      <c r="B689" s="5">
        <v>15</v>
      </c>
      <c r="C689" s="5" t="s">
        <v>130</v>
      </c>
      <c r="D689" s="5" t="s">
        <v>121</v>
      </c>
      <c r="E689"/>
      <c r="F689" s="5">
        <v>1050</v>
      </c>
      <c r="G689" s="5">
        <v>100</v>
      </c>
      <c r="H689" s="5"/>
      <c r="I689" s="5">
        <v>10</v>
      </c>
      <c r="J689" s="67"/>
      <c r="K689" s="6"/>
      <c r="L689" s="67"/>
      <c r="M689" s="5" t="s">
        <v>16</v>
      </c>
      <c r="N689" s="5">
        <v>5</v>
      </c>
      <c r="O689" s="5">
        <v>93</v>
      </c>
      <c r="P689" s="5">
        <v>60.1</v>
      </c>
      <c r="Q689" s="5">
        <v>24</v>
      </c>
      <c r="R689" s="3">
        <f t="shared" ref="R689:R690" si="172">O689+P689+Q689</f>
        <v>177.1</v>
      </c>
      <c r="S689" s="3">
        <v>1.55</v>
      </c>
      <c r="T689" s="3">
        <v>0.67</v>
      </c>
      <c r="U689" s="3">
        <v>0.48</v>
      </c>
      <c r="V689" s="5">
        <v>1</v>
      </c>
      <c r="W689" s="5" t="s">
        <v>122</v>
      </c>
      <c r="X689" s="5" t="s">
        <v>46</v>
      </c>
      <c r="Y689" s="5" t="s">
        <v>185</v>
      </c>
      <c r="Z689" s="4">
        <v>44958</v>
      </c>
      <c r="AB689" s="5" t="str">
        <f t="shared" si="171"/>
        <v>Poly</v>
      </c>
      <c r="AC689" s="5">
        <v>100</v>
      </c>
      <c r="AE689" s="29">
        <v>0</v>
      </c>
      <c r="AF689" s="29" t="s">
        <v>104</v>
      </c>
      <c r="AG689" s="29" t="s">
        <v>102</v>
      </c>
      <c r="AJ689"/>
    </row>
    <row r="690" spans="1:38" ht="15" customHeight="1" x14ac:dyDescent="0.35">
      <c r="A690" s="77">
        <v>44959</v>
      </c>
      <c r="B690" s="5">
        <v>15</v>
      </c>
      <c r="C690" s="5" t="s">
        <v>130</v>
      </c>
      <c r="D690" s="5" t="s">
        <v>121</v>
      </c>
      <c r="E690"/>
      <c r="F690" s="5">
        <v>1050</v>
      </c>
      <c r="G690" s="5">
        <v>100</v>
      </c>
      <c r="H690" s="5"/>
      <c r="I690" s="5">
        <v>10</v>
      </c>
      <c r="J690" s="67"/>
      <c r="K690" s="6"/>
      <c r="L690" s="67"/>
      <c r="M690" s="5" t="s">
        <v>16</v>
      </c>
      <c r="N690" s="5">
        <v>5</v>
      </c>
      <c r="O690" s="5">
        <v>93</v>
      </c>
      <c r="P690" s="5">
        <v>60.1</v>
      </c>
      <c r="Q690" s="5">
        <v>24</v>
      </c>
      <c r="R690" s="3">
        <f t="shared" si="172"/>
        <v>177.1</v>
      </c>
      <c r="S690" s="3">
        <v>1.55</v>
      </c>
      <c r="T690" s="3">
        <v>0.67</v>
      </c>
      <c r="U690" s="3">
        <v>0.48</v>
      </c>
      <c r="V690" s="5">
        <v>1</v>
      </c>
      <c r="W690" s="5" t="s">
        <v>122</v>
      </c>
      <c r="X690" s="5" t="s">
        <v>46</v>
      </c>
      <c r="Y690" s="5" t="s">
        <v>185</v>
      </c>
      <c r="Z690" s="4">
        <v>44958</v>
      </c>
      <c r="AB690" s="5" t="str">
        <f t="shared" si="171"/>
        <v>Poly</v>
      </c>
      <c r="AC690" s="5">
        <v>100</v>
      </c>
      <c r="AD690" s="59"/>
      <c r="AE690" s="29">
        <v>0</v>
      </c>
      <c r="AF690" s="29" t="s">
        <v>110</v>
      </c>
      <c r="AG690" s="29" t="s">
        <v>102</v>
      </c>
      <c r="AJ690"/>
    </row>
    <row r="691" spans="1:38" ht="15" customHeight="1" thickBot="1" x14ac:dyDescent="0.4">
      <c r="B691"/>
      <c r="C691"/>
      <c r="D691"/>
      <c r="E691"/>
      <c r="F691"/>
      <c r="G691"/>
      <c r="H691" s="29"/>
      <c r="J691"/>
      <c r="K691" s="43"/>
      <c r="L691"/>
      <c r="M691"/>
      <c r="R691" s="59"/>
      <c r="Z691" s="5"/>
      <c r="AC691"/>
      <c r="AD691" s="59"/>
      <c r="AF691" s="29"/>
      <c r="AG691" s="29"/>
      <c r="AJ691"/>
    </row>
    <row r="692" spans="1:38" s="30" customFormat="1" ht="15" customHeight="1" thickBot="1" x14ac:dyDescent="0.4">
      <c r="A692" s="101"/>
      <c r="B692" s="85"/>
      <c r="C692" s="39"/>
      <c r="D692" s="48"/>
      <c r="E692" s="39"/>
      <c r="F692" s="39"/>
      <c r="G692" s="39"/>
      <c r="H692" s="73"/>
      <c r="I692" s="39"/>
      <c r="J692" s="66"/>
      <c r="K692" s="66"/>
      <c r="L692" s="66"/>
      <c r="M692" s="39"/>
      <c r="N692" s="39"/>
      <c r="O692" s="39"/>
      <c r="P692" s="39"/>
      <c r="Q692" s="39"/>
      <c r="R692" s="39"/>
      <c r="S692" s="60"/>
      <c r="T692" s="60"/>
      <c r="U692" s="60"/>
      <c r="V692" s="39"/>
      <c r="W692" s="39"/>
      <c r="X692" s="39"/>
      <c r="Y692" s="39"/>
      <c r="Z692" s="80"/>
      <c r="AB692" s="39"/>
      <c r="AC692" s="39"/>
      <c r="AD692" s="122"/>
      <c r="AE692" s="39"/>
      <c r="AG692" s="56"/>
      <c r="AJ692" s="56"/>
    </row>
    <row r="694" spans="1:38" ht="15" customHeight="1" x14ac:dyDescent="0.35">
      <c r="A694" s="77">
        <v>44984</v>
      </c>
      <c r="B694" s="5">
        <v>1</v>
      </c>
      <c r="C694" s="5" t="s">
        <v>129</v>
      </c>
      <c r="D694" s="5" t="s">
        <v>144</v>
      </c>
      <c r="E694" s="5"/>
      <c r="F694" s="5">
        <v>1050</v>
      </c>
      <c r="G694" s="5">
        <v>200</v>
      </c>
      <c r="H694" s="5" t="s">
        <v>263</v>
      </c>
      <c r="I694" s="5">
        <v>10</v>
      </c>
      <c r="J694" s="67"/>
      <c r="K694" s="6"/>
      <c r="L694" s="67"/>
      <c r="M694" s="5" t="s">
        <v>16</v>
      </c>
      <c r="N694" s="6">
        <v>1</v>
      </c>
      <c r="O694" s="5">
        <v>132</v>
      </c>
      <c r="P694" s="5">
        <v>0</v>
      </c>
      <c r="Q694" s="5">
        <v>24</v>
      </c>
      <c r="R694" s="3">
        <f t="shared" ref="R694:R697" si="173">O694+P694+Q694</f>
        <v>156</v>
      </c>
      <c r="S694" s="3" t="s">
        <v>193</v>
      </c>
      <c r="T694" s="3" t="s">
        <v>193</v>
      </c>
      <c r="U694" s="3" t="s">
        <v>193</v>
      </c>
      <c r="V694" s="5">
        <v>1</v>
      </c>
      <c r="W694" s="5" t="s">
        <v>122</v>
      </c>
      <c r="X694" s="5" t="s">
        <v>46</v>
      </c>
      <c r="Z694" s="4">
        <v>44977</v>
      </c>
      <c r="AB694" s="5"/>
      <c r="AC694" s="5"/>
      <c r="AD694" s="59"/>
      <c r="AF694" s="29"/>
      <c r="AG694" s="29"/>
      <c r="AJ694"/>
    </row>
    <row r="695" spans="1:38" ht="15" customHeight="1" x14ac:dyDescent="0.35">
      <c r="A695" s="77">
        <v>44984</v>
      </c>
      <c r="B695" s="5">
        <v>2</v>
      </c>
      <c r="C695" s="5" t="s">
        <v>129</v>
      </c>
      <c r="D695" s="5" t="s">
        <v>144</v>
      </c>
      <c r="E695" s="5"/>
      <c r="F695" s="5">
        <v>1050</v>
      </c>
      <c r="G695" s="5">
        <v>200</v>
      </c>
      <c r="H695" s="5" t="s">
        <v>264</v>
      </c>
      <c r="I695" s="5">
        <v>10</v>
      </c>
      <c r="J695" s="67"/>
      <c r="K695" s="6"/>
      <c r="L695" s="67"/>
      <c r="M695" s="5" t="s">
        <v>16</v>
      </c>
      <c r="N695" s="6">
        <v>1</v>
      </c>
      <c r="O695" s="5">
        <v>132</v>
      </c>
      <c r="P695" s="5">
        <v>0</v>
      </c>
      <c r="Q695" s="5">
        <v>24</v>
      </c>
      <c r="R695" s="3">
        <f t="shared" si="173"/>
        <v>156</v>
      </c>
      <c r="S695" s="3" t="s">
        <v>193</v>
      </c>
      <c r="T695" s="3" t="s">
        <v>193</v>
      </c>
      <c r="U695" s="3" t="s">
        <v>193</v>
      </c>
      <c r="V695" s="5">
        <v>1</v>
      </c>
      <c r="W695" s="5" t="s">
        <v>122</v>
      </c>
      <c r="X695" s="5" t="s">
        <v>46</v>
      </c>
      <c r="Z695" s="4">
        <v>44977</v>
      </c>
      <c r="AB695" s="5"/>
      <c r="AC695" s="5"/>
      <c r="AD695" s="59"/>
      <c r="AF695" s="29"/>
      <c r="AG695" s="29"/>
      <c r="AJ695"/>
    </row>
    <row r="696" spans="1:38" ht="15" customHeight="1" x14ac:dyDescent="0.35">
      <c r="A696" s="77">
        <v>44984</v>
      </c>
      <c r="B696" s="5">
        <v>3</v>
      </c>
      <c r="C696" s="5" t="s">
        <v>129</v>
      </c>
      <c r="D696" s="5" t="s">
        <v>144</v>
      </c>
      <c r="E696" s="5"/>
      <c r="F696" s="5">
        <v>1050</v>
      </c>
      <c r="G696" s="5">
        <v>200</v>
      </c>
      <c r="H696" s="5" t="s">
        <v>265</v>
      </c>
      <c r="I696" s="5">
        <v>10</v>
      </c>
      <c r="J696" s="67"/>
      <c r="K696" s="6"/>
      <c r="L696" s="67"/>
      <c r="M696" s="5" t="s">
        <v>16</v>
      </c>
      <c r="N696" s="6">
        <v>1</v>
      </c>
      <c r="O696" s="5">
        <v>132</v>
      </c>
      <c r="P696" s="5">
        <v>0</v>
      </c>
      <c r="Q696" s="5">
        <v>24</v>
      </c>
      <c r="R696" s="3">
        <f t="shared" si="173"/>
        <v>156</v>
      </c>
      <c r="S696" s="3" t="s">
        <v>193</v>
      </c>
      <c r="T696" s="3" t="s">
        <v>193</v>
      </c>
      <c r="U696" s="3" t="s">
        <v>193</v>
      </c>
      <c r="V696" s="5">
        <v>1</v>
      </c>
      <c r="W696" s="5" t="s">
        <v>122</v>
      </c>
      <c r="X696" s="5" t="s">
        <v>46</v>
      </c>
      <c r="Z696" s="4">
        <v>44977</v>
      </c>
      <c r="AB696" s="5"/>
      <c r="AC696" s="5"/>
      <c r="AD696" s="59"/>
      <c r="AF696" s="29"/>
      <c r="AG696" s="29"/>
      <c r="AJ696"/>
    </row>
    <row r="697" spans="1:38" ht="15" customHeight="1" x14ac:dyDescent="0.35">
      <c r="A697" s="77">
        <v>44984</v>
      </c>
      <c r="B697" s="5">
        <v>4</v>
      </c>
      <c r="C697" s="5" t="s">
        <v>129</v>
      </c>
      <c r="D697" s="5" t="s">
        <v>144</v>
      </c>
      <c r="E697" s="5"/>
      <c r="F697" s="5">
        <v>1050</v>
      </c>
      <c r="G697" s="5">
        <v>200</v>
      </c>
      <c r="H697" s="5" t="s">
        <v>266</v>
      </c>
      <c r="I697" s="5">
        <v>10</v>
      </c>
      <c r="J697" s="67"/>
      <c r="K697" s="6"/>
      <c r="L697" s="67"/>
      <c r="M697" s="5" t="s">
        <v>16</v>
      </c>
      <c r="N697" s="6">
        <v>1</v>
      </c>
      <c r="O697" s="5">
        <v>132</v>
      </c>
      <c r="P697" s="5">
        <v>0</v>
      </c>
      <c r="Q697" s="5">
        <v>24</v>
      </c>
      <c r="R697" s="3">
        <f t="shared" si="173"/>
        <v>156</v>
      </c>
      <c r="S697" s="3" t="s">
        <v>193</v>
      </c>
      <c r="T697" s="3" t="s">
        <v>193</v>
      </c>
      <c r="U697" s="3" t="s">
        <v>193</v>
      </c>
      <c r="V697" s="5">
        <v>1</v>
      </c>
      <c r="W697" s="5" t="s">
        <v>122</v>
      </c>
      <c r="X697" s="5" t="s">
        <v>46</v>
      </c>
      <c r="Z697" s="4">
        <v>44977</v>
      </c>
      <c r="AB697" s="5"/>
      <c r="AC697" s="5"/>
      <c r="AD697" s="59"/>
      <c r="AF697" s="29"/>
      <c r="AG697" s="29"/>
      <c r="AJ697"/>
    </row>
    <row r="698" spans="1:38" ht="15" customHeight="1" x14ac:dyDescent="0.35">
      <c r="A698" s="4"/>
      <c r="B698" s="5"/>
      <c r="C698" s="5"/>
      <c r="D698" s="5"/>
      <c r="E698" s="5"/>
      <c r="F698" s="5"/>
      <c r="G698" s="5"/>
      <c r="H698" s="5"/>
      <c r="I698" s="5"/>
      <c r="J698" s="67"/>
      <c r="K698" s="6"/>
      <c r="L698" s="67"/>
      <c r="M698" s="5"/>
      <c r="N698" s="6"/>
      <c r="O698" s="5"/>
      <c r="P698" s="5"/>
      <c r="Q698" s="5"/>
      <c r="R698" s="3"/>
      <c r="S698" s="3"/>
      <c r="T698" s="3"/>
      <c r="U698" s="3"/>
      <c r="V698" s="5"/>
      <c r="W698" s="5"/>
      <c r="X698" s="5"/>
      <c r="Y698" s="5"/>
      <c r="Z698" s="4"/>
      <c r="AB698" s="5"/>
      <c r="AC698" s="5"/>
      <c r="AD698" s="3"/>
      <c r="AF698" s="29"/>
      <c r="AG698" s="29"/>
      <c r="AJ698"/>
    </row>
    <row r="699" spans="1:38" ht="15" customHeight="1" x14ac:dyDescent="0.35">
      <c r="A699" s="4">
        <v>44985</v>
      </c>
      <c r="B699" s="5">
        <v>5</v>
      </c>
      <c r="C699" s="5" t="s">
        <v>130</v>
      </c>
      <c r="D699" s="5" t="s">
        <v>144</v>
      </c>
      <c r="E699" s="5"/>
      <c r="F699" s="5">
        <v>1050</v>
      </c>
      <c r="G699" s="5">
        <v>100</v>
      </c>
      <c r="H699" s="5" t="s">
        <v>267</v>
      </c>
      <c r="I699" s="5">
        <v>10</v>
      </c>
      <c r="J699" s="67"/>
      <c r="K699" s="6"/>
      <c r="L699" s="67"/>
      <c r="M699" s="5" t="s">
        <v>16</v>
      </c>
      <c r="N699" s="5">
        <v>5</v>
      </c>
      <c r="O699" s="5">
        <v>93</v>
      </c>
      <c r="P699" s="5">
        <v>60.1</v>
      </c>
      <c r="Q699" s="5">
        <v>24</v>
      </c>
      <c r="R699" s="3">
        <f t="shared" ref="R699:R704" si="174">O699+P699+Q699</f>
        <v>177.1</v>
      </c>
      <c r="S699" s="3">
        <v>1.55</v>
      </c>
      <c r="T699" s="3">
        <v>0.67</v>
      </c>
      <c r="U699" s="3">
        <v>0.48</v>
      </c>
      <c r="V699" s="5">
        <v>1</v>
      </c>
      <c r="W699" s="5" t="s">
        <v>122</v>
      </c>
      <c r="X699" s="5" t="s">
        <v>46</v>
      </c>
      <c r="Y699" s="5" t="s">
        <v>209</v>
      </c>
      <c r="Z699" s="4">
        <v>44977</v>
      </c>
      <c r="AB699" s="5" t="str">
        <f t="shared" ref="AB699:AB702" si="175">IF(X699="20um Schlenk", "Single", "Poly")</f>
        <v>Poly</v>
      </c>
      <c r="AC699" s="5">
        <v>100</v>
      </c>
      <c r="AD699" s="3">
        <f>AVERAGE(0.05,0.04,0.03)</f>
        <v>0.04</v>
      </c>
      <c r="AE699" s="29">
        <v>0</v>
      </c>
      <c r="AF699" s="29" t="s">
        <v>102</v>
      </c>
      <c r="AG699" s="29" t="s">
        <v>102</v>
      </c>
      <c r="AJ699"/>
    </row>
    <row r="700" spans="1:38" ht="15" customHeight="1" x14ac:dyDescent="0.35">
      <c r="A700" s="4">
        <v>44985</v>
      </c>
      <c r="B700" s="5">
        <v>6</v>
      </c>
      <c r="C700" s="5" t="s">
        <v>130</v>
      </c>
      <c r="D700" s="5" t="s">
        <v>144</v>
      </c>
      <c r="E700" s="5"/>
      <c r="F700" s="5">
        <v>1050</v>
      </c>
      <c r="G700" s="5">
        <v>100</v>
      </c>
      <c r="H700" s="5" t="s">
        <v>265</v>
      </c>
      <c r="I700" s="5">
        <v>10</v>
      </c>
      <c r="J700" s="67"/>
      <c r="K700" s="6"/>
      <c r="L700" s="67"/>
      <c r="M700" s="5" t="s">
        <v>16</v>
      </c>
      <c r="N700" s="5">
        <v>5</v>
      </c>
      <c r="O700" s="5">
        <v>93</v>
      </c>
      <c r="P700" s="5">
        <v>60.1</v>
      </c>
      <c r="Q700" s="5">
        <v>24</v>
      </c>
      <c r="R700" s="3">
        <f t="shared" si="174"/>
        <v>177.1</v>
      </c>
      <c r="S700" s="3">
        <v>1.55</v>
      </c>
      <c r="T700" s="3">
        <v>0.67</v>
      </c>
      <c r="U700" s="3">
        <v>0.48</v>
      </c>
      <c r="V700" s="5">
        <v>1</v>
      </c>
      <c r="W700" s="5" t="s">
        <v>122</v>
      </c>
      <c r="X700" s="5" t="s">
        <v>46</v>
      </c>
      <c r="Y700" s="5" t="s">
        <v>209</v>
      </c>
      <c r="Z700" s="4">
        <v>44977</v>
      </c>
      <c r="AB700" s="5" t="str">
        <f t="shared" si="175"/>
        <v>Poly</v>
      </c>
      <c r="AC700" s="5">
        <v>100</v>
      </c>
      <c r="AD700" s="3">
        <f>AVERAGE(0.02,0.03,0.02,0.02)</f>
        <v>2.2500000000000003E-2</v>
      </c>
      <c r="AE700" s="29">
        <v>1</v>
      </c>
      <c r="AF700" s="29" t="s">
        <v>102</v>
      </c>
      <c r="AG700" s="29" t="s">
        <v>102</v>
      </c>
      <c r="AJ700"/>
      <c r="AL700" t="s">
        <v>268</v>
      </c>
    </row>
    <row r="701" spans="1:38" ht="15" customHeight="1" x14ac:dyDescent="0.35">
      <c r="A701" s="4"/>
      <c r="B701" s="5"/>
      <c r="C701" s="5"/>
      <c r="D701" s="5"/>
      <c r="E701" s="5"/>
      <c r="F701" s="5"/>
      <c r="G701" s="5"/>
      <c r="H701" s="5"/>
      <c r="I701" s="5"/>
      <c r="J701" s="67"/>
      <c r="K701" s="6"/>
      <c r="L701" s="67"/>
      <c r="M701" s="5"/>
      <c r="N701" s="5"/>
      <c r="O701" s="5"/>
      <c r="P701" s="5"/>
      <c r="Q701" s="5"/>
      <c r="R701" s="3"/>
      <c r="S701" s="3"/>
      <c r="T701" s="3"/>
      <c r="U701" s="3"/>
      <c r="V701" s="5"/>
      <c r="W701" s="5"/>
      <c r="X701" s="5"/>
      <c r="Y701" s="5"/>
      <c r="Z701" s="4"/>
      <c r="AB701" s="5"/>
      <c r="AC701" s="5"/>
      <c r="AD701" s="3"/>
      <c r="AF701" s="29"/>
      <c r="AG701" s="29"/>
      <c r="AJ701"/>
    </row>
    <row r="702" spans="1:38" ht="15" customHeight="1" x14ac:dyDescent="0.35">
      <c r="A702" s="4">
        <v>44986</v>
      </c>
      <c r="B702" s="5">
        <v>7</v>
      </c>
      <c r="C702" s="5" t="s">
        <v>130</v>
      </c>
      <c r="D702" s="5" t="s">
        <v>144</v>
      </c>
      <c r="E702" s="5"/>
      <c r="F702" s="5">
        <v>1050</v>
      </c>
      <c r="G702" s="5">
        <v>100</v>
      </c>
      <c r="H702" s="5" t="s">
        <v>266</v>
      </c>
      <c r="I702" s="5">
        <v>10</v>
      </c>
      <c r="J702" s="67"/>
      <c r="K702" s="6"/>
      <c r="L702" s="67"/>
      <c r="M702" s="5" t="s">
        <v>16</v>
      </c>
      <c r="N702" s="5">
        <v>5</v>
      </c>
      <c r="O702" s="5">
        <v>93</v>
      </c>
      <c r="P702" s="5">
        <v>60.1</v>
      </c>
      <c r="Q702" s="5">
        <v>24</v>
      </c>
      <c r="R702" s="3">
        <f t="shared" si="174"/>
        <v>177.1</v>
      </c>
      <c r="S702" s="3">
        <v>1.55</v>
      </c>
      <c r="T702" s="3">
        <v>0.67</v>
      </c>
      <c r="U702" s="3">
        <v>0.48</v>
      </c>
      <c r="V702" s="5">
        <v>1</v>
      </c>
      <c r="W702" s="5" t="s">
        <v>122</v>
      </c>
      <c r="X702" s="5" t="s">
        <v>46</v>
      </c>
      <c r="Y702" s="5" t="s">
        <v>209</v>
      </c>
      <c r="Z702" s="4">
        <v>44977</v>
      </c>
      <c r="AB702" s="5" t="str">
        <f t="shared" si="175"/>
        <v>Poly</v>
      </c>
      <c r="AC702" s="5">
        <v>100</v>
      </c>
      <c r="AD702" s="59"/>
      <c r="AE702" s="29">
        <v>0</v>
      </c>
      <c r="AF702" s="29" t="s">
        <v>102</v>
      </c>
      <c r="AG702" s="29" t="s">
        <v>104</v>
      </c>
      <c r="AJ702"/>
    </row>
    <row r="703" spans="1:38" ht="15" customHeight="1" x14ac:dyDescent="0.35">
      <c r="A703" s="4">
        <v>44986</v>
      </c>
      <c r="B703" s="5">
        <v>8</v>
      </c>
      <c r="C703" s="5" t="s">
        <v>152</v>
      </c>
      <c r="D703" s="5" t="s">
        <v>165</v>
      </c>
      <c r="E703" s="5"/>
      <c r="F703" s="5">
        <v>1050</v>
      </c>
      <c r="G703" s="5">
        <v>275</v>
      </c>
      <c r="H703" s="5"/>
      <c r="I703" s="5">
        <v>10</v>
      </c>
      <c r="J703" s="67"/>
      <c r="K703" s="6"/>
      <c r="L703" s="67"/>
      <c r="M703" s="5" t="s">
        <v>16</v>
      </c>
      <c r="N703" s="6">
        <v>1</v>
      </c>
      <c r="O703" s="5">
        <v>132</v>
      </c>
      <c r="P703" s="5">
        <v>0</v>
      </c>
      <c r="Q703" s="5">
        <v>24</v>
      </c>
      <c r="R703" s="3">
        <f t="shared" si="174"/>
        <v>156</v>
      </c>
      <c r="S703" s="3" t="s">
        <v>193</v>
      </c>
      <c r="T703" s="3" t="s">
        <v>193</v>
      </c>
      <c r="U703" s="3" t="s">
        <v>193</v>
      </c>
      <c r="V703" s="5">
        <v>20</v>
      </c>
      <c r="W703" s="5" t="s">
        <v>52</v>
      </c>
      <c r="X703" s="5" t="s">
        <v>46</v>
      </c>
      <c r="Z703" s="4">
        <v>44977</v>
      </c>
      <c r="AB703" s="5"/>
      <c r="AC703" s="5"/>
      <c r="AD703" s="59"/>
      <c r="AF703" s="29"/>
      <c r="AG703" s="29"/>
      <c r="AJ703"/>
    </row>
    <row r="704" spans="1:38" ht="15" customHeight="1" x14ac:dyDescent="0.35">
      <c r="A704" s="4">
        <v>44986</v>
      </c>
      <c r="B704" s="5">
        <v>8</v>
      </c>
      <c r="C704" s="5" t="s">
        <v>152</v>
      </c>
      <c r="D704" s="5" t="s">
        <v>165</v>
      </c>
      <c r="E704" s="5"/>
      <c r="F704" s="5">
        <v>1050</v>
      </c>
      <c r="G704" s="5">
        <v>275</v>
      </c>
      <c r="H704" s="5"/>
      <c r="I704" s="5">
        <v>10</v>
      </c>
      <c r="J704" s="67"/>
      <c r="K704" s="6"/>
      <c r="L704" s="67"/>
      <c r="M704" s="5" t="s">
        <v>16</v>
      </c>
      <c r="N704" s="6">
        <v>1</v>
      </c>
      <c r="O704" s="5">
        <v>132</v>
      </c>
      <c r="P704" s="5">
        <v>0</v>
      </c>
      <c r="Q704" s="5">
        <v>24</v>
      </c>
      <c r="R704" s="3">
        <f t="shared" si="174"/>
        <v>156</v>
      </c>
      <c r="S704" s="3" t="s">
        <v>193</v>
      </c>
      <c r="T704" s="3" t="s">
        <v>193</v>
      </c>
      <c r="U704" s="3" t="s">
        <v>193</v>
      </c>
      <c r="V704" s="5">
        <v>1</v>
      </c>
      <c r="W704" s="5" t="s">
        <v>52</v>
      </c>
      <c r="X704" s="5" t="s">
        <v>46</v>
      </c>
      <c r="Y704" s="29" t="s">
        <v>269</v>
      </c>
      <c r="Z704" s="4">
        <v>44977</v>
      </c>
      <c r="AB704" s="5"/>
      <c r="AC704" s="5"/>
      <c r="AD704" s="59"/>
      <c r="AF704" s="29"/>
      <c r="AG704" s="29"/>
      <c r="AJ704"/>
    </row>
    <row r="705" spans="1:38" ht="15" customHeight="1" x14ac:dyDescent="0.35">
      <c r="B705" s="5"/>
      <c r="C705" s="5"/>
      <c r="D705" s="5"/>
      <c r="E705" s="5"/>
      <c r="F705" s="5"/>
      <c r="G705" s="5"/>
      <c r="H705" s="5"/>
      <c r="I705" s="5"/>
      <c r="J705" s="69"/>
      <c r="K705" s="6"/>
      <c r="L705" s="69"/>
      <c r="M705" s="5"/>
      <c r="N705" s="6"/>
      <c r="O705" s="5"/>
      <c r="P705" s="5"/>
      <c r="Q705" s="5"/>
      <c r="R705" s="3"/>
      <c r="S705" s="3"/>
      <c r="T705" s="3"/>
      <c r="U705" s="3"/>
      <c r="V705" s="5"/>
      <c r="W705" s="5"/>
      <c r="X705" s="5"/>
      <c r="Z705" s="4"/>
      <c r="AA705" s="5"/>
      <c r="AB705" s="5"/>
      <c r="AC705" s="5"/>
      <c r="AD705" s="29"/>
      <c r="AF705" s="29"/>
      <c r="AG705" s="29"/>
      <c r="AJ705"/>
    </row>
    <row r="706" spans="1:38" ht="15" customHeight="1" x14ac:dyDescent="0.35">
      <c r="A706" s="77">
        <v>44987</v>
      </c>
      <c r="B706" s="5">
        <v>9</v>
      </c>
      <c r="C706" s="5" t="s">
        <v>157</v>
      </c>
      <c r="D706" s="5" t="s">
        <v>42</v>
      </c>
      <c r="E706" s="5"/>
      <c r="F706" s="5">
        <v>1050</v>
      </c>
      <c r="G706" s="5">
        <v>100</v>
      </c>
      <c r="H706" s="5"/>
      <c r="I706" s="5">
        <v>10</v>
      </c>
      <c r="J706" s="67"/>
      <c r="K706" s="6"/>
      <c r="L706" s="67"/>
      <c r="M706" s="5" t="s">
        <v>16</v>
      </c>
      <c r="N706" s="6">
        <v>1</v>
      </c>
      <c r="O706" s="5">
        <v>91</v>
      </c>
      <c r="P706" s="5">
        <v>25</v>
      </c>
      <c r="Q706" s="5">
        <v>0</v>
      </c>
      <c r="R706" s="3">
        <f t="shared" ref="R706:R713" si="176">O706+P706+Q706</f>
        <v>116</v>
      </c>
      <c r="S706" s="3">
        <f>O706/P706</f>
        <v>3.64</v>
      </c>
      <c r="T706" s="3">
        <f t="shared" ref="T706:T707" si="177">18.7/4</f>
        <v>4.6749999999999998</v>
      </c>
      <c r="U706" s="3">
        <f t="shared" ref="U706:U707" si="178">32/22</f>
        <v>1.4545454545454546</v>
      </c>
      <c r="V706" s="5">
        <v>1</v>
      </c>
      <c r="W706" s="5" t="s">
        <v>52</v>
      </c>
      <c r="X706" s="5" t="s">
        <v>46</v>
      </c>
      <c r="Y706" s="5" t="s">
        <v>209</v>
      </c>
      <c r="Z706" s="4">
        <v>44986</v>
      </c>
      <c r="AB706" s="5" t="str">
        <f t="shared" ref="AB706:AB713" si="179">IF(X706="20um Schlenk", "Single", "Poly")</f>
        <v>Poly</v>
      </c>
      <c r="AC706" s="5">
        <v>100</v>
      </c>
      <c r="AD706" s="59">
        <v>0.04</v>
      </c>
      <c r="AE706" s="29">
        <v>0</v>
      </c>
      <c r="AF706" s="29" t="s">
        <v>104</v>
      </c>
      <c r="AG706" s="29" t="s">
        <v>102</v>
      </c>
      <c r="AJ706"/>
    </row>
    <row r="707" spans="1:38" ht="15" customHeight="1" x14ac:dyDescent="0.35">
      <c r="A707" s="77">
        <v>44987</v>
      </c>
      <c r="B707" s="5">
        <v>9</v>
      </c>
      <c r="C707" s="5" t="s">
        <v>157</v>
      </c>
      <c r="D707" s="5" t="s">
        <v>42</v>
      </c>
      <c r="E707" s="5"/>
      <c r="F707" s="5">
        <v>1050</v>
      </c>
      <c r="G707" s="5">
        <v>100</v>
      </c>
      <c r="H707" s="5"/>
      <c r="I707" s="5">
        <v>10</v>
      </c>
      <c r="J707" s="67"/>
      <c r="K707" s="6"/>
      <c r="L707" s="67"/>
      <c r="M707" s="5" t="s">
        <v>16</v>
      </c>
      <c r="N707" s="6">
        <v>1</v>
      </c>
      <c r="O707" s="5">
        <v>91</v>
      </c>
      <c r="P707" s="5">
        <v>25</v>
      </c>
      <c r="Q707" s="5">
        <v>0</v>
      </c>
      <c r="R707" s="3">
        <f t="shared" si="176"/>
        <v>116</v>
      </c>
      <c r="S707" s="3">
        <f>O707/P707</f>
        <v>3.64</v>
      </c>
      <c r="T707" s="3">
        <f t="shared" si="177"/>
        <v>4.6749999999999998</v>
      </c>
      <c r="U707" s="3">
        <f t="shared" si="178"/>
        <v>1.4545454545454546</v>
      </c>
      <c r="V707" s="5">
        <v>1</v>
      </c>
      <c r="W707" s="5" t="s">
        <v>52</v>
      </c>
      <c r="X707" s="5" t="s">
        <v>46</v>
      </c>
      <c r="Y707" s="5" t="s">
        <v>256</v>
      </c>
      <c r="Z707" s="4">
        <v>44977</v>
      </c>
      <c r="AB707" s="5" t="str">
        <f t="shared" si="179"/>
        <v>Poly</v>
      </c>
      <c r="AC707" s="5">
        <v>100</v>
      </c>
      <c r="AD707" s="59">
        <v>0.05</v>
      </c>
      <c r="AE707" s="29">
        <v>0</v>
      </c>
      <c r="AF707" s="29" t="s">
        <v>104</v>
      </c>
      <c r="AG707" s="29" t="s">
        <v>102</v>
      </c>
      <c r="AJ707"/>
    </row>
    <row r="708" spans="1:38" ht="15" customHeight="1" x14ac:dyDescent="0.35">
      <c r="A708" s="77">
        <v>44987</v>
      </c>
      <c r="B708" s="5">
        <v>10</v>
      </c>
      <c r="C708" s="5" t="s">
        <v>48</v>
      </c>
      <c r="D708" s="5" t="s">
        <v>42</v>
      </c>
      <c r="E708" s="5"/>
      <c r="F708" s="5">
        <v>1050</v>
      </c>
      <c r="G708" s="5">
        <v>200</v>
      </c>
      <c r="H708" s="5"/>
      <c r="I708" s="5">
        <v>12</v>
      </c>
      <c r="J708" s="69"/>
      <c r="K708" s="6"/>
      <c r="L708" s="69"/>
      <c r="M708" s="5" t="s">
        <v>16</v>
      </c>
      <c r="N708" s="6">
        <v>1</v>
      </c>
      <c r="O708" s="5">
        <v>84</v>
      </c>
      <c r="P708" s="5">
        <v>48</v>
      </c>
      <c r="Q708" s="5">
        <v>24</v>
      </c>
      <c r="R708" s="3">
        <f t="shared" si="176"/>
        <v>156</v>
      </c>
      <c r="S708" s="3">
        <f t="shared" ref="S708:S710" si="180">O708/P708</f>
        <v>1.75</v>
      </c>
      <c r="T708" s="3">
        <f t="shared" ref="T708:T710" si="181">16.8/18</f>
        <v>0.93333333333333335</v>
      </c>
      <c r="U708" s="3">
        <f t="shared" ref="U708:U710" si="182">28.5/45</f>
        <v>0.6333333333333333</v>
      </c>
      <c r="V708" s="5">
        <v>1</v>
      </c>
      <c r="W708" s="5" t="s">
        <v>52</v>
      </c>
      <c r="X708" s="5" t="s">
        <v>45</v>
      </c>
      <c r="Z708" s="4">
        <v>44986</v>
      </c>
      <c r="AB708" s="5" t="str">
        <f t="shared" si="179"/>
        <v>Single</v>
      </c>
      <c r="AC708" s="5">
        <v>100</v>
      </c>
      <c r="AD708" s="59">
        <v>0.04</v>
      </c>
      <c r="AE708" s="29">
        <v>0.5</v>
      </c>
      <c r="AF708" s="29" t="s">
        <v>104</v>
      </c>
      <c r="AG708" s="29" t="s">
        <v>104</v>
      </c>
      <c r="AJ708"/>
    </row>
    <row r="709" spans="1:38" ht="15" customHeight="1" x14ac:dyDescent="0.35">
      <c r="A709" s="77">
        <v>44987</v>
      </c>
      <c r="B709" s="5">
        <v>10</v>
      </c>
      <c r="C709" s="5" t="s">
        <v>48</v>
      </c>
      <c r="D709" s="5" t="s">
        <v>42</v>
      </c>
      <c r="E709" s="5"/>
      <c r="F709" s="5">
        <v>1050</v>
      </c>
      <c r="G709" s="5">
        <v>200</v>
      </c>
      <c r="H709" s="5"/>
      <c r="I709" s="5">
        <v>12</v>
      </c>
      <c r="J709" s="69"/>
      <c r="K709" s="6"/>
      <c r="L709" s="69"/>
      <c r="M709" s="5" t="s">
        <v>16</v>
      </c>
      <c r="N709" s="6">
        <v>1</v>
      </c>
      <c r="O709" s="5">
        <v>84</v>
      </c>
      <c r="P709" s="5">
        <v>48</v>
      </c>
      <c r="Q709" s="5">
        <v>24</v>
      </c>
      <c r="R709" s="3">
        <f t="shared" si="176"/>
        <v>156</v>
      </c>
      <c r="S709" s="3">
        <f t="shared" si="180"/>
        <v>1.75</v>
      </c>
      <c r="T709" s="3">
        <f t="shared" si="181"/>
        <v>0.93333333333333335</v>
      </c>
      <c r="U709" s="3">
        <f t="shared" si="182"/>
        <v>0.6333333333333333</v>
      </c>
      <c r="V709" s="5">
        <v>1</v>
      </c>
      <c r="W709" s="5" t="s">
        <v>52</v>
      </c>
      <c r="X709" s="5" t="s">
        <v>46</v>
      </c>
      <c r="Y709" s="5"/>
      <c r="Z709" s="4">
        <v>44986</v>
      </c>
      <c r="AB709" s="5" t="str">
        <f t="shared" si="179"/>
        <v>Poly</v>
      </c>
      <c r="AC709" s="5">
        <v>100</v>
      </c>
      <c r="AD709" s="59">
        <v>0.04</v>
      </c>
      <c r="AE709" s="29">
        <v>0</v>
      </c>
      <c r="AF709" s="29" t="s">
        <v>102</v>
      </c>
      <c r="AG709" s="29" t="s">
        <v>102</v>
      </c>
      <c r="AJ709"/>
    </row>
    <row r="710" spans="1:38" ht="15" customHeight="1" x14ac:dyDescent="0.35">
      <c r="A710" s="77">
        <v>44987</v>
      </c>
      <c r="B710" s="5">
        <v>10</v>
      </c>
      <c r="C710" s="5" t="s">
        <v>48</v>
      </c>
      <c r="D710" s="5" t="s">
        <v>42</v>
      </c>
      <c r="E710" s="5"/>
      <c r="F710" s="5">
        <v>1050</v>
      </c>
      <c r="G710" s="5">
        <v>200</v>
      </c>
      <c r="H710" s="5"/>
      <c r="I710" s="5">
        <v>12</v>
      </c>
      <c r="J710" s="69"/>
      <c r="K710" s="6"/>
      <c r="L710" s="69"/>
      <c r="M710" s="5" t="s">
        <v>16</v>
      </c>
      <c r="N710" s="6">
        <v>1</v>
      </c>
      <c r="O710" s="5">
        <v>84</v>
      </c>
      <c r="P710" s="5">
        <v>48</v>
      </c>
      <c r="Q710" s="5">
        <v>24</v>
      </c>
      <c r="R710" s="3">
        <f t="shared" si="176"/>
        <v>156</v>
      </c>
      <c r="S710" s="3">
        <f t="shared" si="180"/>
        <v>1.75</v>
      </c>
      <c r="T710" s="3">
        <f t="shared" si="181"/>
        <v>0.93333333333333335</v>
      </c>
      <c r="U710" s="3">
        <f t="shared" si="182"/>
        <v>0.6333333333333333</v>
      </c>
      <c r="V710" s="5">
        <v>1</v>
      </c>
      <c r="W710" s="5" t="s">
        <v>52</v>
      </c>
      <c r="X710" s="5" t="s">
        <v>46</v>
      </c>
      <c r="Y710" s="5" t="s">
        <v>256</v>
      </c>
      <c r="Z710" s="4">
        <v>44977</v>
      </c>
      <c r="AB710" s="5" t="str">
        <f t="shared" si="179"/>
        <v>Poly</v>
      </c>
      <c r="AC710" s="5">
        <v>100</v>
      </c>
      <c r="AD710" s="59">
        <v>0.04</v>
      </c>
      <c r="AE710" s="29">
        <v>1</v>
      </c>
      <c r="AF710" s="29" t="s">
        <v>104</v>
      </c>
      <c r="AG710" s="29" t="s">
        <v>102</v>
      </c>
      <c r="AJ710"/>
    </row>
    <row r="711" spans="1:38" ht="15" customHeight="1" x14ac:dyDescent="0.35">
      <c r="A711" s="77">
        <v>44987</v>
      </c>
      <c r="B711" s="5">
        <v>11</v>
      </c>
      <c r="C711" s="5" t="s">
        <v>152</v>
      </c>
      <c r="D711" s="5" t="s">
        <v>165</v>
      </c>
      <c r="E711" s="5"/>
      <c r="F711" s="5">
        <v>1050</v>
      </c>
      <c r="G711" s="5">
        <v>200</v>
      </c>
      <c r="H711" s="5"/>
      <c r="I711" s="5">
        <v>10</v>
      </c>
      <c r="J711" s="67"/>
      <c r="K711" s="6"/>
      <c r="L711" s="67"/>
      <c r="M711" s="5" t="s">
        <v>16</v>
      </c>
      <c r="N711" s="6">
        <v>1</v>
      </c>
      <c r="O711" s="5">
        <v>132</v>
      </c>
      <c r="P711" s="5">
        <v>0</v>
      </c>
      <c r="Q711" s="5">
        <v>24</v>
      </c>
      <c r="R711" s="3">
        <f t="shared" si="176"/>
        <v>156</v>
      </c>
      <c r="S711" s="3" t="s">
        <v>193</v>
      </c>
      <c r="T711" s="3" t="s">
        <v>193</v>
      </c>
      <c r="U711" s="3" t="s">
        <v>193</v>
      </c>
      <c r="V711" s="5">
        <v>20</v>
      </c>
      <c r="W711" s="5" t="s">
        <v>52</v>
      </c>
      <c r="X711" s="5" t="s">
        <v>46</v>
      </c>
      <c r="Z711" s="4">
        <v>44986</v>
      </c>
      <c r="AB711" s="5"/>
      <c r="AC711" s="5"/>
      <c r="AD711" s="59"/>
      <c r="AE711" s="59"/>
      <c r="AF711" s="59"/>
      <c r="AG711" s="59"/>
      <c r="AJ711"/>
    </row>
    <row r="712" spans="1:38" ht="15" customHeight="1" x14ac:dyDescent="0.35">
      <c r="A712" s="77">
        <v>44987</v>
      </c>
      <c r="B712" s="5">
        <v>11</v>
      </c>
      <c r="C712" s="5" t="s">
        <v>157</v>
      </c>
      <c r="D712" s="5" t="s">
        <v>165</v>
      </c>
      <c r="E712" s="5"/>
      <c r="F712" s="5">
        <v>1050</v>
      </c>
      <c r="G712" s="5">
        <v>100</v>
      </c>
      <c r="H712" s="5"/>
      <c r="I712" s="5">
        <v>10</v>
      </c>
      <c r="J712" s="67"/>
      <c r="K712" s="6"/>
      <c r="L712" s="67"/>
      <c r="M712" s="5" t="s">
        <v>16</v>
      </c>
      <c r="N712" s="6">
        <v>1</v>
      </c>
      <c r="O712" s="5">
        <v>91</v>
      </c>
      <c r="P712" s="5">
        <v>25</v>
      </c>
      <c r="Q712" s="5">
        <v>0</v>
      </c>
      <c r="R712" s="3">
        <f t="shared" si="176"/>
        <v>116</v>
      </c>
      <c r="S712" s="3">
        <f>O712/P712</f>
        <v>3.64</v>
      </c>
      <c r="T712" s="3">
        <f t="shared" ref="T712:T713" si="183">18.7/4</f>
        <v>4.6749999999999998</v>
      </c>
      <c r="U712" s="3">
        <f t="shared" ref="U712:U713" si="184">32/22</f>
        <v>1.4545454545454546</v>
      </c>
      <c r="V712" s="5">
        <v>20</v>
      </c>
      <c r="W712" s="5" t="s">
        <v>52</v>
      </c>
      <c r="X712" s="5" t="s">
        <v>46</v>
      </c>
      <c r="Y712" s="5" t="s">
        <v>209</v>
      </c>
      <c r="Z712" s="4">
        <v>44986</v>
      </c>
      <c r="AB712" s="5" t="str">
        <f t="shared" si="179"/>
        <v>Poly</v>
      </c>
      <c r="AC712" s="5">
        <v>100</v>
      </c>
      <c r="AD712" s="59">
        <f>AVERAGE(0.02,0.04,0.03)</f>
        <v>0.03</v>
      </c>
      <c r="AE712" s="29">
        <v>1</v>
      </c>
      <c r="AF712" s="29" t="s">
        <v>104</v>
      </c>
      <c r="AG712" s="29" t="s">
        <v>102</v>
      </c>
      <c r="AJ712"/>
      <c r="AL712" t="s">
        <v>270</v>
      </c>
    </row>
    <row r="713" spans="1:38" ht="15" customHeight="1" x14ac:dyDescent="0.35">
      <c r="A713" s="77">
        <v>44987</v>
      </c>
      <c r="B713" s="5">
        <v>11</v>
      </c>
      <c r="C713" s="5" t="s">
        <v>157</v>
      </c>
      <c r="D713" s="5" t="s">
        <v>165</v>
      </c>
      <c r="E713" s="5"/>
      <c r="F713" s="5">
        <v>1050</v>
      </c>
      <c r="G713" s="5">
        <v>100</v>
      </c>
      <c r="H713" s="5"/>
      <c r="I713" s="5">
        <v>10</v>
      </c>
      <c r="J713" s="67"/>
      <c r="K713" s="6"/>
      <c r="L713" s="67"/>
      <c r="M713" s="5" t="s">
        <v>16</v>
      </c>
      <c r="N713" s="6">
        <v>1</v>
      </c>
      <c r="O713" s="5">
        <v>91</v>
      </c>
      <c r="P713" s="5">
        <v>25</v>
      </c>
      <c r="Q713" s="5">
        <v>0</v>
      </c>
      <c r="R713" s="3">
        <f t="shared" si="176"/>
        <v>116</v>
      </c>
      <c r="S713" s="3">
        <f>O713/P713</f>
        <v>3.64</v>
      </c>
      <c r="T713" s="3">
        <f t="shared" si="183"/>
        <v>4.6749999999999998</v>
      </c>
      <c r="U713" s="3">
        <f t="shared" si="184"/>
        <v>1.4545454545454546</v>
      </c>
      <c r="V713" s="5">
        <v>20</v>
      </c>
      <c r="W713" s="5" t="s">
        <v>52</v>
      </c>
      <c r="X713" s="5" t="s">
        <v>46</v>
      </c>
      <c r="Y713" s="5" t="s">
        <v>256</v>
      </c>
      <c r="Z713" s="4">
        <v>44977</v>
      </c>
      <c r="AB713" s="5" t="str">
        <f t="shared" si="179"/>
        <v>Poly</v>
      </c>
      <c r="AC713" s="5">
        <v>100</v>
      </c>
      <c r="AD713" s="59">
        <f>AVERAGE(0.03,0.04,0.04)</f>
        <v>3.6666666666666674E-2</v>
      </c>
      <c r="AE713" s="29">
        <v>0</v>
      </c>
      <c r="AF713" s="29" t="s">
        <v>104</v>
      </c>
      <c r="AG713" s="29" t="s">
        <v>102</v>
      </c>
      <c r="AJ713"/>
    </row>
    <row r="714" spans="1:38" ht="15" customHeight="1" thickBot="1" x14ac:dyDescent="0.4">
      <c r="B714" s="5"/>
      <c r="C714" s="5"/>
      <c r="D714" s="5"/>
      <c r="E714" s="5"/>
      <c r="F714" s="5"/>
      <c r="G714" s="5"/>
      <c r="H714" s="5"/>
      <c r="I714" s="5"/>
      <c r="J714" s="69"/>
      <c r="K714" s="6"/>
      <c r="L714" s="69"/>
      <c r="M714" s="5"/>
      <c r="N714" s="6"/>
      <c r="O714" s="5"/>
      <c r="P714" s="5"/>
      <c r="Q714" s="5"/>
      <c r="R714" s="3"/>
      <c r="S714" s="3"/>
      <c r="T714" s="3"/>
      <c r="U714" s="3"/>
      <c r="V714" s="5"/>
      <c r="W714" s="5"/>
      <c r="X714" s="5"/>
      <c r="Z714" s="4"/>
      <c r="AA714" s="5"/>
      <c r="AB714" s="5"/>
      <c r="AC714" s="5"/>
      <c r="AD714" s="59"/>
      <c r="AF714" s="29"/>
      <c r="AG714" s="29"/>
      <c r="AJ714"/>
    </row>
    <row r="715" spans="1:38" s="30" customFormat="1" ht="15" customHeight="1" thickBot="1" x14ac:dyDescent="0.4">
      <c r="A715" s="101"/>
      <c r="B715" s="34"/>
      <c r="C715" s="34"/>
      <c r="D715" s="34"/>
      <c r="E715" s="34"/>
      <c r="F715" s="34"/>
      <c r="G715" s="34"/>
      <c r="H715" s="34"/>
      <c r="I715" s="34"/>
      <c r="J715" s="68"/>
      <c r="K715" s="31"/>
      <c r="L715" s="68"/>
      <c r="M715" s="34"/>
      <c r="N715" s="31"/>
      <c r="O715" s="34"/>
      <c r="P715" s="34"/>
      <c r="Q715" s="34"/>
      <c r="R715" s="37"/>
      <c r="S715" s="37"/>
      <c r="T715" s="37"/>
      <c r="U715" s="37"/>
      <c r="V715" s="34"/>
      <c r="W715" s="34"/>
      <c r="X715" s="34"/>
      <c r="Y715" s="34"/>
      <c r="Z715" s="82"/>
      <c r="AA715" s="34"/>
      <c r="AB715" s="34"/>
      <c r="AC715" s="34"/>
      <c r="AD715" s="60"/>
      <c r="AE715" s="39"/>
      <c r="AF715" s="39"/>
      <c r="AG715" s="39"/>
    </row>
  </sheetData>
  <conditionalFormatting sqref="W162 AC139:AC161 AC105:AC133 AC137 AC222:AC224 X213:Y213 AB213:AC213 X224:Y224 AB224 X161:Y163 AB163 X174:Y175 AB174:AB175 X187:Y188 AB187:AB188 X202:Y203 AB202:AB203 AC163:AC171 Z296:Z297 AC295 W296:W297 X295:Y295 AC278:AC286 X360:Y360 AB360 X312:Y313 AB312:AB313 AC298:AC299 AC312:AC327 X331:Y332 AB328:AC359 X7:Y101 X105:Y144 X335:Y336 X339:Y339 AB363 AC364:AC374">
    <cfRule type="containsText" dxfId="1380" priority="3553" operator="containsText" text="Sh">
      <formula>NOT(ISERROR(SEARCH("Sh",W7)))</formula>
    </cfRule>
    <cfRule type="cellIs" dxfId="1379" priority="3554" operator="equal">
      <formula>"Sh"</formula>
    </cfRule>
  </conditionalFormatting>
  <conditionalFormatting sqref="X4:Y4">
    <cfRule type="containsText" dxfId="1378" priority="3536" operator="containsText" text="Sh">
      <formula>NOT(ISERROR(SEARCH("Sh",X4)))</formula>
    </cfRule>
    <cfRule type="cellIs" dxfId="1377" priority="3537" operator="equal">
      <formula>"Sh"</formula>
    </cfRule>
  </conditionalFormatting>
  <conditionalFormatting sqref="X2:Y2">
    <cfRule type="containsText" dxfId="1376" priority="3534" operator="containsText" text="Sh">
      <formula>NOT(ISERROR(SEARCH("Sh",X2)))</formula>
    </cfRule>
    <cfRule type="cellIs" dxfId="1375" priority="3535" operator="equal">
      <formula>"Sh"</formula>
    </cfRule>
  </conditionalFormatting>
  <conditionalFormatting sqref="X3:Y3">
    <cfRule type="containsText" dxfId="1374" priority="3532" operator="containsText" text="Sh">
      <formula>NOT(ISERROR(SEARCH("Sh",X3)))</formula>
    </cfRule>
    <cfRule type="cellIs" dxfId="1373" priority="3533" operator="equal">
      <formula>"Sh"</formula>
    </cfRule>
  </conditionalFormatting>
  <conditionalFormatting sqref="X5:Y5">
    <cfRule type="containsText" dxfId="1372" priority="3530" operator="containsText" text="Sh">
      <formula>NOT(ISERROR(SEARCH("Sh",X5)))</formula>
    </cfRule>
    <cfRule type="cellIs" dxfId="1371" priority="3531" operator="equal">
      <formula>"Sh"</formula>
    </cfRule>
  </conditionalFormatting>
  <conditionalFormatting sqref="X6:Y6">
    <cfRule type="containsText" dxfId="1370" priority="3528" operator="containsText" text="Sh">
      <formula>NOT(ISERROR(SEARCH("Sh",X6)))</formula>
    </cfRule>
    <cfRule type="cellIs" dxfId="1369" priority="3529" operator="equal">
      <formula>"Sh"</formula>
    </cfRule>
  </conditionalFormatting>
  <conditionalFormatting sqref="F103:F104 F2:F101">
    <cfRule type="iconSet" priority="3527">
      <iconSet>
        <cfvo type="percent" val="0"/>
        <cfvo type="percent" val="33"/>
        <cfvo type="percent" val="67"/>
      </iconSet>
    </cfRule>
  </conditionalFormatting>
  <conditionalFormatting sqref="X159:Y159">
    <cfRule type="containsText" dxfId="1368" priority="3524" operator="containsText" text="Sh">
      <formula>NOT(ISERROR(SEARCH("Sh",X159)))</formula>
    </cfRule>
    <cfRule type="cellIs" dxfId="1367" priority="3525" operator="equal">
      <formula>"Sh"</formula>
    </cfRule>
  </conditionalFormatting>
  <conditionalFormatting sqref="X145:Y145">
    <cfRule type="containsText" dxfId="1366" priority="3522" operator="containsText" text="Sh">
      <formula>NOT(ISERROR(SEARCH("Sh",X145)))</formula>
    </cfRule>
    <cfRule type="cellIs" dxfId="1365" priority="3523" operator="equal">
      <formula>"Sh"</formula>
    </cfRule>
  </conditionalFormatting>
  <conditionalFormatting sqref="X148:Y148">
    <cfRule type="containsText" dxfId="1364" priority="3518" operator="containsText" text="Sh">
      <formula>NOT(ISERROR(SEARCH("Sh",X148)))</formula>
    </cfRule>
    <cfRule type="cellIs" dxfId="1363" priority="3519" operator="equal">
      <formula>"Sh"</formula>
    </cfRule>
  </conditionalFormatting>
  <conditionalFormatting sqref="X146:Y146">
    <cfRule type="containsText" dxfId="1362" priority="3516" operator="containsText" text="Sh">
      <formula>NOT(ISERROR(SEARCH("Sh",X146)))</formula>
    </cfRule>
    <cfRule type="cellIs" dxfId="1361" priority="3517" operator="equal">
      <formula>"Sh"</formula>
    </cfRule>
  </conditionalFormatting>
  <conditionalFormatting sqref="X147:Y147">
    <cfRule type="containsText" dxfId="1360" priority="3514" operator="containsText" text="Sh">
      <formula>NOT(ISERROR(SEARCH("Sh",X147)))</formula>
    </cfRule>
    <cfRule type="cellIs" dxfId="1359" priority="3515" operator="equal">
      <formula>"Sh"</formula>
    </cfRule>
  </conditionalFormatting>
  <conditionalFormatting sqref="X150:Y150">
    <cfRule type="containsText" dxfId="1358" priority="3509" operator="containsText" text="Sh">
      <formula>NOT(ISERROR(SEARCH("Sh",X150)))</formula>
    </cfRule>
    <cfRule type="cellIs" dxfId="1357" priority="3510" operator="equal">
      <formula>"Sh"</formula>
    </cfRule>
  </conditionalFormatting>
  <conditionalFormatting sqref="X149:Y149">
    <cfRule type="containsText" dxfId="1356" priority="3507" operator="containsText" text="Sh">
      <formula>NOT(ISERROR(SEARCH("Sh",X149)))</formula>
    </cfRule>
    <cfRule type="cellIs" dxfId="1355" priority="3508" operator="equal">
      <formula>"Sh"</formula>
    </cfRule>
  </conditionalFormatting>
  <conditionalFormatting sqref="X154:Y154">
    <cfRule type="containsText" dxfId="1354" priority="3505" operator="containsText" text="Sh">
      <formula>NOT(ISERROR(SEARCH("Sh",X154)))</formula>
    </cfRule>
    <cfRule type="cellIs" dxfId="1353" priority="3506" operator="equal">
      <formula>"Sh"</formula>
    </cfRule>
  </conditionalFormatting>
  <conditionalFormatting sqref="X155:Y155">
    <cfRule type="containsText" dxfId="1352" priority="3501" operator="containsText" text="Sh">
      <formula>NOT(ISERROR(SEARCH("Sh",X155)))</formula>
    </cfRule>
    <cfRule type="cellIs" dxfId="1351" priority="3502" operator="equal">
      <formula>"Sh"</formula>
    </cfRule>
  </conditionalFormatting>
  <conditionalFormatting sqref="X159:Y159">
    <cfRule type="containsText" dxfId="1350" priority="3499" operator="containsText" text="Sh">
      <formula>NOT(ISERROR(SEARCH("Sh",X159)))</formula>
    </cfRule>
    <cfRule type="cellIs" dxfId="1349" priority="3500" operator="equal">
      <formula>"Sh"</formula>
    </cfRule>
  </conditionalFormatting>
  <conditionalFormatting sqref="X157:Y157">
    <cfRule type="containsText" dxfId="1348" priority="3497" operator="containsText" text="Sh">
      <formula>NOT(ISERROR(SEARCH("Sh",X157)))</formula>
    </cfRule>
    <cfRule type="cellIs" dxfId="1347" priority="3498" operator="equal">
      <formula>"Sh"</formula>
    </cfRule>
  </conditionalFormatting>
  <conditionalFormatting sqref="X158:Y158">
    <cfRule type="containsText" dxfId="1346" priority="3495" operator="containsText" text="Sh">
      <formula>NOT(ISERROR(SEARCH("Sh",X158)))</formula>
    </cfRule>
    <cfRule type="cellIs" dxfId="1345" priority="3496" operator="equal">
      <formula>"Sh"</formula>
    </cfRule>
  </conditionalFormatting>
  <conditionalFormatting sqref="X156:Y156">
    <cfRule type="containsText" dxfId="1344" priority="3493" operator="containsText" text="Sh">
      <formula>NOT(ISERROR(SEARCH("Sh",X156)))</formula>
    </cfRule>
    <cfRule type="cellIs" dxfId="1343" priority="3494" operator="equal">
      <formula>"Sh"</formula>
    </cfRule>
  </conditionalFormatting>
  <conditionalFormatting sqref="X160:Y160">
    <cfRule type="containsText" dxfId="1342" priority="3491" operator="containsText" text="Sh">
      <formula>NOT(ISERROR(SEARCH("Sh",X160)))</formula>
    </cfRule>
    <cfRule type="cellIs" dxfId="1341" priority="3492" operator="equal">
      <formula>"Sh"</formula>
    </cfRule>
  </conditionalFormatting>
  <conditionalFormatting sqref="E105:E162 H298:H360 E320:E360">
    <cfRule type="containsText" dxfId="1340" priority="3489" operator="containsText" text="Production">
      <formula>NOT(ISERROR(SEARCH("Production",E105)))</formula>
    </cfRule>
    <cfRule type="containsText" dxfId="1339" priority="3490" operator="containsText" text="Roll">
      <formula>NOT(ISERROR(SEARCH("Roll",E105)))</formula>
    </cfRule>
  </conditionalFormatting>
  <conditionalFormatting sqref="AC135">
    <cfRule type="containsText" dxfId="1338" priority="3487" operator="containsText" text="Sh">
      <formula>NOT(ISERROR(SEARCH("Sh",AC135)))</formula>
    </cfRule>
    <cfRule type="cellIs" dxfId="1337" priority="3488" operator="equal">
      <formula>"Sh"</formula>
    </cfRule>
  </conditionalFormatting>
  <conditionalFormatting sqref="AC136">
    <cfRule type="containsText" dxfId="1336" priority="3485" operator="containsText" text="Sh">
      <formula>NOT(ISERROR(SEARCH("Sh",AC136)))</formula>
    </cfRule>
    <cfRule type="cellIs" dxfId="1335" priority="3486" operator="equal">
      <formula>"Sh"</formula>
    </cfRule>
  </conditionalFormatting>
  <conditionalFormatting sqref="AC134">
    <cfRule type="containsText" dxfId="1334" priority="3483" operator="containsText" text="Sh">
      <formula>NOT(ISERROR(SEARCH("Sh",AC134)))</formula>
    </cfRule>
    <cfRule type="cellIs" dxfId="1333" priority="3484" operator="equal">
      <formula>"Sh"</formula>
    </cfRule>
  </conditionalFormatting>
  <conditionalFormatting sqref="X162:Y162 AC105:AC161">
    <cfRule type="iconSet" priority="3482">
      <iconSet>
        <cfvo type="percent" val="0"/>
        <cfvo type="percent" val="90" gte="0"/>
        <cfvo type="percent" val="100"/>
      </iconSet>
    </cfRule>
  </conditionalFormatting>
  <conditionalFormatting sqref="AA162">
    <cfRule type="iconSet" priority="3481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Z162">
    <cfRule type="colorScale" priority="3526">
      <colorScale>
        <cfvo type="min"/>
        <cfvo type="percentile" val="80"/>
        <cfvo type="max"/>
        <color rgb="FF00B050"/>
        <color theme="0"/>
        <color rgb="FFFF0000"/>
      </colorScale>
    </cfRule>
  </conditionalFormatting>
  <conditionalFormatting sqref="G105:G162">
    <cfRule type="iconSet" priority="3578">
      <iconSet iconSet="3Flags">
        <cfvo type="percent" val="0"/>
        <cfvo type="percent" val="33"/>
        <cfvo type="percent" val="67"/>
      </iconSet>
    </cfRule>
  </conditionalFormatting>
  <conditionalFormatting sqref="F105:F162">
    <cfRule type="iconSet" priority="3579">
      <iconSet iconSet="3Signs">
        <cfvo type="percent" val="0"/>
        <cfvo type="percent" val="33"/>
        <cfvo type="percent" val="67"/>
      </iconSet>
    </cfRule>
  </conditionalFormatting>
  <conditionalFormatting sqref="AC204:AC206 X183:Y183 AC214:AC217">
    <cfRule type="containsText" dxfId="1332" priority="3475" operator="containsText" text="Sh">
      <formula>NOT(ISERROR(SEARCH("Sh",X183)))</formula>
    </cfRule>
    <cfRule type="cellIs" dxfId="1331" priority="3476" operator="equal">
      <formula>"Sh"</formula>
    </cfRule>
  </conditionalFormatting>
  <conditionalFormatting sqref="X222:Y222">
    <cfRule type="containsText" dxfId="1330" priority="3473" operator="containsText" text="Sh">
      <formula>NOT(ISERROR(SEARCH("Sh",X222)))</formula>
    </cfRule>
    <cfRule type="cellIs" dxfId="1329" priority="3474" operator="equal">
      <formula>"Sh"</formula>
    </cfRule>
  </conditionalFormatting>
  <conditionalFormatting sqref="X223:Y223">
    <cfRule type="containsText" dxfId="1328" priority="3471" operator="containsText" text="Sh">
      <formula>NOT(ISERROR(SEARCH("Sh",X223)))</formula>
    </cfRule>
    <cfRule type="cellIs" dxfId="1327" priority="3472" operator="equal">
      <formula>"Sh"</formula>
    </cfRule>
  </conditionalFormatting>
  <conditionalFormatting sqref="E174 E183:E184 E179 E199 E188:E195 E203:E206 E220:E224 E213:E217">
    <cfRule type="containsText" dxfId="1326" priority="3469" operator="containsText" text="Production">
      <formula>NOT(ISERROR(SEARCH("Production",E174)))</formula>
    </cfRule>
    <cfRule type="containsText" dxfId="1325" priority="3470" operator="containsText" text="Roll">
      <formula>NOT(ISERROR(SEARCH("Roll",E174)))</formula>
    </cfRule>
  </conditionalFormatting>
  <conditionalFormatting sqref="AC199:AC201 AC195 AC173:AC181 AC183:AC193">
    <cfRule type="containsText" dxfId="1324" priority="3467" operator="containsText" text="Sh">
      <formula>NOT(ISERROR(SEARCH("Sh",AC173)))</formula>
    </cfRule>
    <cfRule type="cellIs" dxfId="1323" priority="3468" operator="equal">
      <formula>"Sh"</formula>
    </cfRule>
  </conditionalFormatting>
  <conditionalFormatting sqref="AC196:AC198">
    <cfRule type="containsText" dxfId="1322" priority="3465" operator="containsText" text="Sh">
      <formula>NOT(ISERROR(SEARCH("Sh",AC196)))</formula>
    </cfRule>
    <cfRule type="cellIs" dxfId="1321" priority="3466" operator="equal">
      <formula>"Sh"</formula>
    </cfRule>
  </conditionalFormatting>
  <conditionalFormatting sqref="AC194">
    <cfRule type="containsText" dxfId="1320" priority="3463" operator="containsText" text="Sh">
      <formula>NOT(ISERROR(SEARCH("Sh",AC194)))</formula>
    </cfRule>
    <cfRule type="cellIs" dxfId="1319" priority="3464" operator="equal">
      <formula>"Sh"</formula>
    </cfRule>
  </conditionalFormatting>
  <conditionalFormatting sqref="AC214:AC217 AC203:AC206 AC163:AC171 AC173:AC181 AC183:AC201 AC222:AC224">
    <cfRule type="iconSet" priority="3462">
      <iconSet>
        <cfvo type="percent" val="0"/>
        <cfvo type="percent" val="90" gte="0"/>
        <cfvo type="percent" val="100"/>
      </iconSet>
    </cfRule>
  </conditionalFormatting>
  <conditionalFormatting sqref="X164:Y164 AB164:AB173">
    <cfRule type="containsText" dxfId="1318" priority="3460" operator="containsText" text="Sh">
      <formula>NOT(ISERROR(SEARCH("Sh",X164)))</formula>
    </cfRule>
    <cfRule type="cellIs" dxfId="1317" priority="3461" operator="equal">
      <formula>"Sh"</formula>
    </cfRule>
  </conditionalFormatting>
  <conditionalFormatting sqref="E163:E164">
    <cfRule type="containsText" dxfId="1316" priority="3458" operator="containsText" text="Production">
      <formula>NOT(ISERROR(SEARCH("Production",E163)))</formula>
    </cfRule>
    <cfRule type="containsText" dxfId="1315" priority="3459" operator="containsText" text="Roll">
      <formula>NOT(ISERROR(SEARCH("Roll",E163)))</formula>
    </cfRule>
  </conditionalFormatting>
  <conditionalFormatting sqref="X165:Y166">
    <cfRule type="containsText" dxfId="1314" priority="3456" operator="containsText" text="Sh">
      <formula>NOT(ISERROR(SEARCH("Sh",X165)))</formula>
    </cfRule>
    <cfRule type="cellIs" dxfId="1313" priority="3457" operator="equal">
      <formula>"Sh"</formula>
    </cfRule>
  </conditionalFormatting>
  <conditionalFormatting sqref="E167:E168">
    <cfRule type="containsText" dxfId="1312" priority="3454" operator="containsText" text="Production">
      <formula>NOT(ISERROR(SEARCH("Production",E167)))</formula>
    </cfRule>
    <cfRule type="containsText" dxfId="1311" priority="3455" operator="containsText" text="Roll">
      <formula>NOT(ISERROR(SEARCH("Roll",E167)))</formula>
    </cfRule>
  </conditionalFormatting>
  <conditionalFormatting sqref="X167:Y168">
    <cfRule type="containsText" dxfId="1310" priority="3452" operator="containsText" text="Sh">
      <formula>NOT(ISERROR(SEARCH("Sh",X167)))</formula>
    </cfRule>
    <cfRule type="cellIs" dxfId="1309" priority="3453" operator="equal">
      <formula>"Sh"</formula>
    </cfRule>
  </conditionalFormatting>
  <conditionalFormatting sqref="E169:E170">
    <cfRule type="containsText" dxfId="1308" priority="3450" operator="containsText" text="Production">
      <formula>NOT(ISERROR(SEARCH("Production",E169)))</formula>
    </cfRule>
    <cfRule type="containsText" dxfId="1307" priority="3451" operator="containsText" text="Roll">
      <formula>NOT(ISERROR(SEARCH("Roll",E169)))</formula>
    </cfRule>
  </conditionalFormatting>
  <conditionalFormatting sqref="X169:Y170">
    <cfRule type="containsText" dxfId="1306" priority="3448" operator="containsText" text="Sh">
      <formula>NOT(ISERROR(SEARCH("Sh",X169)))</formula>
    </cfRule>
    <cfRule type="cellIs" dxfId="1305" priority="3449" operator="equal">
      <formula>"Sh"</formula>
    </cfRule>
  </conditionalFormatting>
  <conditionalFormatting sqref="E165">
    <cfRule type="containsText" dxfId="1304" priority="3446" operator="containsText" text="Production">
      <formula>NOT(ISERROR(SEARCH("Production",E165)))</formula>
    </cfRule>
    <cfRule type="containsText" dxfId="1303" priority="3447" operator="containsText" text="Roll">
      <formula>NOT(ISERROR(SEARCH("Roll",E165)))</formula>
    </cfRule>
  </conditionalFormatting>
  <conditionalFormatting sqref="E166">
    <cfRule type="containsText" dxfId="1302" priority="3444" operator="containsText" text="Production">
      <formula>NOT(ISERROR(SEARCH("Production",E166)))</formula>
    </cfRule>
    <cfRule type="containsText" dxfId="1301" priority="3445" operator="containsText" text="Roll">
      <formula>NOT(ISERROR(SEARCH("Roll",E166)))</formula>
    </cfRule>
  </conditionalFormatting>
  <conditionalFormatting sqref="E171 E173">
    <cfRule type="containsText" dxfId="1300" priority="3439" operator="containsText" text="Production">
      <formula>NOT(ISERROR(SEARCH("Production",E171)))</formula>
    </cfRule>
    <cfRule type="containsText" dxfId="1299" priority="3440" operator="containsText" text="Roll">
      <formula>NOT(ISERROR(SEARCH("Roll",E171)))</formula>
    </cfRule>
  </conditionalFormatting>
  <conditionalFormatting sqref="X171:Y171">
    <cfRule type="containsText" dxfId="1298" priority="3436" operator="containsText" text="Sh">
      <formula>NOT(ISERROR(SEARCH("Sh",X171)))</formula>
    </cfRule>
    <cfRule type="cellIs" dxfId="1297" priority="3437" operator="equal">
      <formula>"Sh"</formula>
    </cfRule>
  </conditionalFormatting>
  <conditionalFormatting sqref="X176:Y176 AB176:AB186">
    <cfRule type="containsText" dxfId="1296" priority="3434" operator="containsText" text="Sh">
      <formula>NOT(ISERROR(SEARCH("Sh",X176)))</formula>
    </cfRule>
    <cfRule type="cellIs" dxfId="1295" priority="3435" operator="equal">
      <formula>"Sh"</formula>
    </cfRule>
  </conditionalFormatting>
  <conditionalFormatting sqref="E175:E176">
    <cfRule type="containsText" dxfId="1294" priority="3432" operator="containsText" text="Production">
      <formula>NOT(ISERROR(SEARCH("Production",E175)))</formula>
    </cfRule>
    <cfRule type="containsText" dxfId="1293" priority="3433" operator="containsText" text="Roll">
      <formula>NOT(ISERROR(SEARCH("Roll",E175)))</formula>
    </cfRule>
  </conditionalFormatting>
  <conditionalFormatting sqref="E177">
    <cfRule type="containsText" dxfId="1292" priority="3430" operator="containsText" text="Production">
      <formula>NOT(ISERROR(SEARCH("Production",E177)))</formula>
    </cfRule>
    <cfRule type="containsText" dxfId="1291" priority="3431" operator="containsText" text="Roll">
      <formula>NOT(ISERROR(SEARCH("Roll",E177)))</formula>
    </cfRule>
  </conditionalFormatting>
  <conditionalFormatting sqref="X177:Y178">
    <cfRule type="containsText" dxfId="1290" priority="3428" operator="containsText" text="Sh">
      <formula>NOT(ISERROR(SEARCH("Sh",X177)))</formula>
    </cfRule>
    <cfRule type="cellIs" dxfId="1289" priority="3429" operator="equal">
      <formula>"Sh"</formula>
    </cfRule>
  </conditionalFormatting>
  <conditionalFormatting sqref="E178">
    <cfRule type="containsText" dxfId="1288" priority="3426" operator="containsText" text="Production">
      <formula>NOT(ISERROR(SEARCH("Production",E178)))</formula>
    </cfRule>
    <cfRule type="containsText" dxfId="1287" priority="3427" operator="containsText" text="Roll">
      <formula>NOT(ISERROR(SEARCH("Roll",E178)))</formula>
    </cfRule>
  </conditionalFormatting>
  <conditionalFormatting sqref="AC172">
    <cfRule type="containsText" dxfId="1286" priority="3422" operator="containsText" text="Sh">
      <formula>NOT(ISERROR(SEARCH("Sh",AC172)))</formula>
    </cfRule>
    <cfRule type="cellIs" dxfId="1285" priority="3423" operator="equal">
      <formula>"Sh"</formula>
    </cfRule>
  </conditionalFormatting>
  <conditionalFormatting sqref="AC172">
    <cfRule type="iconSet" priority="3421">
      <iconSet>
        <cfvo type="percent" val="0"/>
        <cfvo type="percent" val="90" gte="0"/>
        <cfvo type="percent" val="100"/>
      </iconSet>
    </cfRule>
  </conditionalFormatting>
  <conditionalFormatting sqref="E172">
    <cfRule type="containsText" dxfId="1284" priority="3416" operator="containsText" text="Production">
      <formula>NOT(ISERROR(SEARCH("Production",E172)))</formula>
    </cfRule>
    <cfRule type="containsText" dxfId="1283" priority="3417" operator="containsText" text="Roll">
      <formula>NOT(ISERROR(SEARCH("Roll",E172)))</formula>
    </cfRule>
  </conditionalFormatting>
  <conditionalFormatting sqref="E180">
    <cfRule type="containsText" dxfId="1282" priority="3413" operator="containsText" text="Production">
      <formula>NOT(ISERROR(SEARCH("Production",E180)))</formula>
    </cfRule>
    <cfRule type="containsText" dxfId="1281" priority="3414" operator="containsText" text="Roll">
      <formula>NOT(ISERROR(SEARCH("Roll",E180)))</formula>
    </cfRule>
  </conditionalFormatting>
  <conditionalFormatting sqref="E181">
    <cfRule type="containsText" dxfId="1280" priority="3411" operator="containsText" text="Production">
      <formula>NOT(ISERROR(SEARCH("Production",E181)))</formula>
    </cfRule>
    <cfRule type="containsText" dxfId="1279" priority="3412" operator="containsText" text="Roll">
      <formula>NOT(ISERROR(SEARCH("Roll",E181)))</formula>
    </cfRule>
  </conditionalFormatting>
  <conditionalFormatting sqref="AC182">
    <cfRule type="containsText" dxfId="1278" priority="3405" operator="containsText" text="Sh">
      <formula>NOT(ISERROR(SEARCH("Sh",AC182)))</formula>
    </cfRule>
    <cfRule type="cellIs" dxfId="1277" priority="3406" operator="equal">
      <formula>"Sh"</formula>
    </cfRule>
  </conditionalFormatting>
  <conditionalFormatting sqref="AC182">
    <cfRule type="iconSet" priority="3404">
      <iconSet>
        <cfvo type="percent" val="0"/>
        <cfvo type="percent" val="90" gte="0"/>
        <cfvo type="percent" val="100"/>
      </iconSet>
    </cfRule>
  </conditionalFormatting>
  <conditionalFormatting sqref="E182">
    <cfRule type="containsText" dxfId="1276" priority="3399" operator="containsText" text="Production">
      <formula>NOT(ISERROR(SEARCH("Production",E182)))</formula>
    </cfRule>
    <cfRule type="containsText" dxfId="1275" priority="3400" operator="containsText" text="Roll">
      <formula>NOT(ISERROR(SEARCH("Roll",E182)))</formula>
    </cfRule>
  </conditionalFormatting>
  <conditionalFormatting sqref="X184:Y184">
    <cfRule type="containsText" dxfId="1274" priority="3389" operator="containsText" text="Sh">
      <formula>NOT(ISERROR(SEARCH("Sh",X184)))</formula>
    </cfRule>
    <cfRule type="cellIs" dxfId="1273" priority="3390" operator="equal">
      <formula>"Sh"</formula>
    </cfRule>
  </conditionalFormatting>
  <conditionalFormatting sqref="X185:Y185">
    <cfRule type="containsText" dxfId="1272" priority="3387" operator="containsText" text="Sh">
      <formula>NOT(ISERROR(SEARCH("Sh",X185)))</formula>
    </cfRule>
    <cfRule type="cellIs" dxfId="1271" priority="3388" operator="equal">
      <formula>"Sh"</formula>
    </cfRule>
  </conditionalFormatting>
  <conditionalFormatting sqref="E185:E187">
    <cfRule type="containsText" dxfId="1270" priority="3385" operator="containsText" text="Production">
      <formula>NOT(ISERROR(SEARCH("Production",E185)))</formula>
    </cfRule>
    <cfRule type="containsText" dxfId="1269" priority="3386" operator="containsText" text="Roll">
      <formula>NOT(ISERROR(SEARCH("Roll",E185)))</formula>
    </cfRule>
  </conditionalFormatting>
  <conditionalFormatting sqref="X186:Y186">
    <cfRule type="containsText" dxfId="1268" priority="3383" operator="containsText" text="Sh">
      <formula>NOT(ISERROR(SEARCH("Sh",X186)))</formula>
    </cfRule>
    <cfRule type="cellIs" dxfId="1267" priority="3384" operator="equal">
      <formula>"Sh"</formula>
    </cfRule>
  </conditionalFormatting>
  <conditionalFormatting sqref="X190:Y190">
    <cfRule type="containsText" dxfId="1266" priority="3381" operator="containsText" text="Sh">
      <formula>NOT(ISERROR(SEARCH("Sh",X190)))</formula>
    </cfRule>
    <cfRule type="cellIs" dxfId="1265" priority="3382" operator="equal">
      <formula>"Sh"</formula>
    </cfRule>
  </conditionalFormatting>
  <conditionalFormatting sqref="X191:Y191">
    <cfRule type="containsText" dxfId="1264" priority="3379" operator="containsText" text="Sh">
      <formula>NOT(ISERROR(SEARCH("Sh",X191)))</formula>
    </cfRule>
    <cfRule type="cellIs" dxfId="1263" priority="3380" operator="equal">
      <formula>"Sh"</formula>
    </cfRule>
  </conditionalFormatting>
  <conditionalFormatting sqref="AB189:AB201">
    <cfRule type="containsText" dxfId="1262" priority="3377" operator="containsText" text="Sh">
      <formula>NOT(ISERROR(SEARCH("Sh",AB189)))</formula>
    </cfRule>
    <cfRule type="cellIs" dxfId="1261" priority="3378" operator="equal">
      <formula>"Sh"</formula>
    </cfRule>
  </conditionalFormatting>
  <conditionalFormatting sqref="X189:Y189">
    <cfRule type="containsText" dxfId="1260" priority="3375" operator="containsText" text="Sh">
      <formula>NOT(ISERROR(SEARCH("Sh",X189)))</formula>
    </cfRule>
    <cfRule type="cellIs" dxfId="1259" priority="3376" operator="equal">
      <formula>"Sh"</formula>
    </cfRule>
  </conditionalFormatting>
  <conditionalFormatting sqref="E196:E198">
    <cfRule type="containsText" dxfId="1258" priority="3371" operator="containsText" text="Production">
      <formula>NOT(ISERROR(SEARCH("Production",E196)))</formula>
    </cfRule>
    <cfRule type="containsText" dxfId="1257" priority="3372" operator="containsText" text="Roll">
      <formula>NOT(ISERROR(SEARCH("Roll",E196)))</formula>
    </cfRule>
  </conditionalFormatting>
  <conditionalFormatting sqref="X192:Y192">
    <cfRule type="containsText" dxfId="1256" priority="3369" operator="containsText" text="Sh">
      <formula>NOT(ISERROR(SEARCH("Sh",X192)))</formula>
    </cfRule>
    <cfRule type="cellIs" dxfId="1255" priority="3370" operator="equal">
      <formula>"Sh"</formula>
    </cfRule>
  </conditionalFormatting>
  <conditionalFormatting sqref="X193:Y193">
    <cfRule type="containsText" dxfId="1254" priority="3367" operator="containsText" text="Sh">
      <formula>NOT(ISERROR(SEARCH("Sh",X193)))</formula>
    </cfRule>
    <cfRule type="cellIs" dxfId="1253" priority="3368" operator="equal">
      <formula>"Sh"</formula>
    </cfRule>
  </conditionalFormatting>
  <conditionalFormatting sqref="X194:Y194">
    <cfRule type="containsText" dxfId="1252" priority="3365" operator="containsText" text="Sh">
      <formula>NOT(ISERROR(SEARCH("Sh",X194)))</formula>
    </cfRule>
    <cfRule type="cellIs" dxfId="1251" priority="3366" operator="equal">
      <formula>"Sh"</formula>
    </cfRule>
  </conditionalFormatting>
  <conditionalFormatting sqref="X195:Y198">
    <cfRule type="containsText" dxfId="1250" priority="3363" operator="containsText" text="Sh">
      <formula>NOT(ISERROR(SEARCH("Sh",X195)))</formula>
    </cfRule>
    <cfRule type="cellIs" dxfId="1249" priority="3364" operator="equal">
      <formula>"Sh"</formula>
    </cfRule>
  </conditionalFormatting>
  <conditionalFormatting sqref="E200:E201">
    <cfRule type="containsText" dxfId="1248" priority="3361" operator="containsText" text="Production">
      <formula>NOT(ISERROR(SEARCH("Production",E200)))</formula>
    </cfRule>
    <cfRule type="containsText" dxfId="1247" priority="3362" operator="containsText" text="Roll">
      <formula>NOT(ISERROR(SEARCH("Roll",E200)))</formula>
    </cfRule>
  </conditionalFormatting>
  <conditionalFormatting sqref="X199:Y201">
    <cfRule type="containsText" dxfId="1246" priority="3359" operator="containsText" text="Sh">
      <formula>NOT(ISERROR(SEARCH("Sh",X199)))</formula>
    </cfRule>
    <cfRule type="cellIs" dxfId="1245" priority="3360" operator="equal">
      <formula>"Sh"</formula>
    </cfRule>
  </conditionalFormatting>
  <conditionalFormatting sqref="AC202">
    <cfRule type="containsText" dxfId="1244" priority="3357" operator="containsText" text="Sh">
      <formula>NOT(ISERROR(SEARCH("Sh",AC202)))</formula>
    </cfRule>
    <cfRule type="cellIs" dxfId="1243" priority="3358" operator="equal">
      <formula>"Sh"</formula>
    </cfRule>
  </conditionalFormatting>
  <conditionalFormatting sqref="AC202">
    <cfRule type="iconSet" priority="3356">
      <iconSet>
        <cfvo type="percent" val="0"/>
        <cfvo type="percent" val="90" gte="0"/>
        <cfvo type="percent" val="100"/>
      </iconSet>
    </cfRule>
  </conditionalFormatting>
  <conditionalFormatting sqref="E202">
    <cfRule type="containsText" dxfId="1242" priority="3348" operator="containsText" text="Production">
      <formula>NOT(ISERROR(SEARCH("Production",E202)))</formula>
    </cfRule>
    <cfRule type="containsText" dxfId="1241" priority="3349" operator="containsText" text="Roll">
      <formula>NOT(ISERROR(SEARCH("Roll",E202)))</formula>
    </cfRule>
  </conditionalFormatting>
  <conditionalFormatting sqref="AB204:AB212">
    <cfRule type="containsText" dxfId="1240" priority="3346" operator="containsText" text="Sh">
      <formula>NOT(ISERROR(SEARCH("Sh",AB204)))</formula>
    </cfRule>
    <cfRule type="cellIs" dxfId="1239" priority="3347" operator="equal">
      <formula>"Sh"</formula>
    </cfRule>
  </conditionalFormatting>
  <conditionalFormatting sqref="X204:Y204">
    <cfRule type="containsText" dxfId="1238" priority="3344" operator="containsText" text="Sh">
      <formula>NOT(ISERROR(SEARCH("Sh",X204)))</formula>
    </cfRule>
    <cfRule type="cellIs" dxfId="1237" priority="3345" operator="equal">
      <formula>"Sh"</formula>
    </cfRule>
  </conditionalFormatting>
  <conditionalFormatting sqref="F222:F224 F163:F206">
    <cfRule type="iconSet" priority="3343">
      <iconSet iconSet="3Signs">
        <cfvo type="percent" val="0"/>
        <cfvo type="percent" val="33"/>
        <cfvo type="percent" val="67"/>
      </iconSet>
    </cfRule>
  </conditionalFormatting>
  <conditionalFormatting sqref="X205:Y205">
    <cfRule type="containsText" dxfId="1236" priority="3341" operator="containsText" text="Sh">
      <formula>NOT(ISERROR(SEARCH("Sh",X205)))</formula>
    </cfRule>
    <cfRule type="cellIs" dxfId="1235" priority="3342" operator="equal">
      <formula>"Sh"</formula>
    </cfRule>
  </conditionalFormatting>
  <conditionalFormatting sqref="X206:Y206">
    <cfRule type="containsText" dxfId="1234" priority="3339" operator="containsText" text="Sh">
      <formula>NOT(ISERROR(SEARCH("Sh",X206)))</formula>
    </cfRule>
    <cfRule type="cellIs" dxfId="1233" priority="3340" operator="equal">
      <formula>"Sh"</formula>
    </cfRule>
  </conditionalFormatting>
  <conditionalFormatting sqref="F214:F217">
    <cfRule type="iconSet" priority="3338">
      <iconSet iconSet="3Signs">
        <cfvo type="percent" val="0"/>
        <cfvo type="percent" val="33"/>
        <cfvo type="percent" val="67"/>
      </iconSet>
    </cfRule>
  </conditionalFormatting>
  <conditionalFormatting sqref="X214:Y214">
    <cfRule type="containsText" dxfId="1232" priority="3336" operator="containsText" text="Sh">
      <formula>NOT(ISERROR(SEARCH("Sh",X214)))</formula>
    </cfRule>
    <cfRule type="cellIs" dxfId="1231" priority="3337" operator="equal">
      <formula>"Sh"</formula>
    </cfRule>
  </conditionalFormatting>
  <conditionalFormatting sqref="X215:Y215">
    <cfRule type="containsText" dxfId="1230" priority="3334" operator="containsText" text="Sh">
      <formula>NOT(ISERROR(SEARCH("Sh",X215)))</formula>
    </cfRule>
    <cfRule type="cellIs" dxfId="1229" priority="3335" operator="equal">
      <formula>"Sh"</formula>
    </cfRule>
  </conditionalFormatting>
  <conditionalFormatting sqref="AC207">
    <cfRule type="containsText" dxfId="1228" priority="3332" operator="containsText" text="Sh">
      <formula>NOT(ISERROR(SEARCH("Sh",AC207)))</formula>
    </cfRule>
    <cfRule type="cellIs" dxfId="1227" priority="3333" operator="equal">
      <formula>"Sh"</formula>
    </cfRule>
  </conditionalFormatting>
  <conditionalFormatting sqref="E207">
    <cfRule type="containsText" dxfId="1226" priority="3330" operator="containsText" text="Production">
      <formula>NOT(ISERROR(SEARCH("Production",E207)))</formula>
    </cfRule>
    <cfRule type="containsText" dxfId="1225" priority="3331" operator="containsText" text="Roll">
      <formula>NOT(ISERROR(SEARCH("Roll",E207)))</formula>
    </cfRule>
  </conditionalFormatting>
  <conditionalFormatting sqref="AC207">
    <cfRule type="iconSet" priority="3329">
      <iconSet>
        <cfvo type="percent" val="0"/>
        <cfvo type="percent" val="90" gte="0"/>
        <cfvo type="percent" val="100"/>
      </iconSet>
    </cfRule>
  </conditionalFormatting>
  <conditionalFormatting sqref="F207">
    <cfRule type="iconSet" priority="3322">
      <iconSet iconSet="3Signs">
        <cfvo type="percent" val="0"/>
        <cfvo type="percent" val="33"/>
        <cfvo type="percent" val="67"/>
      </iconSet>
    </cfRule>
  </conditionalFormatting>
  <conditionalFormatting sqref="AC208">
    <cfRule type="containsText" dxfId="1224" priority="3320" operator="containsText" text="Sh">
      <formula>NOT(ISERROR(SEARCH("Sh",AC208)))</formula>
    </cfRule>
    <cfRule type="cellIs" dxfId="1223" priority="3321" operator="equal">
      <formula>"Sh"</formula>
    </cfRule>
  </conditionalFormatting>
  <conditionalFormatting sqref="E208">
    <cfRule type="containsText" dxfId="1222" priority="3318" operator="containsText" text="Production">
      <formula>NOT(ISERROR(SEARCH("Production",E208)))</formula>
    </cfRule>
    <cfRule type="containsText" dxfId="1221" priority="3319" operator="containsText" text="Roll">
      <formula>NOT(ISERROR(SEARCH("Roll",E208)))</formula>
    </cfRule>
  </conditionalFormatting>
  <conditionalFormatting sqref="AC208">
    <cfRule type="iconSet" priority="3317">
      <iconSet>
        <cfvo type="percent" val="0"/>
        <cfvo type="percent" val="90" gte="0"/>
        <cfvo type="percent" val="100"/>
      </iconSet>
    </cfRule>
  </conditionalFormatting>
  <conditionalFormatting sqref="F208">
    <cfRule type="iconSet" priority="3310">
      <iconSet iconSet="3Signs">
        <cfvo type="percent" val="0"/>
        <cfvo type="percent" val="33"/>
        <cfvo type="percent" val="67"/>
      </iconSet>
    </cfRule>
  </conditionalFormatting>
  <conditionalFormatting sqref="X207:Y207">
    <cfRule type="containsText" dxfId="1220" priority="3308" operator="containsText" text="Sh">
      <formula>NOT(ISERROR(SEARCH("Sh",X207)))</formula>
    </cfRule>
    <cfRule type="cellIs" dxfId="1219" priority="3309" operator="equal">
      <formula>"Sh"</formula>
    </cfRule>
  </conditionalFormatting>
  <conditionalFormatting sqref="X208:Y208">
    <cfRule type="containsText" dxfId="1218" priority="3306" operator="containsText" text="Sh">
      <formula>NOT(ISERROR(SEARCH("Sh",X208)))</formula>
    </cfRule>
    <cfRule type="cellIs" dxfId="1217" priority="3307" operator="equal">
      <formula>"Sh"</formula>
    </cfRule>
  </conditionalFormatting>
  <conditionalFormatting sqref="AC210">
    <cfRule type="containsText" dxfId="1216" priority="3304" operator="containsText" text="Sh">
      <formula>NOT(ISERROR(SEARCH("Sh",AC210)))</formula>
    </cfRule>
    <cfRule type="cellIs" dxfId="1215" priority="3305" operator="equal">
      <formula>"Sh"</formula>
    </cfRule>
  </conditionalFormatting>
  <conditionalFormatting sqref="E209:E210">
    <cfRule type="containsText" dxfId="1214" priority="3302" operator="containsText" text="Production">
      <formula>NOT(ISERROR(SEARCH("Production",E209)))</formula>
    </cfRule>
    <cfRule type="containsText" dxfId="1213" priority="3303" operator="containsText" text="Roll">
      <formula>NOT(ISERROR(SEARCH("Roll",E209)))</formula>
    </cfRule>
  </conditionalFormatting>
  <conditionalFormatting sqref="AC209:AC210">
    <cfRule type="iconSet" priority="3301">
      <iconSet>
        <cfvo type="percent" val="0"/>
        <cfvo type="percent" val="90" gte="0"/>
        <cfvo type="percent" val="100"/>
      </iconSet>
    </cfRule>
  </conditionalFormatting>
  <conditionalFormatting sqref="X209:Y209">
    <cfRule type="containsText" dxfId="1212" priority="3294" operator="containsText" text="Sh">
      <formula>NOT(ISERROR(SEARCH("Sh",X209)))</formula>
    </cfRule>
    <cfRule type="cellIs" dxfId="1211" priority="3295" operator="equal">
      <formula>"Sh"</formula>
    </cfRule>
  </conditionalFormatting>
  <conditionalFormatting sqref="X210:Y210">
    <cfRule type="containsText" dxfId="1210" priority="3292" operator="containsText" text="Sh">
      <formula>NOT(ISERROR(SEARCH("Sh",X210)))</formula>
    </cfRule>
    <cfRule type="cellIs" dxfId="1209" priority="3293" operator="equal">
      <formula>"Sh"</formula>
    </cfRule>
  </conditionalFormatting>
  <conditionalFormatting sqref="F209:F210">
    <cfRule type="iconSet" priority="3291">
      <iconSet iconSet="3Signs">
        <cfvo type="percent" val="0"/>
        <cfvo type="percent" val="33"/>
        <cfvo type="percent" val="67"/>
      </iconSet>
    </cfRule>
  </conditionalFormatting>
  <conditionalFormatting sqref="AC211">
    <cfRule type="containsText" dxfId="1208" priority="3287" operator="containsText" text="Sh">
      <formula>NOT(ISERROR(SEARCH("Sh",AC211)))</formula>
    </cfRule>
    <cfRule type="cellIs" dxfId="1207" priority="3288" operator="equal">
      <formula>"Sh"</formula>
    </cfRule>
  </conditionalFormatting>
  <conditionalFormatting sqref="E211">
    <cfRule type="containsText" dxfId="1206" priority="3285" operator="containsText" text="Production">
      <formula>NOT(ISERROR(SEARCH("Production",E211)))</formula>
    </cfRule>
    <cfRule type="containsText" dxfId="1205" priority="3286" operator="containsText" text="Roll">
      <formula>NOT(ISERROR(SEARCH("Roll",E211)))</formula>
    </cfRule>
  </conditionalFormatting>
  <conditionalFormatting sqref="AC211">
    <cfRule type="iconSet" priority="3284">
      <iconSet>
        <cfvo type="percent" val="0"/>
        <cfvo type="percent" val="90" gte="0"/>
        <cfvo type="percent" val="100"/>
      </iconSet>
    </cfRule>
  </conditionalFormatting>
  <conditionalFormatting sqref="F211">
    <cfRule type="iconSet" priority="3277">
      <iconSet iconSet="3Signs">
        <cfvo type="percent" val="0"/>
        <cfvo type="percent" val="33"/>
        <cfvo type="percent" val="67"/>
      </iconSet>
    </cfRule>
  </conditionalFormatting>
  <conditionalFormatting sqref="AC212">
    <cfRule type="containsText" dxfId="1204" priority="3275" operator="containsText" text="Sh">
      <formula>NOT(ISERROR(SEARCH("Sh",AC212)))</formula>
    </cfRule>
    <cfRule type="cellIs" dxfId="1203" priority="3276" operator="equal">
      <formula>"Sh"</formula>
    </cfRule>
  </conditionalFormatting>
  <conditionalFormatting sqref="E212">
    <cfRule type="containsText" dxfId="1202" priority="3273" operator="containsText" text="Production">
      <formula>NOT(ISERROR(SEARCH("Production",E212)))</formula>
    </cfRule>
    <cfRule type="containsText" dxfId="1201" priority="3274" operator="containsText" text="Roll">
      <formula>NOT(ISERROR(SEARCH("Roll",E212)))</formula>
    </cfRule>
  </conditionalFormatting>
  <conditionalFormatting sqref="AC212">
    <cfRule type="iconSet" priority="3272">
      <iconSet>
        <cfvo type="percent" val="0"/>
        <cfvo type="percent" val="90" gte="0"/>
        <cfvo type="percent" val="100"/>
      </iconSet>
    </cfRule>
  </conditionalFormatting>
  <conditionalFormatting sqref="F212">
    <cfRule type="iconSet" priority="3265">
      <iconSet iconSet="3Signs">
        <cfvo type="percent" val="0"/>
        <cfvo type="percent" val="33"/>
        <cfvo type="percent" val="67"/>
      </iconSet>
    </cfRule>
  </conditionalFormatting>
  <conditionalFormatting sqref="X211:Y211">
    <cfRule type="containsText" dxfId="1200" priority="3263" operator="containsText" text="Sh">
      <formula>NOT(ISERROR(SEARCH("Sh",X211)))</formula>
    </cfRule>
    <cfRule type="cellIs" dxfId="1199" priority="3264" operator="equal">
      <formula>"Sh"</formula>
    </cfRule>
  </conditionalFormatting>
  <conditionalFormatting sqref="X212:Y212">
    <cfRule type="containsText" dxfId="1198" priority="3261" operator="containsText" text="Sh">
      <formula>NOT(ISERROR(SEARCH("Sh",X212)))</formula>
    </cfRule>
    <cfRule type="cellIs" dxfId="1197" priority="3262" operator="equal">
      <formula>"Sh"</formula>
    </cfRule>
  </conditionalFormatting>
  <conditionalFormatting sqref="AH220:AH221">
    <cfRule type="iconSet" priority="3259">
      <iconSet iconSet="3Signs">
        <cfvo type="percent" val="0"/>
        <cfvo type="percent" val="33"/>
        <cfvo type="percent" val="67"/>
      </iconSet>
    </cfRule>
  </conditionalFormatting>
  <conditionalFormatting sqref="AN220:AN221">
    <cfRule type="colorScale" priority="3258">
      <colorScale>
        <cfvo type="min"/>
        <cfvo type="max"/>
        <color rgb="FFFCFCFF"/>
        <color rgb="FF63BE7B"/>
      </colorScale>
    </cfRule>
  </conditionalFormatting>
  <conditionalFormatting sqref="E220:E221">
    <cfRule type="containsText" dxfId="1196" priority="3256" operator="containsText" text="Production">
      <formula>NOT(ISERROR(SEARCH("Production",E220)))</formula>
    </cfRule>
    <cfRule type="containsText" dxfId="1195" priority="3257" operator="containsText" text="Roll">
      <formula>NOT(ISERROR(SEARCH("Roll",E220)))</formula>
    </cfRule>
  </conditionalFormatting>
  <conditionalFormatting sqref="F220:F221">
    <cfRule type="iconSet" priority="3255">
      <iconSet iconSet="3Signs">
        <cfvo type="percent" val="0"/>
        <cfvo type="percent" val="33"/>
        <cfvo type="percent" val="67"/>
      </iconSet>
    </cfRule>
  </conditionalFormatting>
  <conditionalFormatting sqref="X220:Y220">
    <cfRule type="containsText" dxfId="1194" priority="3253" operator="containsText" text="Sh">
      <formula>NOT(ISERROR(SEARCH("Sh",X220)))</formula>
    </cfRule>
    <cfRule type="cellIs" dxfId="1193" priority="3254" operator="equal">
      <formula>"Sh"</formula>
    </cfRule>
  </conditionalFormatting>
  <conditionalFormatting sqref="X221:Y221">
    <cfRule type="containsText" dxfId="1192" priority="3251" operator="containsText" text="Sh">
      <formula>NOT(ISERROR(SEARCH("Sh",X221)))</formula>
    </cfRule>
    <cfRule type="cellIs" dxfId="1191" priority="3252" operator="equal">
      <formula>"Sh"</formula>
    </cfRule>
  </conditionalFormatting>
  <conditionalFormatting sqref="G220:G224 G163:G217">
    <cfRule type="iconSet" priority="3246">
      <iconSet iconSet="3Flags">
        <cfvo type="percent" val="0"/>
        <cfvo type="percent" val="33"/>
        <cfvo type="percent" val="67"/>
      </iconSet>
    </cfRule>
  </conditionalFormatting>
  <conditionalFormatting sqref="X216:Y216">
    <cfRule type="containsText" dxfId="1190" priority="3244" operator="containsText" text="Sh">
      <formula>NOT(ISERROR(SEARCH("Sh",X216)))</formula>
    </cfRule>
    <cfRule type="cellIs" dxfId="1189" priority="3245" operator="equal">
      <formula>"Sh"</formula>
    </cfRule>
  </conditionalFormatting>
  <conditionalFormatting sqref="X217:Y217">
    <cfRule type="containsText" dxfId="1188" priority="3242" operator="containsText" text="Sh">
      <formula>NOT(ISERROR(SEARCH("Sh",X217)))</formula>
    </cfRule>
    <cfRule type="cellIs" dxfId="1187" priority="3243" operator="equal">
      <formula>"Sh"</formula>
    </cfRule>
  </conditionalFormatting>
  <conditionalFormatting sqref="AC218">
    <cfRule type="containsText" dxfId="1186" priority="3240" operator="containsText" text="Sh">
      <formula>NOT(ISERROR(SEARCH("Sh",AC218)))</formula>
    </cfRule>
    <cfRule type="cellIs" dxfId="1185" priority="3241" operator="equal">
      <formula>"Sh"</formula>
    </cfRule>
  </conditionalFormatting>
  <conditionalFormatting sqref="E218">
    <cfRule type="containsText" dxfId="1184" priority="3238" operator="containsText" text="Production">
      <formula>NOT(ISERROR(SEARCH("Production",E218)))</formula>
    </cfRule>
    <cfRule type="containsText" dxfId="1183" priority="3239" operator="containsText" text="Roll">
      <formula>NOT(ISERROR(SEARCH("Roll",E218)))</formula>
    </cfRule>
  </conditionalFormatting>
  <conditionalFormatting sqref="AC218">
    <cfRule type="iconSet" priority="3237">
      <iconSet>
        <cfvo type="percent" val="0"/>
        <cfvo type="percent" val="90" gte="0"/>
        <cfvo type="percent" val="100"/>
      </iconSet>
    </cfRule>
  </conditionalFormatting>
  <conditionalFormatting sqref="F218">
    <cfRule type="iconSet" priority="3236">
      <iconSet iconSet="3Signs">
        <cfvo type="percent" val="0"/>
        <cfvo type="percent" val="33"/>
        <cfvo type="percent" val="67"/>
      </iconSet>
    </cfRule>
  </conditionalFormatting>
  <conditionalFormatting sqref="AC219:AC221">
    <cfRule type="containsText" dxfId="1182" priority="3234" operator="containsText" text="Sh">
      <formula>NOT(ISERROR(SEARCH("Sh",AC219)))</formula>
    </cfRule>
    <cfRule type="cellIs" dxfId="1181" priority="3235" operator="equal">
      <formula>"Sh"</formula>
    </cfRule>
  </conditionalFormatting>
  <conditionalFormatting sqref="E219">
    <cfRule type="containsText" dxfId="1180" priority="3232" operator="containsText" text="Production">
      <formula>NOT(ISERROR(SEARCH("Production",E219)))</formula>
    </cfRule>
    <cfRule type="containsText" dxfId="1179" priority="3233" operator="containsText" text="Roll">
      <formula>NOT(ISERROR(SEARCH("Roll",E219)))</formula>
    </cfRule>
  </conditionalFormatting>
  <conditionalFormatting sqref="AC219:AC221">
    <cfRule type="iconSet" priority="3231">
      <iconSet>
        <cfvo type="percent" val="0"/>
        <cfvo type="percent" val="90" gte="0"/>
        <cfvo type="percent" val="100"/>
      </iconSet>
    </cfRule>
  </conditionalFormatting>
  <conditionalFormatting sqref="F219">
    <cfRule type="iconSet" priority="3230">
      <iconSet iconSet="3Signs">
        <cfvo type="percent" val="0"/>
        <cfvo type="percent" val="33"/>
        <cfvo type="percent" val="67"/>
      </iconSet>
    </cfRule>
  </conditionalFormatting>
  <conditionalFormatting sqref="X218:Y218">
    <cfRule type="containsText" dxfId="1178" priority="3228" operator="containsText" text="Sh">
      <formula>NOT(ISERROR(SEARCH("Sh",X218)))</formula>
    </cfRule>
    <cfRule type="cellIs" dxfId="1177" priority="3229" operator="equal">
      <formula>"Sh"</formula>
    </cfRule>
  </conditionalFormatting>
  <conditionalFormatting sqref="X219:Y219">
    <cfRule type="containsText" dxfId="1176" priority="3226" operator="containsText" text="Sh">
      <formula>NOT(ISERROR(SEARCH("Sh",X219)))</formula>
    </cfRule>
    <cfRule type="cellIs" dxfId="1175" priority="3227" operator="equal">
      <formula>"Sh"</formula>
    </cfRule>
  </conditionalFormatting>
  <conditionalFormatting sqref="G218:G219">
    <cfRule type="iconSet" priority="3225">
      <iconSet iconSet="3Flags">
        <cfvo type="percent" val="0"/>
        <cfvo type="percent" val="33"/>
        <cfvo type="percent" val="67"/>
      </iconSet>
    </cfRule>
  </conditionalFormatting>
  <conditionalFormatting sqref="AC213">
    <cfRule type="iconSet" priority="3477">
      <iconSet>
        <cfvo type="percent" val="0"/>
        <cfvo type="percent" val="90" gte="0"/>
        <cfvo type="percent" val="100"/>
      </iconSet>
    </cfRule>
  </conditionalFormatting>
  <conditionalFormatting sqref="F213">
    <cfRule type="iconSet" priority="3479">
      <iconSet iconSet="3Signs">
        <cfvo type="percent" val="0"/>
        <cfvo type="percent" val="33"/>
        <cfvo type="percent" val="67"/>
      </iconSet>
    </cfRule>
  </conditionalFormatting>
  <conditionalFormatting sqref="AB214:AB223">
    <cfRule type="containsText" dxfId="1174" priority="3214" operator="containsText" text="Sh">
      <formula>NOT(ISERROR(SEARCH("Sh",AB214)))</formula>
    </cfRule>
    <cfRule type="cellIs" dxfId="1173" priority="3215" operator="equal">
      <formula>"Sh"</formula>
    </cfRule>
  </conditionalFormatting>
  <conditionalFormatting sqref="X250:Y250 AB250 X258:Y258 AB258 X237:Y237 AB237 X225:Y226 AB225:AB226 AC225:AC233">
    <cfRule type="containsText" dxfId="1172" priority="3198" operator="containsText" text="Sh">
      <formula>NOT(ISERROR(SEARCH("Sh",X225)))</formula>
    </cfRule>
    <cfRule type="cellIs" dxfId="1171" priority="3199" operator="equal">
      <formula>"Sh"</formula>
    </cfRule>
  </conditionalFormatting>
  <conditionalFormatting sqref="F277">
    <cfRule type="iconSet" priority="3197">
      <iconSet>
        <cfvo type="percent" val="0"/>
        <cfvo type="percent" val="33"/>
        <cfvo type="percent" val="67"/>
      </iconSet>
    </cfRule>
  </conditionalFormatting>
  <conditionalFormatting sqref="AC272:AC276 AB229:AB233 AC237:AC244 AB238 AB251 AB259">
    <cfRule type="containsText" dxfId="1170" priority="3191" operator="containsText" text="Sh">
      <formula>NOT(ISERROR(SEARCH("Sh",AB229)))</formula>
    </cfRule>
    <cfRule type="cellIs" dxfId="1169" priority="3192" operator="equal">
      <formula>"Sh"</formula>
    </cfRule>
  </conditionalFormatting>
  <conditionalFormatting sqref="E237 E242 E251:E257 E272:E276 E246:E247 E259:E262 AL276">
    <cfRule type="containsText" dxfId="1168" priority="3189" operator="containsText" text="Production">
      <formula>NOT(ISERROR(SEARCH("Production",E237)))</formula>
    </cfRule>
    <cfRule type="containsText" dxfId="1167" priority="3190" operator="containsText" text="Roll">
      <formula>NOT(ISERROR(SEARCH("Roll",E237)))</formula>
    </cfRule>
  </conditionalFormatting>
  <conditionalFormatting sqref="AC246:AC250">
    <cfRule type="containsText" dxfId="1166" priority="3187" operator="containsText" text="Sh">
      <formula>NOT(ISERROR(SEARCH("Sh",AC246)))</formula>
    </cfRule>
    <cfRule type="cellIs" dxfId="1165" priority="3188" operator="equal">
      <formula>"Sh"</formula>
    </cfRule>
  </conditionalFormatting>
  <conditionalFormatting sqref="AC273:AC276 AC225:AC233 AC237:AC244 AC246:AC250 AC259:AC267">
    <cfRule type="iconSet" priority="3186">
      <iconSet>
        <cfvo type="percent" val="0"/>
        <cfvo type="percent" val="90" gte="0"/>
        <cfvo type="percent" val="100"/>
      </iconSet>
    </cfRule>
  </conditionalFormatting>
  <conditionalFormatting sqref="E225:E226">
    <cfRule type="containsText" dxfId="1164" priority="3184" operator="containsText" text="Production">
      <formula>NOT(ISERROR(SEARCH("Production",E225)))</formula>
    </cfRule>
    <cfRule type="containsText" dxfId="1163" priority="3185" operator="containsText" text="Roll">
      <formula>NOT(ISERROR(SEARCH("Roll",E225)))</formula>
    </cfRule>
  </conditionalFormatting>
  <conditionalFormatting sqref="X227:Y228">
    <cfRule type="containsText" dxfId="1162" priority="3182" operator="containsText" text="Sh">
      <formula>NOT(ISERROR(SEARCH("Sh",X227)))</formula>
    </cfRule>
    <cfRule type="cellIs" dxfId="1161" priority="3183" operator="equal">
      <formula>"Sh"</formula>
    </cfRule>
  </conditionalFormatting>
  <conditionalFormatting sqref="E229:E230">
    <cfRule type="containsText" dxfId="1160" priority="3180" operator="containsText" text="Production">
      <formula>NOT(ISERROR(SEARCH("Production",E229)))</formula>
    </cfRule>
    <cfRule type="containsText" dxfId="1159" priority="3181" operator="containsText" text="Roll">
      <formula>NOT(ISERROR(SEARCH("Roll",E229)))</formula>
    </cfRule>
  </conditionalFormatting>
  <conditionalFormatting sqref="X229:Y229">
    <cfRule type="containsText" dxfId="1158" priority="3178" operator="containsText" text="Sh">
      <formula>NOT(ISERROR(SEARCH("Sh",X229)))</formula>
    </cfRule>
    <cfRule type="cellIs" dxfId="1157" priority="3179" operator="equal">
      <formula>"Sh"</formula>
    </cfRule>
  </conditionalFormatting>
  <conditionalFormatting sqref="E227">
    <cfRule type="containsText" dxfId="1156" priority="3176" operator="containsText" text="Production">
      <formula>NOT(ISERROR(SEARCH("Production",E227)))</formula>
    </cfRule>
    <cfRule type="containsText" dxfId="1155" priority="3177" operator="containsText" text="Roll">
      <formula>NOT(ISERROR(SEARCH("Roll",E227)))</formula>
    </cfRule>
  </conditionalFormatting>
  <conditionalFormatting sqref="E228">
    <cfRule type="containsText" dxfId="1154" priority="3174" operator="containsText" text="Production">
      <formula>NOT(ISERROR(SEARCH("Production",E228)))</formula>
    </cfRule>
    <cfRule type="containsText" dxfId="1153" priority="3175" operator="containsText" text="Roll">
      <formula>NOT(ISERROR(SEARCH("Roll",E228)))</formula>
    </cfRule>
  </conditionalFormatting>
  <conditionalFormatting sqref="AB239 AB241:AB249">
    <cfRule type="containsText" dxfId="1152" priority="3171" operator="containsText" text="Sh">
      <formula>NOT(ISERROR(SEARCH("Sh",AB239)))</formula>
    </cfRule>
    <cfRule type="cellIs" dxfId="1151" priority="3172" operator="equal">
      <formula>"Sh"</formula>
    </cfRule>
  </conditionalFormatting>
  <conditionalFormatting sqref="E238:E239">
    <cfRule type="containsText" dxfId="1150" priority="3169" operator="containsText" text="Production">
      <formula>NOT(ISERROR(SEARCH("Production",E238)))</formula>
    </cfRule>
    <cfRule type="containsText" dxfId="1149" priority="3170" operator="containsText" text="Roll">
      <formula>NOT(ISERROR(SEARCH("Roll",E238)))</formula>
    </cfRule>
  </conditionalFormatting>
  <conditionalFormatting sqref="E240">
    <cfRule type="containsText" dxfId="1148" priority="3167" operator="containsText" text="Production">
      <formula>NOT(ISERROR(SEARCH("Production",E240)))</formula>
    </cfRule>
    <cfRule type="containsText" dxfId="1147" priority="3168" operator="containsText" text="Roll">
      <formula>NOT(ISERROR(SEARCH("Roll",E240)))</formula>
    </cfRule>
  </conditionalFormatting>
  <conditionalFormatting sqref="E241">
    <cfRule type="containsText" dxfId="1146" priority="3165" operator="containsText" text="Production">
      <formula>NOT(ISERROR(SEARCH("Production",E241)))</formula>
    </cfRule>
    <cfRule type="containsText" dxfId="1145" priority="3166" operator="containsText" text="Roll">
      <formula>NOT(ISERROR(SEARCH("Roll",E241)))</formula>
    </cfRule>
  </conditionalFormatting>
  <conditionalFormatting sqref="E243">
    <cfRule type="containsText" dxfId="1144" priority="3163" operator="containsText" text="Production">
      <formula>NOT(ISERROR(SEARCH("Production",E243)))</formula>
    </cfRule>
    <cfRule type="containsText" dxfId="1143" priority="3164" operator="containsText" text="Roll">
      <formula>NOT(ISERROR(SEARCH("Roll",E243)))</formula>
    </cfRule>
  </conditionalFormatting>
  <conditionalFormatting sqref="E244">
    <cfRule type="containsText" dxfId="1142" priority="3161" operator="containsText" text="Production">
      <formula>NOT(ISERROR(SEARCH("Production",E244)))</formula>
    </cfRule>
    <cfRule type="containsText" dxfId="1141" priority="3162" operator="containsText" text="Roll">
      <formula>NOT(ISERROR(SEARCH("Roll",E244)))</formula>
    </cfRule>
  </conditionalFormatting>
  <conditionalFormatting sqref="AC245">
    <cfRule type="containsText" dxfId="1140" priority="3159" operator="containsText" text="Sh">
      <formula>NOT(ISERROR(SEARCH("Sh",AC245)))</formula>
    </cfRule>
    <cfRule type="cellIs" dxfId="1139" priority="3160" operator="equal">
      <formula>"Sh"</formula>
    </cfRule>
  </conditionalFormatting>
  <conditionalFormatting sqref="AC245">
    <cfRule type="iconSet" priority="3158">
      <iconSet>
        <cfvo type="percent" val="0"/>
        <cfvo type="percent" val="90" gte="0"/>
        <cfvo type="percent" val="100"/>
      </iconSet>
    </cfRule>
  </conditionalFormatting>
  <conditionalFormatting sqref="E245">
    <cfRule type="containsText" dxfId="1138" priority="3155" operator="containsText" text="Production">
      <formula>NOT(ISERROR(SEARCH("Production",E245)))</formula>
    </cfRule>
    <cfRule type="containsText" dxfId="1137" priority="3156" operator="containsText" text="Roll">
      <formula>NOT(ISERROR(SEARCH("Roll",E245)))</formula>
    </cfRule>
  </conditionalFormatting>
  <conditionalFormatting sqref="E248:E250">
    <cfRule type="containsText" dxfId="1136" priority="3153" operator="containsText" text="Production">
      <formula>NOT(ISERROR(SEARCH("Production",E248)))</formula>
    </cfRule>
    <cfRule type="containsText" dxfId="1135" priority="3154" operator="containsText" text="Roll">
      <formula>NOT(ISERROR(SEARCH("Roll",E248)))</formula>
    </cfRule>
  </conditionalFormatting>
  <conditionalFormatting sqref="X249:Y249">
    <cfRule type="containsText" dxfId="1134" priority="3151" operator="containsText" text="Sh">
      <formula>NOT(ISERROR(SEARCH("Sh",X249)))</formula>
    </cfRule>
    <cfRule type="cellIs" dxfId="1133" priority="3152" operator="equal">
      <formula>"Sh"</formula>
    </cfRule>
  </conditionalFormatting>
  <conditionalFormatting sqref="AB252:AB257">
    <cfRule type="containsText" dxfId="1132" priority="3149" operator="containsText" text="Sh">
      <formula>NOT(ISERROR(SEARCH("Sh",AB252)))</formula>
    </cfRule>
    <cfRule type="cellIs" dxfId="1131" priority="3150" operator="equal">
      <formula>"Sh"</formula>
    </cfRule>
  </conditionalFormatting>
  <conditionalFormatting sqref="AC258">
    <cfRule type="containsText" dxfId="1130" priority="3147" operator="containsText" text="Sh">
      <formula>NOT(ISERROR(SEARCH("Sh",AC258)))</formula>
    </cfRule>
    <cfRule type="cellIs" dxfId="1129" priority="3148" operator="equal">
      <formula>"Sh"</formula>
    </cfRule>
  </conditionalFormatting>
  <conditionalFormatting sqref="AC258">
    <cfRule type="iconSet" priority="3146">
      <iconSet>
        <cfvo type="percent" val="0"/>
        <cfvo type="percent" val="90" gte="0"/>
        <cfvo type="percent" val="100"/>
      </iconSet>
    </cfRule>
  </conditionalFormatting>
  <conditionalFormatting sqref="E258">
    <cfRule type="containsText" dxfId="1128" priority="3143" operator="containsText" text="Production">
      <formula>NOT(ISERROR(SEARCH("Production",E258)))</formula>
    </cfRule>
    <cfRule type="containsText" dxfId="1127" priority="3144" operator="containsText" text="Roll">
      <formula>NOT(ISERROR(SEARCH("Roll",E258)))</formula>
    </cfRule>
  </conditionalFormatting>
  <conditionalFormatting sqref="AB260:AB270">
    <cfRule type="containsText" dxfId="1126" priority="3141" operator="containsText" text="Sh">
      <formula>NOT(ISERROR(SEARCH("Sh",AB260)))</formula>
    </cfRule>
    <cfRule type="cellIs" dxfId="1125" priority="3142" operator="equal">
      <formula>"Sh"</formula>
    </cfRule>
  </conditionalFormatting>
  <conditionalFormatting sqref="F275:F276">
    <cfRule type="iconSet" priority="3140">
      <iconSet iconSet="3Signs">
        <cfvo type="percent" val="0"/>
        <cfvo type="percent" val="33"/>
        <cfvo type="percent" val="67"/>
      </iconSet>
    </cfRule>
  </conditionalFormatting>
  <conditionalFormatting sqref="E263:E264">
    <cfRule type="containsText" dxfId="1124" priority="3138" operator="containsText" text="Production">
      <formula>NOT(ISERROR(SEARCH("Production",E263)))</formula>
    </cfRule>
    <cfRule type="containsText" dxfId="1123" priority="3139" operator="containsText" text="Roll">
      <formula>NOT(ISERROR(SEARCH("Roll",E263)))</formula>
    </cfRule>
  </conditionalFormatting>
  <conditionalFormatting sqref="E265">
    <cfRule type="containsText" dxfId="1122" priority="3135" operator="containsText" text="Production">
      <formula>NOT(ISERROR(SEARCH("Production",E265)))</formula>
    </cfRule>
    <cfRule type="containsText" dxfId="1121" priority="3136" operator="containsText" text="Roll">
      <formula>NOT(ISERROR(SEARCH("Roll",E265)))</formula>
    </cfRule>
  </conditionalFormatting>
  <conditionalFormatting sqref="AC268:AC269">
    <cfRule type="containsText" dxfId="1120" priority="3132" operator="containsText" text="Sh">
      <formula>NOT(ISERROR(SEARCH("Sh",AC268)))</formula>
    </cfRule>
    <cfRule type="cellIs" dxfId="1119" priority="3133" operator="equal">
      <formula>"Sh"</formula>
    </cfRule>
  </conditionalFormatting>
  <conditionalFormatting sqref="E266:E269">
    <cfRule type="containsText" dxfId="1118" priority="3130" operator="containsText" text="Production">
      <formula>NOT(ISERROR(SEARCH("Production",E266)))</formula>
    </cfRule>
    <cfRule type="containsText" dxfId="1117" priority="3131" operator="containsText" text="Roll">
      <formula>NOT(ISERROR(SEARCH("Roll",E266)))</formula>
    </cfRule>
  </conditionalFormatting>
  <conditionalFormatting sqref="AC268:AC269">
    <cfRule type="iconSet" priority="3129">
      <iconSet>
        <cfvo type="percent" val="0"/>
        <cfvo type="percent" val="90" gte="0"/>
        <cfvo type="percent" val="100"/>
      </iconSet>
    </cfRule>
  </conditionalFormatting>
  <conditionalFormatting sqref="AC270">
    <cfRule type="containsText" dxfId="1116" priority="3125" operator="containsText" text="Sh">
      <formula>NOT(ISERROR(SEARCH("Sh",AC270)))</formula>
    </cfRule>
    <cfRule type="cellIs" dxfId="1115" priority="3126" operator="equal">
      <formula>"Sh"</formula>
    </cfRule>
  </conditionalFormatting>
  <conditionalFormatting sqref="E270">
    <cfRule type="containsText" dxfId="1114" priority="3123" operator="containsText" text="Production">
      <formula>NOT(ISERROR(SEARCH("Production",E270)))</formula>
    </cfRule>
    <cfRule type="containsText" dxfId="1113" priority="3124" operator="containsText" text="Roll">
      <formula>NOT(ISERROR(SEARCH("Roll",E270)))</formula>
    </cfRule>
  </conditionalFormatting>
  <conditionalFormatting sqref="AC270">
    <cfRule type="iconSet" priority="3122">
      <iconSet>
        <cfvo type="percent" val="0"/>
        <cfvo type="percent" val="90" gte="0"/>
        <cfvo type="percent" val="100"/>
      </iconSet>
    </cfRule>
  </conditionalFormatting>
  <conditionalFormatting sqref="AC271">
    <cfRule type="containsText" dxfId="1112" priority="3119" operator="containsText" text="Sh">
      <formula>NOT(ISERROR(SEARCH("Sh",AC271)))</formula>
    </cfRule>
    <cfRule type="cellIs" dxfId="1111" priority="3120" operator="equal">
      <formula>"Sh"</formula>
    </cfRule>
  </conditionalFormatting>
  <conditionalFormatting sqref="E271">
    <cfRule type="containsText" dxfId="1110" priority="3117" operator="containsText" text="Production">
      <formula>NOT(ISERROR(SEARCH("Production",E271)))</formula>
    </cfRule>
    <cfRule type="containsText" dxfId="1109" priority="3118" operator="containsText" text="Roll">
      <formula>NOT(ISERROR(SEARCH("Roll",E271)))</formula>
    </cfRule>
  </conditionalFormatting>
  <conditionalFormatting sqref="AC271">
    <cfRule type="iconSet" priority="3116">
      <iconSet>
        <cfvo type="percent" val="0"/>
        <cfvo type="percent" val="90" gte="0"/>
        <cfvo type="percent" val="100"/>
      </iconSet>
    </cfRule>
  </conditionalFormatting>
  <conditionalFormatting sqref="X275:Y275">
    <cfRule type="containsText" dxfId="1108" priority="3110" operator="containsText" text="Sh">
      <formula>NOT(ISERROR(SEARCH("Sh",X275)))</formula>
    </cfRule>
    <cfRule type="cellIs" dxfId="1107" priority="3111" operator="equal">
      <formula>"Sh"</formula>
    </cfRule>
  </conditionalFormatting>
  <conditionalFormatting sqref="X276:Y276">
    <cfRule type="containsText" dxfId="1106" priority="3108" operator="containsText" text="Sh">
      <formula>NOT(ISERROR(SEARCH("Sh",X276)))</formula>
    </cfRule>
    <cfRule type="cellIs" dxfId="1105" priority="3109" operator="equal">
      <formula>"Sh"</formula>
    </cfRule>
  </conditionalFormatting>
  <conditionalFormatting sqref="AC272">
    <cfRule type="iconSet" priority="3193">
      <iconSet>
        <cfvo type="percent" val="0"/>
        <cfvo type="percent" val="90" gte="0"/>
        <cfvo type="percent" val="100"/>
      </iconSet>
    </cfRule>
  </conditionalFormatting>
  <conditionalFormatting sqref="AB275:AB276">
    <cfRule type="containsText" dxfId="1104" priority="3106" operator="containsText" text="Sh">
      <formula>NOT(ISERROR(SEARCH("Sh",AB275)))</formula>
    </cfRule>
    <cfRule type="cellIs" dxfId="1103" priority="3107" operator="equal">
      <formula>"Sh"</formula>
    </cfRule>
  </conditionalFormatting>
  <conditionalFormatting sqref="F225:F230">
    <cfRule type="iconSet" priority="3105">
      <iconSet iconSet="3Signs">
        <cfvo type="percent" val="0"/>
        <cfvo type="percent" val="33"/>
        <cfvo type="percent" val="67"/>
      </iconSet>
    </cfRule>
  </conditionalFormatting>
  <conditionalFormatting sqref="X235:Y236">
    <cfRule type="containsText" dxfId="1102" priority="3103" operator="containsText" text="Sh">
      <formula>NOT(ISERROR(SEARCH("Sh",X235)))</formula>
    </cfRule>
    <cfRule type="cellIs" dxfId="1101" priority="3104" operator="equal">
      <formula>"Sh"</formula>
    </cfRule>
  </conditionalFormatting>
  <conditionalFormatting sqref="E235:E236">
    <cfRule type="containsText" dxfId="1100" priority="3101" operator="containsText" text="Production">
      <formula>NOT(ISERROR(SEARCH("Production",E235)))</formula>
    </cfRule>
    <cfRule type="containsText" dxfId="1099" priority="3102" operator="containsText" text="Roll">
      <formula>NOT(ISERROR(SEARCH("Roll",E235)))</formula>
    </cfRule>
  </conditionalFormatting>
  <conditionalFormatting sqref="K235:L236">
    <cfRule type="iconSet" priority="3100">
      <iconSet iconSet="3Flags">
        <cfvo type="percent" val="0"/>
        <cfvo type="percent" val="33"/>
        <cfvo type="percent" val="67"/>
      </iconSet>
    </cfRule>
  </conditionalFormatting>
  <conditionalFormatting sqref="AB227:AB228">
    <cfRule type="containsText" dxfId="1098" priority="3097" operator="containsText" text="Sh">
      <formula>NOT(ISERROR(SEARCH("Sh",AB227)))</formula>
    </cfRule>
    <cfRule type="cellIs" dxfId="1097" priority="3098" operator="equal">
      <formula>"Sh"</formula>
    </cfRule>
  </conditionalFormatting>
  <conditionalFormatting sqref="X230:Y230">
    <cfRule type="containsText" dxfId="1096" priority="3091" operator="containsText" text="Sh">
      <formula>NOT(ISERROR(SEARCH("Sh",X230)))</formula>
    </cfRule>
    <cfRule type="cellIs" dxfId="1095" priority="3092" operator="equal">
      <formula>"Sh"</formula>
    </cfRule>
  </conditionalFormatting>
  <conditionalFormatting sqref="X231:Y232">
    <cfRule type="containsText" dxfId="1094" priority="3089" operator="containsText" text="Sh">
      <formula>NOT(ISERROR(SEARCH("Sh",X231)))</formula>
    </cfRule>
    <cfRule type="cellIs" dxfId="1093" priority="3090" operator="equal">
      <formula>"Sh"</formula>
    </cfRule>
  </conditionalFormatting>
  <conditionalFormatting sqref="E231">
    <cfRule type="containsText" dxfId="1092" priority="3087" operator="containsText" text="Production">
      <formula>NOT(ISERROR(SEARCH("Production",E231)))</formula>
    </cfRule>
    <cfRule type="containsText" dxfId="1091" priority="3088" operator="containsText" text="Roll">
      <formula>NOT(ISERROR(SEARCH("Roll",E231)))</formula>
    </cfRule>
  </conditionalFormatting>
  <conditionalFormatting sqref="E232">
    <cfRule type="containsText" dxfId="1090" priority="3085" operator="containsText" text="Production">
      <formula>NOT(ISERROR(SEARCH("Production",E232)))</formula>
    </cfRule>
    <cfRule type="containsText" dxfId="1089" priority="3086" operator="containsText" text="Roll">
      <formula>NOT(ISERROR(SEARCH("Roll",E232)))</formula>
    </cfRule>
  </conditionalFormatting>
  <conditionalFormatting sqref="F231:F232">
    <cfRule type="iconSet" priority="3084">
      <iconSet iconSet="3Signs">
        <cfvo type="percent" val="0"/>
        <cfvo type="percent" val="33"/>
        <cfvo type="percent" val="67"/>
      </iconSet>
    </cfRule>
  </conditionalFormatting>
  <conditionalFormatting sqref="G231:G232">
    <cfRule type="iconSet" priority="3083">
      <iconSet iconSet="3Flags">
        <cfvo type="percent" val="0"/>
        <cfvo type="percent" val="33"/>
        <cfvo type="percent" val="67"/>
      </iconSet>
    </cfRule>
  </conditionalFormatting>
  <conditionalFormatting sqref="G231:G232">
    <cfRule type="iconSet" priority="3081">
      <iconSet iconSet="3Flags">
        <cfvo type="percent" val="0"/>
        <cfvo type="percent" val="33"/>
        <cfvo type="percent" val="67"/>
      </iconSet>
    </cfRule>
  </conditionalFormatting>
  <conditionalFormatting sqref="X233:Y234">
    <cfRule type="containsText" dxfId="1088" priority="3079" operator="containsText" text="Sh">
      <formula>NOT(ISERROR(SEARCH("Sh",X233)))</formula>
    </cfRule>
    <cfRule type="cellIs" dxfId="1087" priority="3080" operator="equal">
      <formula>"Sh"</formula>
    </cfRule>
  </conditionalFormatting>
  <conditionalFormatting sqref="E233:E234">
    <cfRule type="containsText" dxfId="1086" priority="3077" operator="containsText" text="Production">
      <formula>NOT(ISERROR(SEARCH("Production",E233)))</formula>
    </cfRule>
    <cfRule type="containsText" dxfId="1085" priority="3078" operator="containsText" text="Roll">
      <formula>NOT(ISERROR(SEARCH("Roll",E233)))</formula>
    </cfRule>
  </conditionalFormatting>
  <conditionalFormatting sqref="K233:L234">
    <cfRule type="iconSet" priority="3076">
      <iconSet iconSet="3Flags">
        <cfvo type="percent" val="0"/>
        <cfvo type="percent" val="33"/>
        <cfvo type="percent" val="67"/>
      </iconSet>
    </cfRule>
  </conditionalFormatting>
  <conditionalFormatting sqref="F233:F234">
    <cfRule type="iconSet" priority="3075">
      <iconSet iconSet="3Signs">
        <cfvo type="percent" val="0"/>
        <cfvo type="percent" val="33"/>
        <cfvo type="percent" val="67"/>
      </iconSet>
    </cfRule>
  </conditionalFormatting>
  <conditionalFormatting sqref="G233:G234">
    <cfRule type="iconSet" priority="3074">
      <iconSet iconSet="3Flags">
        <cfvo type="percent" val="0"/>
        <cfvo type="percent" val="33"/>
        <cfvo type="percent" val="67"/>
      </iconSet>
    </cfRule>
  </conditionalFormatting>
  <conditionalFormatting sqref="AB234">
    <cfRule type="containsText" dxfId="1084" priority="3071" operator="containsText" text="Sh">
      <formula>NOT(ISERROR(SEARCH("Sh",AB234)))</formula>
    </cfRule>
    <cfRule type="cellIs" dxfId="1083" priority="3072" operator="equal">
      <formula>"Sh"</formula>
    </cfRule>
  </conditionalFormatting>
  <conditionalFormatting sqref="AC234">
    <cfRule type="containsText" dxfId="1082" priority="3069" operator="containsText" text="Sh">
      <formula>NOT(ISERROR(SEARCH("Sh",AC234)))</formula>
    </cfRule>
    <cfRule type="cellIs" dxfId="1081" priority="3070" operator="equal">
      <formula>"Sh"</formula>
    </cfRule>
  </conditionalFormatting>
  <conditionalFormatting sqref="AC234">
    <cfRule type="iconSet" priority="3068">
      <iconSet>
        <cfvo type="percent" val="0"/>
        <cfvo type="percent" val="90" gte="0"/>
        <cfvo type="percent" val="100"/>
      </iconSet>
    </cfRule>
  </conditionalFormatting>
  <conditionalFormatting sqref="AB236">
    <cfRule type="containsText" dxfId="1080" priority="3065" operator="containsText" text="Sh">
      <formula>NOT(ISERROR(SEARCH("Sh",AB236)))</formula>
    </cfRule>
    <cfRule type="cellIs" dxfId="1079" priority="3066" operator="equal">
      <formula>"Sh"</formula>
    </cfRule>
  </conditionalFormatting>
  <conditionalFormatting sqref="AC236">
    <cfRule type="containsText" dxfId="1078" priority="3063" operator="containsText" text="Sh">
      <formula>NOT(ISERROR(SEARCH("Sh",AC236)))</formula>
    </cfRule>
    <cfRule type="cellIs" dxfId="1077" priority="3064" operator="equal">
      <formula>"Sh"</formula>
    </cfRule>
  </conditionalFormatting>
  <conditionalFormatting sqref="AC236">
    <cfRule type="iconSet" priority="3062">
      <iconSet>
        <cfvo type="percent" val="0"/>
        <cfvo type="percent" val="90" gte="0"/>
        <cfvo type="percent" val="100"/>
      </iconSet>
    </cfRule>
  </conditionalFormatting>
  <conditionalFormatting sqref="AB235">
    <cfRule type="containsText" dxfId="1076" priority="3059" operator="containsText" text="Sh">
      <formula>NOT(ISERROR(SEARCH("Sh",AB235)))</formula>
    </cfRule>
    <cfRule type="cellIs" dxfId="1075" priority="3060" operator="equal">
      <formula>"Sh"</formula>
    </cfRule>
  </conditionalFormatting>
  <conditionalFormatting sqref="AC235">
    <cfRule type="containsText" dxfId="1074" priority="3057" operator="containsText" text="Sh">
      <formula>NOT(ISERROR(SEARCH("Sh",AC235)))</formula>
    </cfRule>
    <cfRule type="cellIs" dxfId="1073" priority="3058" operator="equal">
      <formula>"Sh"</formula>
    </cfRule>
  </conditionalFormatting>
  <conditionalFormatting sqref="AC235">
    <cfRule type="iconSet" priority="3056">
      <iconSet>
        <cfvo type="percent" val="0"/>
        <cfvo type="percent" val="90" gte="0"/>
        <cfvo type="percent" val="100"/>
      </iconSet>
    </cfRule>
  </conditionalFormatting>
  <conditionalFormatting sqref="F235:F236">
    <cfRule type="iconSet" priority="3196">
      <iconSet iconSet="3Signs">
        <cfvo type="percent" val="0"/>
        <cfvo type="percent" val="33"/>
        <cfvo type="percent" val="67"/>
      </iconSet>
    </cfRule>
  </conditionalFormatting>
  <conditionalFormatting sqref="X238:Y241">
    <cfRule type="containsText" dxfId="1072" priority="3053" operator="containsText" text="Sh">
      <formula>NOT(ISERROR(SEARCH("Sh",X238)))</formula>
    </cfRule>
    <cfRule type="cellIs" dxfId="1071" priority="3054" operator="equal">
      <formula>"Sh"</formula>
    </cfRule>
  </conditionalFormatting>
  <conditionalFormatting sqref="AB240">
    <cfRule type="containsText" dxfId="1070" priority="3051" operator="containsText" text="Sh">
      <formula>NOT(ISERROR(SEARCH("Sh",AB240)))</formula>
    </cfRule>
    <cfRule type="cellIs" dxfId="1069" priority="3052" operator="equal">
      <formula>"Sh"</formula>
    </cfRule>
  </conditionalFormatting>
  <conditionalFormatting sqref="X245:Y246">
    <cfRule type="containsText" dxfId="1068" priority="3049" operator="containsText" text="Sh">
      <formula>NOT(ISERROR(SEARCH("Sh",X245)))</formula>
    </cfRule>
    <cfRule type="cellIs" dxfId="1067" priority="3050" operator="equal">
      <formula>"Sh"</formula>
    </cfRule>
  </conditionalFormatting>
  <conditionalFormatting sqref="X251:Y252">
    <cfRule type="containsText" dxfId="1066" priority="3034" operator="containsText" text="Sh">
      <formula>NOT(ISERROR(SEARCH("Sh",X251)))</formula>
    </cfRule>
    <cfRule type="cellIs" dxfId="1065" priority="3035" operator="equal">
      <formula>"Sh"</formula>
    </cfRule>
  </conditionalFormatting>
  <conditionalFormatting sqref="AC251">
    <cfRule type="containsText" dxfId="1064" priority="3032" operator="containsText" text="Sh">
      <formula>NOT(ISERROR(SEARCH("Sh",AC251)))</formula>
    </cfRule>
    <cfRule type="cellIs" dxfId="1063" priority="3033" operator="equal">
      <formula>"Sh"</formula>
    </cfRule>
  </conditionalFormatting>
  <conditionalFormatting sqref="AC253:AC257">
    <cfRule type="containsText" dxfId="1062" priority="3030" operator="containsText" text="Sh">
      <formula>NOT(ISERROR(SEARCH("Sh",AC253)))</formula>
    </cfRule>
    <cfRule type="cellIs" dxfId="1061" priority="3031" operator="equal">
      <formula>"Sh"</formula>
    </cfRule>
  </conditionalFormatting>
  <conditionalFormatting sqref="AC252">
    <cfRule type="containsText" dxfId="1060" priority="3028" operator="containsText" text="Sh">
      <formula>NOT(ISERROR(SEARCH("Sh",AC252)))</formula>
    </cfRule>
    <cfRule type="cellIs" dxfId="1059" priority="3029" operator="equal">
      <formula>"Sh"</formula>
    </cfRule>
  </conditionalFormatting>
  <conditionalFormatting sqref="AC252">
    <cfRule type="iconSet" priority="3027">
      <iconSet>
        <cfvo type="percent" val="0"/>
        <cfvo type="percent" val="90" gte="0"/>
        <cfvo type="percent" val="100"/>
      </iconSet>
    </cfRule>
  </conditionalFormatting>
  <conditionalFormatting sqref="X255:Y256">
    <cfRule type="containsText" dxfId="1058" priority="3025" operator="containsText" text="Sh">
      <formula>NOT(ISERROR(SEARCH("Sh",X255)))</formula>
    </cfRule>
    <cfRule type="cellIs" dxfId="1057" priority="3026" operator="equal">
      <formula>"Sh"</formula>
    </cfRule>
  </conditionalFormatting>
  <conditionalFormatting sqref="X259:Y270">
    <cfRule type="containsText" dxfId="1056" priority="3023" operator="containsText" text="Sh">
      <formula>NOT(ISERROR(SEARCH("Sh",X259)))</formula>
    </cfRule>
    <cfRule type="cellIs" dxfId="1055" priority="3024" operator="equal">
      <formula>"Sh"</formula>
    </cfRule>
  </conditionalFormatting>
  <conditionalFormatting sqref="X271:Y272">
    <cfRule type="containsText" dxfId="1054" priority="3021" operator="containsText" text="Sh">
      <formula>NOT(ISERROR(SEARCH("Sh",X271)))</formula>
    </cfRule>
    <cfRule type="cellIs" dxfId="1053" priority="3022" operator="equal">
      <formula>"Sh"</formula>
    </cfRule>
  </conditionalFormatting>
  <conditionalFormatting sqref="X273:Y274">
    <cfRule type="containsText" dxfId="1052" priority="3019" operator="containsText" text="Sh">
      <formula>NOT(ISERROR(SEARCH("Sh",X273)))</formula>
    </cfRule>
    <cfRule type="cellIs" dxfId="1051" priority="3020" operator="equal">
      <formula>"Sh"</formula>
    </cfRule>
  </conditionalFormatting>
  <conditionalFormatting sqref="AB271:AB272">
    <cfRule type="containsText" dxfId="1050" priority="3017" operator="containsText" text="Sh">
      <formula>NOT(ISERROR(SEARCH("Sh",AB271)))</formula>
    </cfRule>
    <cfRule type="cellIs" dxfId="1049" priority="3018" operator="equal">
      <formula>"Sh"</formula>
    </cfRule>
  </conditionalFormatting>
  <conditionalFormatting sqref="AB273:AB274">
    <cfRule type="containsText" dxfId="1048" priority="3015" operator="containsText" text="Sh">
      <formula>NOT(ISERROR(SEARCH("Sh",AB273)))</formula>
    </cfRule>
    <cfRule type="cellIs" dxfId="1047" priority="3016" operator="equal">
      <formula>"Sh"</formula>
    </cfRule>
  </conditionalFormatting>
  <conditionalFormatting sqref="F237:F274">
    <cfRule type="iconSet" priority="3200">
      <iconSet iconSet="3Signs">
        <cfvo type="percent" val="0"/>
        <cfvo type="percent" val="33"/>
        <cfvo type="percent" val="67"/>
      </iconSet>
    </cfRule>
  </conditionalFormatting>
  <conditionalFormatting sqref="G235:G276 G225:G230">
    <cfRule type="iconSet" priority="3201">
      <iconSet iconSet="3Flags">
        <cfvo type="percent" val="0"/>
        <cfvo type="percent" val="33"/>
        <cfvo type="percent" val="67"/>
      </iconSet>
    </cfRule>
  </conditionalFormatting>
  <conditionalFormatting sqref="K226:L226 J225:L225 K229:L230 J233:J236 J226:J227 J237:L276">
    <cfRule type="iconSet" priority="3202">
      <iconSet iconSet="3Flags">
        <cfvo type="percent" val="0"/>
        <cfvo type="percent" val="33"/>
        <cfvo type="percent" val="67"/>
      </iconSet>
    </cfRule>
  </conditionalFormatting>
  <conditionalFormatting sqref="AC251 AC253:AC257">
    <cfRule type="iconSet" priority="3203">
      <iconSet>
        <cfvo type="percent" val="0"/>
        <cfvo type="percent" val="90" gte="0"/>
        <cfvo type="percent" val="100"/>
      </iconSet>
    </cfRule>
  </conditionalFormatting>
  <conditionalFormatting sqref="J225:J276">
    <cfRule type="iconSet" priority="3204">
      <iconSet iconSet="3Flags" reverse="1">
        <cfvo type="percent" val="0"/>
        <cfvo type="percent" val="33"/>
        <cfvo type="percent" val="67"/>
      </iconSet>
    </cfRule>
    <cfRule type="iconSet" priority="3205">
      <iconSet iconSet="3Flags">
        <cfvo type="percent" val="0"/>
        <cfvo type="percent" val="33"/>
        <cfvo type="percent" val="67"/>
      </iconSet>
    </cfRule>
  </conditionalFormatting>
  <conditionalFormatting sqref="K225:L276">
    <cfRule type="iconSet" priority="3206">
      <iconSet iconSet="3Flags">
        <cfvo type="percent" val="0"/>
        <cfvo type="percent" val="33"/>
        <cfvo type="percent" val="67"/>
      </iconSet>
    </cfRule>
  </conditionalFormatting>
  <conditionalFormatting sqref="K225:K276">
    <cfRule type="iconSet" priority="3207">
      <iconSet iconSet="3Flags" reverse="1">
        <cfvo type="percent" val="0"/>
        <cfvo type="percent" val="33"/>
        <cfvo type="percent" val="67"/>
      </iconSet>
    </cfRule>
    <cfRule type="iconSet" priority="3208">
      <iconSet iconSet="3Flags">
        <cfvo type="percent" val="0"/>
        <cfvo type="percent" val="33"/>
        <cfvo type="percent" val="67"/>
      </iconSet>
    </cfRule>
  </conditionalFormatting>
  <conditionalFormatting sqref="L225:L276">
    <cfRule type="iconSet" priority="3209">
      <iconSet iconSet="3Flags" reverse="1">
        <cfvo type="percent" val="0"/>
        <cfvo type="percent" val="33"/>
        <cfvo type="percent" val="67"/>
      </iconSet>
    </cfRule>
    <cfRule type="iconSet" priority="3210">
      <iconSet iconSet="3Flags">
        <cfvo type="percent" val="0"/>
        <cfvo type="percent" val="33"/>
        <cfvo type="percent" val="67"/>
      </iconSet>
    </cfRule>
  </conditionalFormatting>
  <conditionalFormatting sqref="AB278:AB286 AB289:AC289 X284:Y286 X289:Y294 AC291 AC293">
    <cfRule type="containsText" dxfId="1046" priority="2987" operator="containsText" text="Sh">
      <formula>NOT(ISERROR(SEARCH("Sh",X278)))</formula>
    </cfRule>
    <cfRule type="cellIs" dxfId="1045" priority="2988" operator="equal">
      <formula>"Sh"</formula>
    </cfRule>
  </conditionalFormatting>
  <conditionalFormatting sqref="E297 E278:E285 H278:H286 E289:E294 H289:H297">
    <cfRule type="containsText" dxfId="1044" priority="2985" operator="containsText" text="Production">
      <formula>NOT(ISERROR(SEARCH("Production",E278)))</formula>
    </cfRule>
    <cfRule type="containsText" dxfId="1043" priority="2986" operator="containsText" text="Roll">
      <formula>NOT(ISERROR(SEARCH("Roll",E278)))</formula>
    </cfRule>
  </conditionalFormatting>
  <conditionalFormatting sqref="AC289 AC278:AC286 Z296:Z297 AC295 AC291 AC293">
    <cfRule type="iconSet" priority="2984">
      <iconSet>
        <cfvo type="percent" val="0"/>
        <cfvo type="percent" val="90" gte="0"/>
        <cfvo type="percent" val="100"/>
      </iconSet>
    </cfRule>
  </conditionalFormatting>
  <conditionalFormatting sqref="E295">
    <cfRule type="containsText" dxfId="1042" priority="2982" operator="containsText" text="Production">
      <formula>NOT(ISERROR(SEARCH("Production",E295)))</formula>
    </cfRule>
    <cfRule type="containsText" dxfId="1041" priority="2983" operator="containsText" text="Roll">
      <formula>NOT(ISERROR(SEARCH("Roll",E295)))</formula>
    </cfRule>
  </conditionalFormatting>
  <conditionalFormatting sqref="E296">
    <cfRule type="containsText" dxfId="1040" priority="2980" operator="containsText" text="Production">
      <formula>NOT(ISERROR(SEARCH("Production",E296)))</formula>
    </cfRule>
    <cfRule type="containsText" dxfId="1039" priority="2981" operator="containsText" text="Roll">
      <formula>NOT(ISERROR(SEARCH("Roll",E296)))</formula>
    </cfRule>
  </conditionalFormatting>
  <conditionalFormatting sqref="K291:L291">
    <cfRule type="iconSet" priority="2979">
      <iconSet iconSet="3Flags">
        <cfvo type="percent" val="0"/>
        <cfvo type="percent" val="33"/>
        <cfvo type="percent" val="67"/>
      </iconSet>
    </cfRule>
  </conditionalFormatting>
  <conditionalFormatting sqref="G288:G297 G278:G286">
    <cfRule type="iconSet" priority="2978">
      <iconSet iconSet="3Flags">
        <cfvo type="percent" val="0"/>
        <cfvo type="percent" val="33"/>
        <cfvo type="percent" val="67"/>
      </iconSet>
    </cfRule>
  </conditionalFormatting>
  <conditionalFormatting sqref="G288:G291 G293:G294">
    <cfRule type="iconSet" priority="2977">
      <iconSet iconSet="3Flags">
        <cfvo type="percent" val="0"/>
        <cfvo type="percent" val="33"/>
        <cfvo type="percent" val="67"/>
      </iconSet>
    </cfRule>
  </conditionalFormatting>
  <conditionalFormatting sqref="AB294">
    <cfRule type="containsText" dxfId="1038" priority="2975" operator="containsText" text="Sh">
      <formula>NOT(ISERROR(SEARCH("Sh",AB294)))</formula>
    </cfRule>
    <cfRule type="cellIs" dxfId="1037" priority="2976" operator="equal">
      <formula>"Sh"</formula>
    </cfRule>
  </conditionalFormatting>
  <conditionalFormatting sqref="X278:Y279">
    <cfRule type="containsText" dxfId="1036" priority="2970" operator="containsText" text="Sh">
      <formula>NOT(ISERROR(SEARCH("Sh",X278)))</formula>
    </cfRule>
    <cfRule type="cellIs" dxfId="1035" priority="2971" operator="equal">
      <formula>"Sh"</formula>
    </cfRule>
  </conditionalFormatting>
  <conditionalFormatting sqref="X280:Y281">
    <cfRule type="containsText" dxfId="1034" priority="2968" operator="containsText" text="Sh">
      <formula>NOT(ISERROR(SEARCH("Sh",X280)))</formula>
    </cfRule>
    <cfRule type="cellIs" dxfId="1033" priority="2969" operator="equal">
      <formula>"Sh"</formula>
    </cfRule>
  </conditionalFormatting>
  <conditionalFormatting sqref="K289:L290">
    <cfRule type="iconSet" priority="2989">
      <iconSet iconSet="3Flags">
        <cfvo type="percent" val="0"/>
        <cfvo type="percent" val="33"/>
        <cfvo type="percent" val="67"/>
      </iconSet>
    </cfRule>
  </conditionalFormatting>
  <conditionalFormatting sqref="G291">
    <cfRule type="iconSet" priority="2990">
      <iconSet iconSet="3Flags">
        <cfvo type="percent" val="0"/>
        <cfvo type="percent" val="33"/>
        <cfvo type="percent" val="67"/>
      </iconSet>
    </cfRule>
  </conditionalFormatting>
  <conditionalFormatting sqref="J282:L283">
    <cfRule type="iconSet" priority="2967">
      <iconSet iconSet="3Flags">
        <cfvo type="percent" val="0"/>
        <cfvo type="percent" val="33"/>
        <cfvo type="percent" val="67"/>
      </iconSet>
    </cfRule>
  </conditionalFormatting>
  <conditionalFormatting sqref="X282:Y283">
    <cfRule type="containsText" dxfId="1032" priority="2965" operator="containsText" text="Sh">
      <formula>NOT(ISERROR(SEARCH("Sh",X282)))</formula>
    </cfRule>
    <cfRule type="cellIs" dxfId="1031" priority="2966" operator="equal">
      <formula>"Sh"</formula>
    </cfRule>
  </conditionalFormatting>
  <conditionalFormatting sqref="AB295">
    <cfRule type="containsText" dxfId="1030" priority="2963" operator="containsText" text="Sh">
      <formula>NOT(ISERROR(SEARCH("Sh",AB295)))</formula>
    </cfRule>
    <cfRule type="cellIs" dxfId="1029" priority="2964" operator="equal">
      <formula>"Sh"</formula>
    </cfRule>
  </conditionalFormatting>
  <conditionalFormatting sqref="X296:Y296">
    <cfRule type="containsText" dxfId="1028" priority="2961" operator="containsText" text="Sh">
      <formula>NOT(ISERROR(SEARCH("Sh",X296)))</formula>
    </cfRule>
    <cfRule type="cellIs" dxfId="1027" priority="2962" operator="equal">
      <formula>"Sh"</formula>
    </cfRule>
  </conditionalFormatting>
  <conditionalFormatting sqref="X297:Y297">
    <cfRule type="containsText" dxfId="1026" priority="2959" operator="containsText" text="Sh">
      <formula>NOT(ISERROR(SEARCH("Sh",X297)))</formula>
    </cfRule>
    <cfRule type="cellIs" dxfId="1025" priority="2960" operator="equal">
      <formula>"Sh"</formula>
    </cfRule>
  </conditionalFormatting>
  <conditionalFormatting sqref="Q296:Q297">
    <cfRule type="dataBar" priority="29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{8AF9FE25-07DA-4041-BDB1-74E167346E03}</x14:id>
        </ext>
      </extLst>
    </cfRule>
  </conditionalFormatting>
  <conditionalFormatting sqref="Q297">
    <cfRule type="dataBar" priority="29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{3CBFCEFF-5075-4537-8A66-76781F5BE939}</x14:id>
        </ext>
      </extLst>
    </cfRule>
  </conditionalFormatting>
  <conditionalFormatting sqref="Q296">
    <cfRule type="dataBar" priority="29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{09CEA31D-1B48-4697-8896-57F15B4EC315}</x14:id>
        </ext>
      </extLst>
    </cfRule>
  </conditionalFormatting>
  <conditionalFormatting sqref="Q296:Q297">
    <cfRule type="dataBar" priority="29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{46E77996-BE4B-4D76-B0EE-56DA7960EAED}</x14:id>
        </ext>
      </extLst>
    </cfRule>
  </conditionalFormatting>
  <conditionalFormatting sqref="Q296:Q297">
    <cfRule type="dataBar" priority="29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{08558170-C6F8-4909-A5B9-E9FD9FC134E1}</x14:id>
        </ext>
      </extLst>
    </cfRule>
  </conditionalFormatting>
  <conditionalFormatting sqref="J284">
    <cfRule type="iconSet" priority="2932">
      <iconSet iconSet="3Flags">
        <cfvo type="percent" val="0"/>
        <cfvo type="percent" val="33"/>
        <cfvo type="percent" val="67"/>
      </iconSet>
    </cfRule>
  </conditionalFormatting>
  <conditionalFormatting sqref="F288:F297 F278:F286">
    <cfRule type="iconSet" priority="2991">
      <iconSet iconSet="3Signs">
        <cfvo type="percent" val="0"/>
        <cfvo type="percent" val="33"/>
        <cfvo type="percent" val="67"/>
      </iconSet>
    </cfRule>
  </conditionalFormatting>
  <conditionalFormatting sqref="AA296:AA297">
    <cfRule type="colorScale" priority="2992">
      <colorScale>
        <cfvo type="min"/>
        <cfvo type="num" val="0.1"/>
        <cfvo type="max"/>
        <color theme="9"/>
        <color theme="0"/>
        <color rgb="FFC00000"/>
      </colorScale>
    </cfRule>
  </conditionalFormatting>
  <conditionalFormatting sqref="Q296:Q297">
    <cfRule type="dataBar" priority="292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{70FB5D10-95C1-4734-A412-9CC55454D680}</x14:id>
        </ext>
      </extLst>
    </cfRule>
  </conditionalFormatting>
  <conditionalFormatting sqref="K293:L293">
    <cfRule type="iconSet" priority="2917">
      <iconSet iconSet="3Flags">
        <cfvo type="percent" val="0"/>
        <cfvo type="percent" val="33"/>
        <cfvo type="percent" val="67"/>
      </iconSet>
    </cfRule>
  </conditionalFormatting>
  <conditionalFormatting sqref="J295:L297 K286:L286 J278:L278 J279:J280 K279:L279 L280:L285 J289:J294">
    <cfRule type="iconSet" priority="2994">
      <iconSet iconSet="3Flags">
        <cfvo type="percent" val="0"/>
        <cfvo type="percent" val="33"/>
        <cfvo type="percent" val="67"/>
      </iconSet>
    </cfRule>
  </conditionalFormatting>
  <conditionalFormatting sqref="J289:J297 J278:J286">
    <cfRule type="iconSet" priority="2995">
      <iconSet iconSet="3Flags" reverse="1">
        <cfvo type="percent" val="0"/>
        <cfvo type="percent" val="33"/>
        <cfvo type="percent" val="67"/>
      </iconSet>
    </cfRule>
    <cfRule type="iconSet" priority="2996">
      <iconSet iconSet="3Flags" reverse="1">
        <cfvo type="percent" val="0"/>
        <cfvo type="percent" val="33"/>
        <cfvo type="percent" val="67"/>
      </iconSet>
    </cfRule>
    <cfRule type="iconSet" priority="2997">
      <iconSet iconSet="3Flags">
        <cfvo type="percent" val="0"/>
        <cfvo type="percent" val="33"/>
        <cfvo type="percent" val="67"/>
      </iconSet>
    </cfRule>
  </conditionalFormatting>
  <conditionalFormatting sqref="K295:L297 K278:L286 K293:L293 K289:L291">
    <cfRule type="iconSet" priority="2998">
      <iconSet iconSet="3Flags">
        <cfvo type="percent" val="0"/>
        <cfvo type="percent" val="33"/>
        <cfvo type="percent" val="67"/>
      </iconSet>
    </cfRule>
  </conditionalFormatting>
  <conditionalFormatting sqref="K289:K297 K278:K286">
    <cfRule type="iconSet" priority="2999">
      <iconSet iconSet="3Flags" reverse="1">
        <cfvo type="percent" val="0"/>
        <cfvo type="percent" val="33"/>
        <cfvo type="percent" val="67"/>
      </iconSet>
    </cfRule>
    <cfRule type="iconSet" priority="3000">
      <iconSet iconSet="3Flags" reverse="1">
        <cfvo type="percent" val="0"/>
        <cfvo type="percent" val="33"/>
        <cfvo type="percent" val="67"/>
      </iconSet>
    </cfRule>
    <cfRule type="iconSet" priority="3001">
      <iconSet iconSet="3Flags">
        <cfvo type="percent" val="0"/>
        <cfvo type="percent" val="33"/>
        <cfvo type="percent" val="67"/>
      </iconSet>
    </cfRule>
  </conditionalFormatting>
  <conditionalFormatting sqref="L289:L297 L278:L286">
    <cfRule type="iconSet" priority="3002">
      <iconSet iconSet="3Flags" reverse="1">
        <cfvo type="percent" val="0"/>
        <cfvo type="percent" val="33"/>
        <cfvo type="percent" val="67"/>
      </iconSet>
    </cfRule>
    <cfRule type="iconSet" priority="3003">
      <iconSet iconSet="3Flags" reverse="1">
        <cfvo type="percent" val="0"/>
        <cfvo type="percent" val="33"/>
        <cfvo type="percent" val="67"/>
      </iconSet>
    </cfRule>
    <cfRule type="iconSet" priority="3004">
      <iconSet iconSet="3Flags">
        <cfvo type="percent" val="0"/>
        <cfvo type="percent" val="33"/>
        <cfvo type="percent" val="67"/>
      </iconSet>
    </cfRule>
  </conditionalFormatting>
  <conditionalFormatting sqref="K294:L294">
    <cfRule type="iconSet" priority="2915">
      <iconSet iconSet="3Flags">
        <cfvo type="percent" val="0"/>
        <cfvo type="percent" val="33"/>
        <cfvo type="percent" val="67"/>
      </iconSet>
    </cfRule>
  </conditionalFormatting>
  <conditionalFormatting sqref="K294:L294">
    <cfRule type="iconSet" priority="2916">
      <iconSet iconSet="3Flags">
        <cfvo type="percent" val="0"/>
        <cfvo type="percent" val="33"/>
        <cfvo type="percent" val="67"/>
      </iconSet>
    </cfRule>
  </conditionalFormatting>
  <conditionalFormatting sqref="K292:L292">
    <cfRule type="iconSet" priority="2913">
      <iconSet iconSet="3Flags">
        <cfvo type="percent" val="0"/>
        <cfvo type="percent" val="33"/>
        <cfvo type="percent" val="67"/>
      </iconSet>
    </cfRule>
  </conditionalFormatting>
  <conditionalFormatting sqref="K292:L292">
    <cfRule type="iconSet" priority="2914">
      <iconSet iconSet="3Flags">
        <cfvo type="percent" val="0"/>
        <cfvo type="percent" val="33"/>
        <cfvo type="percent" val="67"/>
      </iconSet>
    </cfRule>
  </conditionalFormatting>
  <conditionalFormatting sqref="AB291">
    <cfRule type="containsText" dxfId="1024" priority="2911" operator="containsText" text="Sh">
      <formula>NOT(ISERROR(SEARCH("Sh",AB291)))</formula>
    </cfRule>
    <cfRule type="cellIs" dxfId="1023" priority="2912" operator="equal">
      <formula>"Sh"</formula>
    </cfRule>
  </conditionalFormatting>
  <conditionalFormatting sqref="AB293">
    <cfRule type="containsText" dxfId="1022" priority="2909" operator="containsText" text="Sh">
      <formula>NOT(ISERROR(SEARCH("Sh",AB293)))</formula>
    </cfRule>
    <cfRule type="cellIs" dxfId="1021" priority="2910" operator="equal">
      <formula>"Sh"</formula>
    </cfRule>
  </conditionalFormatting>
  <conditionalFormatting sqref="J278:J297">
    <cfRule type="iconSet" priority="3581">
      <iconSet iconSet="3Flags" reverse="1">
        <cfvo type="percent" val="0"/>
        <cfvo type="percent" val="33"/>
        <cfvo type="percent" val="67"/>
      </iconSet>
    </cfRule>
  </conditionalFormatting>
  <conditionalFormatting sqref="K278:K297">
    <cfRule type="iconSet" priority="3582">
      <iconSet iconSet="3Flags" reverse="1">
        <cfvo type="percent" val="0"/>
        <cfvo type="percent" val="33"/>
        <cfvo type="percent" val="67"/>
      </iconSet>
    </cfRule>
  </conditionalFormatting>
  <conditionalFormatting sqref="L278:L297">
    <cfRule type="iconSet" priority="3583">
      <iconSet iconSet="3Flags" reverse="1">
        <cfvo type="percent" val="0"/>
        <cfvo type="percent" val="33"/>
        <cfvo type="percent" val="67"/>
      </iconSet>
    </cfRule>
  </conditionalFormatting>
  <conditionalFormatting sqref="AB298:AB299 AB300:AC305 AC306:AC308 AB309:AC311 Y346:Y347 AB325:AB327">
    <cfRule type="containsText" dxfId="1020" priority="2896" operator="containsText" text="Sh">
      <formula>NOT(ISERROR(SEARCH("Sh",Y298)))</formula>
    </cfRule>
    <cfRule type="cellIs" dxfId="1019" priority="2897" operator="equal">
      <formula>"Sh"</formula>
    </cfRule>
  </conditionalFormatting>
  <conditionalFormatting sqref="E298:E313">
    <cfRule type="containsText" dxfId="1018" priority="2894" operator="containsText" text="Production">
      <formula>NOT(ISERROR(SEARCH("Production",E298)))</formula>
    </cfRule>
    <cfRule type="containsText" dxfId="1017" priority="2895" operator="containsText" text="Roll">
      <formula>NOT(ISERROR(SEARCH("Roll",E298)))</formula>
    </cfRule>
  </conditionalFormatting>
  <conditionalFormatting sqref="AC354:AC360">
    <cfRule type="containsText" dxfId="1016" priority="2892" operator="containsText" text="Sh">
      <formula>NOT(ISERROR(SEARCH("Sh",AC354)))</formula>
    </cfRule>
    <cfRule type="cellIs" dxfId="1015" priority="2893" operator="equal">
      <formula>"Sh"</formula>
    </cfRule>
  </conditionalFormatting>
  <conditionalFormatting sqref="AC353">
    <cfRule type="containsText" dxfId="1014" priority="2890" operator="containsText" text="Sh">
      <formula>NOT(ISERROR(SEARCH("Sh",AC353)))</formula>
    </cfRule>
    <cfRule type="cellIs" dxfId="1013" priority="2891" operator="equal">
      <formula>"Sh"</formula>
    </cfRule>
  </conditionalFormatting>
  <conditionalFormatting sqref="AB316:AB318">
    <cfRule type="containsText" dxfId="1012" priority="2888" operator="containsText" text="Sh">
      <formula>NOT(ISERROR(SEARCH("Sh",AB316)))</formula>
    </cfRule>
    <cfRule type="cellIs" dxfId="1011" priority="2889" operator="equal">
      <formula>"Sh"</formula>
    </cfRule>
  </conditionalFormatting>
  <conditionalFormatting sqref="F327:F329">
    <cfRule type="iconSet" priority="2886">
      <iconSet iconSet="3Signs">
        <cfvo type="percent" val="0"/>
        <cfvo type="percent" val="33"/>
        <cfvo type="percent" val="67"/>
      </iconSet>
    </cfRule>
  </conditionalFormatting>
  <conditionalFormatting sqref="Y328:Y330">
    <cfRule type="containsText" dxfId="1010" priority="2882" operator="containsText" text="Sh">
      <formula>NOT(ISERROR(SEARCH("Sh",Y328)))</formula>
    </cfRule>
    <cfRule type="cellIs" dxfId="1009" priority="2883" operator="equal">
      <formula>"Sh"</formula>
    </cfRule>
  </conditionalFormatting>
  <conditionalFormatting sqref="F326">
    <cfRule type="iconSet" priority="2881">
      <iconSet iconSet="3Signs">
        <cfvo type="percent" val="0"/>
        <cfvo type="percent" val="33"/>
        <cfvo type="percent" val="67"/>
      </iconSet>
    </cfRule>
  </conditionalFormatting>
  <conditionalFormatting sqref="X326:Y326">
    <cfRule type="containsText" dxfId="1008" priority="2879" operator="containsText" text="Sh">
      <formula>NOT(ISERROR(SEARCH("Sh",X326)))</formula>
    </cfRule>
    <cfRule type="cellIs" dxfId="1007" priority="2880" operator="equal">
      <formula>"Sh"</formula>
    </cfRule>
  </conditionalFormatting>
  <conditionalFormatting sqref="X298:Y305">
    <cfRule type="containsText" dxfId="1006" priority="2877" operator="containsText" text="Sh">
      <formula>NOT(ISERROR(SEARCH("Sh",X298)))</formula>
    </cfRule>
    <cfRule type="cellIs" dxfId="1005" priority="2878" operator="equal">
      <formula>"Sh"</formula>
    </cfRule>
  </conditionalFormatting>
  <conditionalFormatting sqref="AB319">
    <cfRule type="containsText" dxfId="1004" priority="2875" operator="containsText" text="Sh">
      <formula>NOT(ISERROR(SEARCH("Sh",AB319)))</formula>
    </cfRule>
    <cfRule type="cellIs" dxfId="1003" priority="2876" operator="equal">
      <formula>"Sh"</formula>
    </cfRule>
  </conditionalFormatting>
  <conditionalFormatting sqref="AB320">
    <cfRule type="containsText" dxfId="1002" priority="2873" operator="containsText" text="Sh">
      <formula>NOT(ISERROR(SEARCH("Sh",AB320)))</formula>
    </cfRule>
    <cfRule type="cellIs" dxfId="1001" priority="2874" operator="equal">
      <formula>"Sh"</formula>
    </cfRule>
  </conditionalFormatting>
  <conditionalFormatting sqref="AB321">
    <cfRule type="containsText" dxfId="1000" priority="2871" operator="containsText" text="Sh">
      <formula>NOT(ISERROR(SEARCH("Sh",AB321)))</formula>
    </cfRule>
    <cfRule type="cellIs" dxfId="999" priority="2872" operator="equal">
      <formula>"Sh"</formula>
    </cfRule>
  </conditionalFormatting>
  <conditionalFormatting sqref="AB322:AB323">
    <cfRule type="containsText" dxfId="998" priority="2869" operator="containsText" text="Sh">
      <formula>NOT(ISERROR(SEARCH("Sh",AB322)))</formula>
    </cfRule>
    <cfRule type="cellIs" dxfId="997" priority="2870" operator="equal">
      <formula>"Sh"</formula>
    </cfRule>
  </conditionalFormatting>
  <conditionalFormatting sqref="AB324">
    <cfRule type="containsText" dxfId="996" priority="2867" operator="containsText" text="Sh">
      <formula>NOT(ISERROR(SEARCH("Sh",AB324)))</formula>
    </cfRule>
    <cfRule type="cellIs" dxfId="995" priority="2868" operator="equal">
      <formula>"Sh"</formula>
    </cfRule>
  </conditionalFormatting>
  <conditionalFormatting sqref="X306:Y308">
    <cfRule type="containsText" dxfId="994" priority="2864" operator="containsText" text="Sh">
      <formula>NOT(ISERROR(SEARCH("Sh",X306)))</formula>
    </cfRule>
    <cfRule type="cellIs" dxfId="993" priority="2865" operator="equal">
      <formula>"Sh"</formula>
    </cfRule>
  </conditionalFormatting>
  <conditionalFormatting sqref="Y311">
    <cfRule type="containsText" dxfId="992" priority="2852" operator="containsText" text="Sh">
      <formula>NOT(ISERROR(SEARCH("Sh",Y311)))</formula>
    </cfRule>
    <cfRule type="cellIs" dxfId="991" priority="2853" operator="equal">
      <formula>"Sh"</formula>
    </cfRule>
  </conditionalFormatting>
  <conditionalFormatting sqref="E314">
    <cfRule type="containsText" dxfId="990" priority="2847" operator="containsText" text="Production">
      <formula>NOT(ISERROR(SEARCH("Production",E314)))</formula>
    </cfRule>
    <cfRule type="containsText" dxfId="989" priority="2848" operator="containsText" text="Roll">
      <formula>NOT(ISERROR(SEARCH("Roll",E314)))</formula>
    </cfRule>
  </conditionalFormatting>
  <conditionalFormatting sqref="AB314">
    <cfRule type="containsText" dxfId="988" priority="2845" operator="containsText" text="Sh">
      <formula>NOT(ISERROR(SEARCH("Sh",AB314)))</formula>
    </cfRule>
    <cfRule type="cellIs" dxfId="987" priority="2846" operator="equal">
      <formula>"Sh"</formula>
    </cfRule>
  </conditionalFormatting>
  <conditionalFormatting sqref="X314:Y314">
    <cfRule type="containsText" dxfId="986" priority="2840" operator="containsText" text="Sh">
      <formula>NOT(ISERROR(SEARCH("Sh",X314)))</formula>
    </cfRule>
    <cfRule type="cellIs" dxfId="985" priority="2841" operator="equal">
      <formula>"Sh"</formula>
    </cfRule>
  </conditionalFormatting>
  <conditionalFormatting sqref="E315:E319">
    <cfRule type="containsText" dxfId="984" priority="2838" operator="containsText" text="Production">
      <formula>NOT(ISERROR(SEARCH("Production",E315)))</formula>
    </cfRule>
    <cfRule type="containsText" dxfId="983" priority="2839" operator="containsText" text="Roll">
      <formula>NOT(ISERROR(SEARCH("Roll",E315)))</formula>
    </cfRule>
  </conditionalFormatting>
  <conditionalFormatting sqref="AB315">
    <cfRule type="containsText" dxfId="982" priority="2836" operator="containsText" text="Sh">
      <formula>NOT(ISERROR(SEARCH("Sh",AB315)))</formula>
    </cfRule>
    <cfRule type="cellIs" dxfId="981" priority="2837" operator="equal">
      <formula>"Sh"</formula>
    </cfRule>
  </conditionalFormatting>
  <conditionalFormatting sqref="J326:L326">
    <cfRule type="iconSet" priority="2906">
      <iconSet iconSet="3Flags">
        <cfvo type="percent" val="0"/>
        <cfvo type="percent" val="33"/>
        <cfvo type="percent" val="67"/>
      </iconSet>
    </cfRule>
  </conditionalFormatting>
  <conditionalFormatting sqref="J325:L325">
    <cfRule type="iconSet" priority="2834">
      <iconSet iconSet="3Flags">
        <cfvo type="percent" val="0"/>
        <cfvo type="percent" val="33"/>
        <cfvo type="percent" val="67"/>
      </iconSet>
    </cfRule>
  </conditionalFormatting>
  <conditionalFormatting sqref="K325:L325">
    <cfRule type="iconSet" priority="2835">
      <iconSet iconSet="3Flags">
        <cfvo type="percent" val="0"/>
        <cfvo type="percent" val="33"/>
        <cfvo type="percent" val="67"/>
      </iconSet>
    </cfRule>
  </conditionalFormatting>
  <conditionalFormatting sqref="J327:L327">
    <cfRule type="iconSet" priority="2833">
      <iconSet iconSet="3Flags">
        <cfvo type="percent" val="0"/>
        <cfvo type="percent" val="33"/>
        <cfvo type="percent" val="67"/>
      </iconSet>
    </cfRule>
  </conditionalFormatting>
  <conditionalFormatting sqref="J329:L329">
    <cfRule type="iconSet" priority="2832">
      <iconSet iconSet="3Flags">
        <cfvo type="percent" val="0"/>
        <cfvo type="percent" val="33"/>
        <cfvo type="percent" val="67"/>
      </iconSet>
    </cfRule>
  </conditionalFormatting>
  <conditionalFormatting sqref="J330:L330">
    <cfRule type="iconSet" priority="2831">
      <iconSet iconSet="3Flags">
        <cfvo type="percent" val="0"/>
        <cfvo type="percent" val="33"/>
        <cfvo type="percent" val="67"/>
      </iconSet>
    </cfRule>
  </conditionalFormatting>
  <conditionalFormatting sqref="X315:Y317">
    <cfRule type="containsText" dxfId="980" priority="2827" operator="containsText" text="Sh">
      <formula>NOT(ISERROR(SEARCH("Sh",X315)))</formula>
    </cfRule>
    <cfRule type="cellIs" dxfId="979" priority="2828" operator="equal">
      <formula>"Sh"</formula>
    </cfRule>
  </conditionalFormatting>
  <conditionalFormatting sqref="X320:Y322">
    <cfRule type="containsText" dxfId="978" priority="2823" operator="containsText" text="Sh">
      <formula>NOT(ISERROR(SEARCH("Sh",X320)))</formula>
    </cfRule>
    <cfRule type="cellIs" dxfId="977" priority="2824" operator="equal">
      <formula>"Sh"</formula>
    </cfRule>
  </conditionalFormatting>
  <conditionalFormatting sqref="X340:Y342">
    <cfRule type="containsText" dxfId="976" priority="2819" operator="containsText" text="Sh">
      <formula>NOT(ISERROR(SEARCH("Sh",X340)))</formula>
    </cfRule>
    <cfRule type="cellIs" dxfId="975" priority="2820" operator="equal">
      <formula>"Sh"</formula>
    </cfRule>
  </conditionalFormatting>
  <conditionalFormatting sqref="X348:Y359">
    <cfRule type="containsText" dxfId="974" priority="2815" operator="containsText" text="Sh">
      <formula>NOT(ISERROR(SEARCH("Sh",X348)))</formula>
    </cfRule>
    <cfRule type="cellIs" dxfId="973" priority="2816" operator="equal">
      <formula>"Sh"</formula>
    </cfRule>
  </conditionalFormatting>
  <conditionalFormatting sqref="J328:L328">
    <cfRule type="iconSet" priority="2814">
      <iconSet iconSet="3Flags">
        <cfvo type="percent" val="0"/>
        <cfvo type="percent" val="33"/>
        <cfvo type="percent" val="67"/>
      </iconSet>
    </cfRule>
  </conditionalFormatting>
  <conditionalFormatting sqref="F298:F319">
    <cfRule type="iconSet" priority="3584">
      <iconSet iconSet="3Signs">
        <cfvo type="percent" val="0"/>
        <cfvo type="percent" val="33"/>
        <cfvo type="percent" val="67"/>
      </iconSet>
    </cfRule>
  </conditionalFormatting>
  <conditionalFormatting sqref="F330:F360 F320:F325">
    <cfRule type="iconSet" priority="3585">
      <iconSet iconSet="3Signs">
        <cfvo type="percent" val="0"/>
        <cfvo type="percent" val="33"/>
        <cfvo type="percent" val="67"/>
      </iconSet>
    </cfRule>
  </conditionalFormatting>
  <conditionalFormatting sqref="K326:L360 K298:L324">
    <cfRule type="iconSet" priority="3586">
      <iconSet iconSet="3Flags">
        <cfvo type="percent" val="0"/>
        <cfvo type="percent" val="33"/>
        <cfvo type="percent" val="67"/>
      </iconSet>
    </cfRule>
  </conditionalFormatting>
  <conditionalFormatting sqref="J331:L360 J298:L324">
    <cfRule type="iconSet" priority="3587">
      <iconSet iconSet="3Flags">
        <cfvo type="percent" val="0"/>
        <cfvo type="percent" val="33"/>
        <cfvo type="percent" val="67"/>
      </iconSet>
    </cfRule>
  </conditionalFormatting>
  <conditionalFormatting sqref="J298:J360">
    <cfRule type="iconSet" priority="3592">
      <iconSet iconSet="3Flags" reverse="1">
        <cfvo type="percent" val="0"/>
        <cfvo type="percent" val="33"/>
        <cfvo type="percent" val="67"/>
      </iconSet>
    </cfRule>
    <cfRule type="iconSet" priority="3593">
      <iconSet iconSet="3Flags">
        <cfvo type="percent" val="0"/>
        <cfvo type="percent" val="33"/>
        <cfvo type="percent" val="67"/>
      </iconSet>
    </cfRule>
    <cfRule type="iconSet" priority="3594">
      <iconSet iconSet="3Flags" reverse="1">
        <cfvo type="percent" val="0"/>
        <cfvo type="percent" val="33"/>
        <cfvo type="percent" val="67"/>
      </iconSet>
    </cfRule>
  </conditionalFormatting>
  <conditionalFormatting sqref="K298:K360">
    <cfRule type="iconSet" priority="3595">
      <iconSet iconSet="3Flags" reverse="1">
        <cfvo type="percent" val="0"/>
        <cfvo type="percent" val="33"/>
        <cfvo type="percent" val="67"/>
      </iconSet>
    </cfRule>
    <cfRule type="iconSet" priority="3596">
      <iconSet iconSet="3Flags" reverse="1">
        <cfvo type="percent" val="0"/>
        <cfvo type="percent" val="33"/>
        <cfvo type="percent" val="67"/>
      </iconSet>
    </cfRule>
  </conditionalFormatting>
  <conditionalFormatting sqref="L298:L360">
    <cfRule type="iconSet" priority="3597">
      <iconSet iconSet="3Flags">
        <cfvo type="percent" val="0"/>
        <cfvo type="percent" val="33"/>
        <cfvo type="percent" val="67"/>
      </iconSet>
    </cfRule>
    <cfRule type="iconSet" priority="3598">
      <iconSet iconSet="3Flags" reverse="1">
        <cfvo type="percent" val="0"/>
        <cfvo type="percent" val="33"/>
        <cfvo type="percent" val="67"/>
      </iconSet>
    </cfRule>
    <cfRule type="iconSet" priority="3599">
      <iconSet iconSet="3Flags" reverse="1">
        <cfvo type="percent" val="0"/>
        <cfvo type="percent" val="33"/>
        <cfvo type="percent" val="67"/>
      </iconSet>
    </cfRule>
    <cfRule type="iconSet" priority="3600">
      <iconSet iconSet="3Flags" reverse="1">
        <cfvo type="percent" val="0"/>
        <cfvo type="percent" val="33"/>
        <cfvo type="percent" val="67"/>
      </iconSet>
    </cfRule>
  </conditionalFormatting>
  <conditionalFormatting sqref="AC298:AC360">
    <cfRule type="iconSet" priority="3602">
      <iconSet>
        <cfvo type="percent" val="0"/>
        <cfvo type="percent" val="90" gte="0"/>
        <cfvo type="percent" val="100"/>
      </iconSet>
    </cfRule>
  </conditionalFormatting>
  <conditionalFormatting sqref="G298:G360">
    <cfRule type="iconSet" priority="3603">
      <iconSet iconSet="3Flags">
        <cfvo type="percent" val="0"/>
        <cfvo type="percent" val="33"/>
        <cfvo type="percent" val="67"/>
      </iconSet>
    </cfRule>
  </conditionalFormatting>
  <conditionalFormatting sqref="J298:J360">
    <cfRule type="iconSet" priority="3604">
      <iconSet iconSet="3Flags" reverse="1">
        <cfvo type="percent" val="0"/>
        <cfvo type="percent" val="33"/>
        <cfvo type="percent" val="67"/>
      </iconSet>
    </cfRule>
    <cfRule type="iconSet" priority="3605">
      <iconSet iconSet="3Flags" reverse="1">
        <cfvo type="percent" val="0"/>
        <cfvo type="percent" val="33"/>
        <cfvo type="percent" val="67"/>
      </iconSet>
    </cfRule>
    <cfRule type="iconSet" priority="3606">
      <iconSet iconSet="3Flags">
        <cfvo type="percent" val="0"/>
        <cfvo type="percent" val="33"/>
        <cfvo type="percent" val="67"/>
      </iconSet>
    </cfRule>
  </conditionalFormatting>
  <conditionalFormatting sqref="K298:K360">
    <cfRule type="iconSet" priority="3607">
      <iconSet iconSet="3Flags" reverse="1">
        <cfvo type="percent" val="0"/>
        <cfvo type="percent" val="33"/>
        <cfvo type="percent" val="67"/>
      </iconSet>
    </cfRule>
    <cfRule type="iconSet" priority="3608">
      <iconSet iconSet="3Flags" reverse="1">
        <cfvo type="percent" val="0"/>
        <cfvo type="percent" val="33"/>
        <cfvo type="percent" val="67"/>
      </iconSet>
    </cfRule>
    <cfRule type="iconSet" priority="3609">
      <iconSet iconSet="3Flags">
        <cfvo type="percent" val="0"/>
        <cfvo type="percent" val="33"/>
        <cfvo type="percent" val="67"/>
      </iconSet>
    </cfRule>
  </conditionalFormatting>
  <conditionalFormatting sqref="L298:L360">
    <cfRule type="iconSet" priority="3610">
      <iconSet iconSet="3Flags" reverse="1">
        <cfvo type="percent" val="0"/>
        <cfvo type="percent" val="33"/>
        <cfvo type="percent" val="67"/>
      </iconSet>
    </cfRule>
    <cfRule type="iconSet" priority="3611">
      <iconSet iconSet="3Flags" reverse="1">
        <cfvo type="percent" val="0"/>
        <cfvo type="percent" val="33"/>
        <cfvo type="percent" val="67"/>
      </iconSet>
    </cfRule>
    <cfRule type="iconSet" priority="3612">
      <iconSet iconSet="3Flags">
        <cfvo type="percent" val="0"/>
        <cfvo type="percent" val="33"/>
        <cfvo type="percent" val="67"/>
      </iconSet>
    </cfRule>
  </conditionalFormatting>
  <conditionalFormatting sqref="D2:D360 D564:D596 D692:D693 D716:D1048576">
    <cfRule type="containsText" dxfId="972" priority="2803" operator="containsText" text="Roll-to-Roll">
      <formula>NOT(ISERROR(SEARCH("Roll-to-Roll",D2)))</formula>
    </cfRule>
    <cfRule type="containsText" dxfId="971" priority="2804" operator="containsText" text="Production">
      <formula>NOT(ISERROR(SEARCH("Production",D2)))</formula>
    </cfRule>
  </conditionalFormatting>
  <conditionalFormatting sqref="F564:F596 F1:F360 F692:F693 F716:F1048576">
    <cfRule type="iconSet" priority="2802">
      <iconSet>
        <cfvo type="percent" val="0"/>
        <cfvo type="percent" val="33"/>
        <cfvo type="percent" val="67"/>
      </iconSet>
    </cfRule>
  </conditionalFormatting>
  <conditionalFormatting sqref="G564:G596 G1:G360 G692:G693 G716:G1048576">
    <cfRule type="iconSet" priority="2800">
      <iconSet iconSet="3Flags">
        <cfvo type="percent" val="0"/>
        <cfvo type="percent" val="33"/>
        <cfvo type="percent" val="67"/>
      </iconSet>
    </cfRule>
    <cfRule type="iconSet" priority="2801">
      <iconSet iconSet="3Flags" reverse="1">
        <cfvo type="percent" val="0"/>
        <cfvo type="percent" val="33"/>
        <cfvo type="percent" val="67"/>
      </iconSet>
    </cfRule>
  </conditionalFormatting>
  <conditionalFormatting sqref="AC564:AC596 AC1:AC360 AC692:AC693 AC716:AC1048576">
    <cfRule type="iconSet" priority="2799">
      <iconSet>
        <cfvo type="percent" val="0"/>
        <cfvo type="percent" val="33"/>
        <cfvo type="percent" val="67"/>
      </iconSet>
    </cfRule>
  </conditionalFormatting>
  <conditionalFormatting sqref="R595:R596 R1:R360 R692:R693 R716:R1048576">
    <cfRule type="dataBar" priority="277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{6F7AE1CC-FA87-4581-90F3-8D03006C4DC1}</x14:id>
        </ext>
      </extLst>
    </cfRule>
  </conditionalFormatting>
  <conditionalFormatting sqref="S595:S596 S1:S360 S692:S693 S716:S1048576">
    <cfRule type="dataBar" priority="277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{922A0A14-886A-4961-871E-7E82DBB22B61}</x14:id>
        </ext>
      </extLst>
    </cfRule>
  </conditionalFormatting>
  <conditionalFormatting sqref="T595:T596 T1:T360 T692:T693 T716:T1048576">
    <cfRule type="dataBar" priority="277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{AE1BA4B2-500D-405A-B98C-DEE96293E7E3}</x14:id>
        </ext>
      </extLst>
    </cfRule>
  </conditionalFormatting>
  <conditionalFormatting sqref="U595:U596 U1:U360 U692:U693 U716:U1048576">
    <cfRule type="dataBar" priority="27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{A6B0B41D-7D0C-4C7C-83D5-B43969C273E7}</x14:id>
        </ext>
      </extLst>
    </cfRule>
  </conditionalFormatting>
  <conditionalFormatting sqref="AF564:AF596 AF1:AF360 AF692:AF693 AF716:AF1048576">
    <cfRule type="containsText" dxfId="970" priority="2787" stopIfTrue="1" operator="containsText" text="No">
      <formula>NOT(ISERROR(SEARCH("No",AF1)))</formula>
    </cfRule>
    <cfRule type="containsText" dxfId="969" priority="2788" stopIfTrue="1" operator="containsText" text="High">
      <formula>NOT(ISERROR(SEARCH("High",AF1)))</formula>
    </cfRule>
    <cfRule type="containsText" dxfId="968" priority="2789" stopIfTrue="1" operator="containsText" text="Medium">
      <formula>NOT(ISERROR(SEARCH("Medium",AF1)))</formula>
    </cfRule>
    <cfRule type="containsText" dxfId="967" priority="2790" operator="containsText" text="Low">
      <formula>NOT(ISERROR(SEARCH("Low",AF1)))</formula>
    </cfRule>
  </conditionalFormatting>
  <conditionalFormatting sqref="AG564:AG596 AG1:AG360 AG692:AG693 AG716:AG1048576">
    <cfRule type="containsText" dxfId="966" priority="2780" operator="containsText" text="High">
      <formula>NOT(ISERROR(SEARCH("High",AG1)))</formula>
    </cfRule>
    <cfRule type="containsText" dxfId="965" priority="2781" operator="containsText" text="Medium">
      <formula>NOT(ISERROR(SEARCH("Medium",AG1)))</formula>
    </cfRule>
    <cfRule type="containsText" dxfId="964" priority="2782" operator="containsText" text="Low">
      <formula>NOT(ISERROR(SEARCH("Low",AG1)))</formula>
    </cfRule>
    <cfRule type="containsText" dxfId="963" priority="2783" operator="containsText" text="No">
      <formula>NOT(ISERROR(SEARCH("No",AG1)))</formula>
    </cfRule>
  </conditionalFormatting>
  <conditionalFormatting sqref="O595:O596 O1:O360 O692:O693 O716:O1048576">
    <cfRule type="dataBar" priority="27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{1C92C556-1BF4-49DB-923E-B64497090DCC}</x14:id>
        </ext>
      </extLst>
    </cfRule>
  </conditionalFormatting>
  <conditionalFormatting sqref="P595:P596 P1:P360 P692:P693 P716:P1048576">
    <cfRule type="dataBar" priority="277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{BE22D4B5-0F36-49E4-9CBB-1DEABD7099F4}</x14:id>
        </ext>
      </extLst>
    </cfRule>
  </conditionalFormatting>
  <conditionalFormatting sqref="Q595:Q596 Q1:Q360 Q692:Q693 Q716:Q1048576">
    <cfRule type="dataBar" priority="277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{C318AD80-C62B-4AA6-8C64-30FCDB4DC5E7}</x14:id>
        </ext>
      </extLst>
    </cfRule>
  </conditionalFormatting>
  <conditionalFormatting sqref="AD564:AD596 AD1:AD360 AD692:AD693 AD716:AD1048576">
    <cfRule type="colorScale" priority="277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772">
      <colorScale>
        <cfvo type="min"/>
        <cfvo type="max"/>
        <color rgb="FFFF7128"/>
        <color rgb="FFFFEF9C"/>
      </colorScale>
    </cfRule>
  </conditionalFormatting>
  <conditionalFormatting sqref="AE564:AE596 AE1:AE360 AE692:AE693 AE716:AE1048576">
    <cfRule type="colorScale" priority="2768">
      <colorScale>
        <cfvo type="min"/>
        <cfvo type="max"/>
        <color rgb="FFFCFCFF"/>
        <color rgb="FFF8696B"/>
      </colorScale>
    </cfRule>
  </conditionalFormatting>
  <conditionalFormatting sqref="AB361:AC362">
    <cfRule type="containsText" dxfId="962" priority="2730" operator="containsText" text="Sh">
      <formula>NOT(ISERROR(SEARCH("Sh",AB361)))</formula>
    </cfRule>
    <cfRule type="cellIs" dxfId="961" priority="2731" operator="equal">
      <formula>"Sh"</formula>
    </cfRule>
  </conditionalFormatting>
  <conditionalFormatting sqref="H361:H362 D361:E362">
    <cfRule type="containsText" dxfId="960" priority="2728" operator="containsText" text="Production">
      <formula>NOT(ISERROR(SEARCH("Production",D361)))</formula>
    </cfRule>
    <cfRule type="containsText" dxfId="959" priority="2729" operator="containsText" text="Roll">
      <formula>NOT(ISERROR(SEARCH("Roll",D361)))</formula>
    </cfRule>
  </conditionalFormatting>
  <conditionalFormatting sqref="X361:AA361">
    <cfRule type="containsText" dxfId="958" priority="2726" operator="containsText" text="Sh">
      <formula>NOT(ISERROR(SEARCH("Sh",X361)))</formula>
    </cfRule>
    <cfRule type="cellIs" dxfId="957" priority="2727" operator="equal">
      <formula>"Sh"</formula>
    </cfRule>
  </conditionalFormatting>
  <conditionalFormatting sqref="AD361">
    <cfRule type="colorScale" priority="2732">
      <colorScale>
        <cfvo type="min"/>
        <cfvo type="num" val="0.1"/>
        <cfvo type="max"/>
        <color theme="9"/>
        <color theme="0"/>
        <color rgb="FFC00000"/>
      </colorScale>
    </cfRule>
  </conditionalFormatting>
  <conditionalFormatting sqref="K361:L361">
    <cfRule type="iconSet" priority="2733">
      <iconSet iconSet="3Flags">
        <cfvo type="percent" val="0"/>
        <cfvo type="percent" val="33"/>
        <cfvo type="percent" val="67"/>
      </iconSet>
    </cfRule>
  </conditionalFormatting>
  <conditionalFormatting sqref="J361:L361">
    <cfRule type="iconSet" priority="2734">
      <iconSet iconSet="3Flags">
        <cfvo type="percent" val="0"/>
        <cfvo type="percent" val="33"/>
        <cfvo type="percent" val="67"/>
      </iconSet>
    </cfRule>
  </conditionalFormatting>
  <conditionalFormatting sqref="K362:L362">
    <cfRule type="iconSet" priority="2720">
      <iconSet iconSet="3Flags">
        <cfvo type="percent" val="0"/>
        <cfvo type="percent" val="33"/>
        <cfvo type="percent" val="67"/>
      </iconSet>
    </cfRule>
  </conditionalFormatting>
  <conditionalFormatting sqref="J362:L362">
    <cfRule type="iconSet" priority="2721">
      <iconSet iconSet="3Flags">
        <cfvo type="percent" val="0"/>
        <cfvo type="percent" val="33"/>
        <cfvo type="percent" val="67"/>
      </iconSet>
    </cfRule>
  </conditionalFormatting>
  <conditionalFormatting sqref="R361:R362">
    <cfRule type="dataBar" priority="270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{E1E7EA3B-7760-4BCA-920C-99C8D473B8D9}</x14:id>
        </ext>
      </extLst>
    </cfRule>
  </conditionalFormatting>
  <conditionalFormatting sqref="S361:S362">
    <cfRule type="dataBar" priority="270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{B9B7403C-BC9C-4EE0-ABE6-5EDC18B5877D}</x14:id>
        </ext>
      </extLst>
    </cfRule>
  </conditionalFormatting>
  <conditionalFormatting sqref="T361:T362">
    <cfRule type="dataBar" priority="270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{E1FCB1AC-FFEA-42F9-8543-7C25F7EC6216}</x14:id>
        </ext>
      </extLst>
    </cfRule>
  </conditionalFormatting>
  <conditionalFormatting sqref="U361:U362">
    <cfRule type="dataBar" priority="27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{164A1104-3354-4C1B-A0E5-DFDD1D6860DE}</x14:id>
        </ext>
      </extLst>
    </cfRule>
  </conditionalFormatting>
  <conditionalFormatting sqref="J361:J362">
    <cfRule type="iconSet" priority="2701">
      <iconSet iconSet="3Flags">
        <cfvo type="percent" val="0"/>
        <cfvo type="percent" val="33"/>
        <cfvo type="percent" val="67"/>
      </iconSet>
    </cfRule>
  </conditionalFormatting>
  <conditionalFormatting sqref="K361:K362">
    <cfRule type="iconSet" priority="2700">
      <iconSet iconSet="3Flags">
        <cfvo type="percent" val="0"/>
        <cfvo type="percent" val="33"/>
        <cfvo type="percent" val="67"/>
      </iconSet>
    </cfRule>
  </conditionalFormatting>
  <conditionalFormatting sqref="L361:L362">
    <cfRule type="iconSet" priority="2699">
      <iconSet iconSet="3Flags">
        <cfvo type="percent" val="0"/>
        <cfvo type="percent" val="33"/>
        <cfvo type="percent" val="67"/>
      </iconSet>
    </cfRule>
  </conditionalFormatting>
  <conditionalFormatting sqref="F361:F362">
    <cfRule type="iconSet" priority="2698">
      <iconSet>
        <cfvo type="percent" val="0"/>
        <cfvo type="percent" val="33"/>
        <cfvo type="percent" val="67"/>
      </iconSet>
    </cfRule>
  </conditionalFormatting>
  <conditionalFormatting sqref="G361:G362">
    <cfRule type="iconSet" priority="2697">
      <iconSet iconSet="3Flags">
        <cfvo type="percent" val="0"/>
        <cfvo type="percent" val="33"/>
        <cfvo type="percent" val="67"/>
      </iconSet>
    </cfRule>
  </conditionalFormatting>
  <conditionalFormatting sqref="R361:R362">
    <cfRule type="dataBar" priority="27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{7F19FC93-35B5-432A-B10B-A132A607BF0E}</x14:id>
        </ext>
      </extLst>
    </cfRule>
  </conditionalFormatting>
  <conditionalFormatting sqref="R361:R362">
    <cfRule type="dataBar" priority="27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{200C3769-6181-4A98-A0E4-691D6C5A7753}</x14:id>
        </ext>
      </extLst>
    </cfRule>
  </conditionalFormatting>
  <conditionalFormatting sqref="T361:T362">
    <cfRule type="dataBar" priority="27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{C2A22FB5-9EBD-4B33-9574-DFD81010D122}</x14:id>
        </ext>
      </extLst>
    </cfRule>
  </conditionalFormatting>
  <conditionalFormatting sqref="R361:R362">
    <cfRule type="dataBar" priority="274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{EFF7F4B6-757E-4261-AB74-0B857219B131}</x14:id>
        </ext>
      </extLst>
    </cfRule>
  </conditionalFormatting>
  <conditionalFormatting sqref="U361:U362">
    <cfRule type="dataBar" priority="27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{2C7F42F5-C789-4F1F-B103-F1F86B81A8B4}</x14:id>
        </ext>
      </extLst>
    </cfRule>
  </conditionalFormatting>
  <conditionalFormatting sqref="J361:J362">
    <cfRule type="iconSet" priority="2745">
      <iconSet iconSet="3Flags" reverse="1">
        <cfvo type="percent" val="0"/>
        <cfvo type="percent" val="33"/>
        <cfvo type="percent" val="67"/>
      </iconSet>
    </cfRule>
    <cfRule type="iconSet" priority="2746">
      <iconSet iconSet="3Flags">
        <cfvo type="percent" val="0"/>
        <cfvo type="percent" val="33"/>
        <cfvo type="percent" val="67"/>
      </iconSet>
    </cfRule>
    <cfRule type="iconSet" priority="2747">
      <iconSet iconSet="3Flags" reverse="1">
        <cfvo type="percent" val="0"/>
        <cfvo type="percent" val="33"/>
        <cfvo type="percent" val="67"/>
      </iconSet>
    </cfRule>
  </conditionalFormatting>
  <conditionalFormatting sqref="K361:K362">
    <cfRule type="iconSet" priority="2748">
      <iconSet iconSet="3Flags" reverse="1">
        <cfvo type="percent" val="0"/>
        <cfvo type="percent" val="33"/>
        <cfvo type="percent" val="67"/>
      </iconSet>
    </cfRule>
    <cfRule type="iconSet" priority="2749">
      <iconSet iconSet="3Flags" reverse="1">
        <cfvo type="percent" val="0"/>
        <cfvo type="percent" val="33"/>
        <cfvo type="percent" val="67"/>
      </iconSet>
    </cfRule>
  </conditionalFormatting>
  <conditionalFormatting sqref="L361:L362">
    <cfRule type="iconSet" priority="2750">
      <iconSet iconSet="3Flags">
        <cfvo type="percent" val="0"/>
        <cfvo type="percent" val="33"/>
        <cfvo type="percent" val="67"/>
      </iconSet>
    </cfRule>
    <cfRule type="iconSet" priority="2751">
      <iconSet iconSet="3Flags" reverse="1">
        <cfvo type="percent" val="0"/>
        <cfvo type="percent" val="33"/>
        <cfvo type="percent" val="67"/>
      </iconSet>
    </cfRule>
    <cfRule type="iconSet" priority="2752">
      <iconSet iconSet="3Flags" reverse="1">
        <cfvo type="percent" val="0"/>
        <cfvo type="percent" val="33"/>
        <cfvo type="percent" val="67"/>
      </iconSet>
    </cfRule>
    <cfRule type="iconSet" priority="2753">
      <iconSet iconSet="3Flags" reverse="1">
        <cfvo type="percent" val="0"/>
        <cfvo type="percent" val="33"/>
        <cfvo type="percent" val="67"/>
      </iconSet>
    </cfRule>
  </conditionalFormatting>
  <conditionalFormatting sqref="T361:T362">
    <cfRule type="dataBar" priority="275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{17763EB3-C870-48D3-A7B1-A5A60415EE77}</x14:id>
        </ext>
      </extLst>
    </cfRule>
  </conditionalFormatting>
  <conditionalFormatting sqref="S361:S362">
    <cfRule type="dataBar" priority="275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{C2309DB6-F248-449A-BB97-76803B9849AE}</x14:id>
        </ext>
      </extLst>
    </cfRule>
  </conditionalFormatting>
  <conditionalFormatting sqref="G361:G362">
    <cfRule type="iconSet" priority="2756">
      <iconSet iconSet="3Flags">
        <cfvo type="percent" val="0"/>
        <cfvo type="percent" val="33"/>
        <cfvo type="percent" val="67"/>
      </iconSet>
    </cfRule>
  </conditionalFormatting>
  <conditionalFormatting sqref="J361:J362">
    <cfRule type="iconSet" priority="2757">
      <iconSet iconSet="3Flags" reverse="1">
        <cfvo type="percent" val="0"/>
        <cfvo type="percent" val="33"/>
        <cfvo type="percent" val="67"/>
      </iconSet>
    </cfRule>
    <cfRule type="iconSet" priority="2758">
      <iconSet iconSet="3Flags" reverse="1">
        <cfvo type="percent" val="0"/>
        <cfvo type="percent" val="33"/>
        <cfvo type="percent" val="67"/>
      </iconSet>
    </cfRule>
    <cfRule type="iconSet" priority="2759">
      <iconSet iconSet="3Flags">
        <cfvo type="percent" val="0"/>
        <cfvo type="percent" val="33"/>
        <cfvo type="percent" val="67"/>
      </iconSet>
    </cfRule>
  </conditionalFormatting>
  <conditionalFormatting sqref="K361:K362">
    <cfRule type="iconSet" priority="2760">
      <iconSet iconSet="3Flags" reverse="1">
        <cfvo type="percent" val="0"/>
        <cfvo type="percent" val="33"/>
        <cfvo type="percent" val="67"/>
      </iconSet>
    </cfRule>
    <cfRule type="iconSet" priority="2761">
      <iconSet iconSet="3Flags" reverse="1">
        <cfvo type="percent" val="0"/>
        <cfvo type="percent" val="33"/>
        <cfvo type="percent" val="67"/>
      </iconSet>
    </cfRule>
    <cfRule type="iconSet" priority="2762">
      <iconSet iconSet="3Flags">
        <cfvo type="percent" val="0"/>
        <cfvo type="percent" val="33"/>
        <cfvo type="percent" val="67"/>
      </iconSet>
    </cfRule>
  </conditionalFormatting>
  <conditionalFormatting sqref="L361:L362">
    <cfRule type="iconSet" priority="2763">
      <iconSet iconSet="3Flags" reverse="1">
        <cfvo type="percent" val="0"/>
        <cfvo type="percent" val="33"/>
        <cfvo type="percent" val="67"/>
      </iconSet>
    </cfRule>
    <cfRule type="iconSet" priority="2764">
      <iconSet iconSet="3Flags" reverse="1">
        <cfvo type="percent" val="0"/>
        <cfvo type="percent" val="33"/>
        <cfvo type="percent" val="67"/>
      </iconSet>
    </cfRule>
    <cfRule type="iconSet" priority="2765">
      <iconSet iconSet="3Flags">
        <cfvo type="percent" val="0"/>
        <cfvo type="percent" val="33"/>
        <cfvo type="percent" val="67"/>
      </iconSet>
    </cfRule>
  </conditionalFormatting>
  <conditionalFormatting sqref="F361:F362">
    <cfRule type="iconSet" priority="2766">
      <iconSet iconSet="3Signs">
        <cfvo type="percent" val="0"/>
        <cfvo type="percent" val="33"/>
        <cfvo type="percent" val="67"/>
      </iconSet>
    </cfRule>
  </conditionalFormatting>
  <conditionalFormatting sqref="AC361:AC362">
    <cfRule type="iconSet" priority="2767">
      <iconSet>
        <cfvo type="percent" val="0"/>
        <cfvo type="percent" val="90" gte="0"/>
        <cfvo type="percent" val="100"/>
      </iconSet>
    </cfRule>
  </conditionalFormatting>
  <conditionalFormatting sqref="R361:R362">
    <cfRule type="dataBar" priority="264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{44C578EC-39BB-4B27-952F-17A2484759AD}</x14:id>
        </ext>
      </extLst>
    </cfRule>
  </conditionalFormatting>
  <conditionalFormatting sqref="AD361:AD362">
    <cfRule type="colorScale" priority="2645">
      <colorScale>
        <cfvo type="min"/>
        <cfvo type="max"/>
        <color rgb="FF63BE7B"/>
        <color rgb="FFFCFCFF"/>
      </colorScale>
    </cfRule>
  </conditionalFormatting>
  <conditionalFormatting sqref="AC436:AD437">
    <cfRule type="containsText" dxfId="956" priority="2490" operator="containsText" text="Sh">
      <formula>NOT(ISERROR(SEARCH("Sh",AC436)))</formula>
    </cfRule>
    <cfRule type="cellIs" dxfId="955" priority="2491" operator="equal">
      <formula>"Sh"</formula>
    </cfRule>
  </conditionalFormatting>
  <conditionalFormatting sqref="Z436:AA436">
    <cfRule type="containsText" dxfId="954" priority="2488" operator="containsText" text="Sh">
      <formula>NOT(ISERROR(SEARCH("Sh",Z436)))</formula>
    </cfRule>
    <cfRule type="cellIs" dxfId="953" priority="2489" operator="equal">
      <formula>"Sh"</formula>
    </cfRule>
  </conditionalFormatting>
  <conditionalFormatting sqref="AC436:AC437">
    <cfRule type="iconSet" priority="2455">
      <iconSet>
        <cfvo type="percent" val="0"/>
        <cfvo type="percent" val="33"/>
        <cfvo type="percent" val="67"/>
      </iconSet>
    </cfRule>
  </conditionalFormatting>
  <conditionalFormatting sqref="H436:H437 D436:E437">
    <cfRule type="containsText" dxfId="952" priority="2430" operator="containsText" text="Production">
      <formula>NOT(ISERROR(SEARCH("Production",D436)))</formula>
    </cfRule>
    <cfRule type="containsText" dxfId="951" priority="2431" operator="containsText" text="Roll">
      <formula>NOT(ISERROR(SEARCH("Roll",D436)))</formula>
    </cfRule>
  </conditionalFormatting>
  <conditionalFormatting sqref="X436:Y436">
    <cfRule type="containsText" dxfId="950" priority="2428" operator="containsText" text="Sh">
      <formula>NOT(ISERROR(SEARCH("Sh",X436)))</formula>
    </cfRule>
    <cfRule type="cellIs" dxfId="949" priority="2429" operator="equal">
      <formula>"Sh"</formula>
    </cfRule>
  </conditionalFormatting>
  <conditionalFormatting sqref="R436:R437">
    <cfRule type="dataBar" priority="24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{A3CFD419-5B27-4CEA-8218-F33F91A2E787}</x14:id>
        </ext>
      </extLst>
    </cfRule>
  </conditionalFormatting>
  <conditionalFormatting sqref="R436:R437">
    <cfRule type="dataBar" priority="24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{96F0D14B-DDF7-4AC3-9E36-169C152185C5}</x14:id>
        </ext>
      </extLst>
    </cfRule>
  </conditionalFormatting>
  <conditionalFormatting sqref="T436:T437">
    <cfRule type="dataBar" priority="24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{D892B876-79C1-405B-99CE-59E6209BFE81}</x14:id>
        </ext>
      </extLst>
    </cfRule>
  </conditionalFormatting>
  <conditionalFormatting sqref="R436:R437">
    <cfRule type="dataBar" priority="243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{1FD0AC37-DEEA-4726-9089-859A969C9779}</x14:id>
        </ext>
      </extLst>
    </cfRule>
  </conditionalFormatting>
  <conditionalFormatting sqref="U436:U437">
    <cfRule type="dataBar" priority="24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{EF4E4361-AD4D-4396-B895-2F33526D9FC6}</x14:id>
        </ext>
      </extLst>
    </cfRule>
  </conditionalFormatting>
  <conditionalFormatting sqref="T436:T437">
    <cfRule type="dataBar" priority="243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{8E866C13-B8ED-4BE6-9FC9-552055DB0EB4}</x14:id>
        </ext>
      </extLst>
    </cfRule>
  </conditionalFormatting>
  <conditionalFormatting sqref="S436:S437">
    <cfRule type="dataBar" priority="243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{0EC5F098-2F9D-4D81-83B7-D7AD9DCE870A}</x14:id>
        </ext>
      </extLst>
    </cfRule>
  </conditionalFormatting>
  <conditionalFormatting sqref="G436:G437">
    <cfRule type="iconSet" priority="2439">
      <iconSet iconSet="3Flags">
        <cfvo type="percent" val="0"/>
        <cfvo type="percent" val="33"/>
        <cfvo type="percent" val="67"/>
      </iconSet>
    </cfRule>
  </conditionalFormatting>
  <conditionalFormatting sqref="F436:F437">
    <cfRule type="iconSet" priority="2440">
      <iconSet iconSet="3Signs">
        <cfvo type="percent" val="0"/>
        <cfvo type="percent" val="33"/>
        <cfvo type="percent" val="67"/>
      </iconSet>
    </cfRule>
  </conditionalFormatting>
  <conditionalFormatting sqref="R436:R437">
    <cfRule type="dataBar" priority="244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{8824CA88-1DD9-423D-92C8-BAC28FBAC48B}</x14:id>
        </ext>
      </extLst>
    </cfRule>
  </conditionalFormatting>
  <conditionalFormatting sqref="S436:S437">
    <cfRule type="dataBar" priority="244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{81B73DFB-1F23-4E68-8516-5EC7C08971CF}</x14:id>
        </ext>
      </extLst>
    </cfRule>
  </conditionalFormatting>
  <conditionalFormatting sqref="T436:T437">
    <cfRule type="dataBar" priority="24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{6562191B-5AAC-41AA-95F7-D63FC062B2BA}</x14:id>
        </ext>
      </extLst>
    </cfRule>
  </conditionalFormatting>
  <conditionalFormatting sqref="U436:U437">
    <cfRule type="dataBar" priority="24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{A85976C1-447C-4C2D-9FDA-9CF309B00DAB}</x14:id>
        </ext>
      </extLst>
    </cfRule>
  </conditionalFormatting>
  <conditionalFormatting sqref="F436:F437">
    <cfRule type="iconSet" priority="2445">
      <iconSet>
        <cfvo type="percent" val="0"/>
        <cfvo type="percent" val="33"/>
        <cfvo type="percent" val="67"/>
      </iconSet>
    </cfRule>
  </conditionalFormatting>
  <conditionalFormatting sqref="G436:G437">
    <cfRule type="iconSet" priority="2446">
      <iconSet iconSet="3Flags">
        <cfvo type="percent" val="0"/>
        <cfvo type="percent" val="33"/>
        <cfvo type="percent" val="67"/>
      </iconSet>
    </cfRule>
  </conditionalFormatting>
  <conditionalFormatting sqref="S436:S437">
    <cfRule type="dataBar" priority="24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{3FCC394A-800C-408C-A921-99CCD6C4064B}</x14:id>
        </ext>
      </extLst>
    </cfRule>
  </conditionalFormatting>
  <conditionalFormatting sqref="T436:T437">
    <cfRule type="dataBar" priority="24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{C55B49F9-9E8F-442B-9639-008FE5B5B660}</x14:id>
        </ext>
      </extLst>
    </cfRule>
  </conditionalFormatting>
  <conditionalFormatting sqref="U436:U437">
    <cfRule type="dataBar" priority="24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{B6A5A74C-813F-4BC9-AE13-91B0D9F993F6}</x14:id>
        </ext>
      </extLst>
    </cfRule>
  </conditionalFormatting>
  <conditionalFormatting sqref="R436:R437">
    <cfRule type="dataBar" priority="242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{7E8F7138-D90B-4E8B-A1B9-4AA478F782FE}</x14:id>
        </ext>
      </extLst>
    </cfRule>
  </conditionalFormatting>
  <conditionalFormatting sqref="J436:J437">
    <cfRule type="iconSet" priority="2427">
      <iconSet iconSet="3Flags" reverse="1">
        <cfvo type="percent" val="0"/>
        <cfvo type="percent" val="33"/>
        <cfvo type="percent" val="67"/>
      </iconSet>
    </cfRule>
  </conditionalFormatting>
  <conditionalFormatting sqref="K436:K437">
    <cfRule type="iconSet" priority="2426">
      <iconSet iconSet="3Flags" reverse="1">
        <cfvo type="percent" val="0"/>
        <cfvo type="percent" val="33"/>
        <cfvo type="percent" val="67"/>
      </iconSet>
    </cfRule>
  </conditionalFormatting>
  <conditionalFormatting sqref="L436:L437">
    <cfRule type="iconSet" priority="2424">
      <iconSet iconSet="3Flags" reverse="1">
        <cfvo type="percent" val="0"/>
        <cfvo type="percent" val="33"/>
        <cfvo type="percent" val="67"/>
      </iconSet>
    </cfRule>
    <cfRule type="iconSet" priority="2425">
      <iconSet iconSet="3Flags">
        <cfvo type="percent" val="0"/>
        <cfvo type="percent" val="33"/>
        <cfvo type="percent" val="67"/>
      </iconSet>
    </cfRule>
  </conditionalFormatting>
  <conditionalFormatting sqref="AC436:AC437">
    <cfRule type="iconSet" priority="2503">
      <iconSet>
        <cfvo type="percent" val="0"/>
        <cfvo type="percent" val="90" gte="0"/>
        <cfvo type="percent" val="100"/>
      </iconSet>
    </cfRule>
  </conditionalFormatting>
  <conditionalFormatting sqref="Z437">
    <cfRule type="containsText" dxfId="948" priority="2286" operator="containsText" text="Sh">
      <formula>NOT(ISERROR(SEARCH("Sh",Z437)))</formula>
    </cfRule>
    <cfRule type="cellIs" dxfId="947" priority="2287" operator="equal">
      <formula>"Sh"</formula>
    </cfRule>
  </conditionalFormatting>
  <conditionalFormatting sqref="AD436:AD437">
    <cfRule type="colorScale" priority="2285">
      <colorScale>
        <cfvo type="min"/>
        <cfvo type="max"/>
        <color rgb="FF63BE7B"/>
        <color rgb="FFFFEF9C"/>
      </colorScale>
    </cfRule>
  </conditionalFormatting>
  <conditionalFormatting sqref="G436:G437">
    <cfRule type="iconSet" priority="2284">
      <iconSet iconSet="3Flags">
        <cfvo type="percent" val="0"/>
        <cfvo type="percent" val="33"/>
        <cfvo type="percent" val="67"/>
      </iconSet>
    </cfRule>
  </conditionalFormatting>
  <conditionalFormatting sqref="AO1">
    <cfRule type="colorScale" priority="22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51:Y151">
    <cfRule type="containsText" dxfId="946" priority="2232" operator="containsText" text="Sh">
      <formula>NOT(ISERROR(SEARCH("Sh",X151)))</formula>
    </cfRule>
    <cfRule type="cellIs" dxfId="945" priority="2233" operator="equal">
      <formula>"Sh"</formula>
    </cfRule>
  </conditionalFormatting>
  <conditionalFormatting sqref="X152:Y153">
    <cfRule type="containsText" dxfId="944" priority="2230" operator="containsText" text="Sh">
      <formula>NOT(ISERROR(SEARCH("Sh",X152)))</formula>
    </cfRule>
    <cfRule type="cellIs" dxfId="943" priority="2231" operator="equal">
      <formula>"Sh"</formula>
    </cfRule>
  </conditionalFormatting>
  <conditionalFormatting sqref="X242">
    <cfRule type="containsText" dxfId="942" priority="2228" operator="containsText" text="Sh">
      <formula>NOT(ISERROR(SEARCH("Sh",X242)))</formula>
    </cfRule>
    <cfRule type="cellIs" dxfId="941" priority="2229" operator="equal">
      <formula>"Sh"</formula>
    </cfRule>
  </conditionalFormatting>
  <conditionalFormatting sqref="X247">
    <cfRule type="containsText" dxfId="940" priority="2226" operator="containsText" text="Sh">
      <formula>NOT(ISERROR(SEARCH("Sh",X247)))</formula>
    </cfRule>
    <cfRule type="cellIs" dxfId="939" priority="2227" operator="equal">
      <formula>"Sh"</formula>
    </cfRule>
  </conditionalFormatting>
  <conditionalFormatting sqref="X253">
    <cfRule type="containsText" dxfId="938" priority="2224" operator="containsText" text="Sh">
      <formula>NOT(ISERROR(SEARCH("Sh",X253)))</formula>
    </cfRule>
    <cfRule type="cellIs" dxfId="937" priority="2225" operator="equal">
      <formula>"Sh"</formula>
    </cfRule>
  </conditionalFormatting>
  <conditionalFormatting sqref="X257">
    <cfRule type="containsText" dxfId="936" priority="2222" operator="containsText" text="Sh">
      <formula>NOT(ISERROR(SEARCH("Sh",X257)))</formula>
    </cfRule>
    <cfRule type="cellIs" dxfId="935" priority="2223" operator="equal">
      <formula>"Sh"</formula>
    </cfRule>
  </conditionalFormatting>
  <conditionalFormatting sqref="X254">
    <cfRule type="containsText" dxfId="934" priority="2220" operator="containsText" text="Sh">
      <formula>NOT(ISERROR(SEARCH("Sh",X254)))</formula>
    </cfRule>
    <cfRule type="cellIs" dxfId="933" priority="2221" operator="equal">
      <formula>"Sh"</formula>
    </cfRule>
  </conditionalFormatting>
  <conditionalFormatting sqref="X309">
    <cfRule type="containsText" dxfId="932" priority="2218" operator="containsText" text="Sh">
      <formula>NOT(ISERROR(SEARCH("Sh",X309)))</formula>
    </cfRule>
    <cfRule type="cellIs" dxfId="931" priority="2219" operator="equal">
      <formula>"Sh"</formula>
    </cfRule>
  </conditionalFormatting>
  <conditionalFormatting sqref="X310">
    <cfRule type="containsText" dxfId="930" priority="2216" operator="containsText" text="Sh">
      <formula>NOT(ISERROR(SEARCH("Sh",X310)))</formula>
    </cfRule>
    <cfRule type="cellIs" dxfId="929" priority="2217" operator="equal">
      <formula>"Sh"</formula>
    </cfRule>
  </conditionalFormatting>
  <conditionalFormatting sqref="X311">
    <cfRule type="containsText" dxfId="928" priority="2214" operator="containsText" text="Sh">
      <formula>NOT(ISERROR(SEARCH("Sh",X311)))</formula>
    </cfRule>
    <cfRule type="cellIs" dxfId="927" priority="2215" operator="equal">
      <formula>"Sh"</formula>
    </cfRule>
  </conditionalFormatting>
  <conditionalFormatting sqref="Y309:Y310">
    <cfRule type="containsText" dxfId="926" priority="2212" operator="containsText" text="Sh">
      <formula>NOT(ISERROR(SEARCH("Sh",Y309)))</formula>
    </cfRule>
    <cfRule type="cellIs" dxfId="925" priority="2213" operator="equal">
      <formula>"Sh"</formula>
    </cfRule>
  </conditionalFormatting>
  <conditionalFormatting sqref="Y318:Y319">
    <cfRule type="containsText" dxfId="924" priority="2208" operator="containsText" text="Sh">
      <formula>NOT(ISERROR(SEARCH("Sh",Y318)))</formula>
    </cfRule>
    <cfRule type="cellIs" dxfId="923" priority="2209" operator="equal">
      <formula>"Sh"</formula>
    </cfRule>
  </conditionalFormatting>
  <conditionalFormatting sqref="X318">
    <cfRule type="containsText" dxfId="922" priority="2206" operator="containsText" text="Sh">
      <formula>NOT(ISERROR(SEARCH("Sh",X318)))</formula>
    </cfRule>
    <cfRule type="cellIs" dxfId="921" priority="2207" operator="equal">
      <formula>"Sh"</formula>
    </cfRule>
  </conditionalFormatting>
  <conditionalFormatting sqref="X319">
    <cfRule type="containsText" dxfId="920" priority="2204" operator="containsText" text="Sh">
      <formula>NOT(ISERROR(SEARCH("Sh",X319)))</formula>
    </cfRule>
    <cfRule type="cellIs" dxfId="919" priority="2205" operator="equal">
      <formula>"Sh"</formula>
    </cfRule>
  </conditionalFormatting>
  <conditionalFormatting sqref="X323">
    <cfRule type="containsText" dxfId="918" priority="2202" operator="containsText" text="Sh">
      <formula>NOT(ISERROR(SEARCH("Sh",X323)))</formula>
    </cfRule>
    <cfRule type="cellIs" dxfId="917" priority="2203" operator="equal">
      <formula>"Sh"</formula>
    </cfRule>
  </conditionalFormatting>
  <conditionalFormatting sqref="X324">
    <cfRule type="containsText" dxfId="916" priority="2200" operator="containsText" text="Sh">
      <formula>NOT(ISERROR(SEARCH("Sh",X324)))</formula>
    </cfRule>
    <cfRule type="cellIs" dxfId="915" priority="2201" operator="equal">
      <formula>"Sh"</formula>
    </cfRule>
  </conditionalFormatting>
  <conditionalFormatting sqref="Y323:Y324">
    <cfRule type="containsText" dxfId="914" priority="2198" operator="containsText" text="Sh">
      <formula>NOT(ISERROR(SEARCH("Sh",Y323)))</formula>
    </cfRule>
    <cfRule type="cellIs" dxfId="913" priority="2199" operator="equal">
      <formula>"Sh"</formula>
    </cfRule>
  </conditionalFormatting>
  <conditionalFormatting sqref="X325">
    <cfRule type="containsText" dxfId="912" priority="2196" operator="containsText" text="Sh">
      <formula>NOT(ISERROR(SEARCH("Sh",X325)))</formula>
    </cfRule>
    <cfRule type="cellIs" dxfId="911" priority="2197" operator="equal">
      <formula>"Sh"</formula>
    </cfRule>
  </conditionalFormatting>
  <conditionalFormatting sqref="Y325">
    <cfRule type="containsText" dxfId="910" priority="2194" operator="containsText" text="Sh">
      <formula>NOT(ISERROR(SEARCH("Sh",Y325)))</formula>
    </cfRule>
    <cfRule type="cellIs" dxfId="909" priority="2195" operator="equal">
      <formula>"Sh"</formula>
    </cfRule>
  </conditionalFormatting>
  <conditionalFormatting sqref="X327">
    <cfRule type="containsText" dxfId="908" priority="2192" operator="containsText" text="Sh">
      <formula>NOT(ISERROR(SEARCH("Sh",X327)))</formula>
    </cfRule>
    <cfRule type="cellIs" dxfId="907" priority="2193" operator="equal">
      <formula>"Sh"</formula>
    </cfRule>
  </conditionalFormatting>
  <conditionalFormatting sqref="Y327">
    <cfRule type="containsText" dxfId="906" priority="2190" operator="containsText" text="Sh">
      <formula>NOT(ISERROR(SEARCH("Sh",Y327)))</formula>
    </cfRule>
    <cfRule type="cellIs" dxfId="905" priority="2191" operator="equal">
      <formula>"Sh"</formula>
    </cfRule>
  </conditionalFormatting>
  <conditionalFormatting sqref="X328">
    <cfRule type="containsText" dxfId="904" priority="2188" operator="containsText" text="Sh">
      <formula>NOT(ISERROR(SEARCH("Sh",X328)))</formula>
    </cfRule>
    <cfRule type="cellIs" dxfId="903" priority="2189" operator="equal">
      <formula>"Sh"</formula>
    </cfRule>
  </conditionalFormatting>
  <conditionalFormatting sqref="X329">
    <cfRule type="containsText" dxfId="902" priority="2186" operator="containsText" text="Sh">
      <formula>NOT(ISERROR(SEARCH("Sh",X329)))</formula>
    </cfRule>
    <cfRule type="cellIs" dxfId="901" priority="2187" operator="equal">
      <formula>"Sh"</formula>
    </cfRule>
  </conditionalFormatting>
  <conditionalFormatting sqref="X330">
    <cfRule type="containsText" dxfId="900" priority="2184" operator="containsText" text="Sh">
      <formula>NOT(ISERROR(SEARCH("Sh",X330)))</formula>
    </cfRule>
    <cfRule type="cellIs" dxfId="899" priority="2185" operator="equal">
      <formula>"Sh"</formula>
    </cfRule>
  </conditionalFormatting>
  <conditionalFormatting sqref="X333">
    <cfRule type="containsText" dxfId="898" priority="2182" operator="containsText" text="Sh">
      <formula>NOT(ISERROR(SEARCH("Sh",X333)))</formula>
    </cfRule>
    <cfRule type="cellIs" dxfId="897" priority="2183" operator="equal">
      <formula>"Sh"</formula>
    </cfRule>
  </conditionalFormatting>
  <conditionalFormatting sqref="Y333">
    <cfRule type="containsText" dxfId="896" priority="2180" operator="containsText" text="Sh">
      <formula>NOT(ISERROR(SEARCH("Sh",Y333)))</formula>
    </cfRule>
    <cfRule type="cellIs" dxfId="895" priority="2181" operator="equal">
      <formula>"Sh"</formula>
    </cfRule>
  </conditionalFormatting>
  <conditionalFormatting sqref="X334">
    <cfRule type="containsText" dxfId="894" priority="2178" operator="containsText" text="Sh">
      <formula>NOT(ISERROR(SEARCH("Sh",X334)))</formula>
    </cfRule>
    <cfRule type="cellIs" dxfId="893" priority="2179" operator="equal">
      <formula>"Sh"</formula>
    </cfRule>
  </conditionalFormatting>
  <conditionalFormatting sqref="Y334">
    <cfRule type="containsText" dxfId="892" priority="2176" operator="containsText" text="Sh">
      <formula>NOT(ISERROR(SEARCH("Sh",Y334)))</formula>
    </cfRule>
    <cfRule type="cellIs" dxfId="891" priority="2177" operator="equal">
      <formula>"Sh"</formula>
    </cfRule>
  </conditionalFormatting>
  <conditionalFormatting sqref="X337">
    <cfRule type="containsText" dxfId="890" priority="2174" operator="containsText" text="Sh">
      <formula>NOT(ISERROR(SEARCH("Sh",X337)))</formula>
    </cfRule>
    <cfRule type="cellIs" dxfId="889" priority="2175" operator="equal">
      <formula>"Sh"</formula>
    </cfRule>
  </conditionalFormatting>
  <conditionalFormatting sqref="Y337">
    <cfRule type="containsText" dxfId="888" priority="2172" operator="containsText" text="Sh">
      <formula>NOT(ISERROR(SEARCH("Sh",Y337)))</formula>
    </cfRule>
    <cfRule type="cellIs" dxfId="887" priority="2173" operator="equal">
      <formula>"Sh"</formula>
    </cfRule>
  </conditionalFormatting>
  <conditionalFormatting sqref="X338">
    <cfRule type="containsText" dxfId="886" priority="2170" operator="containsText" text="Sh">
      <formula>NOT(ISERROR(SEARCH("Sh",X338)))</formula>
    </cfRule>
    <cfRule type="cellIs" dxfId="885" priority="2171" operator="equal">
      <formula>"Sh"</formula>
    </cfRule>
  </conditionalFormatting>
  <conditionalFormatting sqref="Y338">
    <cfRule type="containsText" dxfId="884" priority="2168" operator="containsText" text="Sh">
      <formula>NOT(ISERROR(SEARCH("Sh",Y338)))</formula>
    </cfRule>
    <cfRule type="cellIs" dxfId="883" priority="2169" operator="equal">
      <formula>"Sh"</formula>
    </cfRule>
  </conditionalFormatting>
  <conditionalFormatting sqref="X343">
    <cfRule type="containsText" dxfId="882" priority="2166" operator="containsText" text="Sh">
      <formula>NOT(ISERROR(SEARCH("Sh",X343)))</formula>
    </cfRule>
    <cfRule type="cellIs" dxfId="881" priority="2167" operator="equal">
      <formula>"Sh"</formula>
    </cfRule>
  </conditionalFormatting>
  <conditionalFormatting sqref="X344">
    <cfRule type="containsText" dxfId="880" priority="2164" operator="containsText" text="Sh">
      <formula>NOT(ISERROR(SEARCH("Sh",X344)))</formula>
    </cfRule>
    <cfRule type="cellIs" dxfId="879" priority="2165" operator="equal">
      <formula>"Sh"</formula>
    </cfRule>
  </conditionalFormatting>
  <conditionalFormatting sqref="Y343:Y344">
    <cfRule type="containsText" dxfId="878" priority="2162" operator="containsText" text="Sh">
      <formula>NOT(ISERROR(SEARCH("Sh",Y343)))</formula>
    </cfRule>
    <cfRule type="cellIs" dxfId="877" priority="2163" operator="equal">
      <formula>"Sh"</formula>
    </cfRule>
  </conditionalFormatting>
  <conditionalFormatting sqref="X345">
    <cfRule type="containsText" dxfId="876" priority="2160" operator="containsText" text="Sh">
      <formula>NOT(ISERROR(SEARCH("Sh",X345)))</formula>
    </cfRule>
    <cfRule type="cellIs" dxfId="875" priority="2161" operator="equal">
      <formula>"Sh"</formula>
    </cfRule>
  </conditionalFormatting>
  <conditionalFormatting sqref="Y345">
    <cfRule type="containsText" dxfId="874" priority="2158" operator="containsText" text="Sh">
      <formula>NOT(ISERROR(SEARCH("Sh",Y345)))</formula>
    </cfRule>
    <cfRule type="cellIs" dxfId="873" priority="2159" operator="equal">
      <formula>"Sh"</formula>
    </cfRule>
  </conditionalFormatting>
  <conditionalFormatting sqref="X346">
    <cfRule type="containsText" dxfId="872" priority="2156" operator="containsText" text="Sh">
      <formula>NOT(ISERROR(SEARCH("Sh",X346)))</formula>
    </cfRule>
    <cfRule type="cellIs" dxfId="871" priority="2157" operator="equal">
      <formula>"Sh"</formula>
    </cfRule>
  </conditionalFormatting>
  <conditionalFormatting sqref="X347">
    <cfRule type="containsText" dxfId="870" priority="2154" operator="containsText" text="Sh">
      <formula>NOT(ISERROR(SEARCH("Sh",X347)))</formula>
    </cfRule>
    <cfRule type="cellIs" dxfId="869" priority="2155" operator="equal">
      <formula>"Sh"</formula>
    </cfRule>
  </conditionalFormatting>
  <conditionalFormatting sqref="AM276">
    <cfRule type="iconSet" priority="5415">
      <iconSet iconSet="3Signs">
        <cfvo type="percent" val="0"/>
        <cfvo type="percent" val="33"/>
        <cfvo type="percent" val="67"/>
      </iconSet>
    </cfRule>
  </conditionalFormatting>
  <conditionalFormatting sqref="AC485:AC487 AC494:AC511 AB488:AB511 AA519:AA520 AB512:AC539">
    <cfRule type="containsText" dxfId="868" priority="2111" operator="containsText" text="Sh">
      <formula>NOT(ISERROR(SEARCH("Sh",AA485)))</formula>
    </cfRule>
    <cfRule type="cellIs" dxfId="867" priority="2112" operator="equal">
      <formula>"Sh"</formula>
    </cfRule>
  </conditionalFormatting>
  <conditionalFormatting sqref="Z486:AA486">
    <cfRule type="containsText" dxfId="866" priority="2109" operator="containsText" text="Sh">
      <formula>NOT(ISERROR(SEARCH("Sh",Z486)))</formula>
    </cfRule>
    <cfRule type="cellIs" dxfId="865" priority="2110" operator="equal">
      <formula>"Sh"</formula>
    </cfRule>
  </conditionalFormatting>
  <conditionalFormatting sqref="AC485:AC487">
    <cfRule type="iconSet" priority="2108">
      <iconSet>
        <cfvo type="percent" val="0"/>
        <cfvo type="percent" val="33"/>
        <cfvo type="percent" val="67"/>
      </iconSet>
    </cfRule>
  </conditionalFormatting>
  <conditionalFormatting sqref="J485">
    <cfRule type="iconSet" priority="2107">
      <iconSet iconSet="3Flags" reverse="1">
        <cfvo type="percent" val="0"/>
        <cfvo type="percent" val="33"/>
        <cfvo type="percent" val="67"/>
      </iconSet>
    </cfRule>
  </conditionalFormatting>
  <conditionalFormatting sqref="L485">
    <cfRule type="iconSet" priority="2105">
      <iconSet iconSet="3Flags" reverse="1">
        <cfvo type="percent" val="0"/>
        <cfvo type="percent" val="33"/>
        <cfvo type="percent" val="67"/>
      </iconSet>
    </cfRule>
    <cfRule type="iconSet" priority="2106">
      <iconSet iconSet="3Flags">
        <cfvo type="percent" val="0"/>
        <cfvo type="percent" val="33"/>
        <cfvo type="percent" val="67"/>
      </iconSet>
    </cfRule>
  </conditionalFormatting>
  <conditionalFormatting sqref="H486:H487 E486:E487 H514 H516 E514 E516 E518 H518">
    <cfRule type="containsText" dxfId="864" priority="2103" operator="containsText" text="Production">
      <formula>NOT(ISERROR(SEARCH("Production",E486)))</formula>
    </cfRule>
    <cfRule type="containsText" dxfId="863" priority="2104" operator="containsText" text="Roll">
      <formula>NOT(ISERROR(SEARCH("Roll",E486)))</formula>
    </cfRule>
  </conditionalFormatting>
  <conditionalFormatting sqref="X486:Y486">
    <cfRule type="containsText" dxfId="862" priority="2101" operator="containsText" text="Sh">
      <formula>NOT(ISERROR(SEARCH("Sh",X486)))</formula>
    </cfRule>
    <cfRule type="cellIs" dxfId="861" priority="2102" operator="equal">
      <formula>"Sh"</formula>
    </cfRule>
  </conditionalFormatting>
  <conditionalFormatting sqref="J486:J487">
    <cfRule type="iconSet" priority="2100">
      <iconSet iconSet="3Flags" reverse="1">
        <cfvo type="percent" val="0"/>
        <cfvo type="percent" val="33"/>
        <cfvo type="percent" val="67"/>
      </iconSet>
    </cfRule>
  </conditionalFormatting>
  <conditionalFormatting sqref="L486:L487">
    <cfRule type="iconSet" priority="2098">
      <iconSet iconSet="3Flags" reverse="1">
        <cfvo type="percent" val="0"/>
        <cfvo type="percent" val="33"/>
        <cfvo type="percent" val="67"/>
      </iconSet>
    </cfRule>
    <cfRule type="iconSet" priority="2099">
      <iconSet iconSet="3Flags">
        <cfvo type="percent" val="0"/>
        <cfvo type="percent" val="33"/>
        <cfvo type="percent" val="67"/>
      </iconSet>
    </cfRule>
  </conditionalFormatting>
  <conditionalFormatting sqref="AC485:AC487">
    <cfRule type="iconSet" priority="2113">
      <iconSet>
        <cfvo type="percent" val="0"/>
        <cfvo type="percent" val="90" gte="0"/>
        <cfvo type="percent" val="100"/>
      </iconSet>
    </cfRule>
  </conditionalFormatting>
  <conditionalFormatting sqref="Z487">
    <cfRule type="containsText" dxfId="860" priority="2096" operator="containsText" text="Sh">
      <formula>NOT(ISERROR(SEARCH("Sh",Z487)))</formula>
    </cfRule>
    <cfRule type="cellIs" dxfId="859" priority="2097" operator="equal">
      <formula>"Sh"</formula>
    </cfRule>
  </conditionalFormatting>
  <conditionalFormatting sqref="K485:K487">
    <cfRule type="iconSet" priority="2095">
      <iconSet iconSet="3Flags" reverse="1">
        <cfvo type="percent" val="0"/>
        <cfvo type="percent" val="33"/>
        <cfvo type="percent" val="67"/>
      </iconSet>
    </cfRule>
  </conditionalFormatting>
  <conditionalFormatting sqref="AB486:AB487">
    <cfRule type="containsText" dxfId="858" priority="2093" operator="containsText" text="Sh">
      <formula>NOT(ISERROR(SEARCH("Sh",AB486)))</formula>
    </cfRule>
    <cfRule type="cellIs" dxfId="857" priority="2094" operator="equal">
      <formula>"Sh"</formula>
    </cfRule>
  </conditionalFormatting>
  <conditionalFormatting sqref="D485:D487 D507:D516 D518 D521:D526">
    <cfRule type="containsText" dxfId="856" priority="2091" operator="containsText" text="Roll-To-Roll">
      <formula>NOT(ISERROR(SEARCH("Roll-To-Roll",D485)))</formula>
    </cfRule>
    <cfRule type="containsText" dxfId="855" priority="2092" operator="containsText" text="Production">
      <formula>NOT(ISERROR(SEARCH("Production",D485)))</formula>
    </cfRule>
  </conditionalFormatting>
  <conditionalFormatting sqref="F485:F487">
    <cfRule type="iconSet" priority="2090">
      <iconSet iconSet="3Signs">
        <cfvo type="percent" val="0"/>
        <cfvo type="percent" val="33"/>
        <cfvo type="percent" val="67"/>
      </iconSet>
    </cfRule>
  </conditionalFormatting>
  <conditionalFormatting sqref="AO485">
    <cfRule type="colorScale" priority="20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85:AI488">
    <cfRule type="colorScale" priority="20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486:AO488">
    <cfRule type="colorScale" priority="20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486:AO488">
    <cfRule type="colorScale" priority="20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88:AC492">
    <cfRule type="containsText" dxfId="854" priority="2084" operator="containsText" text="Sh">
      <formula>NOT(ISERROR(SEARCH("Sh",AC488)))</formula>
    </cfRule>
    <cfRule type="cellIs" dxfId="853" priority="2085" operator="equal">
      <formula>"Sh"</formula>
    </cfRule>
  </conditionalFormatting>
  <conditionalFormatting sqref="X488:Y488">
    <cfRule type="containsText" dxfId="852" priority="2082" operator="containsText" text="Sh">
      <formula>NOT(ISERROR(SEARCH("Sh",X488)))</formula>
    </cfRule>
    <cfRule type="cellIs" dxfId="851" priority="2083" operator="equal">
      <formula>"Sh"</formula>
    </cfRule>
  </conditionalFormatting>
  <conditionalFormatting sqref="J488:J489">
    <cfRule type="iconSet" priority="2081">
      <iconSet iconSet="3Flags" reverse="1">
        <cfvo type="percent" val="0"/>
        <cfvo type="percent" val="33"/>
        <cfvo type="percent" val="67"/>
      </iconSet>
    </cfRule>
  </conditionalFormatting>
  <conditionalFormatting sqref="L488:L489">
    <cfRule type="iconSet" priority="2079">
      <iconSet iconSet="3Flags" reverse="1">
        <cfvo type="percent" val="0"/>
        <cfvo type="percent" val="33"/>
        <cfvo type="percent" val="67"/>
      </iconSet>
    </cfRule>
    <cfRule type="iconSet" priority="2080">
      <iconSet iconSet="3Flags">
        <cfvo type="percent" val="0"/>
        <cfvo type="percent" val="33"/>
        <cfvo type="percent" val="67"/>
      </iconSet>
    </cfRule>
  </conditionalFormatting>
  <conditionalFormatting sqref="K488:K489">
    <cfRule type="iconSet" priority="2078">
      <iconSet iconSet="3Flags" reverse="1">
        <cfvo type="percent" val="0"/>
        <cfvo type="percent" val="33"/>
        <cfvo type="percent" val="67"/>
      </iconSet>
    </cfRule>
  </conditionalFormatting>
  <conditionalFormatting sqref="D488:D489">
    <cfRule type="containsText" dxfId="850" priority="2076" operator="containsText" text="Roll-To-Roll">
      <formula>NOT(ISERROR(SEARCH("Roll-To-Roll",D488)))</formula>
    </cfRule>
    <cfRule type="containsText" dxfId="849" priority="2077" operator="containsText" text="Production">
      <formula>NOT(ISERROR(SEARCH("Production",D488)))</formula>
    </cfRule>
  </conditionalFormatting>
  <conditionalFormatting sqref="F488:F489">
    <cfRule type="iconSet" priority="2075">
      <iconSet iconSet="3Signs">
        <cfvo type="percent" val="0"/>
        <cfvo type="percent" val="33"/>
        <cfvo type="percent" val="67"/>
      </iconSet>
    </cfRule>
  </conditionalFormatting>
  <conditionalFormatting sqref="Z488">
    <cfRule type="containsText" dxfId="848" priority="2073" operator="containsText" text="Sh">
      <formula>NOT(ISERROR(SEARCH("Sh",Z488)))</formula>
    </cfRule>
    <cfRule type="cellIs" dxfId="847" priority="2074" operator="equal">
      <formula>"Sh"</formula>
    </cfRule>
  </conditionalFormatting>
  <conditionalFormatting sqref="Z489">
    <cfRule type="containsText" dxfId="846" priority="2071" operator="containsText" text="Sh">
      <formula>NOT(ISERROR(SEARCH("Sh",Z489)))</formula>
    </cfRule>
    <cfRule type="cellIs" dxfId="845" priority="2072" operator="equal">
      <formula>"Sh"</formula>
    </cfRule>
  </conditionalFormatting>
  <conditionalFormatting sqref="H490">
    <cfRule type="containsText" dxfId="844" priority="2069" operator="containsText" text="Production">
      <formula>NOT(ISERROR(SEARCH("Production",H490)))</formula>
    </cfRule>
    <cfRule type="containsText" dxfId="843" priority="2070" operator="containsText" text="Roll">
      <formula>NOT(ISERROR(SEARCH("Roll",H490)))</formula>
    </cfRule>
  </conditionalFormatting>
  <conditionalFormatting sqref="J490">
    <cfRule type="iconSet" priority="2068">
      <iconSet iconSet="3Flags" reverse="1">
        <cfvo type="percent" val="0"/>
        <cfvo type="percent" val="33"/>
        <cfvo type="percent" val="67"/>
      </iconSet>
    </cfRule>
  </conditionalFormatting>
  <conditionalFormatting sqref="L490">
    <cfRule type="iconSet" priority="2066">
      <iconSet iconSet="3Flags" reverse="1">
        <cfvo type="percent" val="0"/>
        <cfvo type="percent" val="33"/>
        <cfvo type="percent" val="67"/>
      </iconSet>
    </cfRule>
    <cfRule type="iconSet" priority="2067">
      <iconSet iconSet="3Flags">
        <cfvo type="percent" val="0"/>
        <cfvo type="percent" val="33"/>
        <cfvo type="percent" val="67"/>
      </iconSet>
    </cfRule>
  </conditionalFormatting>
  <conditionalFormatting sqref="K490">
    <cfRule type="iconSet" priority="2065">
      <iconSet iconSet="3Flags" reverse="1">
        <cfvo type="percent" val="0"/>
        <cfvo type="percent" val="33"/>
        <cfvo type="percent" val="67"/>
      </iconSet>
    </cfRule>
  </conditionalFormatting>
  <conditionalFormatting sqref="F490">
    <cfRule type="iconSet" priority="2064">
      <iconSet iconSet="3Signs">
        <cfvo type="percent" val="0"/>
        <cfvo type="percent" val="33"/>
        <cfvo type="percent" val="67"/>
      </iconSet>
    </cfRule>
  </conditionalFormatting>
  <conditionalFormatting sqref="Z490">
    <cfRule type="containsText" dxfId="842" priority="2062" operator="containsText" text="Sh">
      <formula>NOT(ISERROR(SEARCH("Sh",Z490)))</formula>
    </cfRule>
    <cfRule type="cellIs" dxfId="841" priority="2063" operator="equal">
      <formula>"Sh"</formula>
    </cfRule>
  </conditionalFormatting>
  <conditionalFormatting sqref="H491 E491">
    <cfRule type="containsText" dxfId="840" priority="2060" operator="containsText" text="Production">
      <formula>NOT(ISERROR(SEARCH("Production",E491)))</formula>
    </cfRule>
    <cfRule type="containsText" dxfId="839" priority="2061" operator="containsText" text="Roll">
      <formula>NOT(ISERROR(SEARCH("Roll",E491)))</formula>
    </cfRule>
  </conditionalFormatting>
  <conditionalFormatting sqref="J491">
    <cfRule type="iconSet" priority="2059">
      <iconSet iconSet="3Flags" reverse="1">
        <cfvo type="percent" val="0"/>
        <cfvo type="percent" val="33"/>
        <cfvo type="percent" val="67"/>
      </iconSet>
    </cfRule>
  </conditionalFormatting>
  <conditionalFormatting sqref="L491">
    <cfRule type="iconSet" priority="2057">
      <iconSet iconSet="3Flags" reverse="1">
        <cfvo type="percent" val="0"/>
        <cfvo type="percent" val="33"/>
        <cfvo type="percent" val="67"/>
      </iconSet>
    </cfRule>
    <cfRule type="iconSet" priority="2058">
      <iconSet iconSet="3Flags">
        <cfvo type="percent" val="0"/>
        <cfvo type="percent" val="33"/>
        <cfvo type="percent" val="67"/>
      </iconSet>
    </cfRule>
  </conditionalFormatting>
  <conditionalFormatting sqref="K491">
    <cfRule type="iconSet" priority="2056">
      <iconSet iconSet="3Flags" reverse="1">
        <cfvo type="percent" val="0"/>
        <cfvo type="percent" val="33"/>
        <cfvo type="percent" val="67"/>
      </iconSet>
    </cfRule>
  </conditionalFormatting>
  <conditionalFormatting sqref="D490:D492">
    <cfRule type="containsText" dxfId="838" priority="2054" operator="containsText" text="Roll-To-Roll">
      <formula>NOT(ISERROR(SEARCH("Roll-To-Roll",D490)))</formula>
    </cfRule>
    <cfRule type="containsText" dxfId="837" priority="2055" operator="containsText" text="Production">
      <formula>NOT(ISERROR(SEARCH("Production",D490)))</formula>
    </cfRule>
  </conditionalFormatting>
  <conditionalFormatting sqref="F491">
    <cfRule type="iconSet" priority="2053">
      <iconSet iconSet="3Signs">
        <cfvo type="percent" val="0"/>
        <cfvo type="percent" val="33"/>
        <cfvo type="percent" val="67"/>
      </iconSet>
    </cfRule>
  </conditionalFormatting>
  <conditionalFormatting sqref="J492">
    <cfRule type="iconSet" priority="2052">
      <iconSet iconSet="3Flags" reverse="1">
        <cfvo type="percent" val="0"/>
        <cfvo type="percent" val="33"/>
        <cfvo type="percent" val="67"/>
      </iconSet>
    </cfRule>
  </conditionalFormatting>
  <conditionalFormatting sqref="L492">
    <cfRule type="iconSet" priority="2050">
      <iconSet iconSet="3Flags" reverse="1">
        <cfvo type="percent" val="0"/>
        <cfvo type="percent" val="33"/>
        <cfvo type="percent" val="67"/>
      </iconSet>
    </cfRule>
    <cfRule type="iconSet" priority="2051">
      <iconSet iconSet="3Flags">
        <cfvo type="percent" val="0"/>
        <cfvo type="percent" val="33"/>
        <cfvo type="percent" val="67"/>
      </iconSet>
    </cfRule>
  </conditionalFormatting>
  <conditionalFormatting sqref="K492">
    <cfRule type="iconSet" priority="2049">
      <iconSet iconSet="3Flags" reverse="1">
        <cfvo type="percent" val="0"/>
        <cfvo type="percent" val="33"/>
        <cfvo type="percent" val="67"/>
      </iconSet>
    </cfRule>
  </conditionalFormatting>
  <conditionalFormatting sqref="F492">
    <cfRule type="iconSet" priority="2048">
      <iconSet iconSet="3Signs">
        <cfvo type="percent" val="0"/>
        <cfvo type="percent" val="33"/>
        <cfvo type="percent" val="67"/>
      </iconSet>
    </cfRule>
  </conditionalFormatting>
  <conditionalFormatting sqref="H494:H495 E494:E495">
    <cfRule type="containsText" dxfId="836" priority="2046" operator="containsText" text="Production">
      <formula>NOT(ISERROR(SEARCH("Production",E494)))</formula>
    </cfRule>
    <cfRule type="containsText" dxfId="835" priority="2047" operator="containsText" text="Roll">
      <formula>NOT(ISERROR(SEARCH("Roll",E494)))</formula>
    </cfRule>
  </conditionalFormatting>
  <conditionalFormatting sqref="X494">
    <cfRule type="containsText" dxfId="834" priority="2044" operator="containsText" text="Sh">
      <formula>NOT(ISERROR(SEARCH("Sh",X494)))</formula>
    </cfRule>
    <cfRule type="cellIs" dxfId="833" priority="2045" operator="equal">
      <formula>"Sh"</formula>
    </cfRule>
  </conditionalFormatting>
  <conditionalFormatting sqref="J494:J495">
    <cfRule type="iconSet" priority="2043">
      <iconSet iconSet="3Flags" reverse="1">
        <cfvo type="percent" val="0"/>
        <cfvo type="percent" val="33"/>
        <cfvo type="percent" val="67"/>
      </iconSet>
    </cfRule>
  </conditionalFormatting>
  <conditionalFormatting sqref="L494:L495">
    <cfRule type="iconSet" priority="2041">
      <iconSet iconSet="3Flags" reverse="1">
        <cfvo type="percent" val="0"/>
        <cfvo type="percent" val="33"/>
        <cfvo type="percent" val="67"/>
      </iconSet>
    </cfRule>
    <cfRule type="iconSet" priority="2042">
      <iconSet iconSet="3Flags">
        <cfvo type="percent" val="0"/>
        <cfvo type="percent" val="33"/>
        <cfvo type="percent" val="67"/>
      </iconSet>
    </cfRule>
  </conditionalFormatting>
  <conditionalFormatting sqref="K494:K495">
    <cfRule type="iconSet" priority="2040">
      <iconSet iconSet="3Flags" reverse="1">
        <cfvo type="percent" val="0"/>
        <cfvo type="percent" val="33"/>
        <cfvo type="percent" val="67"/>
      </iconSet>
    </cfRule>
  </conditionalFormatting>
  <conditionalFormatting sqref="D494:D495">
    <cfRule type="containsText" dxfId="832" priority="2038" operator="containsText" text="Roll-To-Roll">
      <formula>NOT(ISERROR(SEARCH("Roll-To-Roll",D494)))</formula>
    </cfRule>
    <cfRule type="containsText" dxfId="831" priority="2039" operator="containsText" text="Production">
      <formula>NOT(ISERROR(SEARCH("Production",D494)))</formula>
    </cfRule>
  </conditionalFormatting>
  <conditionalFormatting sqref="F494:F495">
    <cfRule type="iconSet" priority="2037">
      <iconSet iconSet="3Signs">
        <cfvo type="percent" val="0"/>
        <cfvo type="percent" val="33"/>
        <cfvo type="percent" val="67"/>
      </iconSet>
    </cfRule>
  </conditionalFormatting>
  <conditionalFormatting sqref="H496 E496">
    <cfRule type="containsText" dxfId="830" priority="2035" operator="containsText" text="Production">
      <formula>NOT(ISERROR(SEARCH("Production",E496)))</formula>
    </cfRule>
    <cfRule type="containsText" dxfId="829" priority="2036" operator="containsText" text="Roll">
      <formula>NOT(ISERROR(SEARCH("Roll",E496)))</formula>
    </cfRule>
  </conditionalFormatting>
  <conditionalFormatting sqref="J496">
    <cfRule type="iconSet" priority="2034">
      <iconSet iconSet="3Flags" reverse="1">
        <cfvo type="percent" val="0"/>
        <cfvo type="percent" val="33"/>
        <cfvo type="percent" val="67"/>
      </iconSet>
    </cfRule>
  </conditionalFormatting>
  <conditionalFormatting sqref="L496">
    <cfRule type="iconSet" priority="2032">
      <iconSet iconSet="3Flags" reverse="1">
        <cfvo type="percent" val="0"/>
        <cfvo type="percent" val="33"/>
        <cfvo type="percent" val="67"/>
      </iconSet>
    </cfRule>
    <cfRule type="iconSet" priority="2033">
      <iconSet iconSet="3Flags">
        <cfvo type="percent" val="0"/>
        <cfvo type="percent" val="33"/>
        <cfvo type="percent" val="67"/>
      </iconSet>
    </cfRule>
  </conditionalFormatting>
  <conditionalFormatting sqref="K496">
    <cfRule type="iconSet" priority="2031">
      <iconSet iconSet="3Flags" reverse="1">
        <cfvo type="percent" val="0"/>
        <cfvo type="percent" val="33"/>
        <cfvo type="percent" val="67"/>
      </iconSet>
    </cfRule>
  </conditionalFormatting>
  <conditionalFormatting sqref="D496:D497">
    <cfRule type="containsText" dxfId="828" priority="2029" operator="containsText" text="Roll-To-Roll">
      <formula>NOT(ISERROR(SEARCH("Roll-To-Roll",D496)))</formula>
    </cfRule>
    <cfRule type="containsText" dxfId="827" priority="2030" operator="containsText" text="Production">
      <formula>NOT(ISERROR(SEARCH("Production",D496)))</formula>
    </cfRule>
  </conditionalFormatting>
  <conditionalFormatting sqref="F496">
    <cfRule type="iconSet" priority="2028">
      <iconSet iconSet="3Signs">
        <cfvo type="percent" val="0"/>
        <cfvo type="percent" val="33"/>
        <cfvo type="percent" val="67"/>
      </iconSet>
    </cfRule>
  </conditionalFormatting>
  <conditionalFormatting sqref="J497">
    <cfRule type="iconSet" priority="2027">
      <iconSet iconSet="3Flags" reverse="1">
        <cfvo type="percent" val="0"/>
        <cfvo type="percent" val="33"/>
        <cfvo type="percent" val="67"/>
      </iconSet>
    </cfRule>
  </conditionalFormatting>
  <conditionalFormatting sqref="L497">
    <cfRule type="iconSet" priority="2025">
      <iconSet iconSet="3Flags" reverse="1">
        <cfvo type="percent" val="0"/>
        <cfvo type="percent" val="33"/>
        <cfvo type="percent" val="67"/>
      </iconSet>
    </cfRule>
    <cfRule type="iconSet" priority="2026">
      <iconSet iconSet="3Flags">
        <cfvo type="percent" val="0"/>
        <cfvo type="percent" val="33"/>
        <cfvo type="percent" val="67"/>
      </iconSet>
    </cfRule>
  </conditionalFormatting>
  <conditionalFormatting sqref="K497">
    <cfRule type="iconSet" priority="2024">
      <iconSet iconSet="3Flags" reverse="1">
        <cfvo type="percent" val="0"/>
        <cfvo type="percent" val="33"/>
        <cfvo type="percent" val="67"/>
      </iconSet>
    </cfRule>
  </conditionalFormatting>
  <conditionalFormatting sqref="F497">
    <cfRule type="iconSet" priority="2023">
      <iconSet iconSet="3Signs">
        <cfvo type="percent" val="0"/>
        <cfvo type="percent" val="33"/>
        <cfvo type="percent" val="67"/>
      </iconSet>
    </cfRule>
  </conditionalFormatting>
  <conditionalFormatting sqref="H498:H500 E498:E500">
    <cfRule type="containsText" dxfId="826" priority="2021" operator="containsText" text="Production">
      <formula>NOT(ISERROR(SEARCH("Production",E498)))</formula>
    </cfRule>
    <cfRule type="containsText" dxfId="825" priority="2022" operator="containsText" text="Roll">
      <formula>NOT(ISERROR(SEARCH("Roll",E498)))</formula>
    </cfRule>
  </conditionalFormatting>
  <conditionalFormatting sqref="J498:J500">
    <cfRule type="iconSet" priority="2020">
      <iconSet iconSet="3Flags" reverse="1">
        <cfvo type="percent" val="0"/>
        <cfvo type="percent" val="33"/>
        <cfvo type="percent" val="67"/>
      </iconSet>
    </cfRule>
  </conditionalFormatting>
  <conditionalFormatting sqref="L498:L500">
    <cfRule type="iconSet" priority="2018">
      <iconSet iconSet="3Flags" reverse="1">
        <cfvo type="percent" val="0"/>
        <cfvo type="percent" val="33"/>
        <cfvo type="percent" val="67"/>
      </iconSet>
    </cfRule>
    <cfRule type="iconSet" priority="2019">
      <iconSet iconSet="3Flags">
        <cfvo type="percent" val="0"/>
        <cfvo type="percent" val="33"/>
        <cfvo type="percent" val="67"/>
      </iconSet>
    </cfRule>
  </conditionalFormatting>
  <conditionalFormatting sqref="K498:K500">
    <cfRule type="iconSet" priority="2017">
      <iconSet iconSet="3Flags" reverse="1">
        <cfvo type="percent" val="0"/>
        <cfvo type="percent" val="33"/>
        <cfvo type="percent" val="67"/>
      </iconSet>
    </cfRule>
  </conditionalFormatting>
  <conditionalFormatting sqref="D498:D504">
    <cfRule type="containsText" dxfId="824" priority="2015" operator="containsText" text="Roll-To-Roll">
      <formula>NOT(ISERROR(SEARCH("Roll-To-Roll",D498)))</formula>
    </cfRule>
    <cfRule type="containsText" dxfId="823" priority="2016" operator="containsText" text="Production">
      <formula>NOT(ISERROR(SEARCH("Production",D498)))</formula>
    </cfRule>
  </conditionalFormatting>
  <conditionalFormatting sqref="F498:F502">
    <cfRule type="iconSet" priority="2014">
      <iconSet iconSet="3Signs">
        <cfvo type="percent" val="0"/>
        <cfvo type="percent" val="33"/>
        <cfvo type="percent" val="67"/>
      </iconSet>
    </cfRule>
  </conditionalFormatting>
  <conditionalFormatting sqref="X498:X500">
    <cfRule type="containsText" dxfId="822" priority="2012" operator="containsText" text="Sh">
      <formula>NOT(ISERROR(SEARCH("Sh",X498)))</formula>
    </cfRule>
    <cfRule type="cellIs" dxfId="821" priority="2013" operator="equal">
      <formula>"Sh"</formula>
    </cfRule>
  </conditionalFormatting>
  <conditionalFormatting sqref="X501">
    <cfRule type="containsText" dxfId="820" priority="2010" operator="containsText" text="Sh">
      <formula>NOT(ISERROR(SEARCH("Sh",X501)))</formula>
    </cfRule>
    <cfRule type="cellIs" dxfId="819" priority="2011" operator="equal">
      <formula>"Sh"</formula>
    </cfRule>
  </conditionalFormatting>
  <conditionalFormatting sqref="H506 E506">
    <cfRule type="containsText" dxfId="818" priority="2008" operator="containsText" text="Production">
      <formula>NOT(ISERROR(SEARCH("Production",E506)))</formula>
    </cfRule>
    <cfRule type="containsText" dxfId="817" priority="2009" operator="containsText" text="Roll">
      <formula>NOT(ISERROR(SEARCH("Roll",E506)))</formula>
    </cfRule>
  </conditionalFormatting>
  <conditionalFormatting sqref="J506">
    <cfRule type="iconSet" priority="2007">
      <iconSet iconSet="3Flags" reverse="1">
        <cfvo type="percent" val="0"/>
        <cfvo type="percent" val="33"/>
        <cfvo type="percent" val="67"/>
      </iconSet>
    </cfRule>
  </conditionalFormatting>
  <conditionalFormatting sqref="L506">
    <cfRule type="iconSet" priority="2005">
      <iconSet iconSet="3Flags" reverse="1">
        <cfvo type="percent" val="0"/>
        <cfvo type="percent" val="33"/>
        <cfvo type="percent" val="67"/>
      </iconSet>
    </cfRule>
    <cfRule type="iconSet" priority="2006">
      <iconSet iconSet="3Flags">
        <cfvo type="percent" val="0"/>
        <cfvo type="percent" val="33"/>
        <cfvo type="percent" val="67"/>
      </iconSet>
    </cfRule>
  </conditionalFormatting>
  <conditionalFormatting sqref="K506:K507">
    <cfRule type="iconSet" priority="2004">
      <iconSet iconSet="3Flags" reverse="1">
        <cfvo type="percent" val="0"/>
        <cfvo type="percent" val="33"/>
        <cfvo type="percent" val="67"/>
      </iconSet>
    </cfRule>
  </conditionalFormatting>
  <conditionalFormatting sqref="D506">
    <cfRule type="containsText" dxfId="816" priority="2002" operator="containsText" text="Roll-To-Roll">
      <formula>NOT(ISERROR(SEARCH("Roll-To-Roll",D506)))</formula>
    </cfRule>
    <cfRule type="containsText" dxfId="815" priority="2003" operator="containsText" text="Production">
      <formula>NOT(ISERROR(SEARCH("Production",D506)))</formula>
    </cfRule>
  </conditionalFormatting>
  <conditionalFormatting sqref="F506">
    <cfRule type="iconSet" priority="2001">
      <iconSet iconSet="3Signs">
        <cfvo type="percent" val="0"/>
        <cfvo type="percent" val="33"/>
        <cfvo type="percent" val="67"/>
      </iconSet>
    </cfRule>
  </conditionalFormatting>
  <conditionalFormatting sqref="H507 E507">
    <cfRule type="containsText" dxfId="814" priority="1999" operator="containsText" text="Production">
      <formula>NOT(ISERROR(SEARCH("Production",E507)))</formula>
    </cfRule>
    <cfRule type="containsText" dxfId="813" priority="2000" operator="containsText" text="Roll">
      <formula>NOT(ISERROR(SEARCH("Roll",E507)))</formula>
    </cfRule>
  </conditionalFormatting>
  <conditionalFormatting sqref="J507">
    <cfRule type="iconSet" priority="1998">
      <iconSet iconSet="3Flags" reverse="1">
        <cfvo type="percent" val="0"/>
        <cfvo type="percent" val="33"/>
        <cfvo type="percent" val="67"/>
      </iconSet>
    </cfRule>
  </conditionalFormatting>
  <conditionalFormatting sqref="L507">
    <cfRule type="iconSet" priority="1996">
      <iconSet iconSet="3Flags" reverse="1">
        <cfvo type="percent" val="0"/>
        <cfvo type="percent" val="33"/>
        <cfvo type="percent" val="67"/>
      </iconSet>
    </cfRule>
    <cfRule type="iconSet" priority="1997">
      <iconSet iconSet="3Flags">
        <cfvo type="percent" val="0"/>
        <cfvo type="percent" val="33"/>
        <cfvo type="percent" val="67"/>
      </iconSet>
    </cfRule>
  </conditionalFormatting>
  <conditionalFormatting sqref="X506">
    <cfRule type="containsText" dxfId="812" priority="1994" operator="containsText" text="Sh">
      <formula>NOT(ISERROR(SEARCH("Sh",X506)))</formula>
    </cfRule>
    <cfRule type="cellIs" dxfId="811" priority="1995" operator="equal">
      <formula>"Sh"</formula>
    </cfRule>
  </conditionalFormatting>
  <conditionalFormatting sqref="X508">
    <cfRule type="containsText" dxfId="810" priority="1992" operator="containsText" text="Sh">
      <formula>NOT(ISERROR(SEARCH("Sh",X508)))</formula>
    </cfRule>
    <cfRule type="cellIs" dxfId="809" priority="1993" operator="equal">
      <formula>"Sh"</formula>
    </cfRule>
  </conditionalFormatting>
  <conditionalFormatting sqref="J504">
    <cfRule type="iconSet" priority="1991">
      <iconSet iconSet="3Flags" reverse="1">
        <cfvo type="percent" val="0"/>
        <cfvo type="percent" val="33"/>
        <cfvo type="percent" val="67"/>
      </iconSet>
    </cfRule>
  </conditionalFormatting>
  <conditionalFormatting sqref="L504">
    <cfRule type="iconSet" priority="1989">
      <iconSet iconSet="3Flags" reverse="1">
        <cfvo type="percent" val="0"/>
        <cfvo type="percent" val="33"/>
        <cfvo type="percent" val="67"/>
      </iconSet>
    </cfRule>
    <cfRule type="iconSet" priority="1990">
      <iconSet iconSet="3Flags">
        <cfvo type="percent" val="0"/>
        <cfvo type="percent" val="33"/>
        <cfvo type="percent" val="67"/>
      </iconSet>
    </cfRule>
  </conditionalFormatting>
  <conditionalFormatting sqref="K504">
    <cfRule type="iconSet" priority="1988">
      <iconSet iconSet="3Flags" reverse="1">
        <cfvo type="percent" val="0"/>
        <cfvo type="percent" val="33"/>
        <cfvo type="percent" val="67"/>
      </iconSet>
    </cfRule>
  </conditionalFormatting>
  <conditionalFormatting sqref="F504">
    <cfRule type="iconSet" priority="1987">
      <iconSet iconSet="3Signs">
        <cfvo type="percent" val="0"/>
        <cfvo type="percent" val="33"/>
        <cfvo type="percent" val="67"/>
      </iconSet>
    </cfRule>
  </conditionalFormatting>
  <conditionalFormatting sqref="H503">
    <cfRule type="containsText" dxfId="808" priority="1985" operator="containsText" text="Production">
      <formula>NOT(ISERROR(SEARCH("Production",H503)))</formula>
    </cfRule>
    <cfRule type="containsText" dxfId="807" priority="1986" operator="containsText" text="Roll">
      <formula>NOT(ISERROR(SEARCH("Roll",H503)))</formula>
    </cfRule>
  </conditionalFormatting>
  <conditionalFormatting sqref="J503">
    <cfRule type="iconSet" priority="1984">
      <iconSet iconSet="3Flags" reverse="1">
        <cfvo type="percent" val="0"/>
        <cfvo type="percent" val="33"/>
        <cfvo type="percent" val="67"/>
      </iconSet>
    </cfRule>
  </conditionalFormatting>
  <conditionalFormatting sqref="L503">
    <cfRule type="iconSet" priority="1982">
      <iconSet iconSet="3Flags" reverse="1">
        <cfvo type="percent" val="0"/>
        <cfvo type="percent" val="33"/>
        <cfvo type="percent" val="67"/>
      </iconSet>
    </cfRule>
    <cfRule type="iconSet" priority="1983">
      <iconSet iconSet="3Flags">
        <cfvo type="percent" val="0"/>
        <cfvo type="percent" val="33"/>
        <cfvo type="percent" val="67"/>
      </iconSet>
    </cfRule>
  </conditionalFormatting>
  <conditionalFormatting sqref="K503">
    <cfRule type="iconSet" priority="1981">
      <iconSet iconSet="3Flags" reverse="1">
        <cfvo type="percent" val="0"/>
        <cfvo type="percent" val="33"/>
        <cfvo type="percent" val="67"/>
      </iconSet>
    </cfRule>
  </conditionalFormatting>
  <conditionalFormatting sqref="F503">
    <cfRule type="iconSet" priority="1980">
      <iconSet iconSet="3Signs">
        <cfvo type="percent" val="0"/>
        <cfvo type="percent" val="33"/>
        <cfvo type="percent" val="67"/>
      </iconSet>
    </cfRule>
  </conditionalFormatting>
  <conditionalFormatting sqref="X510">
    <cfRule type="containsText" dxfId="806" priority="1978" operator="containsText" text="Sh">
      <formula>NOT(ISERROR(SEARCH("Sh",X510)))</formula>
    </cfRule>
    <cfRule type="cellIs" dxfId="805" priority="1979" operator="equal">
      <formula>"Sh"</formula>
    </cfRule>
  </conditionalFormatting>
  <conditionalFormatting sqref="X512">
    <cfRule type="containsText" dxfId="804" priority="1976" operator="containsText" text="Sh">
      <formula>NOT(ISERROR(SEARCH("Sh",X512)))</formula>
    </cfRule>
    <cfRule type="cellIs" dxfId="803" priority="1977" operator="equal">
      <formula>"Sh"</formula>
    </cfRule>
  </conditionalFormatting>
  <conditionalFormatting sqref="J516 J514 J518">
    <cfRule type="iconSet" priority="2114">
      <iconSet iconSet="3Flags" reverse="1">
        <cfvo type="percent" val="0"/>
        <cfvo type="percent" val="33"/>
        <cfvo type="percent" val="67"/>
      </iconSet>
    </cfRule>
  </conditionalFormatting>
  <conditionalFormatting sqref="L516 L514 L518">
    <cfRule type="iconSet" priority="2115">
      <iconSet iconSet="3Flags" reverse="1">
        <cfvo type="percent" val="0"/>
        <cfvo type="percent" val="33"/>
        <cfvo type="percent" val="67"/>
      </iconSet>
    </cfRule>
    <cfRule type="iconSet" priority="2116">
      <iconSet iconSet="3Flags">
        <cfvo type="percent" val="0"/>
        <cfvo type="percent" val="33"/>
        <cfvo type="percent" val="67"/>
      </iconSet>
    </cfRule>
  </conditionalFormatting>
  <conditionalFormatting sqref="K514:K515 K518">
    <cfRule type="iconSet" priority="2117">
      <iconSet iconSet="3Flags" reverse="1">
        <cfvo type="percent" val="0"/>
        <cfvo type="percent" val="33"/>
        <cfvo type="percent" val="67"/>
      </iconSet>
    </cfRule>
  </conditionalFormatting>
  <conditionalFormatting sqref="F516 F514 F518">
    <cfRule type="iconSet" priority="2118">
      <iconSet iconSet="3Signs">
        <cfvo type="percent" val="0"/>
        <cfvo type="percent" val="33"/>
        <cfvo type="percent" val="67"/>
      </iconSet>
    </cfRule>
  </conditionalFormatting>
  <conditionalFormatting sqref="F507:F513 F515">
    <cfRule type="iconSet" priority="2119">
      <iconSet iconSet="3Signs">
        <cfvo type="percent" val="0"/>
        <cfvo type="percent" val="33"/>
        <cfvo type="percent" val="67"/>
      </iconSet>
    </cfRule>
  </conditionalFormatting>
  <conditionalFormatting sqref="D517">
    <cfRule type="containsText" dxfId="802" priority="1974" operator="containsText" text="Roll-To-Roll">
      <formula>NOT(ISERROR(SEARCH("Roll-To-Roll",D517)))</formula>
    </cfRule>
    <cfRule type="containsText" dxfId="801" priority="1975" operator="containsText" text="Production">
      <formula>NOT(ISERROR(SEARCH("Production",D517)))</formula>
    </cfRule>
  </conditionalFormatting>
  <conditionalFormatting sqref="J517">
    <cfRule type="iconSet" priority="1973">
      <iconSet iconSet="3Flags" reverse="1">
        <cfvo type="percent" val="0"/>
        <cfvo type="percent" val="33"/>
        <cfvo type="percent" val="67"/>
      </iconSet>
    </cfRule>
  </conditionalFormatting>
  <conditionalFormatting sqref="L517">
    <cfRule type="iconSet" priority="1971">
      <iconSet iconSet="3Flags" reverse="1">
        <cfvo type="percent" val="0"/>
        <cfvo type="percent" val="33"/>
        <cfvo type="percent" val="67"/>
      </iconSet>
    </cfRule>
    <cfRule type="iconSet" priority="1972">
      <iconSet iconSet="3Flags">
        <cfvo type="percent" val="0"/>
        <cfvo type="percent" val="33"/>
        <cfvo type="percent" val="67"/>
      </iconSet>
    </cfRule>
  </conditionalFormatting>
  <conditionalFormatting sqref="K517">
    <cfRule type="iconSet" priority="1970">
      <iconSet iconSet="3Flags" reverse="1">
        <cfvo type="percent" val="0"/>
        <cfvo type="percent" val="33"/>
        <cfvo type="percent" val="67"/>
      </iconSet>
    </cfRule>
  </conditionalFormatting>
  <conditionalFormatting sqref="F517">
    <cfRule type="iconSet" priority="1969">
      <iconSet iconSet="3Signs">
        <cfvo type="percent" val="0"/>
        <cfvo type="percent" val="33"/>
        <cfvo type="percent" val="67"/>
      </iconSet>
    </cfRule>
  </conditionalFormatting>
  <conditionalFormatting sqref="D520">
    <cfRule type="containsText" dxfId="800" priority="1966" operator="containsText" text="Roll-To-Roll">
      <formula>NOT(ISERROR(SEARCH("Roll-To-Roll",D520)))</formula>
    </cfRule>
    <cfRule type="containsText" dxfId="799" priority="1967" operator="containsText" text="Production">
      <formula>NOT(ISERROR(SEARCH("Production",D520)))</formula>
    </cfRule>
  </conditionalFormatting>
  <conditionalFormatting sqref="H519 E519">
    <cfRule type="containsText" dxfId="798" priority="1964" operator="containsText" text="Production">
      <formula>NOT(ISERROR(SEARCH("Production",E519)))</formula>
    </cfRule>
    <cfRule type="containsText" dxfId="797" priority="1965" operator="containsText" text="Roll">
      <formula>NOT(ISERROR(SEARCH("Roll",E519)))</formula>
    </cfRule>
  </conditionalFormatting>
  <conditionalFormatting sqref="J519">
    <cfRule type="iconSet" priority="1963">
      <iconSet iconSet="3Flags" reverse="1">
        <cfvo type="percent" val="0"/>
        <cfvo type="percent" val="33"/>
        <cfvo type="percent" val="67"/>
      </iconSet>
    </cfRule>
  </conditionalFormatting>
  <conditionalFormatting sqref="L519">
    <cfRule type="iconSet" priority="1961">
      <iconSet iconSet="3Flags" reverse="1">
        <cfvo type="percent" val="0"/>
        <cfvo type="percent" val="33"/>
        <cfvo type="percent" val="67"/>
      </iconSet>
    </cfRule>
    <cfRule type="iconSet" priority="1962">
      <iconSet iconSet="3Flags">
        <cfvo type="percent" val="0"/>
        <cfvo type="percent" val="33"/>
        <cfvo type="percent" val="67"/>
      </iconSet>
    </cfRule>
  </conditionalFormatting>
  <conditionalFormatting sqref="K519:K520">
    <cfRule type="iconSet" priority="1960">
      <iconSet iconSet="3Flags" reverse="1">
        <cfvo type="percent" val="0"/>
        <cfvo type="percent" val="33"/>
        <cfvo type="percent" val="67"/>
      </iconSet>
    </cfRule>
  </conditionalFormatting>
  <conditionalFormatting sqref="D519">
    <cfRule type="containsText" dxfId="796" priority="1958" operator="containsText" text="Roll-To-Roll">
      <formula>NOT(ISERROR(SEARCH("Roll-To-Roll",D519)))</formula>
    </cfRule>
    <cfRule type="containsText" dxfId="795" priority="1959" operator="containsText" text="Production">
      <formula>NOT(ISERROR(SEARCH("Production",D519)))</formula>
    </cfRule>
  </conditionalFormatting>
  <conditionalFormatting sqref="F519">
    <cfRule type="iconSet" priority="1957">
      <iconSet iconSet="3Signs">
        <cfvo type="percent" val="0"/>
        <cfvo type="percent" val="33"/>
        <cfvo type="percent" val="67"/>
      </iconSet>
    </cfRule>
  </conditionalFormatting>
  <conditionalFormatting sqref="H520 E520">
    <cfRule type="containsText" dxfId="794" priority="1955" operator="containsText" text="Production">
      <formula>NOT(ISERROR(SEARCH("Production",E520)))</formula>
    </cfRule>
    <cfRule type="containsText" dxfId="793" priority="1956" operator="containsText" text="Roll">
      <formula>NOT(ISERROR(SEARCH("Roll",E520)))</formula>
    </cfRule>
  </conditionalFormatting>
  <conditionalFormatting sqref="J520">
    <cfRule type="iconSet" priority="1954">
      <iconSet iconSet="3Flags" reverse="1">
        <cfvo type="percent" val="0"/>
        <cfvo type="percent" val="33"/>
        <cfvo type="percent" val="67"/>
      </iconSet>
    </cfRule>
  </conditionalFormatting>
  <conditionalFormatting sqref="L520">
    <cfRule type="iconSet" priority="1952">
      <iconSet iconSet="3Flags" reverse="1">
        <cfvo type="percent" val="0"/>
        <cfvo type="percent" val="33"/>
        <cfvo type="percent" val="67"/>
      </iconSet>
    </cfRule>
    <cfRule type="iconSet" priority="1953">
      <iconSet iconSet="3Flags">
        <cfvo type="percent" val="0"/>
        <cfvo type="percent" val="33"/>
        <cfvo type="percent" val="67"/>
      </iconSet>
    </cfRule>
  </conditionalFormatting>
  <conditionalFormatting sqref="X519">
    <cfRule type="containsText" dxfId="792" priority="1950" operator="containsText" text="Sh">
      <formula>NOT(ISERROR(SEARCH("Sh",X519)))</formula>
    </cfRule>
    <cfRule type="cellIs" dxfId="791" priority="1951" operator="equal">
      <formula>"Sh"</formula>
    </cfRule>
  </conditionalFormatting>
  <conditionalFormatting sqref="F520:F526">
    <cfRule type="iconSet" priority="1968">
      <iconSet iconSet="3Signs">
        <cfvo type="percent" val="0"/>
        <cfvo type="percent" val="33"/>
        <cfvo type="percent" val="67"/>
      </iconSet>
    </cfRule>
  </conditionalFormatting>
  <conditionalFormatting sqref="X521">
    <cfRule type="containsText" dxfId="790" priority="1948" operator="containsText" text="Sh">
      <formula>NOT(ISERROR(SEARCH("Sh",X521)))</formula>
    </cfRule>
    <cfRule type="cellIs" dxfId="789" priority="1949" operator="equal">
      <formula>"Sh"</formula>
    </cfRule>
  </conditionalFormatting>
  <conditionalFormatting sqref="X523">
    <cfRule type="containsText" dxfId="788" priority="1946" operator="containsText" text="Sh">
      <formula>NOT(ISERROR(SEARCH("Sh",X523)))</formula>
    </cfRule>
    <cfRule type="cellIs" dxfId="787" priority="1947" operator="equal">
      <formula>"Sh"</formula>
    </cfRule>
  </conditionalFormatting>
  <conditionalFormatting sqref="X525">
    <cfRule type="containsText" dxfId="786" priority="1944" operator="containsText" text="Sh">
      <formula>NOT(ISERROR(SEARCH("Sh",X525)))</formula>
    </cfRule>
    <cfRule type="cellIs" dxfId="785" priority="1945" operator="equal">
      <formula>"Sh"</formula>
    </cfRule>
  </conditionalFormatting>
  <conditionalFormatting sqref="D528">
    <cfRule type="containsText" dxfId="784" priority="1942" operator="containsText" text="Roll-To-Roll">
      <formula>NOT(ISERROR(SEARCH("Roll-To-Roll",D528)))</formula>
    </cfRule>
    <cfRule type="containsText" dxfId="783" priority="1943" operator="containsText" text="Production">
      <formula>NOT(ISERROR(SEARCH("Production",D528)))</formula>
    </cfRule>
  </conditionalFormatting>
  <conditionalFormatting sqref="J528">
    <cfRule type="iconSet" priority="1941">
      <iconSet iconSet="3Flags" reverse="1">
        <cfvo type="percent" val="0"/>
        <cfvo type="percent" val="33"/>
        <cfvo type="percent" val="67"/>
      </iconSet>
    </cfRule>
  </conditionalFormatting>
  <conditionalFormatting sqref="L528">
    <cfRule type="iconSet" priority="1939">
      <iconSet iconSet="3Flags" reverse="1">
        <cfvo type="percent" val="0"/>
        <cfvo type="percent" val="33"/>
        <cfvo type="percent" val="67"/>
      </iconSet>
    </cfRule>
    <cfRule type="iconSet" priority="1940">
      <iconSet iconSet="3Flags">
        <cfvo type="percent" val="0"/>
        <cfvo type="percent" val="33"/>
        <cfvo type="percent" val="67"/>
      </iconSet>
    </cfRule>
  </conditionalFormatting>
  <conditionalFormatting sqref="K528">
    <cfRule type="iconSet" priority="1938">
      <iconSet iconSet="3Flags" reverse="1">
        <cfvo type="percent" val="0"/>
        <cfvo type="percent" val="33"/>
        <cfvo type="percent" val="67"/>
      </iconSet>
    </cfRule>
  </conditionalFormatting>
  <conditionalFormatting sqref="F528">
    <cfRule type="iconSet" priority="1937">
      <iconSet iconSet="3Signs">
        <cfvo type="percent" val="0"/>
        <cfvo type="percent" val="33"/>
        <cfvo type="percent" val="67"/>
      </iconSet>
    </cfRule>
  </conditionalFormatting>
  <conditionalFormatting sqref="D529">
    <cfRule type="containsText" dxfId="782" priority="1935" operator="containsText" text="Roll-To-Roll">
      <formula>NOT(ISERROR(SEARCH("Roll-To-Roll",D529)))</formula>
    </cfRule>
    <cfRule type="containsText" dxfId="781" priority="1936" operator="containsText" text="Production">
      <formula>NOT(ISERROR(SEARCH("Production",D529)))</formula>
    </cfRule>
  </conditionalFormatting>
  <conditionalFormatting sqref="J529">
    <cfRule type="iconSet" priority="1934">
      <iconSet iconSet="3Flags" reverse="1">
        <cfvo type="percent" val="0"/>
        <cfvo type="percent" val="33"/>
        <cfvo type="percent" val="67"/>
      </iconSet>
    </cfRule>
  </conditionalFormatting>
  <conditionalFormatting sqref="L529">
    <cfRule type="iconSet" priority="1932">
      <iconSet iconSet="3Flags" reverse="1">
        <cfvo type="percent" val="0"/>
        <cfvo type="percent" val="33"/>
        <cfvo type="percent" val="67"/>
      </iconSet>
    </cfRule>
    <cfRule type="iconSet" priority="1933">
      <iconSet iconSet="3Flags">
        <cfvo type="percent" val="0"/>
        <cfvo type="percent" val="33"/>
        <cfvo type="percent" val="67"/>
      </iconSet>
    </cfRule>
  </conditionalFormatting>
  <conditionalFormatting sqref="K529">
    <cfRule type="iconSet" priority="1931">
      <iconSet iconSet="3Flags" reverse="1">
        <cfvo type="percent" val="0"/>
        <cfvo type="percent" val="33"/>
        <cfvo type="percent" val="67"/>
      </iconSet>
    </cfRule>
  </conditionalFormatting>
  <conditionalFormatting sqref="F529">
    <cfRule type="iconSet" priority="1930">
      <iconSet iconSet="3Signs">
        <cfvo type="percent" val="0"/>
        <cfvo type="percent" val="33"/>
        <cfvo type="percent" val="67"/>
      </iconSet>
    </cfRule>
  </conditionalFormatting>
  <conditionalFormatting sqref="X528">
    <cfRule type="containsText" dxfId="780" priority="1928" operator="containsText" text="Sh">
      <formula>NOT(ISERROR(SEARCH("Sh",X528)))</formula>
    </cfRule>
    <cfRule type="cellIs" dxfId="779" priority="1929" operator="equal">
      <formula>"Sh"</formula>
    </cfRule>
  </conditionalFormatting>
  <conditionalFormatting sqref="J527">
    <cfRule type="iconSet" priority="1927">
      <iconSet iconSet="3Flags" reverse="1">
        <cfvo type="percent" val="0"/>
        <cfvo type="percent" val="33"/>
        <cfvo type="percent" val="67"/>
      </iconSet>
    </cfRule>
  </conditionalFormatting>
  <conditionalFormatting sqref="L527">
    <cfRule type="iconSet" priority="1925">
      <iconSet iconSet="3Flags" reverse="1">
        <cfvo type="percent" val="0"/>
        <cfvo type="percent" val="33"/>
        <cfvo type="percent" val="67"/>
      </iconSet>
    </cfRule>
    <cfRule type="iconSet" priority="1926">
      <iconSet iconSet="3Flags">
        <cfvo type="percent" val="0"/>
        <cfvo type="percent" val="33"/>
        <cfvo type="percent" val="67"/>
      </iconSet>
    </cfRule>
  </conditionalFormatting>
  <conditionalFormatting sqref="K527">
    <cfRule type="iconSet" priority="1924">
      <iconSet iconSet="3Flags" reverse="1">
        <cfvo type="percent" val="0"/>
        <cfvo type="percent" val="33"/>
        <cfvo type="percent" val="67"/>
      </iconSet>
    </cfRule>
  </conditionalFormatting>
  <conditionalFormatting sqref="F527">
    <cfRule type="iconSet" priority="1923">
      <iconSet iconSet="3Signs">
        <cfvo type="percent" val="0"/>
        <cfvo type="percent" val="33"/>
        <cfvo type="percent" val="67"/>
      </iconSet>
    </cfRule>
  </conditionalFormatting>
  <conditionalFormatting sqref="AC488:AC492 AC494:AC539">
    <cfRule type="iconSet" priority="2120">
      <iconSet>
        <cfvo type="percent" val="0"/>
        <cfvo type="percent" val="33"/>
        <cfvo type="percent" val="67"/>
      </iconSet>
    </cfRule>
  </conditionalFormatting>
  <conditionalFormatting sqref="AC488:AC492 AC494:AC539">
    <cfRule type="iconSet" priority="2121">
      <iconSet>
        <cfvo type="percent" val="0"/>
        <cfvo type="percent" val="90" gte="0"/>
        <cfvo type="percent" val="100"/>
      </iconSet>
    </cfRule>
  </conditionalFormatting>
  <conditionalFormatting sqref="D527:D529">
    <cfRule type="containsText" dxfId="778" priority="1921" operator="containsText" text="Roll-To-Roll">
      <formula>NOT(ISERROR(SEARCH("Roll-To-Roll",D527)))</formula>
    </cfRule>
    <cfRule type="containsText" dxfId="777" priority="1922" operator="containsText" text="Production">
      <formula>NOT(ISERROR(SEARCH("Production",D527)))</formula>
    </cfRule>
  </conditionalFormatting>
  <conditionalFormatting sqref="H530:H531 E530:E531">
    <cfRule type="containsText" dxfId="776" priority="1914" operator="containsText" text="Production">
      <formula>NOT(ISERROR(SEARCH("Production",E530)))</formula>
    </cfRule>
    <cfRule type="containsText" dxfId="775" priority="1915" operator="containsText" text="Roll">
      <formula>NOT(ISERROR(SEARCH("Roll",E530)))</formula>
    </cfRule>
  </conditionalFormatting>
  <conditionalFormatting sqref="D530:D531">
    <cfRule type="containsText" dxfId="774" priority="1912" operator="containsText" text="Roll-To-Roll">
      <formula>NOT(ISERROR(SEARCH("Roll-To-Roll",D530)))</formula>
    </cfRule>
    <cfRule type="containsText" dxfId="773" priority="1913" operator="containsText" text="Production">
      <formula>NOT(ISERROR(SEARCH("Production",D530)))</formula>
    </cfRule>
  </conditionalFormatting>
  <conditionalFormatting sqref="J530:J531">
    <cfRule type="iconSet" priority="1916">
      <iconSet iconSet="3Flags" reverse="1">
        <cfvo type="percent" val="0"/>
        <cfvo type="percent" val="33"/>
        <cfvo type="percent" val="67"/>
      </iconSet>
    </cfRule>
  </conditionalFormatting>
  <conditionalFormatting sqref="L530:L531">
    <cfRule type="iconSet" priority="1917">
      <iconSet iconSet="3Flags" reverse="1">
        <cfvo type="percent" val="0"/>
        <cfvo type="percent" val="33"/>
        <cfvo type="percent" val="67"/>
      </iconSet>
    </cfRule>
    <cfRule type="iconSet" priority="1918">
      <iconSet iconSet="3Flags">
        <cfvo type="percent" val="0"/>
        <cfvo type="percent" val="33"/>
        <cfvo type="percent" val="67"/>
      </iconSet>
    </cfRule>
  </conditionalFormatting>
  <conditionalFormatting sqref="K530:K531">
    <cfRule type="iconSet" priority="1919">
      <iconSet iconSet="3Flags" reverse="1">
        <cfvo type="percent" val="0"/>
        <cfvo type="percent" val="33"/>
        <cfvo type="percent" val="67"/>
      </iconSet>
    </cfRule>
  </conditionalFormatting>
  <conditionalFormatting sqref="F530:F531">
    <cfRule type="iconSet" priority="1920">
      <iconSet iconSet="3Signs">
        <cfvo type="percent" val="0"/>
        <cfvo type="percent" val="33"/>
        <cfvo type="percent" val="67"/>
      </iconSet>
    </cfRule>
  </conditionalFormatting>
  <conditionalFormatting sqref="D532:D533">
    <cfRule type="containsText" dxfId="772" priority="1910" operator="containsText" text="Roll-To-Roll">
      <formula>NOT(ISERROR(SEARCH("Roll-To-Roll",D532)))</formula>
    </cfRule>
    <cfRule type="containsText" dxfId="771" priority="1911" operator="containsText" text="Production">
      <formula>NOT(ISERROR(SEARCH("Production",D532)))</formula>
    </cfRule>
  </conditionalFormatting>
  <conditionalFormatting sqref="J532:J533">
    <cfRule type="iconSet" priority="1909">
      <iconSet iconSet="3Flags" reverse="1">
        <cfvo type="percent" val="0"/>
        <cfvo type="percent" val="33"/>
        <cfvo type="percent" val="67"/>
      </iconSet>
    </cfRule>
  </conditionalFormatting>
  <conditionalFormatting sqref="L532:L533">
    <cfRule type="iconSet" priority="1907">
      <iconSet iconSet="3Flags" reverse="1">
        <cfvo type="percent" val="0"/>
        <cfvo type="percent" val="33"/>
        <cfvo type="percent" val="67"/>
      </iconSet>
    </cfRule>
    <cfRule type="iconSet" priority="1908">
      <iconSet iconSet="3Flags">
        <cfvo type="percent" val="0"/>
        <cfvo type="percent" val="33"/>
        <cfvo type="percent" val="67"/>
      </iconSet>
    </cfRule>
  </conditionalFormatting>
  <conditionalFormatting sqref="K532:K533">
    <cfRule type="iconSet" priority="1906">
      <iconSet iconSet="3Flags" reverse="1">
        <cfvo type="percent" val="0"/>
        <cfvo type="percent" val="33"/>
        <cfvo type="percent" val="67"/>
      </iconSet>
    </cfRule>
  </conditionalFormatting>
  <conditionalFormatting sqref="F532:F533">
    <cfRule type="iconSet" priority="1905">
      <iconSet iconSet="3Signs">
        <cfvo type="percent" val="0"/>
        <cfvo type="percent" val="33"/>
        <cfvo type="percent" val="67"/>
      </iconSet>
    </cfRule>
  </conditionalFormatting>
  <conditionalFormatting sqref="X530">
    <cfRule type="containsText" dxfId="770" priority="1903" operator="containsText" text="Sh">
      <formula>NOT(ISERROR(SEARCH("Sh",X530)))</formula>
    </cfRule>
    <cfRule type="cellIs" dxfId="769" priority="1904" operator="equal">
      <formula>"Sh"</formula>
    </cfRule>
  </conditionalFormatting>
  <conditionalFormatting sqref="X532">
    <cfRule type="containsText" dxfId="768" priority="1901" operator="containsText" text="Sh">
      <formula>NOT(ISERROR(SEARCH("Sh",X532)))</formula>
    </cfRule>
    <cfRule type="cellIs" dxfId="767" priority="1902" operator="equal">
      <formula>"Sh"</formula>
    </cfRule>
  </conditionalFormatting>
  <conditionalFormatting sqref="K485:K552">
    <cfRule type="iconSet" priority="1900">
      <iconSet iconSet="3Flags">
        <cfvo type="percent" val="0"/>
        <cfvo type="percent" val="33"/>
        <cfvo type="percent" val="67"/>
      </iconSet>
    </cfRule>
  </conditionalFormatting>
  <conditionalFormatting sqref="D534:D536">
    <cfRule type="containsText" dxfId="766" priority="1898" operator="containsText" text="Roll-To-Roll">
      <formula>NOT(ISERROR(SEARCH("Roll-To-Roll",D534)))</formula>
    </cfRule>
    <cfRule type="containsText" dxfId="765" priority="1899" operator="containsText" text="Production">
      <formula>NOT(ISERROR(SEARCH("Production",D534)))</formula>
    </cfRule>
  </conditionalFormatting>
  <conditionalFormatting sqref="F534:F536">
    <cfRule type="iconSet" priority="1897">
      <iconSet iconSet="3Signs">
        <cfvo type="percent" val="0"/>
        <cfvo type="percent" val="33"/>
        <cfvo type="percent" val="67"/>
      </iconSet>
    </cfRule>
  </conditionalFormatting>
  <conditionalFormatting sqref="X534:Y534">
    <cfRule type="containsText" dxfId="764" priority="1895" operator="containsText" text="Sh">
      <formula>NOT(ISERROR(SEARCH("Sh",X534)))</formula>
    </cfRule>
    <cfRule type="cellIs" dxfId="763" priority="1896" operator="equal">
      <formula>"Sh"</formula>
    </cfRule>
  </conditionalFormatting>
  <conditionalFormatting sqref="D537:D539">
    <cfRule type="containsText" dxfId="762" priority="1893" operator="containsText" text="Roll-To-Roll">
      <formula>NOT(ISERROR(SEARCH("Roll-To-Roll",D537)))</formula>
    </cfRule>
    <cfRule type="containsText" dxfId="761" priority="1894" operator="containsText" text="Production">
      <formula>NOT(ISERROR(SEARCH("Production",D537)))</formula>
    </cfRule>
  </conditionalFormatting>
  <conditionalFormatting sqref="J537:J539">
    <cfRule type="iconSet" priority="1892">
      <iconSet iconSet="3Flags" reverse="1">
        <cfvo type="percent" val="0"/>
        <cfvo type="percent" val="33"/>
        <cfvo type="percent" val="67"/>
      </iconSet>
    </cfRule>
  </conditionalFormatting>
  <conditionalFormatting sqref="L537:L539">
    <cfRule type="iconSet" priority="1890">
      <iconSet iconSet="3Flags" reverse="1">
        <cfvo type="percent" val="0"/>
        <cfvo type="percent" val="33"/>
        <cfvo type="percent" val="67"/>
      </iconSet>
    </cfRule>
    <cfRule type="iconSet" priority="1891">
      <iconSet iconSet="3Flags">
        <cfvo type="percent" val="0"/>
        <cfvo type="percent" val="33"/>
        <cfvo type="percent" val="67"/>
      </iconSet>
    </cfRule>
  </conditionalFormatting>
  <conditionalFormatting sqref="K537:K539">
    <cfRule type="iconSet" priority="1889">
      <iconSet iconSet="3Flags" reverse="1">
        <cfvo type="percent" val="0"/>
        <cfvo type="percent" val="33"/>
        <cfvo type="percent" val="67"/>
      </iconSet>
    </cfRule>
  </conditionalFormatting>
  <conditionalFormatting sqref="F537:F539">
    <cfRule type="iconSet" priority="1888">
      <iconSet iconSet="3Signs">
        <cfvo type="percent" val="0"/>
        <cfvo type="percent" val="33"/>
        <cfvo type="percent" val="67"/>
      </iconSet>
    </cfRule>
  </conditionalFormatting>
  <conditionalFormatting sqref="X537">
    <cfRule type="containsText" dxfId="760" priority="1886" operator="containsText" text="Sh">
      <formula>NOT(ISERROR(SEARCH("Sh",X537)))</formula>
    </cfRule>
    <cfRule type="cellIs" dxfId="759" priority="1887" operator="equal">
      <formula>"Sh"</formula>
    </cfRule>
  </conditionalFormatting>
  <conditionalFormatting sqref="AA541:AC541">
    <cfRule type="containsText" dxfId="758" priority="1882" operator="containsText" text="Sh">
      <formula>NOT(ISERROR(SEARCH("Sh",AA541)))</formula>
    </cfRule>
    <cfRule type="cellIs" dxfId="757" priority="1883" operator="equal">
      <formula>"Sh"</formula>
    </cfRule>
  </conditionalFormatting>
  <conditionalFormatting sqref="H541 E541">
    <cfRule type="containsText" dxfId="756" priority="1880" operator="containsText" text="Production">
      <formula>NOT(ISERROR(SEARCH("Production",E541)))</formula>
    </cfRule>
    <cfRule type="containsText" dxfId="755" priority="1881" operator="containsText" text="Roll">
      <formula>NOT(ISERROR(SEARCH("Roll",E541)))</formula>
    </cfRule>
  </conditionalFormatting>
  <conditionalFormatting sqref="J541">
    <cfRule type="iconSet" priority="1879">
      <iconSet iconSet="3Flags" reverse="1">
        <cfvo type="percent" val="0"/>
        <cfvo type="percent" val="33"/>
        <cfvo type="percent" val="67"/>
      </iconSet>
    </cfRule>
  </conditionalFormatting>
  <conditionalFormatting sqref="L541">
    <cfRule type="iconSet" priority="1877">
      <iconSet iconSet="3Flags" reverse="1">
        <cfvo type="percent" val="0"/>
        <cfvo type="percent" val="33"/>
        <cfvo type="percent" val="67"/>
      </iconSet>
    </cfRule>
    <cfRule type="iconSet" priority="1878">
      <iconSet iconSet="3Flags">
        <cfvo type="percent" val="0"/>
        <cfvo type="percent" val="33"/>
        <cfvo type="percent" val="67"/>
      </iconSet>
    </cfRule>
  </conditionalFormatting>
  <conditionalFormatting sqref="K541">
    <cfRule type="iconSet" priority="1876">
      <iconSet iconSet="3Flags" reverse="1">
        <cfvo type="percent" val="0"/>
        <cfvo type="percent" val="33"/>
        <cfvo type="percent" val="67"/>
      </iconSet>
    </cfRule>
  </conditionalFormatting>
  <conditionalFormatting sqref="D541">
    <cfRule type="containsText" dxfId="754" priority="1874" operator="containsText" text="Roll-To-Roll">
      <formula>NOT(ISERROR(SEARCH("Roll-To-Roll",D541)))</formula>
    </cfRule>
    <cfRule type="containsText" dxfId="753" priority="1875" operator="containsText" text="Production">
      <formula>NOT(ISERROR(SEARCH("Production",D541)))</formula>
    </cfRule>
  </conditionalFormatting>
  <conditionalFormatting sqref="F541">
    <cfRule type="iconSet" priority="1873">
      <iconSet iconSet="3Signs">
        <cfvo type="percent" val="0"/>
        <cfvo type="percent" val="33"/>
        <cfvo type="percent" val="67"/>
      </iconSet>
    </cfRule>
  </conditionalFormatting>
  <conditionalFormatting sqref="X541">
    <cfRule type="containsText" dxfId="752" priority="1871" operator="containsText" text="Sh">
      <formula>NOT(ISERROR(SEARCH("Sh",X541)))</formula>
    </cfRule>
    <cfRule type="cellIs" dxfId="751" priority="1872" operator="equal">
      <formula>"Sh"</formula>
    </cfRule>
  </conditionalFormatting>
  <conditionalFormatting sqref="AC541">
    <cfRule type="iconSet" priority="1884">
      <iconSet>
        <cfvo type="percent" val="0"/>
        <cfvo type="percent" val="33"/>
        <cfvo type="percent" val="67"/>
      </iconSet>
    </cfRule>
  </conditionalFormatting>
  <conditionalFormatting sqref="AC541">
    <cfRule type="iconSet" priority="1885">
      <iconSet>
        <cfvo type="percent" val="0"/>
        <cfvo type="percent" val="90" gte="0"/>
        <cfvo type="percent" val="100"/>
      </iconSet>
    </cfRule>
  </conditionalFormatting>
  <conditionalFormatting sqref="AA542:AC543">
    <cfRule type="containsText" dxfId="750" priority="1867" operator="containsText" text="Sh">
      <formula>NOT(ISERROR(SEARCH("Sh",AA542)))</formula>
    </cfRule>
    <cfRule type="cellIs" dxfId="749" priority="1868" operator="equal">
      <formula>"Sh"</formula>
    </cfRule>
  </conditionalFormatting>
  <conditionalFormatting sqref="D543:D544">
    <cfRule type="containsText" dxfId="748" priority="1864" operator="containsText" text="Roll-To-Roll">
      <formula>NOT(ISERROR(SEARCH("Roll-To-Roll",D543)))</formula>
    </cfRule>
    <cfRule type="containsText" dxfId="747" priority="1865" operator="containsText" text="Production">
      <formula>NOT(ISERROR(SEARCH("Production",D543)))</formula>
    </cfRule>
  </conditionalFormatting>
  <conditionalFormatting sqref="H542 E542">
    <cfRule type="containsText" dxfId="746" priority="1862" operator="containsText" text="Production">
      <formula>NOT(ISERROR(SEARCH("Production",E542)))</formula>
    </cfRule>
    <cfRule type="containsText" dxfId="745" priority="1863" operator="containsText" text="Roll">
      <formula>NOT(ISERROR(SEARCH("Roll",E542)))</formula>
    </cfRule>
  </conditionalFormatting>
  <conditionalFormatting sqref="J542">
    <cfRule type="iconSet" priority="1861">
      <iconSet iconSet="3Flags" reverse="1">
        <cfvo type="percent" val="0"/>
        <cfvo type="percent" val="33"/>
        <cfvo type="percent" val="67"/>
      </iconSet>
    </cfRule>
  </conditionalFormatting>
  <conditionalFormatting sqref="L542">
    <cfRule type="iconSet" priority="1859">
      <iconSet iconSet="3Flags" reverse="1">
        <cfvo type="percent" val="0"/>
        <cfvo type="percent" val="33"/>
        <cfvo type="percent" val="67"/>
      </iconSet>
    </cfRule>
    <cfRule type="iconSet" priority="1860">
      <iconSet iconSet="3Flags">
        <cfvo type="percent" val="0"/>
        <cfvo type="percent" val="33"/>
        <cfvo type="percent" val="67"/>
      </iconSet>
    </cfRule>
  </conditionalFormatting>
  <conditionalFormatting sqref="K542:K544">
    <cfRule type="iconSet" priority="1858">
      <iconSet iconSet="3Flags" reverse="1">
        <cfvo type="percent" val="0"/>
        <cfvo type="percent" val="33"/>
        <cfvo type="percent" val="67"/>
      </iconSet>
    </cfRule>
  </conditionalFormatting>
  <conditionalFormatting sqref="D542">
    <cfRule type="containsText" dxfId="744" priority="1856" operator="containsText" text="Roll-To-Roll">
      <formula>NOT(ISERROR(SEARCH("Roll-To-Roll",D542)))</formula>
    </cfRule>
    <cfRule type="containsText" dxfId="743" priority="1857" operator="containsText" text="Production">
      <formula>NOT(ISERROR(SEARCH("Production",D542)))</formula>
    </cfRule>
  </conditionalFormatting>
  <conditionalFormatting sqref="F542">
    <cfRule type="iconSet" priority="1855">
      <iconSet iconSet="3Signs">
        <cfvo type="percent" val="0"/>
        <cfvo type="percent" val="33"/>
        <cfvo type="percent" val="67"/>
      </iconSet>
    </cfRule>
  </conditionalFormatting>
  <conditionalFormatting sqref="H543:H544 E543:E544">
    <cfRule type="containsText" dxfId="742" priority="1853" operator="containsText" text="Production">
      <formula>NOT(ISERROR(SEARCH("Production",E543)))</formula>
    </cfRule>
    <cfRule type="containsText" dxfId="741" priority="1854" operator="containsText" text="Roll">
      <formula>NOT(ISERROR(SEARCH("Roll",E543)))</formula>
    </cfRule>
  </conditionalFormatting>
  <conditionalFormatting sqref="J543:J544">
    <cfRule type="iconSet" priority="1852">
      <iconSet iconSet="3Flags" reverse="1">
        <cfvo type="percent" val="0"/>
        <cfvo type="percent" val="33"/>
        <cfvo type="percent" val="67"/>
      </iconSet>
    </cfRule>
  </conditionalFormatting>
  <conditionalFormatting sqref="L543:L544">
    <cfRule type="iconSet" priority="1850">
      <iconSet iconSet="3Flags" reverse="1">
        <cfvo type="percent" val="0"/>
        <cfvo type="percent" val="33"/>
        <cfvo type="percent" val="67"/>
      </iconSet>
    </cfRule>
    <cfRule type="iconSet" priority="1851">
      <iconSet iconSet="3Flags">
        <cfvo type="percent" val="0"/>
        <cfvo type="percent" val="33"/>
        <cfvo type="percent" val="67"/>
      </iconSet>
    </cfRule>
  </conditionalFormatting>
  <conditionalFormatting sqref="X542">
    <cfRule type="containsText" dxfId="740" priority="1848" operator="containsText" text="Sh">
      <formula>NOT(ISERROR(SEARCH("Sh",X542)))</formula>
    </cfRule>
    <cfRule type="cellIs" dxfId="739" priority="1849" operator="equal">
      <formula>"Sh"</formula>
    </cfRule>
  </conditionalFormatting>
  <conditionalFormatting sqref="F543:F544">
    <cfRule type="iconSet" priority="1866">
      <iconSet iconSet="3Signs">
        <cfvo type="percent" val="0"/>
        <cfvo type="percent" val="33"/>
        <cfvo type="percent" val="67"/>
      </iconSet>
    </cfRule>
  </conditionalFormatting>
  <conditionalFormatting sqref="AC542:AC549">
    <cfRule type="iconSet" priority="1869">
      <iconSet>
        <cfvo type="percent" val="0"/>
        <cfvo type="percent" val="33"/>
        <cfvo type="percent" val="67"/>
      </iconSet>
    </cfRule>
  </conditionalFormatting>
  <conditionalFormatting sqref="AC542:AC549">
    <cfRule type="iconSet" priority="1870">
      <iconSet>
        <cfvo type="percent" val="0"/>
        <cfvo type="percent" val="90" gte="0"/>
        <cfvo type="percent" val="100"/>
      </iconSet>
    </cfRule>
  </conditionalFormatting>
  <conditionalFormatting sqref="AA544:AC544 AB545:AC549">
    <cfRule type="containsText" dxfId="738" priority="1846" operator="containsText" text="Sh">
      <formula>NOT(ISERROR(SEARCH("Sh",AA544)))</formula>
    </cfRule>
    <cfRule type="cellIs" dxfId="737" priority="1847" operator="equal">
      <formula>"Sh"</formula>
    </cfRule>
  </conditionalFormatting>
  <conditionalFormatting sqref="D545:D546">
    <cfRule type="containsText" dxfId="736" priority="1844" operator="containsText" text="Roll-To-Roll">
      <formula>NOT(ISERROR(SEARCH("Roll-To-Roll",D545)))</formula>
    </cfRule>
    <cfRule type="containsText" dxfId="735" priority="1845" operator="containsText" text="Production">
      <formula>NOT(ISERROR(SEARCH("Production",D545)))</formula>
    </cfRule>
  </conditionalFormatting>
  <conditionalFormatting sqref="F545:F546">
    <cfRule type="iconSet" priority="1843">
      <iconSet iconSet="3Signs">
        <cfvo type="percent" val="0"/>
        <cfvo type="percent" val="33"/>
        <cfvo type="percent" val="67"/>
      </iconSet>
    </cfRule>
  </conditionalFormatting>
  <conditionalFormatting sqref="X545:Y545">
    <cfRule type="containsText" dxfId="734" priority="1841" operator="containsText" text="Sh">
      <formula>NOT(ISERROR(SEARCH("Sh",X545)))</formula>
    </cfRule>
    <cfRule type="cellIs" dxfId="733" priority="1842" operator="equal">
      <formula>"Sh"</formula>
    </cfRule>
  </conditionalFormatting>
  <conditionalFormatting sqref="D547:D549">
    <cfRule type="containsText" dxfId="732" priority="1839" operator="containsText" text="Roll-To-Roll">
      <formula>NOT(ISERROR(SEARCH("Roll-To-Roll",D547)))</formula>
    </cfRule>
    <cfRule type="containsText" dxfId="731" priority="1840" operator="containsText" text="Production">
      <formula>NOT(ISERROR(SEARCH("Production",D547)))</formula>
    </cfRule>
  </conditionalFormatting>
  <conditionalFormatting sqref="J547:J548">
    <cfRule type="iconSet" priority="1838">
      <iconSet iconSet="3Flags" reverse="1">
        <cfvo type="percent" val="0"/>
        <cfvo type="percent" val="33"/>
        <cfvo type="percent" val="67"/>
      </iconSet>
    </cfRule>
  </conditionalFormatting>
  <conditionalFormatting sqref="L547:L548">
    <cfRule type="iconSet" priority="1836">
      <iconSet iconSet="3Flags" reverse="1">
        <cfvo type="percent" val="0"/>
        <cfvo type="percent" val="33"/>
        <cfvo type="percent" val="67"/>
      </iconSet>
    </cfRule>
    <cfRule type="iconSet" priority="1837">
      <iconSet iconSet="3Flags">
        <cfvo type="percent" val="0"/>
        <cfvo type="percent" val="33"/>
        <cfvo type="percent" val="67"/>
      </iconSet>
    </cfRule>
  </conditionalFormatting>
  <conditionalFormatting sqref="K547:K548">
    <cfRule type="iconSet" priority="1835">
      <iconSet iconSet="3Flags" reverse="1">
        <cfvo type="percent" val="0"/>
        <cfvo type="percent" val="33"/>
        <cfvo type="percent" val="67"/>
      </iconSet>
    </cfRule>
  </conditionalFormatting>
  <conditionalFormatting sqref="F547:F549">
    <cfRule type="iconSet" priority="1834">
      <iconSet iconSet="3Signs">
        <cfvo type="percent" val="0"/>
        <cfvo type="percent" val="33"/>
        <cfvo type="percent" val="67"/>
      </iconSet>
    </cfRule>
  </conditionalFormatting>
  <conditionalFormatting sqref="X547">
    <cfRule type="containsText" dxfId="730" priority="1832" operator="containsText" text="Sh">
      <formula>NOT(ISERROR(SEARCH("Sh",X547)))</formula>
    </cfRule>
    <cfRule type="cellIs" dxfId="729" priority="1833" operator="equal">
      <formula>"Sh"</formula>
    </cfRule>
  </conditionalFormatting>
  <conditionalFormatting sqref="AD485:AD536 AD538:AD552">
    <cfRule type="colorScale" priority="18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485:G552">
    <cfRule type="iconSet" priority="1829">
      <iconSet iconSet="3Flags">
        <cfvo type="percent" val="0"/>
        <cfvo type="percent" val="33"/>
        <cfvo type="percent" val="67"/>
      </iconSet>
    </cfRule>
  </conditionalFormatting>
  <conditionalFormatting sqref="AB364:AB374 AB375:AC390 AC398:AC406 AB397:AB415">
    <cfRule type="containsText" dxfId="728" priority="1791" operator="containsText" text="Sh">
      <formula>NOT(ISERROR(SEARCH("Sh",AB364)))</formula>
    </cfRule>
    <cfRule type="cellIs" dxfId="727" priority="1792" operator="equal">
      <formula>"Sh"</formula>
    </cfRule>
  </conditionalFormatting>
  <conditionalFormatting sqref="H364:H369 D364:E369">
    <cfRule type="containsText" dxfId="726" priority="1789" operator="containsText" text="Production">
      <formula>NOT(ISERROR(SEARCH("Production",D364)))</formula>
    </cfRule>
    <cfRule type="containsText" dxfId="725" priority="1790" operator="containsText" text="Roll">
      <formula>NOT(ISERROR(SEARCH("Roll",D364)))</formula>
    </cfRule>
  </conditionalFormatting>
  <conditionalFormatting sqref="F363">
    <cfRule type="iconSet" priority="1788">
      <iconSet iconSet="3Signs">
        <cfvo type="percent" val="0"/>
        <cfvo type="percent" val="33"/>
        <cfvo type="percent" val="67"/>
      </iconSet>
    </cfRule>
  </conditionalFormatting>
  <conditionalFormatting sqref="Y364:AA364">
    <cfRule type="containsText" dxfId="724" priority="1786" operator="containsText" text="Sh">
      <formula>NOT(ISERROR(SEARCH("Sh",Y364)))</formula>
    </cfRule>
    <cfRule type="cellIs" dxfId="723" priority="1787" operator="equal">
      <formula>"Sh"</formula>
    </cfRule>
  </conditionalFormatting>
  <conditionalFormatting sqref="AC363 AD364">
    <cfRule type="colorScale" priority="1793">
      <colorScale>
        <cfvo type="min"/>
        <cfvo type="num" val="0.1"/>
        <cfvo type="max"/>
        <color theme="9"/>
        <color theme="0"/>
        <color rgb="FFC00000"/>
      </colorScale>
    </cfRule>
  </conditionalFormatting>
  <conditionalFormatting sqref="R363">
    <cfRule type="dataBar" priority="17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{76D41ECC-2A52-4C77-A415-3AE97A8F32F4}</x14:id>
        </ext>
      </extLst>
    </cfRule>
  </conditionalFormatting>
  <conditionalFormatting sqref="T363">
    <cfRule type="dataBar" priority="179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{F6FE323A-B1DE-41DA-84A6-87E6AF5A1144}</x14:id>
        </ext>
      </extLst>
    </cfRule>
  </conditionalFormatting>
  <conditionalFormatting sqref="Y370">
    <cfRule type="containsText" dxfId="722" priority="1780" operator="containsText" text="Sh">
      <formula>NOT(ISERROR(SEARCH("Sh",Y370)))</formula>
    </cfRule>
    <cfRule type="cellIs" dxfId="721" priority="1781" operator="equal">
      <formula>"Sh"</formula>
    </cfRule>
  </conditionalFormatting>
  <conditionalFormatting sqref="Y375:Y376">
    <cfRule type="containsText" dxfId="720" priority="1778" operator="containsText" text="Sh">
      <formula>NOT(ISERROR(SEARCH("Sh",Y375)))</formula>
    </cfRule>
    <cfRule type="cellIs" dxfId="719" priority="1779" operator="equal">
      <formula>"Sh"</formula>
    </cfRule>
  </conditionalFormatting>
  <conditionalFormatting sqref="R370:R377">
    <cfRule type="dataBar" priority="17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{B1D048C5-6B97-43F0-A2B0-8C651F73A018}</x14:id>
        </ext>
      </extLst>
    </cfRule>
  </conditionalFormatting>
  <conditionalFormatting sqref="T370:T377">
    <cfRule type="dataBar" priority="179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{0B80F986-DB0C-4543-923A-949A499A84BA}</x14:id>
        </ext>
      </extLst>
    </cfRule>
  </conditionalFormatting>
  <conditionalFormatting sqref="R370:R377">
    <cfRule type="dataBar" priority="179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{EDE4DC04-C678-4535-B27D-2A590D94A463}</x14:id>
        </ext>
      </extLst>
    </cfRule>
  </conditionalFormatting>
  <conditionalFormatting sqref="U370:U377">
    <cfRule type="dataBar" priority="17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{ACA15DBA-DD67-481B-9A89-29F6DFA02204}</x14:id>
        </ext>
      </extLst>
    </cfRule>
  </conditionalFormatting>
  <conditionalFormatting sqref="S370:S377">
    <cfRule type="dataBar" priority="180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{824A27A0-CB12-4459-9DB0-C90B03349116}</x14:id>
        </ext>
      </extLst>
    </cfRule>
  </conditionalFormatting>
  <conditionalFormatting sqref="R364:R369">
    <cfRule type="dataBar" priority="18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{0922D81C-C22E-4895-90B4-E11AF8E1D2A8}</x14:id>
        </ext>
      </extLst>
    </cfRule>
  </conditionalFormatting>
  <conditionalFormatting sqref="R363:R369">
    <cfRule type="dataBar" priority="18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{E56BEDBB-183E-4854-BF7A-920ABB025B05}</x14:id>
        </ext>
      </extLst>
    </cfRule>
  </conditionalFormatting>
  <conditionalFormatting sqref="T363:T369">
    <cfRule type="dataBar" priority="180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{8A6BC763-4F62-4D69-A211-D90BA920FF3C}</x14:id>
        </ext>
      </extLst>
    </cfRule>
  </conditionalFormatting>
  <conditionalFormatting sqref="R363:R369">
    <cfRule type="dataBar" priority="180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{7642963A-171C-452A-BA21-B367A3351821}</x14:id>
        </ext>
      </extLst>
    </cfRule>
  </conditionalFormatting>
  <conditionalFormatting sqref="U363:U369">
    <cfRule type="dataBar" priority="18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{363EF6AE-ABD7-466A-B8F6-6519E580EE2D}</x14:id>
        </ext>
      </extLst>
    </cfRule>
  </conditionalFormatting>
  <conditionalFormatting sqref="T364:T369">
    <cfRule type="dataBar" priority="180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{5EA314DE-2DA8-4D0A-B533-7732448FBAF6}</x14:id>
        </ext>
      </extLst>
    </cfRule>
  </conditionalFormatting>
  <conditionalFormatting sqref="S363:S369">
    <cfRule type="dataBar" priority="180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{CA4553F4-6E0D-4395-B2E8-13D97AE2D8F3}</x14:id>
        </ext>
      </extLst>
    </cfRule>
  </conditionalFormatting>
  <conditionalFormatting sqref="G363:G369">
    <cfRule type="iconSet" priority="1808">
      <iconSet iconSet="3Flags">
        <cfvo type="percent" val="0"/>
        <cfvo type="percent" val="33"/>
        <cfvo type="percent" val="67"/>
      </iconSet>
    </cfRule>
  </conditionalFormatting>
  <conditionalFormatting sqref="F364:F369">
    <cfRule type="iconSet" priority="1809">
      <iconSet iconSet="3Signs">
        <cfvo type="percent" val="0"/>
        <cfvo type="percent" val="33"/>
        <cfvo type="percent" val="67"/>
      </iconSet>
    </cfRule>
  </conditionalFormatting>
  <conditionalFormatting sqref="Y380">
    <cfRule type="containsText" dxfId="718" priority="1774" operator="containsText" text="Sh">
      <formula>NOT(ISERROR(SEARCH("Sh",Y380)))</formula>
    </cfRule>
    <cfRule type="cellIs" dxfId="717" priority="1775" operator="equal">
      <formula>"Sh"</formula>
    </cfRule>
  </conditionalFormatting>
  <conditionalFormatting sqref="Y383">
    <cfRule type="containsText" dxfId="716" priority="1772" operator="containsText" text="Sh">
      <formula>NOT(ISERROR(SEARCH("Sh",Y383)))</formula>
    </cfRule>
    <cfRule type="cellIs" dxfId="715" priority="1773" operator="equal">
      <formula>"Sh"</formula>
    </cfRule>
  </conditionalFormatting>
  <conditionalFormatting sqref="Y388">
    <cfRule type="containsText" dxfId="714" priority="1770" operator="containsText" text="Sh">
      <formula>NOT(ISERROR(SEARCH("Sh",Y388)))</formula>
    </cfRule>
    <cfRule type="cellIs" dxfId="713" priority="1771" operator="equal">
      <formula>"Sh"</formula>
    </cfRule>
  </conditionalFormatting>
  <conditionalFormatting sqref="H378 D378:E378">
    <cfRule type="containsText" dxfId="712" priority="1759" operator="containsText" text="Production">
      <formula>NOT(ISERROR(SEARCH("Production",D378)))</formula>
    </cfRule>
    <cfRule type="containsText" dxfId="711" priority="1760" operator="containsText" text="Roll">
      <formula>NOT(ISERROR(SEARCH("Roll",D378)))</formula>
    </cfRule>
  </conditionalFormatting>
  <conditionalFormatting sqref="Y378">
    <cfRule type="containsText" dxfId="710" priority="1757" operator="containsText" text="Sh">
      <formula>NOT(ISERROR(SEARCH("Sh",Y378)))</formula>
    </cfRule>
    <cfRule type="cellIs" dxfId="709" priority="1758" operator="equal">
      <formula>"Sh"</formula>
    </cfRule>
  </conditionalFormatting>
  <conditionalFormatting sqref="R378">
    <cfRule type="dataBar" priority="17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{A5C4C140-31E1-43D4-9627-29B8621886DE}</x14:id>
        </ext>
      </extLst>
    </cfRule>
  </conditionalFormatting>
  <conditionalFormatting sqref="R378">
    <cfRule type="dataBar" priority="17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{7F5054D9-7ACD-43D1-8332-8FCFDA9AE329}</x14:id>
        </ext>
      </extLst>
    </cfRule>
  </conditionalFormatting>
  <conditionalFormatting sqref="T378">
    <cfRule type="dataBar" priority="176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{8AD2400C-38B6-4580-A127-CD742832E598}</x14:id>
        </ext>
      </extLst>
    </cfRule>
  </conditionalFormatting>
  <conditionalFormatting sqref="R378">
    <cfRule type="dataBar" priority="17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{62E46FF9-2BAE-48ED-8E9A-879C04339465}</x14:id>
        </ext>
      </extLst>
    </cfRule>
  </conditionalFormatting>
  <conditionalFormatting sqref="U378">
    <cfRule type="dataBar" priority="17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{588BA243-7561-45D9-86E0-B2FCD8AE1AC2}</x14:id>
        </ext>
      </extLst>
    </cfRule>
  </conditionalFormatting>
  <conditionalFormatting sqref="T378">
    <cfRule type="dataBar" priority="17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{F8593E7A-F06A-4F06-A1A5-D736C2D84AAD}</x14:id>
        </ext>
      </extLst>
    </cfRule>
  </conditionalFormatting>
  <conditionalFormatting sqref="S378">
    <cfRule type="dataBar" priority="176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{FCF411A9-74EE-4407-B40F-3EBB6F1FC9EE}</x14:id>
        </ext>
      </extLst>
    </cfRule>
  </conditionalFormatting>
  <conditionalFormatting sqref="G378">
    <cfRule type="iconSet" priority="1768">
      <iconSet iconSet="3Flags">
        <cfvo type="percent" val="0"/>
        <cfvo type="percent" val="33"/>
        <cfvo type="percent" val="67"/>
      </iconSet>
    </cfRule>
  </conditionalFormatting>
  <conditionalFormatting sqref="F378">
    <cfRule type="iconSet" priority="1769">
      <iconSet iconSet="3Signs">
        <cfvo type="percent" val="0"/>
        <cfvo type="percent" val="33"/>
        <cfvo type="percent" val="67"/>
      </iconSet>
    </cfRule>
  </conditionalFormatting>
  <conditionalFormatting sqref="H379 D379:E379">
    <cfRule type="containsText" dxfId="708" priority="1746" operator="containsText" text="Production">
      <formula>NOT(ISERROR(SEARCH("Production",D379)))</formula>
    </cfRule>
    <cfRule type="containsText" dxfId="707" priority="1747" operator="containsText" text="Roll">
      <formula>NOT(ISERROR(SEARCH("Roll",D379)))</formula>
    </cfRule>
  </conditionalFormatting>
  <conditionalFormatting sqref="R379">
    <cfRule type="dataBar" priority="17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{9FEE4013-66AA-4282-9483-965266D25710}</x14:id>
        </ext>
      </extLst>
    </cfRule>
  </conditionalFormatting>
  <conditionalFormatting sqref="R379">
    <cfRule type="dataBar" priority="17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{6FA678B6-A3B8-4FA1-865F-275322939ECE}</x14:id>
        </ext>
      </extLst>
    </cfRule>
  </conditionalFormatting>
  <conditionalFormatting sqref="T379">
    <cfRule type="dataBar" priority="175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{853088EA-8A8C-4F80-AEB3-3571E4F3A968}</x14:id>
        </ext>
      </extLst>
    </cfRule>
  </conditionalFormatting>
  <conditionalFormatting sqref="R379">
    <cfRule type="dataBar" priority="17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{9C82D786-0447-4F64-851B-E8657005725B}</x14:id>
        </ext>
      </extLst>
    </cfRule>
  </conditionalFormatting>
  <conditionalFormatting sqref="U379">
    <cfRule type="dataBar" priority="17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{FE508122-2AE9-4B22-AEEE-2DB5C84BA92A}</x14:id>
        </ext>
      </extLst>
    </cfRule>
  </conditionalFormatting>
  <conditionalFormatting sqref="T379">
    <cfRule type="dataBar" priority="175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{78C0161F-FA04-43BE-97C7-C601395E9C2C}</x14:id>
        </ext>
      </extLst>
    </cfRule>
  </conditionalFormatting>
  <conditionalFormatting sqref="S379">
    <cfRule type="dataBar" priority="175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{3E6772A9-F7E9-4CAC-9A89-A4B76946434C}</x14:id>
        </ext>
      </extLst>
    </cfRule>
  </conditionalFormatting>
  <conditionalFormatting sqref="G379">
    <cfRule type="iconSet" priority="1755">
      <iconSet iconSet="3Flags">
        <cfvo type="percent" val="0"/>
        <cfvo type="percent" val="33"/>
        <cfvo type="percent" val="67"/>
      </iconSet>
    </cfRule>
  </conditionalFormatting>
  <conditionalFormatting sqref="F379">
    <cfRule type="iconSet" priority="1756">
      <iconSet iconSet="3Signs">
        <cfvo type="percent" val="0"/>
        <cfvo type="percent" val="33"/>
        <cfvo type="percent" val="67"/>
      </iconSet>
    </cfRule>
  </conditionalFormatting>
  <conditionalFormatting sqref="AB363 AC364:AC390">
    <cfRule type="iconSet" priority="1810">
      <iconSet>
        <cfvo type="percent" val="0"/>
        <cfvo type="percent" val="90" gte="0"/>
        <cfvo type="percent" val="100"/>
      </iconSet>
    </cfRule>
  </conditionalFormatting>
  <conditionalFormatting sqref="AD409:AD411 AD415:AD423 AB435 AC434 AD425:AD433 AC363 AD364:AD390 AD402:AD406">
    <cfRule type="colorScale" priority="1811">
      <colorScale>
        <cfvo type="min"/>
        <cfvo type="max"/>
        <color rgb="FF63BE7B"/>
        <color rgb="FFFCFCFF"/>
      </colorScale>
    </cfRule>
  </conditionalFormatting>
  <conditionalFormatting sqref="R434:R435 R416 R363:R390 R423:R431">
    <cfRule type="dataBar" priority="18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{FA46D7BB-E411-4384-8E74-15ABBA354EF9}</x14:id>
        </ext>
      </extLst>
    </cfRule>
  </conditionalFormatting>
  <conditionalFormatting sqref="S434:S435 S416 S363:S390 S423:S431">
    <cfRule type="dataBar" priority="18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{D9661B72-A951-4FE2-8C6C-98BE559B43F8}</x14:id>
        </ext>
      </extLst>
    </cfRule>
  </conditionalFormatting>
  <conditionalFormatting sqref="T434:T435 T416 T363:T390 T423:T431">
    <cfRule type="dataBar" priority="18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{18C6B703-F884-4B49-89B9-30F067080C8F}</x14:id>
        </ext>
      </extLst>
    </cfRule>
  </conditionalFormatting>
  <conditionalFormatting sqref="U434:U435 U416 U363:U390 U423:U431">
    <cfRule type="dataBar" priority="18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{9098AB03-E938-4D5B-935E-A2084D400B8A}</x14:id>
        </ext>
      </extLst>
    </cfRule>
  </conditionalFormatting>
  <conditionalFormatting sqref="F416:F435 F363:F390">
    <cfRule type="iconSet" priority="1816">
      <iconSet>
        <cfvo type="percent" val="0"/>
        <cfvo type="percent" val="33"/>
        <cfvo type="percent" val="67"/>
      </iconSet>
    </cfRule>
  </conditionalFormatting>
  <conditionalFormatting sqref="G416:G435 G363:G390">
    <cfRule type="iconSet" priority="1817">
      <iconSet iconSet="3Flags">
        <cfvo type="percent" val="0"/>
        <cfvo type="percent" val="33"/>
        <cfvo type="percent" val="67"/>
      </iconSet>
    </cfRule>
  </conditionalFormatting>
  <conditionalFormatting sqref="R434:R435 R416 R429:R431">
    <cfRule type="dataBar" priority="18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{1A3D32F7-81B3-4034-B50B-20DE39A0BDFB}</x14:id>
        </ext>
      </extLst>
    </cfRule>
  </conditionalFormatting>
  <conditionalFormatting sqref="AB392:AC395">
    <cfRule type="containsText" dxfId="706" priority="1735" operator="containsText" text="Sh">
      <formula>NOT(ISERROR(SEARCH("Sh",AB392)))</formula>
    </cfRule>
    <cfRule type="cellIs" dxfId="705" priority="1736" operator="equal">
      <formula>"Sh"</formula>
    </cfRule>
  </conditionalFormatting>
  <conditionalFormatting sqref="H392:H396 D392:E395 E396 D396:D397">
    <cfRule type="containsText" dxfId="704" priority="1733" operator="containsText" text="Production">
      <formula>NOT(ISERROR(SEARCH("Production",D392)))</formula>
    </cfRule>
    <cfRule type="containsText" dxfId="703" priority="1734" operator="containsText" text="Roll">
      <formula>NOT(ISERROR(SEARCH("Roll",D392)))</formula>
    </cfRule>
  </conditionalFormatting>
  <conditionalFormatting sqref="Y392:AA392">
    <cfRule type="containsText" dxfId="702" priority="1731" operator="containsText" text="Sh">
      <formula>NOT(ISERROR(SEARCH("Sh",Y392)))</formula>
    </cfRule>
    <cfRule type="cellIs" dxfId="701" priority="1732" operator="equal">
      <formula>"Sh"</formula>
    </cfRule>
  </conditionalFormatting>
  <conditionalFormatting sqref="T392:T395">
    <cfRule type="dataBar" priority="173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{E62F267B-2FC9-4E02-B04A-30AC7998058B}</x14:id>
        </ext>
      </extLst>
    </cfRule>
  </conditionalFormatting>
  <conditionalFormatting sqref="U392:U395">
    <cfRule type="dataBar" priority="17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{68979B84-75BB-4081-A324-85C3DD6EC72A}</x14:id>
        </ext>
      </extLst>
    </cfRule>
  </conditionalFormatting>
  <conditionalFormatting sqref="T392:T395">
    <cfRule type="dataBar" priority="17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{509A91AF-4ECE-4FBC-AA68-911B9D9DAA2D}</x14:id>
        </ext>
      </extLst>
    </cfRule>
  </conditionalFormatting>
  <conditionalFormatting sqref="S392:S395">
    <cfRule type="dataBar" priority="174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{6104B68B-6986-4F18-93F5-8A017754C9D0}</x14:id>
        </ext>
      </extLst>
    </cfRule>
  </conditionalFormatting>
  <conditionalFormatting sqref="S392:S395">
    <cfRule type="dataBar" priority="174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{BF6A0DA3-3A5D-4B3C-BEC7-167EE3F42469}</x14:id>
        </ext>
      </extLst>
    </cfRule>
  </conditionalFormatting>
  <conditionalFormatting sqref="T392:T395">
    <cfRule type="dataBar" priority="17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{32F1D572-B8AE-46DD-9A4F-F0D716B56C7D}</x14:id>
        </ext>
      </extLst>
    </cfRule>
  </conditionalFormatting>
  <conditionalFormatting sqref="U392:U395">
    <cfRule type="dataBar" priority="17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{ACE90D30-AC88-4184-BA24-7BC42D47A48C}</x14:id>
        </ext>
      </extLst>
    </cfRule>
  </conditionalFormatting>
  <conditionalFormatting sqref="AB396:AC396">
    <cfRule type="containsText" dxfId="700" priority="1729" operator="containsText" text="Sh">
      <formula>NOT(ISERROR(SEARCH("Sh",AB396)))</formula>
    </cfRule>
    <cfRule type="cellIs" dxfId="699" priority="1730" operator="equal">
      <formula>"Sh"</formula>
    </cfRule>
  </conditionalFormatting>
  <conditionalFormatting sqref="T396">
    <cfRule type="dataBar" priority="17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{265DE069-7D23-48CB-B873-BBA324FC5660}</x14:id>
        </ext>
      </extLst>
    </cfRule>
  </conditionalFormatting>
  <conditionalFormatting sqref="U396">
    <cfRule type="dataBar" priority="17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{69441F94-D597-4B66-BE36-F17267777AD9}</x14:id>
        </ext>
      </extLst>
    </cfRule>
  </conditionalFormatting>
  <conditionalFormatting sqref="T397">
    <cfRule type="dataBar" priority="17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{21C1BE47-B873-4275-9C37-13189CAE2979}</x14:id>
        </ext>
      </extLst>
    </cfRule>
  </conditionalFormatting>
  <conditionalFormatting sqref="U397">
    <cfRule type="dataBar" priority="17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{51B48412-E4F0-447A-9E7E-0CB6953074CC}</x14:id>
        </ext>
      </extLst>
    </cfRule>
  </conditionalFormatting>
  <conditionalFormatting sqref="S363:S435">
    <cfRule type="dataBar" priority="165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{86598CC5-83F9-4ED0-B5B0-32DBFD394675}</x14:id>
        </ext>
      </extLst>
    </cfRule>
  </conditionalFormatting>
  <conditionalFormatting sqref="T363:T435">
    <cfRule type="dataBar" priority="16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{890F457F-F8CE-41DF-8BEF-E7A4F04205AB}</x14:id>
        </ext>
      </extLst>
    </cfRule>
  </conditionalFormatting>
  <conditionalFormatting sqref="U363:U435">
    <cfRule type="dataBar" priority="16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{D368C1D8-A518-4EEC-AB4B-0C6FB1C79B94}</x14:id>
        </ext>
      </extLst>
    </cfRule>
  </conditionalFormatting>
  <conditionalFormatting sqref="AC397">
    <cfRule type="containsText" dxfId="698" priority="1723" operator="containsText" text="Sh">
      <formula>NOT(ISERROR(SEARCH("Sh",AC397)))</formula>
    </cfRule>
    <cfRule type="cellIs" dxfId="697" priority="1724" operator="equal">
      <formula>"Sh"</formula>
    </cfRule>
  </conditionalFormatting>
  <conditionalFormatting sqref="R363:R435">
    <cfRule type="dataBar" priority="165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{3EBE1E34-DB2E-4638-A2D3-BA9217CBBD9B}</x14:id>
        </ext>
      </extLst>
    </cfRule>
  </conditionalFormatting>
  <conditionalFormatting sqref="R398:R399">
    <cfRule type="dataBar" priority="181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{F5BB92DC-5EF0-4705-93C2-CCA8EBCA7196}</x14:id>
        </ext>
      </extLst>
    </cfRule>
  </conditionalFormatting>
  <conditionalFormatting sqref="S398:S399">
    <cfRule type="dataBar" priority="18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{C3D2C3E1-F5DF-4F7F-9AE2-AF8E0EEBCEE2}</x14:id>
        </ext>
      </extLst>
    </cfRule>
  </conditionalFormatting>
  <conditionalFormatting sqref="T398:T399">
    <cfRule type="dataBar" priority="18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{0E5C2216-4A20-4740-BAEC-2660EA524E2E}</x14:id>
        </ext>
      </extLst>
    </cfRule>
  </conditionalFormatting>
  <conditionalFormatting sqref="U398:U399">
    <cfRule type="dataBar" priority="18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{9E2CC74A-002F-4739-A58A-106C068D81C9}</x14:id>
        </ext>
      </extLst>
    </cfRule>
  </conditionalFormatting>
  <conditionalFormatting sqref="AA435 AB363 AB434 AC364:AC433">
    <cfRule type="iconSet" priority="1722">
      <iconSet>
        <cfvo type="percent" val="0"/>
        <cfvo type="percent" val="33"/>
        <cfvo type="percent" val="67"/>
      </iconSet>
    </cfRule>
  </conditionalFormatting>
  <conditionalFormatting sqref="J363:J435">
    <cfRule type="iconSet" priority="1721">
      <iconSet iconSet="3Flags" reverse="1">
        <cfvo type="percent" val="0"/>
        <cfvo type="percent" val="33"/>
        <cfvo type="percent" val="67"/>
      </iconSet>
    </cfRule>
  </conditionalFormatting>
  <conditionalFormatting sqref="K363:K435">
    <cfRule type="iconSet" priority="1720">
      <iconSet iconSet="3Flags" reverse="1">
        <cfvo type="percent" val="0"/>
        <cfvo type="percent" val="33"/>
        <cfvo type="percent" val="67"/>
      </iconSet>
    </cfRule>
  </conditionalFormatting>
  <conditionalFormatting sqref="L363:L435">
    <cfRule type="iconSet" priority="1718">
      <iconSet iconSet="3Flags" reverse="1">
        <cfvo type="percent" val="0"/>
        <cfvo type="percent" val="33"/>
        <cfvo type="percent" val="67"/>
      </iconSet>
    </cfRule>
    <cfRule type="iconSet" priority="1719">
      <iconSet iconSet="3Flags">
        <cfvo type="percent" val="0"/>
        <cfvo type="percent" val="33"/>
        <cfvo type="percent" val="67"/>
      </iconSet>
    </cfRule>
  </conditionalFormatting>
  <conditionalFormatting sqref="R413:R415">
    <cfRule type="dataBar" priority="17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{7983788C-78F9-48D1-85DE-106B9F88F86B}</x14:id>
        </ext>
      </extLst>
    </cfRule>
  </conditionalFormatting>
  <conditionalFormatting sqref="R413:R415">
    <cfRule type="dataBar" priority="17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{B82B8AC4-E55A-4EE8-9A93-E2D78761ADAE}</x14:id>
        </ext>
      </extLst>
    </cfRule>
  </conditionalFormatting>
  <conditionalFormatting sqref="T413:T415">
    <cfRule type="dataBar" priority="170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{7504E23A-2B73-43ED-82E8-180A98A3C069}</x14:id>
        </ext>
      </extLst>
    </cfRule>
  </conditionalFormatting>
  <conditionalFormatting sqref="R413:R415">
    <cfRule type="dataBar" priority="170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{A37B5F92-93CA-4C47-A905-7F456B5467CE}</x14:id>
        </ext>
      </extLst>
    </cfRule>
  </conditionalFormatting>
  <conditionalFormatting sqref="U413:U415">
    <cfRule type="dataBar" priority="17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{732ACA34-6312-4CBD-A10D-95DA8DFCA45B}</x14:id>
        </ext>
      </extLst>
    </cfRule>
  </conditionalFormatting>
  <conditionalFormatting sqref="T413:T415">
    <cfRule type="dataBar" priority="17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{14BD55DE-1D62-4BAF-930D-C5C79B0E6841}</x14:id>
        </ext>
      </extLst>
    </cfRule>
  </conditionalFormatting>
  <conditionalFormatting sqref="S413:S415">
    <cfRule type="dataBar" priority="17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{990600B8-070E-4543-9580-A3C640B70BB0}</x14:id>
        </ext>
      </extLst>
    </cfRule>
  </conditionalFormatting>
  <conditionalFormatting sqref="R413:R415">
    <cfRule type="dataBar" priority="17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{E2D6274F-68F8-4CF0-B67E-BA31940480B2}</x14:id>
        </ext>
      </extLst>
    </cfRule>
  </conditionalFormatting>
  <conditionalFormatting sqref="S413:S415">
    <cfRule type="dataBar" priority="17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{D20B93F5-C116-4801-9BD2-FD5134A1C49E}</x14:id>
        </ext>
      </extLst>
    </cfRule>
  </conditionalFormatting>
  <conditionalFormatting sqref="T413:T415">
    <cfRule type="dataBar" priority="17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{C09FBF94-A2A0-483A-81DE-81E005897BCD}</x14:id>
        </ext>
      </extLst>
    </cfRule>
  </conditionalFormatting>
  <conditionalFormatting sqref="U413:U415">
    <cfRule type="dataBar" priority="17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{B90EC74D-E544-440E-AF40-42141E398318}</x14:id>
        </ext>
      </extLst>
    </cfRule>
  </conditionalFormatting>
  <conditionalFormatting sqref="R413:R415">
    <cfRule type="dataBar" priority="17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{12BD3DB4-7388-4055-84E2-EA79F2368EEA}</x14:id>
        </ext>
      </extLst>
    </cfRule>
  </conditionalFormatting>
  <conditionalFormatting sqref="Y410">
    <cfRule type="containsText" dxfId="696" priority="1704" operator="containsText" text="Sh">
      <formula>NOT(ISERROR(SEARCH("Sh",Y410)))</formula>
    </cfRule>
    <cfRule type="cellIs" dxfId="695" priority="1705" operator="equal">
      <formula>"Sh"</formula>
    </cfRule>
  </conditionalFormatting>
  <conditionalFormatting sqref="Y413">
    <cfRule type="containsText" dxfId="694" priority="1702" operator="containsText" text="Sh">
      <formula>NOT(ISERROR(SEARCH("Sh",Y413)))</formula>
    </cfRule>
    <cfRule type="cellIs" dxfId="693" priority="1703" operator="equal">
      <formula>"Sh"</formula>
    </cfRule>
  </conditionalFormatting>
  <conditionalFormatting sqref="R417:R420">
    <cfRule type="dataBar" priority="16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{67A74DE5-B5D5-469A-A512-2D78B2E1A06D}</x14:id>
        </ext>
      </extLst>
    </cfRule>
  </conditionalFormatting>
  <conditionalFormatting sqref="R417:R420">
    <cfRule type="dataBar" priority="16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{311FCE8B-725B-4C37-8228-800F66BC4B38}</x14:id>
        </ext>
      </extLst>
    </cfRule>
  </conditionalFormatting>
  <conditionalFormatting sqref="T417:T420">
    <cfRule type="dataBar" priority="169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{91A9F674-3480-4801-94F0-94F9C0E54D2A}</x14:id>
        </ext>
      </extLst>
    </cfRule>
  </conditionalFormatting>
  <conditionalFormatting sqref="R417:R420">
    <cfRule type="dataBar" priority="169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{D469B3AD-F043-41E7-B196-18EE7279EC51}</x14:id>
        </ext>
      </extLst>
    </cfRule>
  </conditionalFormatting>
  <conditionalFormatting sqref="U417:U420">
    <cfRule type="dataBar" priority="16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{19AEA117-7BB5-4C67-A660-00F18623215E}</x14:id>
        </ext>
      </extLst>
    </cfRule>
  </conditionalFormatting>
  <conditionalFormatting sqref="T417:T420">
    <cfRule type="dataBar" priority="169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{5ABC61D9-0E80-4AA6-A370-C2F3FC9EE25E}</x14:id>
        </ext>
      </extLst>
    </cfRule>
  </conditionalFormatting>
  <conditionalFormatting sqref="S417:S420">
    <cfRule type="dataBar" priority="169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{1F1EA7D9-A6EF-40BC-83D7-12D9B2A03BE7}</x14:id>
        </ext>
      </extLst>
    </cfRule>
  </conditionalFormatting>
  <conditionalFormatting sqref="R417:R420">
    <cfRule type="dataBar" priority="169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{A04BED6C-B696-49C0-AC5F-A657B8D9EE1F}</x14:id>
        </ext>
      </extLst>
    </cfRule>
  </conditionalFormatting>
  <conditionalFormatting sqref="S417:S420">
    <cfRule type="dataBar" priority="169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{FBE0EC88-8E3C-4424-B12B-65773FA21432}</x14:id>
        </ext>
      </extLst>
    </cfRule>
  </conditionalFormatting>
  <conditionalFormatting sqref="T417:T420">
    <cfRule type="dataBar" priority="169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{D3639996-8795-4E37-B161-148139843913}</x14:id>
        </ext>
      </extLst>
    </cfRule>
  </conditionalFormatting>
  <conditionalFormatting sqref="U417:U420">
    <cfRule type="dataBar" priority="16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{0A3BDA64-E550-4E17-BA3C-2F038EC97A46}</x14:id>
        </ext>
      </extLst>
    </cfRule>
  </conditionalFormatting>
  <conditionalFormatting sqref="R417:R420">
    <cfRule type="dataBar" priority="169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{BE2817DE-BC4A-4C8E-B5EA-322FEA7FA994}</x14:id>
        </ext>
      </extLst>
    </cfRule>
  </conditionalFormatting>
  <conditionalFormatting sqref="R421:R422">
    <cfRule type="dataBar" priority="16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{3475DB36-DF3B-4E02-AEB4-91463202D39F}</x14:id>
        </ext>
      </extLst>
    </cfRule>
  </conditionalFormatting>
  <conditionalFormatting sqref="R421:R422">
    <cfRule type="dataBar" priority="16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{339557E2-73AE-4F67-A2ED-FC3EB731A828}</x14:id>
        </ext>
      </extLst>
    </cfRule>
  </conditionalFormatting>
  <conditionalFormatting sqref="T421:T422">
    <cfRule type="dataBar" priority="167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{6EFC1EC7-066B-4CD2-A506-801C4A78563B}</x14:id>
        </ext>
      </extLst>
    </cfRule>
  </conditionalFormatting>
  <conditionalFormatting sqref="R421:R422">
    <cfRule type="dataBar" priority="167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{2C4856A3-3FC3-41E3-8CBC-7F835556BFB9}</x14:id>
        </ext>
      </extLst>
    </cfRule>
  </conditionalFormatting>
  <conditionalFormatting sqref="U421:U422">
    <cfRule type="dataBar" priority="16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{A9FCAC2F-90B3-4FB1-80AE-604F5DB1459F}</x14:id>
        </ext>
      </extLst>
    </cfRule>
  </conditionalFormatting>
  <conditionalFormatting sqref="T421:T422">
    <cfRule type="dataBar" priority="168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{D785F9D0-F01C-431A-8B12-35AE94C893AC}</x14:id>
        </ext>
      </extLst>
    </cfRule>
  </conditionalFormatting>
  <conditionalFormatting sqref="S421:S422">
    <cfRule type="dataBar" priority="168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{3DDA76D3-B98D-4833-8A22-DE30E52F5209}</x14:id>
        </ext>
      </extLst>
    </cfRule>
  </conditionalFormatting>
  <conditionalFormatting sqref="R421:R422">
    <cfRule type="dataBar" priority="168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{F9255FAE-493F-4C33-A7EB-5964900A3940}</x14:id>
        </ext>
      </extLst>
    </cfRule>
  </conditionalFormatting>
  <conditionalFormatting sqref="S421:S422">
    <cfRule type="dataBar" priority="168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{20DFB230-D4F0-459D-8012-E30B55031317}</x14:id>
        </ext>
      </extLst>
    </cfRule>
  </conditionalFormatting>
  <conditionalFormatting sqref="T421:T422">
    <cfRule type="dataBar" priority="168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{509A0DE1-504B-4322-9B7B-64A6350FBC69}</x14:id>
        </ext>
      </extLst>
    </cfRule>
  </conditionalFormatting>
  <conditionalFormatting sqref="U421:U422">
    <cfRule type="dataBar" priority="16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{F2322568-986A-472F-9972-5E026BD30DEC}</x14:id>
        </ext>
      </extLst>
    </cfRule>
  </conditionalFormatting>
  <conditionalFormatting sqref="R421:R422">
    <cfRule type="dataBar" priority="168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{16DFDCD8-13E6-42D0-A4CB-D180BA7F9DA1}</x14:id>
        </ext>
      </extLst>
    </cfRule>
  </conditionalFormatting>
  <conditionalFormatting sqref="R423:R428">
    <cfRule type="dataBar" priority="16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{AF041A6A-35C8-4139-8E5B-222361D93C12}</x14:id>
        </ext>
      </extLst>
    </cfRule>
  </conditionalFormatting>
  <conditionalFormatting sqref="T423:T428">
    <cfRule type="dataBar" priority="167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{A237790B-6447-4007-BF16-EAACA339F604}</x14:id>
        </ext>
      </extLst>
    </cfRule>
  </conditionalFormatting>
  <conditionalFormatting sqref="R423:R428">
    <cfRule type="dataBar" priority="167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{FAA9516F-514C-4893-9219-2C032DFD82A8}</x14:id>
        </ext>
      </extLst>
    </cfRule>
  </conditionalFormatting>
  <conditionalFormatting sqref="U423:U428">
    <cfRule type="dataBar" priority="16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{3B2C56A1-E0A2-43E1-957E-E09C760B2693}</x14:id>
        </ext>
      </extLst>
    </cfRule>
  </conditionalFormatting>
  <conditionalFormatting sqref="S423:S428">
    <cfRule type="dataBar" priority="167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{D7A83EBA-25BD-4885-A4AA-7F426E32B735}</x14:id>
        </ext>
      </extLst>
    </cfRule>
  </conditionalFormatting>
  <conditionalFormatting sqref="R432:R433">
    <cfRule type="dataBar" priority="16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{AFA03648-08A2-4754-A316-91A3454523CE}</x14:id>
        </ext>
      </extLst>
    </cfRule>
  </conditionalFormatting>
  <conditionalFormatting sqref="R432:R433">
    <cfRule type="dataBar" priority="16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{1623903B-F8EE-48CA-A242-C26BD12D94FC}</x14:id>
        </ext>
      </extLst>
    </cfRule>
  </conditionalFormatting>
  <conditionalFormatting sqref="T432:T433">
    <cfRule type="dataBar" priority="16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{2BCBB64B-1E04-499A-AD33-569132837648}</x14:id>
        </ext>
      </extLst>
    </cfRule>
  </conditionalFormatting>
  <conditionalFormatting sqref="R432:R433">
    <cfRule type="dataBar" priority="16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{A1DB713D-0B2A-42B5-91F4-486C9371A869}</x14:id>
        </ext>
      </extLst>
    </cfRule>
  </conditionalFormatting>
  <conditionalFormatting sqref="U432:U433">
    <cfRule type="dataBar" priority="16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{735293EA-CFA8-49B4-AEF1-A2B46D40820A}</x14:id>
        </ext>
      </extLst>
    </cfRule>
  </conditionalFormatting>
  <conditionalFormatting sqref="T432:T433">
    <cfRule type="dataBar" priority="166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{7BE07F68-EEBC-4F3C-9A52-C511F93FEFF1}</x14:id>
        </ext>
      </extLst>
    </cfRule>
  </conditionalFormatting>
  <conditionalFormatting sqref="S432:S433">
    <cfRule type="dataBar" priority="166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{B6E59FC5-E27D-419E-B453-57488B31A487}</x14:id>
        </ext>
      </extLst>
    </cfRule>
  </conditionalFormatting>
  <conditionalFormatting sqref="R432:R433">
    <cfRule type="dataBar" priority="166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{36CD8121-1400-4A25-B2D9-206F57A0C3A6}</x14:id>
        </ext>
      </extLst>
    </cfRule>
  </conditionalFormatting>
  <conditionalFormatting sqref="S432:S433">
    <cfRule type="dataBar" priority="166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{8BD8D6DB-D88E-4E18-8C5E-38E731F98D71}</x14:id>
        </ext>
      </extLst>
    </cfRule>
  </conditionalFormatting>
  <conditionalFormatting sqref="T432:T433">
    <cfRule type="dataBar" priority="166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{A4E3C23B-767C-4824-9AB0-7751BBB541BB}</x14:id>
        </ext>
      </extLst>
    </cfRule>
  </conditionalFormatting>
  <conditionalFormatting sqref="U432:U433">
    <cfRule type="dataBar" priority="16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{8BFACB9D-B2BC-4E00-A55C-37124778F004}</x14:id>
        </ext>
      </extLst>
    </cfRule>
  </conditionalFormatting>
  <conditionalFormatting sqref="R432:R433">
    <cfRule type="dataBar" priority="167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{5B739BA8-BAC8-4FB7-94B1-953C13756A23}</x14:id>
        </ext>
      </extLst>
    </cfRule>
  </conditionalFormatting>
  <conditionalFormatting sqref="AB417:AB433">
    <cfRule type="containsText" dxfId="692" priority="1651" operator="containsText" text="Sh">
      <formula>NOT(ISERROR(SEARCH("Sh",AB417)))</formula>
    </cfRule>
    <cfRule type="cellIs" dxfId="691" priority="1652" operator="equal">
      <formula>"Sh"</formula>
    </cfRule>
  </conditionalFormatting>
  <conditionalFormatting sqref="AD364:AD423 AC363 AB435 AC434 AD425:AD433">
    <cfRule type="colorScale" priority="1650">
      <colorScale>
        <cfvo type="min"/>
        <cfvo type="max"/>
        <color rgb="FF63BE7B"/>
        <color rgb="FFFFEF9C"/>
      </colorScale>
    </cfRule>
  </conditionalFormatting>
  <conditionalFormatting sqref="R392:R397">
    <cfRule type="dataBar" priority="18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{C8340911-5384-4476-A8C3-6A869CA1F796}</x14:id>
        </ext>
      </extLst>
    </cfRule>
  </conditionalFormatting>
  <conditionalFormatting sqref="R392:R397">
    <cfRule type="dataBar" priority="18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{4CA216A3-EDEF-40B1-8E0F-59D01784239E}</x14:id>
        </ext>
      </extLst>
    </cfRule>
  </conditionalFormatting>
  <conditionalFormatting sqref="G392:G415">
    <cfRule type="iconSet" priority="1825">
      <iconSet iconSet="3Flags">
        <cfvo type="percent" val="0"/>
        <cfvo type="percent" val="33"/>
        <cfvo type="percent" val="67"/>
      </iconSet>
    </cfRule>
  </conditionalFormatting>
  <conditionalFormatting sqref="F392:F415">
    <cfRule type="iconSet" priority="1826">
      <iconSet iconSet="3Signs">
        <cfvo type="percent" val="0"/>
        <cfvo type="percent" val="33"/>
        <cfvo type="percent" val="67"/>
      </iconSet>
    </cfRule>
  </conditionalFormatting>
  <conditionalFormatting sqref="AC392:AC406">
    <cfRule type="iconSet" priority="1827">
      <iconSet>
        <cfvo type="percent" val="0"/>
        <cfvo type="percent" val="90" gte="0"/>
        <cfvo type="percent" val="100"/>
      </iconSet>
    </cfRule>
  </conditionalFormatting>
  <conditionalFormatting sqref="F392:F415">
    <cfRule type="iconSet" priority="1828">
      <iconSet>
        <cfvo type="percent" val="0"/>
        <cfvo type="percent" val="33"/>
        <cfvo type="percent" val="67"/>
      </iconSet>
    </cfRule>
  </conditionalFormatting>
  <conditionalFormatting sqref="AC363 AC434 AD364:AD433 AB435">
    <cfRule type="colorScale" priority="1649">
      <colorScale>
        <cfvo type="min"/>
        <cfvo type="max"/>
        <color rgb="FF63BE7B"/>
        <color rgb="FFFFEF9C"/>
      </colorScale>
    </cfRule>
  </conditionalFormatting>
  <conditionalFormatting sqref="AH364:AH412">
    <cfRule type="colorScale" priority="16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363:AH412 AG435">
    <cfRule type="colorScale" priority="16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364:AO433">
    <cfRule type="colorScale" priority="16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364:AO433">
    <cfRule type="colorScale" priority="16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13:AI433">
    <cfRule type="colorScale" priority="16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13:AI434">
    <cfRule type="colorScale" priority="16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64:X367">
    <cfRule type="containsText" dxfId="690" priority="1641" operator="containsText" text="Sh">
      <formula>NOT(ISERROR(SEARCH("Sh",X364)))</formula>
    </cfRule>
    <cfRule type="cellIs" dxfId="689" priority="1642" operator="equal">
      <formula>"Sh"</formula>
    </cfRule>
  </conditionalFormatting>
  <conditionalFormatting sqref="X368">
    <cfRule type="containsText" dxfId="688" priority="1639" operator="containsText" text="Sh">
      <formula>NOT(ISERROR(SEARCH("Sh",X368)))</formula>
    </cfRule>
    <cfRule type="cellIs" dxfId="687" priority="1640" operator="equal">
      <formula>"Sh"</formula>
    </cfRule>
  </conditionalFormatting>
  <conditionalFormatting sqref="X370">
    <cfRule type="containsText" dxfId="686" priority="1637" operator="containsText" text="Sh">
      <formula>NOT(ISERROR(SEARCH("Sh",X370)))</formula>
    </cfRule>
    <cfRule type="cellIs" dxfId="685" priority="1638" operator="equal">
      <formula>"Sh"</formula>
    </cfRule>
  </conditionalFormatting>
  <conditionalFormatting sqref="X373">
    <cfRule type="containsText" dxfId="684" priority="1635" operator="containsText" text="Sh">
      <formula>NOT(ISERROR(SEARCH("Sh",X373)))</formula>
    </cfRule>
    <cfRule type="cellIs" dxfId="683" priority="1636" operator="equal">
      <formula>"Sh"</formula>
    </cfRule>
  </conditionalFormatting>
  <conditionalFormatting sqref="X375">
    <cfRule type="containsText" dxfId="682" priority="1633" operator="containsText" text="Sh">
      <formula>NOT(ISERROR(SEARCH("Sh",X375)))</formula>
    </cfRule>
    <cfRule type="cellIs" dxfId="681" priority="1634" operator="equal">
      <formula>"Sh"</formula>
    </cfRule>
  </conditionalFormatting>
  <conditionalFormatting sqref="X378">
    <cfRule type="containsText" dxfId="680" priority="1631" operator="containsText" text="Sh">
      <formula>NOT(ISERROR(SEARCH("Sh",X378)))</formula>
    </cfRule>
    <cfRule type="cellIs" dxfId="679" priority="1632" operator="equal">
      <formula>"Sh"</formula>
    </cfRule>
  </conditionalFormatting>
  <conditionalFormatting sqref="X379">
    <cfRule type="containsText" dxfId="678" priority="1629" operator="containsText" text="Sh">
      <formula>NOT(ISERROR(SEARCH("Sh",X379)))</formula>
    </cfRule>
    <cfRule type="cellIs" dxfId="677" priority="1630" operator="equal">
      <formula>"Sh"</formula>
    </cfRule>
  </conditionalFormatting>
  <conditionalFormatting sqref="X380">
    <cfRule type="containsText" dxfId="676" priority="1627" operator="containsText" text="Sh">
      <formula>NOT(ISERROR(SEARCH("Sh",X380)))</formula>
    </cfRule>
    <cfRule type="cellIs" dxfId="675" priority="1628" operator="equal">
      <formula>"Sh"</formula>
    </cfRule>
  </conditionalFormatting>
  <conditionalFormatting sqref="X383">
    <cfRule type="containsText" dxfId="674" priority="1625" operator="containsText" text="Sh">
      <formula>NOT(ISERROR(SEARCH("Sh",X383)))</formula>
    </cfRule>
    <cfRule type="cellIs" dxfId="673" priority="1626" operator="equal">
      <formula>"Sh"</formula>
    </cfRule>
  </conditionalFormatting>
  <conditionalFormatting sqref="X386">
    <cfRule type="containsText" dxfId="672" priority="1623" operator="containsText" text="Sh">
      <formula>NOT(ISERROR(SEARCH("Sh",X386)))</formula>
    </cfRule>
    <cfRule type="cellIs" dxfId="671" priority="1624" operator="equal">
      <formula>"Sh"</formula>
    </cfRule>
  </conditionalFormatting>
  <conditionalFormatting sqref="X388">
    <cfRule type="containsText" dxfId="670" priority="1621" operator="containsText" text="Sh">
      <formula>NOT(ISERROR(SEARCH("Sh",X388)))</formula>
    </cfRule>
    <cfRule type="cellIs" dxfId="669" priority="1622" operator="equal">
      <formula>"Sh"</formula>
    </cfRule>
  </conditionalFormatting>
  <conditionalFormatting sqref="X392">
    <cfRule type="containsText" dxfId="668" priority="1619" operator="containsText" text="Sh">
      <formula>NOT(ISERROR(SEARCH("Sh",X392)))</formula>
    </cfRule>
    <cfRule type="cellIs" dxfId="667" priority="1620" operator="equal">
      <formula>"Sh"</formula>
    </cfRule>
  </conditionalFormatting>
  <conditionalFormatting sqref="X394">
    <cfRule type="containsText" dxfId="666" priority="1617" operator="containsText" text="Sh">
      <formula>NOT(ISERROR(SEARCH("Sh",X394)))</formula>
    </cfRule>
    <cfRule type="cellIs" dxfId="665" priority="1618" operator="equal">
      <formula>"Sh"</formula>
    </cfRule>
  </conditionalFormatting>
  <conditionalFormatting sqref="X400">
    <cfRule type="containsText" dxfId="664" priority="1615" operator="containsText" text="Sh">
      <formula>NOT(ISERROR(SEARCH("Sh",X400)))</formula>
    </cfRule>
    <cfRule type="cellIs" dxfId="663" priority="1616" operator="equal">
      <formula>"Sh"</formula>
    </cfRule>
  </conditionalFormatting>
  <conditionalFormatting sqref="X401">
    <cfRule type="containsText" dxfId="662" priority="1613" operator="containsText" text="Sh">
      <formula>NOT(ISERROR(SEARCH("Sh",X401)))</formula>
    </cfRule>
    <cfRule type="cellIs" dxfId="661" priority="1614" operator="equal">
      <formula>"Sh"</formula>
    </cfRule>
  </conditionalFormatting>
  <conditionalFormatting sqref="X402">
    <cfRule type="containsText" dxfId="660" priority="1611" operator="containsText" text="Sh">
      <formula>NOT(ISERROR(SEARCH("Sh",X402)))</formula>
    </cfRule>
    <cfRule type="cellIs" dxfId="659" priority="1612" operator="equal">
      <formula>"Sh"</formula>
    </cfRule>
  </conditionalFormatting>
  <conditionalFormatting sqref="X403">
    <cfRule type="containsText" dxfId="658" priority="1609" operator="containsText" text="Sh">
      <formula>NOT(ISERROR(SEARCH("Sh",X403)))</formula>
    </cfRule>
    <cfRule type="cellIs" dxfId="657" priority="1610" operator="equal">
      <formula>"Sh"</formula>
    </cfRule>
  </conditionalFormatting>
  <conditionalFormatting sqref="X404">
    <cfRule type="containsText" dxfId="656" priority="1607" operator="containsText" text="Sh">
      <formula>NOT(ISERROR(SEARCH("Sh",X404)))</formula>
    </cfRule>
    <cfRule type="cellIs" dxfId="655" priority="1608" operator="equal">
      <formula>"Sh"</formula>
    </cfRule>
  </conditionalFormatting>
  <conditionalFormatting sqref="X410">
    <cfRule type="containsText" dxfId="654" priority="1605" operator="containsText" text="Sh">
      <formula>NOT(ISERROR(SEARCH("Sh",X410)))</formula>
    </cfRule>
    <cfRule type="cellIs" dxfId="653" priority="1606" operator="equal">
      <formula>"Sh"</formula>
    </cfRule>
  </conditionalFormatting>
  <conditionalFormatting sqref="X413">
    <cfRule type="containsText" dxfId="652" priority="1603" operator="containsText" text="Sh">
      <formula>NOT(ISERROR(SEARCH("Sh",X413)))</formula>
    </cfRule>
    <cfRule type="cellIs" dxfId="651" priority="1604" operator="equal">
      <formula>"Sh"</formula>
    </cfRule>
  </conditionalFormatting>
  <conditionalFormatting sqref="X417">
    <cfRule type="containsText" dxfId="650" priority="1601" operator="containsText" text="Sh">
      <formula>NOT(ISERROR(SEARCH("Sh",X417)))</formula>
    </cfRule>
    <cfRule type="cellIs" dxfId="649" priority="1602" operator="equal">
      <formula>"Sh"</formula>
    </cfRule>
  </conditionalFormatting>
  <conditionalFormatting sqref="X423">
    <cfRule type="containsText" dxfId="648" priority="1599" operator="containsText" text="Sh">
      <formula>NOT(ISERROR(SEARCH("Sh",X423)))</formula>
    </cfRule>
    <cfRule type="cellIs" dxfId="647" priority="1600" operator="equal">
      <formula>"Sh"</formula>
    </cfRule>
  </conditionalFormatting>
  <conditionalFormatting sqref="X426">
    <cfRule type="containsText" dxfId="646" priority="1597" operator="containsText" text="Sh">
      <formula>NOT(ISERROR(SEARCH("Sh",X426)))</formula>
    </cfRule>
    <cfRule type="cellIs" dxfId="645" priority="1598" operator="equal">
      <formula>"Sh"</formula>
    </cfRule>
  </conditionalFormatting>
  <conditionalFormatting sqref="X420">
    <cfRule type="containsText" dxfId="644" priority="1595" operator="containsText" text="Sh">
      <formula>NOT(ISERROR(SEARCH("Sh",X420)))</formula>
    </cfRule>
    <cfRule type="cellIs" dxfId="643" priority="1596" operator="equal">
      <formula>"Sh"</formula>
    </cfRule>
  </conditionalFormatting>
  <conditionalFormatting sqref="X429">
    <cfRule type="containsText" dxfId="642" priority="1593" operator="containsText" text="Sh">
      <formula>NOT(ISERROR(SEARCH("Sh",X429)))</formula>
    </cfRule>
    <cfRule type="cellIs" dxfId="641" priority="1594" operator="equal">
      <formula>"Sh"</formula>
    </cfRule>
  </conditionalFormatting>
  <conditionalFormatting sqref="X432">
    <cfRule type="containsText" dxfId="640" priority="1591" operator="containsText" text="Sh">
      <formula>NOT(ISERROR(SEARCH("Sh",X432)))</formula>
    </cfRule>
    <cfRule type="cellIs" dxfId="639" priority="1592" operator="equal">
      <formula>"Sh"</formula>
    </cfRule>
  </conditionalFormatting>
  <conditionalFormatting sqref="X369">
    <cfRule type="containsText" dxfId="638" priority="1589" operator="containsText" text="Sh">
      <formula>NOT(ISERROR(SEARCH("Sh",X369)))</formula>
    </cfRule>
    <cfRule type="cellIs" dxfId="637" priority="1590" operator="equal">
      <formula>"Sh"</formula>
    </cfRule>
  </conditionalFormatting>
  <conditionalFormatting sqref="X372">
    <cfRule type="containsText" dxfId="636" priority="1587" operator="containsText" text="Sh">
      <formula>NOT(ISERROR(SEARCH("Sh",X372)))</formula>
    </cfRule>
    <cfRule type="cellIs" dxfId="635" priority="1588" operator="equal">
      <formula>"Sh"</formula>
    </cfRule>
  </conditionalFormatting>
  <conditionalFormatting sqref="X374">
    <cfRule type="containsText" dxfId="634" priority="1585" operator="containsText" text="Sh">
      <formula>NOT(ISERROR(SEARCH("Sh",X374)))</formula>
    </cfRule>
    <cfRule type="cellIs" dxfId="633" priority="1586" operator="equal">
      <formula>"Sh"</formula>
    </cfRule>
  </conditionalFormatting>
  <conditionalFormatting sqref="X376">
    <cfRule type="containsText" dxfId="632" priority="1583" operator="containsText" text="Sh">
      <formula>NOT(ISERROR(SEARCH("Sh",X376)))</formula>
    </cfRule>
    <cfRule type="cellIs" dxfId="631" priority="1584" operator="equal">
      <formula>"Sh"</formula>
    </cfRule>
  </conditionalFormatting>
  <conditionalFormatting sqref="X377">
    <cfRule type="containsText" dxfId="630" priority="1581" operator="containsText" text="Sh">
      <formula>NOT(ISERROR(SEARCH("Sh",X377)))</formula>
    </cfRule>
    <cfRule type="cellIs" dxfId="629" priority="1582" operator="equal">
      <formula>"Sh"</formula>
    </cfRule>
  </conditionalFormatting>
  <conditionalFormatting sqref="X382">
    <cfRule type="containsText" dxfId="628" priority="1579" operator="containsText" text="Sh">
      <formula>NOT(ISERROR(SEARCH("Sh",X382)))</formula>
    </cfRule>
    <cfRule type="cellIs" dxfId="627" priority="1580" operator="equal">
      <formula>"Sh"</formula>
    </cfRule>
  </conditionalFormatting>
  <conditionalFormatting sqref="X385">
    <cfRule type="containsText" dxfId="626" priority="1577" operator="containsText" text="Sh">
      <formula>NOT(ISERROR(SEARCH("Sh",X385)))</formula>
    </cfRule>
    <cfRule type="cellIs" dxfId="625" priority="1578" operator="equal">
      <formula>"Sh"</formula>
    </cfRule>
  </conditionalFormatting>
  <conditionalFormatting sqref="X390">
    <cfRule type="containsText" dxfId="624" priority="1575" operator="containsText" text="Sh">
      <formula>NOT(ISERROR(SEARCH("Sh",X390)))</formula>
    </cfRule>
    <cfRule type="cellIs" dxfId="623" priority="1576" operator="equal">
      <formula>"Sh"</formula>
    </cfRule>
  </conditionalFormatting>
  <conditionalFormatting sqref="X387">
    <cfRule type="containsText" dxfId="622" priority="1573" operator="containsText" text="Sh">
      <formula>NOT(ISERROR(SEARCH("Sh",X387)))</formula>
    </cfRule>
    <cfRule type="cellIs" dxfId="621" priority="1574" operator="equal">
      <formula>"Sh"</formula>
    </cfRule>
  </conditionalFormatting>
  <conditionalFormatting sqref="X393">
    <cfRule type="containsText" dxfId="620" priority="1571" operator="containsText" text="Sh">
      <formula>NOT(ISERROR(SEARCH("Sh",X393)))</formula>
    </cfRule>
    <cfRule type="cellIs" dxfId="619" priority="1572" operator="equal">
      <formula>"Sh"</formula>
    </cfRule>
  </conditionalFormatting>
  <conditionalFormatting sqref="X396">
    <cfRule type="containsText" dxfId="618" priority="1569" operator="containsText" text="Sh">
      <formula>NOT(ISERROR(SEARCH("Sh",X396)))</formula>
    </cfRule>
    <cfRule type="cellIs" dxfId="617" priority="1570" operator="equal">
      <formula>"Sh"</formula>
    </cfRule>
  </conditionalFormatting>
  <conditionalFormatting sqref="X397">
    <cfRule type="containsText" dxfId="616" priority="1567" operator="containsText" text="Sh">
      <formula>NOT(ISERROR(SEARCH("Sh",X397)))</formula>
    </cfRule>
    <cfRule type="cellIs" dxfId="615" priority="1568" operator="equal">
      <formula>"Sh"</formula>
    </cfRule>
  </conditionalFormatting>
  <conditionalFormatting sqref="X398">
    <cfRule type="containsText" dxfId="614" priority="1565" operator="containsText" text="Sh">
      <formula>NOT(ISERROR(SEARCH("Sh",X398)))</formula>
    </cfRule>
    <cfRule type="cellIs" dxfId="613" priority="1566" operator="equal">
      <formula>"Sh"</formula>
    </cfRule>
  </conditionalFormatting>
  <conditionalFormatting sqref="X399">
    <cfRule type="containsText" dxfId="612" priority="1563" operator="containsText" text="Sh">
      <formula>NOT(ISERROR(SEARCH("Sh",X399)))</formula>
    </cfRule>
    <cfRule type="cellIs" dxfId="611" priority="1564" operator="equal">
      <formula>"Sh"</formula>
    </cfRule>
  </conditionalFormatting>
  <conditionalFormatting sqref="X405">
    <cfRule type="containsText" dxfId="610" priority="1561" operator="containsText" text="Sh">
      <formula>NOT(ISERROR(SEARCH("Sh",X405)))</formula>
    </cfRule>
    <cfRule type="cellIs" dxfId="609" priority="1562" operator="equal">
      <formula>"Sh"</formula>
    </cfRule>
  </conditionalFormatting>
  <conditionalFormatting sqref="X406">
    <cfRule type="containsText" dxfId="608" priority="1559" operator="containsText" text="Sh">
      <formula>NOT(ISERROR(SEARCH("Sh",X406)))</formula>
    </cfRule>
    <cfRule type="cellIs" dxfId="607" priority="1560" operator="equal">
      <formula>"Sh"</formula>
    </cfRule>
  </conditionalFormatting>
  <conditionalFormatting sqref="X407">
    <cfRule type="containsText" dxfId="606" priority="1557" operator="containsText" text="Sh">
      <formula>NOT(ISERROR(SEARCH("Sh",X407)))</formula>
    </cfRule>
    <cfRule type="cellIs" dxfId="605" priority="1558" operator="equal">
      <formula>"Sh"</formula>
    </cfRule>
  </conditionalFormatting>
  <conditionalFormatting sqref="X408">
    <cfRule type="containsText" dxfId="604" priority="1555" operator="containsText" text="Sh">
      <formula>NOT(ISERROR(SEARCH("Sh",X408)))</formula>
    </cfRule>
    <cfRule type="cellIs" dxfId="603" priority="1556" operator="equal">
      <formula>"Sh"</formula>
    </cfRule>
  </conditionalFormatting>
  <conditionalFormatting sqref="X412">
    <cfRule type="containsText" dxfId="602" priority="1553" operator="containsText" text="Sh">
      <formula>NOT(ISERROR(SEARCH("Sh",X412)))</formula>
    </cfRule>
    <cfRule type="cellIs" dxfId="601" priority="1554" operator="equal">
      <formula>"Sh"</formula>
    </cfRule>
  </conditionalFormatting>
  <conditionalFormatting sqref="X415">
    <cfRule type="containsText" dxfId="600" priority="1551" operator="containsText" text="Sh">
      <formula>NOT(ISERROR(SEARCH("Sh",X415)))</formula>
    </cfRule>
    <cfRule type="cellIs" dxfId="599" priority="1552" operator="equal">
      <formula>"Sh"</formula>
    </cfRule>
  </conditionalFormatting>
  <conditionalFormatting sqref="X419">
    <cfRule type="containsText" dxfId="598" priority="1549" operator="containsText" text="Sh">
      <formula>NOT(ISERROR(SEARCH("Sh",X419)))</formula>
    </cfRule>
    <cfRule type="cellIs" dxfId="597" priority="1550" operator="equal">
      <formula>"Sh"</formula>
    </cfRule>
  </conditionalFormatting>
  <conditionalFormatting sqref="X425">
    <cfRule type="containsText" dxfId="596" priority="1547" operator="containsText" text="Sh">
      <formula>NOT(ISERROR(SEARCH("Sh",X425)))</formula>
    </cfRule>
    <cfRule type="cellIs" dxfId="595" priority="1548" operator="equal">
      <formula>"Sh"</formula>
    </cfRule>
  </conditionalFormatting>
  <conditionalFormatting sqref="X421">
    <cfRule type="containsText" dxfId="594" priority="1545" operator="containsText" text="Sh">
      <formula>NOT(ISERROR(SEARCH("Sh",X421)))</formula>
    </cfRule>
    <cfRule type="cellIs" dxfId="593" priority="1546" operator="equal">
      <formula>"Sh"</formula>
    </cfRule>
  </conditionalFormatting>
  <conditionalFormatting sqref="X422">
    <cfRule type="containsText" dxfId="592" priority="1543" operator="containsText" text="Sh">
      <formula>NOT(ISERROR(SEARCH("Sh",X422)))</formula>
    </cfRule>
    <cfRule type="cellIs" dxfId="591" priority="1544" operator="equal">
      <formula>"Sh"</formula>
    </cfRule>
  </conditionalFormatting>
  <conditionalFormatting sqref="X427">
    <cfRule type="containsText" dxfId="590" priority="1541" operator="containsText" text="Sh">
      <formula>NOT(ISERROR(SEARCH("Sh",X427)))</formula>
    </cfRule>
    <cfRule type="cellIs" dxfId="589" priority="1542" operator="equal">
      <formula>"Sh"</formula>
    </cfRule>
  </conditionalFormatting>
  <conditionalFormatting sqref="X428">
    <cfRule type="containsText" dxfId="588" priority="1539" operator="containsText" text="Sh">
      <formula>NOT(ISERROR(SEARCH("Sh",X428)))</formula>
    </cfRule>
    <cfRule type="cellIs" dxfId="587" priority="1540" operator="equal">
      <formula>"Sh"</formula>
    </cfRule>
  </conditionalFormatting>
  <conditionalFormatting sqref="X431">
    <cfRule type="containsText" dxfId="586" priority="1537" operator="containsText" text="Sh">
      <formula>NOT(ISERROR(SEARCH("Sh",X431)))</formula>
    </cfRule>
    <cfRule type="cellIs" dxfId="585" priority="1538" operator="equal">
      <formula>"Sh"</formula>
    </cfRule>
  </conditionalFormatting>
  <conditionalFormatting sqref="X433">
    <cfRule type="containsText" dxfId="584" priority="1535" operator="containsText" text="Sh">
      <formula>NOT(ISERROR(SEARCH("Sh",X433)))</formula>
    </cfRule>
    <cfRule type="cellIs" dxfId="583" priority="1536" operator="equal">
      <formula>"Sh"</formula>
    </cfRule>
  </conditionalFormatting>
  <conditionalFormatting sqref="X371">
    <cfRule type="containsText" dxfId="582" priority="1533" operator="containsText" text="Sh">
      <formula>NOT(ISERROR(SEARCH("Sh",X371)))</formula>
    </cfRule>
    <cfRule type="cellIs" dxfId="581" priority="1534" operator="equal">
      <formula>"Sh"</formula>
    </cfRule>
  </conditionalFormatting>
  <conditionalFormatting sqref="X381">
    <cfRule type="containsText" dxfId="580" priority="1531" operator="containsText" text="Sh">
      <formula>NOT(ISERROR(SEARCH("Sh",X381)))</formula>
    </cfRule>
    <cfRule type="cellIs" dxfId="579" priority="1532" operator="equal">
      <formula>"Sh"</formula>
    </cfRule>
  </conditionalFormatting>
  <conditionalFormatting sqref="X384">
    <cfRule type="containsText" dxfId="578" priority="1529" operator="containsText" text="Sh">
      <formula>NOT(ISERROR(SEARCH("Sh",X384)))</formula>
    </cfRule>
    <cfRule type="cellIs" dxfId="577" priority="1530" operator="equal">
      <formula>"Sh"</formula>
    </cfRule>
  </conditionalFormatting>
  <conditionalFormatting sqref="X389">
    <cfRule type="containsText" dxfId="576" priority="1527" operator="containsText" text="Sh">
      <formula>NOT(ISERROR(SEARCH("Sh",X389)))</formula>
    </cfRule>
    <cfRule type="cellIs" dxfId="575" priority="1528" operator="equal">
      <formula>"Sh"</formula>
    </cfRule>
  </conditionalFormatting>
  <conditionalFormatting sqref="X395">
    <cfRule type="containsText" dxfId="574" priority="1525" operator="containsText" text="Sh">
      <formula>NOT(ISERROR(SEARCH("Sh",X395)))</formula>
    </cfRule>
    <cfRule type="cellIs" dxfId="573" priority="1526" operator="equal">
      <formula>"Sh"</formula>
    </cfRule>
  </conditionalFormatting>
  <conditionalFormatting sqref="X409">
    <cfRule type="containsText" dxfId="572" priority="1523" operator="containsText" text="Sh">
      <formula>NOT(ISERROR(SEARCH("Sh",X409)))</formula>
    </cfRule>
    <cfRule type="cellIs" dxfId="571" priority="1524" operator="equal">
      <formula>"Sh"</formula>
    </cfRule>
  </conditionalFormatting>
  <conditionalFormatting sqref="X411">
    <cfRule type="containsText" dxfId="570" priority="1521" operator="containsText" text="Sh">
      <formula>NOT(ISERROR(SEARCH("Sh",X411)))</formula>
    </cfRule>
    <cfRule type="cellIs" dxfId="569" priority="1522" operator="equal">
      <formula>"Sh"</formula>
    </cfRule>
  </conditionalFormatting>
  <conditionalFormatting sqref="X414">
    <cfRule type="containsText" dxfId="568" priority="1519" operator="containsText" text="Sh">
      <formula>NOT(ISERROR(SEARCH("Sh",X414)))</formula>
    </cfRule>
    <cfRule type="cellIs" dxfId="567" priority="1520" operator="equal">
      <formula>"Sh"</formula>
    </cfRule>
  </conditionalFormatting>
  <conditionalFormatting sqref="X418">
    <cfRule type="containsText" dxfId="566" priority="1517" operator="containsText" text="Sh">
      <formula>NOT(ISERROR(SEARCH("Sh",X418)))</formula>
    </cfRule>
    <cfRule type="cellIs" dxfId="565" priority="1518" operator="equal">
      <formula>"Sh"</formula>
    </cfRule>
  </conditionalFormatting>
  <conditionalFormatting sqref="X424">
    <cfRule type="containsText" dxfId="564" priority="1515" operator="containsText" text="Sh">
      <formula>NOT(ISERROR(SEARCH("Sh",X424)))</formula>
    </cfRule>
    <cfRule type="cellIs" dxfId="563" priority="1516" operator="equal">
      <formula>"Sh"</formula>
    </cfRule>
  </conditionalFormatting>
  <conditionalFormatting sqref="X430">
    <cfRule type="containsText" dxfId="562" priority="1513" operator="containsText" text="Sh">
      <formula>NOT(ISERROR(SEARCH("Sh",X430)))</formula>
    </cfRule>
    <cfRule type="cellIs" dxfId="561" priority="1514" operator="equal">
      <formula>"Sh"</formula>
    </cfRule>
  </conditionalFormatting>
  <conditionalFormatting sqref="AC438:AE445 AC446:AC470 AC473:AC478 AC482:AC483 AB483 AB479:AC481">
    <cfRule type="containsText" dxfId="560" priority="1496" operator="containsText" text="Sh">
      <formula>NOT(ISERROR(SEARCH("Sh",AB438)))</formula>
    </cfRule>
    <cfRule type="cellIs" dxfId="559" priority="1497" operator="equal">
      <formula>"Sh"</formula>
    </cfRule>
  </conditionalFormatting>
  <conditionalFormatting sqref="Z438:AA438 Z440 Z442 Z444 Z446 Z448 Z450 Z452 Z454 Z456 Z458:Z459">
    <cfRule type="containsText" dxfId="558" priority="1494" operator="containsText" text="Sh">
      <formula>NOT(ISERROR(SEARCH("Sh",Z438)))</formula>
    </cfRule>
    <cfRule type="cellIs" dxfId="557" priority="1495" operator="equal">
      <formula>"Sh"</formula>
    </cfRule>
  </conditionalFormatting>
  <conditionalFormatting sqref="X458:Y458">
    <cfRule type="containsText" dxfId="556" priority="1492" operator="containsText" text="Sh">
      <formula>NOT(ISERROR(SEARCH("Sh",X458)))</formula>
    </cfRule>
    <cfRule type="cellIs" dxfId="555" priority="1493" operator="equal">
      <formula>"Sh"</formula>
    </cfRule>
  </conditionalFormatting>
  <conditionalFormatting sqref="H453 E453 E468:E470">
    <cfRule type="containsText" dxfId="554" priority="1490" operator="containsText" text="Production">
      <formula>NOT(ISERROR(SEARCH("Production",E453)))</formula>
    </cfRule>
    <cfRule type="containsText" dxfId="553" priority="1491" operator="containsText" text="Roll">
      <formula>NOT(ISERROR(SEARCH("Roll",E453)))</formula>
    </cfRule>
  </conditionalFormatting>
  <conditionalFormatting sqref="H454 E454">
    <cfRule type="containsText" dxfId="552" priority="1484" operator="containsText" text="Production">
      <formula>NOT(ISERROR(SEARCH("Production",E454)))</formula>
    </cfRule>
    <cfRule type="containsText" dxfId="551" priority="1485" operator="containsText" text="Roll">
      <formula>NOT(ISERROR(SEARCH("Roll",E454)))</formula>
    </cfRule>
  </conditionalFormatting>
  <conditionalFormatting sqref="R454:R455">
    <cfRule type="dataBar" priority="14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{86E78734-8D30-4CCB-87BA-F7D8D9ABE7C9}</x14:id>
        </ext>
      </extLst>
    </cfRule>
  </conditionalFormatting>
  <conditionalFormatting sqref="R454:R455">
    <cfRule type="dataBar" priority="14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{69526045-F3FE-425E-B54F-8DEE9B70803F}</x14:id>
        </ext>
      </extLst>
    </cfRule>
  </conditionalFormatting>
  <conditionalFormatting sqref="R454:R455">
    <cfRule type="dataBar" priority="148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{0B83CA40-33D4-4374-80FD-0C9CF160B7B6}</x14:id>
        </ext>
      </extLst>
    </cfRule>
  </conditionalFormatting>
  <conditionalFormatting sqref="S454:U454">
    <cfRule type="dataBar" priority="148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{7CF10B5D-67AF-467A-98A9-14F1ADC7D9B1}</x14:id>
        </ext>
      </extLst>
    </cfRule>
  </conditionalFormatting>
  <conditionalFormatting sqref="AD446:AD465 AD480 AD482:AD483">
    <cfRule type="colorScale" priority="1498">
      <colorScale>
        <cfvo type="min"/>
        <cfvo type="max"/>
        <color rgb="FF63BE7B"/>
        <color rgb="FFFCFCFF"/>
      </colorScale>
    </cfRule>
  </conditionalFormatting>
  <conditionalFormatting sqref="R451:R455 R458">
    <cfRule type="dataBar" priority="149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{037B9431-7C59-4C04-91C5-83FE2F42CBD4}</x14:id>
        </ext>
      </extLst>
    </cfRule>
  </conditionalFormatting>
  <conditionalFormatting sqref="S451:S455 S458">
    <cfRule type="dataBar" priority="150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{F7781C71-9E7E-4229-A7CD-9804BEF10C64}</x14:id>
        </ext>
      </extLst>
    </cfRule>
  </conditionalFormatting>
  <conditionalFormatting sqref="T451:T453 T458">
    <cfRule type="dataBar" priority="150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{BA6583FF-8BC1-4B53-B81F-4790D6410379}</x14:id>
        </ext>
      </extLst>
    </cfRule>
  </conditionalFormatting>
  <conditionalFormatting sqref="U451:U453 U458">
    <cfRule type="dataBar" priority="15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{98F99A3C-2440-4573-BF33-60CC7E78FC29}</x14:id>
        </ext>
      </extLst>
    </cfRule>
  </conditionalFormatting>
  <conditionalFormatting sqref="G458">
    <cfRule type="iconSet" priority="1503">
      <iconSet iconSet="3Flags">
        <cfvo type="percent" val="0"/>
        <cfvo type="percent" val="33"/>
        <cfvo type="percent" val="67"/>
      </iconSet>
    </cfRule>
  </conditionalFormatting>
  <conditionalFormatting sqref="AC467:AC470">
    <cfRule type="containsText" dxfId="550" priority="1470" operator="containsText" text="Sh">
      <formula>NOT(ISERROR(SEARCH("Sh",AC467)))</formula>
    </cfRule>
    <cfRule type="cellIs" dxfId="549" priority="1471" operator="equal">
      <formula>"Sh"</formula>
    </cfRule>
  </conditionalFormatting>
  <conditionalFormatting sqref="H467:H471 E471">
    <cfRule type="containsText" dxfId="548" priority="1468" operator="containsText" text="Production">
      <formula>NOT(ISERROR(SEARCH("Production",E467)))</formula>
    </cfRule>
    <cfRule type="containsText" dxfId="547" priority="1469" operator="containsText" text="Roll">
      <formula>NOT(ISERROR(SEARCH("Roll",E467)))</formula>
    </cfRule>
  </conditionalFormatting>
  <conditionalFormatting sqref="AA467">
    <cfRule type="containsText" dxfId="546" priority="1466" operator="containsText" text="Sh">
      <formula>NOT(ISERROR(SEARCH("Sh",AA467)))</formula>
    </cfRule>
    <cfRule type="cellIs" dxfId="545" priority="1467" operator="equal">
      <formula>"Sh"</formula>
    </cfRule>
  </conditionalFormatting>
  <conditionalFormatting sqref="R466:R467 R471">
    <cfRule type="dataBar" priority="14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{2A37922A-C3D4-47BA-87B3-0F0406F6B430}</x14:id>
        </ext>
      </extLst>
    </cfRule>
  </conditionalFormatting>
  <conditionalFormatting sqref="R466:R467 R471">
    <cfRule type="dataBar" priority="14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{FB510663-BB23-4F5E-9A00-F02422C1FCFF}</x14:id>
        </ext>
      </extLst>
    </cfRule>
  </conditionalFormatting>
  <conditionalFormatting sqref="T466:T467">
    <cfRule type="dataBar" priority="147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{4EB46271-9002-4D6E-B105-D672DE58D8D7}</x14:id>
        </ext>
      </extLst>
    </cfRule>
  </conditionalFormatting>
  <conditionalFormatting sqref="R466:R467 R471">
    <cfRule type="dataBar" priority="147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{F50BE045-6FAA-4172-B518-F7BBCB87A63F}</x14:id>
        </ext>
      </extLst>
    </cfRule>
  </conditionalFormatting>
  <conditionalFormatting sqref="U466:U467">
    <cfRule type="dataBar" priority="14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{9E73E531-C337-4AEC-B1E5-5D095DD60543}</x14:id>
        </ext>
      </extLst>
    </cfRule>
  </conditionalFormatting>
  <conditionalFormatting sqref="T466:T467">
    <cfRule type="dataBar" priority="147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{C8088F77-389F-4A7B-84A4-C40C8A0CA377}</x14:id>
        </ext>
      </extLst>
    </cfRule>
  </conditionalFormatting>
  <conditionalFormatting sqref="S466:S467">
    <cfRule type="dataBar" priority="147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{8B83BAE5-B86B-4D0E-84C9-546721B35328}</x14:id>
        </ext>
      </extLst>
    </cfRule>
  </conditionalFormatting>
  <conditionalFormatting sqref="R466:R467 R471">
    <cfRule type="dataBar" priority="147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{0E655634-D3AE-4757-8692-C250A8930862}</x14:id>
        </ext>
      </extLst>
    </cfRule>
  </conditionalFormatting>
  <conditionalFormatting sqref="S466:S467">
    <cfRule type="dataBar" priority="148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{90D772FA-F90D-470D-BB38-F2B08A44853A}</x14:id>
        </ext>
      </extLst>
    </cfRule>
  </conditionalFormatting>
  <conditionalFormatting sqref="T466:T467">
    <cfRule type="dataBar" priority="148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{0C3A4BFF-11C9-4F77-B0B6-9C87593763A3}</x14:id>
        </ext>
      </extLst>
    </cfRule>
  </conditionalFormatting>
  <conditionalFormatting sqref="U466:U467">
    <cfRule type="dataBar" priority="14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{2339E67C-2BB4-4EC3-B0DD-F3B9DF782CE6}</x14:id>
        </ext>
      </extLst>
    </cfRule>
  </conditionalFormatting>
  <conditionalFormatting sqref="R466:R467 R471">
    <cfRule type="dataBar" priority="148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{836B5FB1-9A12-41A0-8123-CA5D10492CF7}</x14:id>
        </ext>
      </extLst>
    </cfRule>
  </conditionalFormatting>
  <conditionalFormatting sqref="AC471">
    <cfRule type="containsText" dxfId="544" priority="1464" operator="containsText" text="Sh">
      <formula>NOT(ISERROR(SEARCH("Sh",AC471)))</formula>
    </cfRule>
    <cfRule type="cellIs" dxfId="543" priority="1465" operator="equal">
      <formula>"Sh"</formula>
    </cfRule>
  </conditionalFormatting>
  <conditionalFormatting sqref="T471">
    <cfRule type="dataBar" priority="146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{D449661B-3B71-472A-AEDA-CFA99DCA8205}</x14:id>
        </ext>
      </extLst>
    </cfRule>
  </conditionalFormatting>
  <conditionalFormatting sqref="U471">
    <cfRule type="dataBar" priority="14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{CD15D62A-CCB1-4944-8D2D-125C205D771F}</x14:id>
        </ext>
      </extLst>
    </cfRule>
  </conditionalFormatting>
  <conditionalFormatting sqref="AC472:AC482">
    <cfRule type="containsText" dxfId="542" priority="1460" operator="containsText" text="Sh">
      <formula>NOT(ISERROR(SEARCH("Sh",AC472)))</formula>
    </cfRule>
    <cfRule type="cellIs" dxfId="541" priority="1461" operator="equal">
      <formula>"Sh"</formula>
    </cfRule>
  </conditionalFormatting>
  <conditionalFormatting sqref="G468:G471 G476:G477 G482:G483">
    <cfRule type="iconSet" priority="1504">
      <iconSet iconSet="3Flags">
        <cfvo type="percent" val="0"/>
        <cfvo type="percent" val="33"/>
        <cfvo type="percent" val="67"/>
      </iconSet>
    </cfRule>
  </conditionalFormatting>
  <conditionalFormatting sqref="AC467:AC483">
    <cfRule type="iconSet" priority="1505">
      <iconSet>
        <cfvo type="percent" val="0"/>
        <cfvo type="percent" val="90" gte="0"/>
        <cfvo type="percent" val="100"/>
      </iconSet>
    </cfRule>
  </conditionalFormatting>
  <conditionalFormatting sqref="AC438:AC483">
    <cfRule type="iconSet" priority="1459">
      <iconSet>
        <cfvo type="percent" val="0"/>
        <cfvo type="percent" val="33"/>
        <cfvo type="percent" val="67"/>
      </iconSet>
    </cfRule>
  </conditionalFormatting>
  <conditionalFormatting sqref="J451:J455 J458 J467:J471 J476:J477 J479:J483">
    <cfRule type="iconSet" priority="1458">
      <iconSet iconSet="3Flags" reverse="1">
        <cfvo type="percent" val="0"/>
        <cfvo type="percent" val="33"/>
        <cfvo type="percent" val="67"/>
      </iconSet>
    </cfRule>
  </conditionalFormatting>
  <conditionalFormatting sqref="L451:L455 L458 L467:L471 L476:L477 L479:L483">
    <cfRule type="iconSet" priority="1456">
      <iconSet iconSet="3Flags" reverse="1">
        <cfvo type="percent" val="0"/>
        <cfvo type="percent" val="33"/>
        <cfvo type="percent" val="67"/>
      </iconSet>
    </cfRule>
    <cfRule type="iconSet" priority="1457">
      <iconSet iconSet="3Flags">
        <cfvo type="percent" val="0"/>
        <cfvo type="percent" val="33"/>
        <cfvo type="percent" val="67"/>
      </iconSet>
    </cfRule>
  </conditionalFormatting>
  <conditionalFormatting sqref="H438:H441 E438:E441">
    <cfRule type="containsText" dxfId="540" priority="1441" operator="containsText" text="Production">
      <formula>NOT(ISERROR(SEARCH("Production",E438)))</formula>
    </cfRule>
    <cfRule type="containsText" dxfId="539" priority="1442" operator="containsText" text="Roll">
      <formula>NOT(ISERROR(SEARCH("Roll",E438)))</formula>
    </cfRule>
  </conditionalFormatting>
  <conditionalFormatting sqref="X438:Y438">
    <cfRule type="containsText" dxfId="538" priority="1439" operator="containsText" text="Sh">
      <formula>NOT(ISERROR(SEARCH("Sh",X438)))</formula>
    </cfRule>
    <cfRule type="cellIs" dxfId="537" priority="1440" operator="equal">
      <formula>"Sh"</formula>
    </cfRule>
  </conditionalFormatting>
  <conditionalFormatting sqref="R438:R441">
    <cfRule type="dataBar" priority="14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{97800361-AECC-43EF-A501-ADDA963FEE4F}</x14:id>
        </ext>
      </extLst>
    </cfRule>
  </conditionalFormatting>
  <conditionalFormatting sqref="R438:R441">
    <cfRule type="dataBar" priority="14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{70BDA76E-2EBB-4B82-AEC2-6F4341E265D2}</x14:id>
        </ext>
      </extLst>
    </cfRule>
  </conditionalFormatting>
  <conditionalFormatting sqref="T438:T441">
    <cfRule type="dataBar" priority="14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{5EB6F685-3561-4EA2-BD22-F9AA7A946338}</x14:id>
        </ext>
      </extLst>
    </cfRule>
  </conditionalFormatting>
  <conditionalFormatting sqref="R438:R441">
    <cfRule type="dataBar" priority="144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{FE48D55E-4E2E-4364-A7CA-96AB18CB8DA2}</x14:id>
        </ext>
      </extLst>
    </cfRule>
  </conditionalFormatting>
  <conditionalFormatting sqref="U438:U441">
    <cfRule type="dataBar" priority="14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{95A1484D-A311-48F2-B315-F86363CE0BBE}</x14:id>
        </ext>
      </extLst>
    </cfRule>
  </conditionalFormatting>
  <conditionalFormatting sqref="T438:T441">
    <cfRule type="dataBar" priority="14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{696F779C-6032-4294-90B6-AC71CA4885A9}</x14:id>
        </ext>
      </extLst>
    </cfRule>
  </conditionalFormatting>
  <conditionalFormatting sqref="S438:S441">
    <cfRule type="dataBar" priority="14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{80BDB87D-7321-471E-AB59-C2146BE94350}</x14:id>
        </ext>
      </extLst>
    </cfRule>
  </conditionalFormatting>
  <conditionalFormatting sqref="G438:G441">
    <cfRule type="iconSet" priority="1450">
      <iconSet iconSet="3Flags">
        <cfvo type="percent" val="0"/>
        <cfvo type="percent" val="33"/>
        <cfvo type="percent" val="67"/>
      </iconSet>
    </cfRule>
  </conditionalFormatting>
  <conditionalFormatting sqref="R438:R441">
    <cfRule type="dataBar" priority="14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{8C79DBD9-8B41-4846-90D9-089CB546C851}</x14:id>
        </ext>
      </extLst>
    </cfRule>
  </conditionalFormatting>
  <conditionalFormatting sqref="S438:S441">
    <cfRule type="dataBar" priority="14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{09744932-EA5A-4870-A9E8-F465AC985783}</x14:id>
        </ext>
      </extLst>
    </cfRule>
  </conditionalFormatting>
  <conditionalFormatting sqref="T438:T441">
    <cfRule type="dataBar" priority="145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{0DA65A74-1AEC-4CBB-B06F-4FF0868FF264}</x14:id>
        </ext>
      </extLst>
    </cfRule>
  </conditionalFormatting>
  <conditionalFormatting sqref="U438:U441">
    <cfRule type="dataBar" priority="14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{8D177F23-C021-4DC5-AB4E-D4D75C5698C9}</x14:id>
        </ext>
      </extLst>
    </cfRule>
  </conditionalFormatting>
  <conditionalFormatting sqref="G438:G441">
    <cfRule type="iconSet" priority="1455">
      <iconSet iconSet="3Flags">
        <cfvo type="percent" val="0"/>
        <cfvo type="percent" val="33"/>
        <cfvo type="percent" val="67"/>
      </iconSet>
    </cfRule>
  </conditionalFormatting>
  <conditionalFormatting sqref="S438:S441">
    <cfRule type="dataBar" priority="143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{0BCFCCA2-9BCE-44CF-BDF2-0C8A8964E9BE}</x14:id>
        </ext>
      </extLst>
    </cfRule>
  </conditionalFormatting>
  <conditionalFormatting sqref="T438:T441">
    <cfRule type="dataBar" priority="14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{32E994C4-496F-4391-B201-A31BEEE742F1}</x14:id>
        </ext>
      </extLst>
    </cfRule>
  </conditionalFormatting>
  <conditionalFormatting sqref="U438:U441">
    <cfRule type="dataBar" priority="14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{0E9457AC-E7C5-4B65-BB55-BD3D876F0E61}</x14:id>
        </ext>
      </extLst>
    </cfRule>
  </conditionalFormatting>
  <conditionalFormatting sqref="R438:R441">
    <cfRule type="dataBar" priority="143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{7CE89014-A7E3-48F4-A7B9-674B189C1E82}</x14:id>
        </ext>
      </extLst>
    </cfRule>
  </conditionalFormatting>
  <conditionalFormatting sqref="J438:J441">
    <cfRule type="iconSet" priority="1438">
      <iconSet iconSet="3Flags" reverse="1">
        <cfvo type="percent" val="0"/>
        <cfvo type="percent" val="33"/>
        <cfvo type="percent" val="67"/>
      </iconSet>
    </cfRule>
  </conditionalFormatting>
  <conditionalFormatting sqref="L438:L441">
    <cfRule type="iconSet" priority="1436">
      <iconSet iconSet="3Flags" reverse="1">
        <cfvo type="percent" val="0"/>
        <cfvo type="percent" val="33"/>
        <cfvo type="percent" val="67"/>
      </iconSet>
    </cfRule>
    <cfRule type="iconSet" priority="1437">
      <iconSet iconSet="3Flags">
        <cfvo type="percent" val="0"/>
        <cfvo type="percent" val="33"/>
        <cfvo type="percent" val="67"/>
      </iconSet>
    </cfRule>
  </conditionalFormatting>
  <conditionalFormatting sqref="X442:Y442">
    <cfRule type="containsText" dxfId="536" priority="1430" operator="containsText" text="Sh">
      <formula>NOT(ISERROR(SEARCH("Sh",X442)))</formula>
    </cfRule>
    <cfRule type="cellIs" dxfId="535" priority="1431" operator="equal">
      <formula>"Sh"</formula>
    </cfRule>
  </conditionalFormatting>
  <conditionalFormatting sqref="R442:R445">
    <cfRule type="dataBar" priority="14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{DCFBF50B-37D8-4459-B6D6-777E60BA526A}</x14:id>
        </ext>
      </extLst>
    </cfRule>
  </conditionalFormatting>
  <conditionalFormatting sqref="T442:T445">
    <cfRule type="dataBar" priority="14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{7DDAC88D-F17E-437F-9310-ED0965616BFE}</x14:id>
        </ext>
      </extLst>
    </cfRule>
  </conditionalFormatting>
  <conditionalFormatting sqref="R442:R445">
    <cfRule type="dataBar" priority="14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{6037BAC1-71ED-4DA4-B1FC-9B17034CDF2B}</x14:id>
        </ext>
      </extLst>
    </cfRule>
  </conditionalFormatting>
  <conditionalFormatting sqref="U442:U445">
    <cfRule type="dataBar" priority="14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{BD50E6FC-FDEB-4122-A02E-E9700CE7131E}</x14:id>
        </ext>
      </extLst>
    </cfRule>
  </conditionalFormatting>
  <conditionalFormatting sqref="S442:S445">
    <cfRule type="dataBar" priority="14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{8E3E1188-463F-48B7-A754-DE463C38B8A2}</x14:id>
        </ext>
      </extLst>
    </cfRule>
  </conditionalFormatting>
  <conditionalFormatting sqref="R442:R445">
    <cfRule type="dataBar" priority="142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{464800D9-6793-4BAE-A2E3-5D432328D619}</x14:id>
        </ext>
      </extLst>
    </cfRule>
  </conditionalFormatting>
  <conditionalFormatting sqref="S442:S445">
    <cfRule type="dataBar" priority="14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{8F65745C-72D8-4C59-8B25-44789247AFBE}</x14:id>
        </ext>
      </extLst>
    </cfRule>
  </conditionalFormatting>
  <conditionalFormatting sqref="T442:T445">
    <cfRule type="dataBar" priority="14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{2843C6A5-12D4-410B-BD55-9B8DCE38D4A8}</x14:id>
        </ext>
      </extLst>
    </cfRule>
  </conditionalFormatting>
  <conditionalFormatting sqref="U442:U445">
    <cfRule type="dataBar" priority="14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{9AE58684-06BE-424D-9C3B-94220ADD2121}</x14:id>
        </ext>
      </extLst>
    </cfRule>
  </conditionalFormatting>
  <conditionalFormatting sqref="G442:G445">
    <cfRule type="iconSet" priority="1429">
      <iconSet iconSet="3Flags">
        <cfvo type="percent" val="0"/>
        <cfvo type="percent" val="33"/>
        <cfvo type="percent" val="67"/>
      </iconSet>
    </cfRule>
  </conditionalFormatting>
  <conditionalFormatting sqref="S442:S445">
    <cfRule type="dataBar" priority="14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{550CE073-96ED-4AFA-B27C-B7BF80A6D5A7}</x14:id>
        </ext>
      </extLst>
    </cfRule>
  </conditionalFormatting>
  <conditionalFormatting sqref="T442:T445">
    <cfRule type="dataBar" priority="14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{22C0B1D0-323D-4462-ADB4-0F869B9A6742}</x14:id>
        </ext>
      </extLst>
    </cfRule>
  </conditionalFormatting>
  <conditionalFormatting sqref="U442:U445">
    <cfRule type="dataBar" priority="14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{D0ECDA43-AB90-42AD-8169-ACCCFB702ED6}</x14:id>
        </ext>
      </extLst>
    </cfRule>
  </conditionalFormatting>
  <conditionalFormatting sqref="R442:R445">
    <cfRule type="dataBar" priority="141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{C1E0DA12-4872-4F2C-BD87-5781BCC8022B}</x14:id>
        </ext>
      </extLst>
    </cfRule>
  </conditionalFormatting>
  <conditionalFormatting sqref="J442:J445">
    <cfRule type="iconSet" priority="1419">
      <iconSet iconSet="3Flags" reverse="1">
        <cfvo type="percent" val="0"/>
        <cfvo type="percent" val="33"/>
        <cfvo type="percent" val="67"/>
      </iconSet>
    </cfRule>
  </conditionalFormatting>
  <conditionalFormatting sqref="L442:L445">
    <cfRule type="iconSet" priority="1417">
      <iconSet iconSet="3Flags" reverse="1">
        <cfvo type="percent" val="0"/>
        <cfvo type="percent" val="33"/>
        <cfvo type="percent" val="67"/>
      </iconSet>
    </cfRule>
    <cfRule type="iconSet" priority="1418">
      <iconSet iconSet="3Flags">
        <cfvo type="percent" val="0"/>
        <cfvo type="percent" val="33"/>
        <cfvo type="percent" val="67"/>
      </iconSet>
    </cfRule>
  </conditionalFormatting>
  <conditionalFormatting sqref="H446:H450 E446:E450">
    <cfRule type="containsText" dxfId="534" priority="1398" operator="containsText" text="Production">
      <formula>NOT(ISERROR(SEARCH("Production",E446)))</formula>
    </cfRule>
    <cfRule type="containsText" dxfId="533" priority="1399" operator="containsText" text="Roll">
      <formula>NOT(ISERROR(SEARCH("Roll",E446)))</formula>
    </cfRule>
  </conditionalFormatting>
  <conditionalFormatting sqref="R446:R450">
    <cfRule type="dataBar" priority="14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{C186F5B8-BA17-4A03-B64B-BB7F79F487B7}</x14:id>
        </ext>
      </extLst>
    </cfRule>
  </conditionalFormatting>
  <conditionalFormatting sqref="R446:R450">
    <cfRule type="dataBar" priority="14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{DC843E61-C0FB-446A-95D6-301730157205}</x14:id>
        </ext>
      </extLst>
    </cfRule>
  </conditionalFormatting>
  <conditionalFormatting sqref="T446:T450">
    <cfRule type="dataBar" priority="140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{A1A361B8-0FE3-4F30-8F51-35DF831FD217}</x14:id>
        </ext>
      </extLst>
    </cfRule>
  </conditionalFormatting>
  <conditionalFormatting sqref="R446:R450">
    <cfRule type="dataBar" priority="140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{943D09CD-C475-41C9-8BF7-E9594CE099F8}</x14:id>
        </ext>
      </extLst>
    </cfRule>
  </conditionalFormatting>
  <conditionalFormatting sqref="U446:U450">
    <cfRule type="dataBar" priority="14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{38733DDD-A922-46D0-B4B7-5153914D6F8A}</x14:id>
        </ext>
      </extLst>
    </cfRule>
  </conditionalFormatting>
  <conditionalFormatting sqref="T446:T450">
    <cfRule type="dataBar" priority="140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{E4313890-ED0B-4C18-BD28-F8975DF48C09}</x14:id>
        </ext>
      </extLst>
    </cfRule>
  </conditionalFormatting>
  <conditionalFormatting sqref="S446:S450">
    <cfRule type="dataBar" priority="140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{5E224B4D-6B01-4799-8199-2ED526CB5313}</x14:id>
        </ext>
      </extLst>
    </cfRule>
  </conditionalFormatting>
  <conditionalFormatting sqref="G446:G455">
    <cfRule type="iconSet" priority="1407">
      <iconSet iconSet="3Flags">
        <cfvo type="percent" val="0"/>
        <cfvo type="percent" val="33"/>
        <cfvo type="percent" val="67"/>
      </iconSet>
    </cfRule>
  </conditionalFormatting>
  <conditionalFormatting sqref="R446:R450">
    <cfRule type="dataBar" priority="140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{0ACE2963-B594-49F0-917B-DE1D7C7EBE3A}</x14:id>
        </ext>
      </extLst>
    </cfRule>
  </conditionalFormatting>
  <conditionalFormatting sqref="S446:S450">
    <cfRule type="dataBar" priority="140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{D5EC9BA2-74EE-4210-A4E9-E4806CCBF8BD}</x14:id>
        </ext>
      </extLst>
    </cfRule>
  </conditionalFormatting>
  <conditionalFormatting sqref="T446:T450">
    <cfRule type="dataBar" priority="14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{FB0E2C55-76E3-4681-85A3-7702369BA72C}</x14:id>
        </ext>
      </extLst>
    </cfRule>
  </conditionalFormatting>
  <conditionalFormatting sqref="U446:U450">
    <cfRule type="dataBar" priority="14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{80D2973C-DDE8-45A2-AE1E-3AA750E75474}</x14:id>
        </ext>
      </extLst>
    </cfRule>
  </conditionalFormatting>
  <conditionalFormatting sqref="G446:G455">
    <cfRule type="iconSet" priority="1412">
      <iconSet iconSet="3Flags">
        <cfvo type="percent" val="0"/>
        <cfvo type="percent" val="33"/>
        <cfvo type="percent" val="67"/>
      </iconSet>
    </cfRule>
  </conditionalFormatting>
  <conditionalFormatting sqref="S446:S450">
    <cfRule type="dataBar" priority="139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{496217FB-8A2F-4B07-9BAC-DA95D6C139A1}</x14:id>
        </ext>
      </extLst>
    </cfRule>
  </conditionalFormatting>
  <conditionalFormatting sqref="T446:T450">
    <cfRule type="dataBar" priority="139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{504E8EB8-79E4-4E03-9664-8175D08BA177}</x14:id>
        </ext>
      </extLst>
    </cfRule>
  </conditionalFormatting>
  <conditionalFormatting sqref="U446:U450">
    <cfRule type="dataBar" priority="13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{8029F3C9-6B1D-4193-8F3C-16EB9AEC50CF}</x14:id>
        </ext>
      </extLst>
    </cfRule>
  </conditionalFormatting>
  <conditionalFormatting sqref="R446:R450">
    <cfRule type="dataBar" priority="139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{24BC0BCA-6433-4DB3-8CE6-EDDF324120B8}</x14:id>
        </ext>
      </extLst>
    </cfRule>
  </conditionalFormatting>
  <conditionalFormatting sqref="J446:J450">
    <cfRule type="iconSet" priority="1397">
      <iconSet iconSet="3Flags" reverse="1">
        <cfvo type="percent" val="0"/>
        <cfvo type="percent" val="33"/>
        <cfvo type="percent" val="67"/>
      </iconSet>
    </cfRule>
  </conditionalFormatting>
  <conditionalFormatting sqref="L446:L450">
    <cfRule type="iconSet" priority="1395">
      <iconSet iconSet="3Flags" reverse="1">
        <cfvo type="percent" val="0"/>
        <cfvo type="percent" val="33"/>
        <cfvo type="percent" val="67"/>
      </iconSet>
    </cfRule>
    <cfRule type="iconSet" priority="1396">
      <iconSet iconSet="3Flags">
        <cfvo type="percent" val="0"/>
        <cfvo type="percent" val="33"/>
        <cfvo type="percent" val="67"/>
      </iconSet>
    </cfRule>
  </conditionalFormatting>
  <conditionalFormatting sqref="Y448:Y449">
    <cfRule type="containsText" dxfId="532" priority="1389" operator="containsText" text="Sh">
      <formula>NOT(ISERROR(SEARCH("Sh",Y448)))</formula>
    </cfRule>
    <cfRule type="cellIs" dxfId="531" priority="1390" operator="equal">
      <formula>"Sh"</formula>
    </cfRule>
  </conditionalFormatting>
  <conditionalFormatting sqref="X446:Y446">
    <cfRule type="containsText" dxfId="530" priority="1387" operator="containsText" text="Sh">
      <formula>NOT(ISERROR(SEARCH("Sh",X446)))</formula>
    </cfRule>
    <cfRule type="cellIs" dxfId="529" priority="1388" operator="equal">
      <formula>"Sh"</formula>
    </cfRule>
  </conditionalFormatting>
  <conditionalFormatting sqref="X451:Y451">
    <cfRule type="containsText" dxfId="528" priority="1385" operator="containsText" text="Sh">
      <formula>NOT(ISERROR(SEARCH("Sh",X451)))</formula>
    </cfRule>
    <cfRule type="cellIs" dxfId="527" priority="1386" operator="equal">
      <formula>"Sh"</formula>
    </cfRule>
  </conditionalFormatting>
  <conditionalFormatting sqref="Y453">
    <cfRule type="containsText" dxfId="526" priority="1383" operator="containsText" text="Sh">
      <formula>NOT(ISERROR(SEARCH("Sh",Y453)))</formula>
    </cfRule>
    <cfRule type="cellIs" dxfId="525" priority="1384" operator="equal">
      <formula>"Sh"</formula>
    </cfRule>
  </conditionalFormatting>
  <conditionalFormatting sqref="X454:Y454">
    <cfRule type="containsText" dxfId="524" priority="1381" operator="containsText" text="Sh">
      <formula>NOT(ISERROR(SEARCH("Sh",X454)))</formula>
    </cfRule>
    <cfRule type="cellIs" dxfId="523" priority="1382" operator="equal">
      <formula>"Sh"</formula>
    </cfRule>
  </conditionalFormatting>
  <conditionalFormatting sqref="R456:R457">
    <cfRule type="dataBar" priority="13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{93356612-75A2-463C-A666-DB515E319F5D}</x14:id>
        </ext>
      </extLst>
    </cfRule>
  </conditionalFormatting>
  <conditionalFormatting sqref="T456:T457">
    <cfRule type="dataBar" priority="137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{CBCD9A91-B5AF-4933-A258-E8437DE409EB}</x14:id>
        </ext>
      </extLst>
    </cfRule>
  </conditionalFormatting>
  <conditionalFormatting sqref="R456:R457">
    <cfRule type="dataBar" priority="137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{E321F341-2C43-4C21-B7D9-997A295808DB}</x14:id>
        </ext>
      </extLst>
    </cfRule>
  </conditionalFormatting>
  <conditionalFormatting sqref="U456:U457">
    <cfRule type="dataBar" priority="13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{73B111D6-DCEF-4FC5-8505-A9729FE7F492}</x14:id>
        </ext>
      </extLst>
    </cfRule>
  </conditionalFormatting>
  <conditionalFormatting sqref="S456:S457">
    <cfRule type="dataBar" priority="137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{BCDB1153-01B1-47A8-A925-A5C705FD67AF}</x14:id>
        </ext>
      </extLst>
    </cfRule>
  </conditionalFormatting>
  <conditionalFormatting sqref="R456:R457">
    <cfRule type="dataBar" priority="137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{AF417174-1741-44DC-9982-DA0925785803}</x14:id>
        </ext>
      </extLst>
    </cfRule>
  </conditionalFormatting>
  <conditionalFormatting sqref="S456:S457">
    <cfRule type="dataBar" priority="137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{6D75EECB-BA12-4342-8B54-FD1D75508EF9}</x14:id>
        </ext>
      </extLst>
    </cfRule>
  </conditionalFormatting>
  <conditionalFormatting sqref="T456:T457">
    <cfRule type="dataBar" priority="137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{3A4046F0-8DD7-417C-A425-4630CEF6FFF7}</x14:id>
        </ext>
      </extLst>
    </cfRule>
  </conditionalFormatting>
  <conditionalFormatting sqref="U456:U457">
    <cfRule type="dataBar" priority="13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{A7C44710-6699-44E4-BD30-B7FBAFEB9C43}</x14:id>
        </ext>
      </extLst>
    </cfRule>
  </conditionalFormatting>
  <conditionalFormatting sqref="G456:G457">
    <cfRule type="iconSet" priority="1380">
      <iconSet iconSet="3Flags">
        <cfvo type="percent" val="0"/>
        <cfvo type="percent" val="33"/>
        <cfvo type="percent" val="67"/>
      </iconSet>
    </cfRule>
  </conditionalFormatting>
  <conditionalFormatting sqref="S456:S457">
    <cfRule type="dataBar" priority="136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{9122DE63-30AE-4EE9-AF1D-A90C03A9F9A5}</x14:id>
        </ext>
      </extLst>
    </cfRule>
  </conditionalFormatting>
  <conditionalFormatting sqref="T456:T457">
    <cfRule type="dataBar" priority="136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{6D753419-9297-4852-BD58-161FB670B384}</x14:id>
        </ext>
      </extLst>
    </cfRule>
  </conditionalFormatting>
  <conditionalFormatting sqref="U456:U457">
    <cfRule type="dataBar" priority="13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{FDBB3B8F-6DCC-48BC-AFBF-31F07445107A}</x14:id>
        </ext>
      </extLst>
    </cfRule>
  </conditionalFormatting>
  <conditionalFormatting sqref="R456:R457">
    <cfRule type="dataBar" priority="136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{3B79EA90-0FAF-4FDB-AED9-C0532FF1B580}</x14:id>
        </ext>
      </extLst>
    </cfRule>
  </conditionalFormatting>
  <conditionalFormatting sqref="J456:J457">
    <cfRule type="iconSet" priority="1370">
      <iconSet iconSet="3Flags" reverse="1">
        <cfvo type="percent" val="0"/>
        <cfvo type="percent" val="33"/>
        <cfvo type="percent" val="67"/>
      </iconSet>
    </cfRule>
  </conditionalFormatting>
  <conditionalFormatting sqref="L456:L457">
    <cfRule type="iconSet" priority="1368">
      <iconSet iconSet="3Flags" reverse="1">
        <cfvo type="percent" val="0"/>
        <cfvo type="percent" val="33"/>
        <cfvo type="percent" val="67"/>
      </iconSet>
    </cfRule>
    <cfRule type="iconSet" priority="1369">
      <iconSet iconSet="3Flags">
        <cfvo type="percent" val="0"/>
        <cfvo type="percent" val="33"/>
        <cfvo type="percent" val="67"/>
      </iconSet>
    </cfRule>
  </conditionalFormatting>
  <conditionalFormatting sqref="X456">
    <cfRule type="containsText" dxfId="522" priority="1362" operator="containsText" text="Sh">
      <formula>NOT(ISERROR(SEARCH("Sh",X456)))</formula>
    </cfRule>
    <cfRule type="cellIs" dxfId="521" priority="1363" operator="equal">
      <formula>"Sh"</formula>
    </cfRule>
  </conditionalFormatting>
  <conditionalFormatting sqref="R451">
    <cfRule type="dataBar" priority="136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{DF0BCC3C-5C52-496D-B188-5C8F01FA60C4}</x14:id>
        </ext>
      </extLst>
    </cfRule>
  </conditionalFormatting>
  <conditionalFormatting sqref="R452">
    <cfRule type="dataBar" priority="136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{31819890-AB27-4251-B94B-3BA293762A7E}</x14:id>
        </ext>
      </extLst>
    </cfRule>
  </conditionalFormatting>
  <conditionalFormatting sqref="R453">
    <cfRule type="dataBar" priority="135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{3E869228-4CDD-4AF2-BB70-5BB61B0FF665}</x14:id>
        </ext>
      </extLst>
    </cfRule>
  </conditionalFormatting>
  <conditionalFormatting sqref="AC438:AC470">
    <cfRule type="iconSet" priority="1506">
      <iconSet>
        <cfvo type="percent" val="0"/>
        <cfvo type="percent" val="90" gte="0"/>
        <cfvo type="percent" val="100"/>
      </iconSet>
    </cfRule>
  </conditionalFormatting>
  <conditionalFormatting sqref="T454:T455">
    <cfRule type="dataBar" priority="135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{D28D8418-D78E-425A-8025-3D626B0B091B}</x14:id>
        </ext>
      </extLst>
    </cfRule>
  </conditionalFormatting>
  <conditionalFormatting sqref="T454:T455">
    <cfRule type="dataBar" priority="135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{7FE1B00B-EA63-46D1-BB97-0B0D4B04DDF9}</x14:id>
        </ext>
      </extLst>
    </cfRule>
  </conditionalFormatting>
  <conditionalFormatting sqref="U454:U455">
    <cfRule type="dataBar" priority="135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{DBF70915-08D3-493F-A970-9D4907032F64}</x14:id>
        </ext>
      </extLst>
    </cfRule>
  </conditionalFormatting>
  <conditionalFormatting sqref="U454:U455">
    <cfRule type="dataBar" priority="135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{C5D760B3-3366-4733-875B-A7C6CA6F35EC}</x14:id>
        </ext>
      </extLst>
    </cfRule>
  </conditionalFormatting>
  <conditionalFormatting sqref="H459:H462 E459:E462">
    <cfRule type="containsText" dxfId="520" priority="1340" operator="containsText" text="Production">
      <formula>NOT(ISERROR(SEARCH("Production",E459)))</formula>
    </cfRule>
    <cfRule type="containsText" dxfId="519" priority="1341" operator="containsText" text="Roll">
      <formula>NOT(ISERROR(SEARCH("Roll",E459)))</formula>
    </cfRule>
  </conditionalFormatting>
  <conditionalFormatting sqref="X459:Y459">
    <cfRule type="containsText" dxfId="518" priority="1338" operator="containsText" text="Sh">
      <formula>NOT(ISERROR(SEARCH("Sh",X459)))</formula>
    </cfRule>
    <cfRule type="cellIs" dxfId="517" priority="1339" operator="equal">
      <formula>"Sh"</formula>
    </cfRule>
  </conditionalFormatting>
  <conditionalFormatting sqref="R459:R462">
    <cfRule type="dataBar" priority="13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{F8A651BC-661C-4BC0-914F-37F723EFF0C8}</x14:id>
        </ext>
      </extLst>
    </cfRule>
  </conditionalFormatting>
  <conditionalFormatting sqref="R459:R462">
    <cfRule type="dataBar" priority="13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{92569936-C344-46E0-B77E-54F03A1D0F5E}</x14:id>
        </ext>
      </extLst>
    </cfRule>
  </conditionalFormatting>
  <conditionalFormatting sqref="T459:T462">
    <cfRule type="dataBar" priority="13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{00502A5D-B00C-4C28-B9BB-D0635537CE0D}</x14:id>
        </ext>
      </extLst>
    </cfRule>
  </conditionalFormatting>
  <conditionalFormatting sqref="R459:R462">
    <cfRule type="dataBar" priority="134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{9988BD2B-5FED-4DB4-863D-261D23AA5ACC}</x14:id>
        </ext>
      </extLst>
    </cfRule>
  </conditionalFormatting>
  <conditionalFormatting sqref="U459:U462">
    <cfRule type="dataBar" priority="13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{671A864A-C5E6-4F4E-9CC9-60D7808B3DAE}</x14:id>
        </ext>
      </extLst>
    </cfRule>
  </conditionalFormatting>
  <conditionalFormatting sqref="T459:T462">
    <cfRule type="dataBar" priority="13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{2D995C56-2D3D-4ABE-A567-7AA9179E7CAF}</x14:id>
        </ext>
      </extLst>
    </cfRule>
  </conditionalFormatting>
  <conditionalFormatting sqref="S459:S462">
    <cfRule type="dataBar" priority="134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{AA1F2E6A-548D-4C0E-A9AD-C0EE1B3F90F8}</x14:id>
        </ext>
      </extLst>
    </cfRule>
  </conditionalFormatting>
  <conditionalFormatting sqref="G459:G462">
    <cfRule type="iconSet" priority="1349">
      <iconSet iconSet="3Flags">
        <cfvo type="percent" val="0"/>
        <cfvo type="percent" val="33"/>
        <cfvo type="percent" val="67"/>
      </iconSet>
    </cfRule>
  </conditionalFormatting>
  <conditionalFormatting sqref="R459:R462">
    <cfRule type="dataBar" priority="135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{410CD8FF-356B-4E32-AE89-6C5C65EB65F4}</x14:id>
        </ext>
      </extLst>
    </cfRule>
  </conditionalFormatting>
  <conditionalFormatting sqref="S459:S462">
    <cfRule type="dataBar" priority="135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{FF82ECA4-5387-44FD-921C-20EDF519BEFC}</x14:id>
        </ext>
      </extLst>
    </cfRule>
  </conditionalFormatting>
  <conditionalFormatting sqref="T459:T462">
    <cfRule type="dataBar" priority="135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{F623F778-E9DB-41C1-B0EE-73E55A3F4A2F}</x14:id>
        </ext>
      </extLst>
    </cfRule>
  </conditionalFormatting>
  <conditionalFormatting sqref="U459:U462">
    <cfRule type="dataBar" priority="13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{6A72A098-3DC2-41A5-800F-88DBBC3F9B70}</x14:id>
        </ext>
      </extLst>
    </cfRule>
  </conditionalFormatting>
  <conditionalFormatting sqref="G459:G462">
    <cfRule type="iconSet" priority="1354">
      <iconSet iconSet="3Flags">
        <cfvo type="percent" val="0"/>
        <cfvo type="percent" val="33"/>
        <cfvo type="percent" val="67"/>
      </iconSet>
    </cfRule>
  </conditionalFormatting>
  <conditionalFormatting sqref="S459:S462">
    <cfRule type="dataBar" priority="133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{5A69B774-5BC5-4247-BF05-6311FB19B247}</x14:id>
        </ext>
      </extLst>
    </cfRule>
  </conditionalFormatting>
  <conditionalFormatting sqref="T459:T462">
    <cfRule type="dataBar" priority="13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{41721BFA-BF83-405B-A986-F2B1601A9FBD}</x14:id>
        </ext>
      </extLst>
    </cfRule>
  </conditionalFormatting>
  <conditionalFormatting sqref="U459:U462">
    <cfRule type="dataBar" priority="13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{B772A6BE-4B3C-4A91-B6AD-6EDF43C4CE63}</x14:id>
        </ext>
      </extLst>
    </cfRule>
  </conditionalFormatting>
  <conditionalFormatting sqref="R459:R462">
    <cfRule type="dataBar" priority="13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{1C8D14D7-F1BF-44E2-A654-079A1B02D38A}</x14:id>
        </ext>
      </extLst>
    </cfRule>
  </conditionalFormatting>
  <conditionalFormatting sqref="J459:J462">
    <cfRule type="iconSet" priority="1337">
      <iconSet iconSet="3Flags" reverse="1">
        <cfvo type="percent" val="0"/>
        <cfvo type="percent" val="33"/>
        <cfvo type="percent" val="67"/>
      </iconSet>
    </cfRule>
  </conditionalFormatting>
  <conditionalFormatting sqref="L459:L462">
    <cfRule type="iconSet" priority="1335">
      <iconSet iconSet="3Flags" reverse="1">
        <cfvo type="percent" val="0"/>
        <cfvo type="percent" val="33"/>
        <cfvo type="percent" val="67"/>
      </iconSet>
    </cfRule>
    <cfRule type="iconSet" priority="1336">
      <iconSet iconSet="3Flags">
        <cfvo type="percent" val="0"/>
        <cfvo type="percent" val="33"/>
        <cfvo type="percent" val="67"/>
      </iconSet>
    </cfRule>
  </conditionalFormatting>
  <conditionalFormatting sqref="X463:Y463">
    <cfRule type="containsText" dxfId="516" priority="1329" operator="containsText" text="Sh">
      <formula>NOT(ISERROR(SEARCH("Sh",X463)))</formula>
    </cfRule>
    <cfRule type="cellIs" dxfId="515" priority="1330" operator="equal">
      <formula>"Sh"</formula>
    </cfRule>
  </conditionalFormatting>
  <conditionalFormatting sqref="R463:R465">
    <cfRule type="dataBar" priority="13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{694099A7-4A48-4149-AF20-8C398516983F}</x14:id>
        </ext>
      </extLst>
    </cfRule>
  </conditionalFormatting>
  <conditionalFormatting sqref="T463:T465">
    <cfRule type="dataBar" priority="13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{401A01B7-53DD-48B8-98EE-3962B99E0DC0}</x14:id>
        </ext>
      </extLst>
    </cfRule>
  </conditionalFormatting>
  <conditionalFormatting sqref="R463:R465">
    <cfRule type="dataBar" priority="13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{39F1A1B8-293D-4800-9D49-134DF85DC2B4}</x14:id>
        </ext>
      </extLst>
    </cfRule>
  </conditionalFormatting>
  <conditionalFormatting sqref="U463:U465">
    <cfRule type="dataBar" priority="13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{E88B4DEC-1CDE-4D40-9A78-F24276DBC5EE}</x14:id>
        </ext>
      </extLst>
    </cfRule>
  </conditionalFormatting>
  <conditionalFormatting sqref="S463:S465">
    <cfRule type="dataBar" priority="132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{BC9215A9-497F-448D-A7E2-251EB19FAC29}</x14:id>
        </ext>
      </extLst>
    </cfRule>
  </conditionalFormatting>
  <conditionalFormatting sqref="R463:R465">
    <cfRule type="dataBar" priority="13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{61ECE6A7-1079-4ED8-9E76-2BCF83B333CF}</x14:id>
        </ext>
      </extLst>
    </cfRule>
  </conditionalFormatting>
  <conditionalFormatting sqref="S463:S465">
    <cfRule type="dataBar" priority="13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{05760738-2475-42AE-B09E-303653C71012}</x14:id>
        </ext>
      </extLst>
    </cfRule>
  </conditionalFormatting>
  <conditionalFormatting sqref="T463:T465">
    <cfRule type="dataBar" priority="13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{33877028-0CE6-48C8-9776-97FF6C64BE18}</x14:id>
        </ext>
      </extLst>
    </cfRule>
  </conditionalFormatting>
  <conditionalFormatting sqref="U463:U465">
    <cfRule type="dataBar" priority="13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{D16DC507-C081-4A0C-867F-5FF038FC0396}</x14:id>
        </ext>
      </extLst>
    </cfRule>
  </conditionalFormatting>
  <conditionalFormatting sqref="G463:G467">
    <cfRule type="iconSet" priority="1328">
      <iconSet iconSet="3Flags">
        <cfvo type="percent" val="0"/>
        <cfvo type="percent" val="33"/>
        <cfvo type="percent" val="67"/>
      </iconSet>
    </cfRule>
  </conditionalFormatting>
  <conditionalFormatting sqref="S463:S465">
    <cfRule type="dataBar" priority="13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{1653E7E7-A1A0-47FE-936F-C04F4BB389FA}</x14:id>
        </ext>
      </extLst>
    </cfRule>
  </conditionalFormatting>
  <conditionalFormatting sqref="T463:T465">
    <cfRule type="dataBar" priority="13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{0EA511FE-49B8-40D8-8FAA-9CC6F13B0B95}</x14:id>
        </ext>
      </extLst>
    </cfRule>
  </conditionalFormatting>
  <conditionalFormatting sqref="U463:U465">
    <cfRule type="dataBar" priority="13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{E01C8CC4-50D6-4048-BA4F-C2ED7CAC8214}</x14:id>
        </ext>
      </extLst>
    </cfRule>
  </conditionalFormatting>
  <conditionalFormatting sqref="R463:R465">
    <cfRule type="dataBar" priority="13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{EBA49561-9CAD-41E9-AC0C-7983F8307C04}</x14:id>
        </ext>
      </extLst>
    </cfRule>
  </conditionalFormatting>
  <conditionalFormatting sqref="J463:J466">
    <cfRule type="iconSet" priority="1318">
      <iconSet iconSet="3Flags" reverse="1">
        <cfvo type="percent" val="0"/>
        <cfvo type="percent" val="33"/>
        <cfvo type="percent" val="67"/>
      </iconSet>
    </cfRule>
  </conditionalFormatting>
  <conditionalFormatting sqref="L463:L466">
    <cfRule type="iconSet" priority="1316">
      <iconSet iconSet="3Flags" reverse="1">
        <cfvo type="percent" val="0"/>
        <cfvo type="percent" val="33"/>
        <cfvo type="percent" val="67"/>
      </iconSet>
    </cfRule>
    <cfRule type="iconSet" priority="1317">
      <iconSet iconSet="3Flags">
        <cfvo type="percent" val="0"/>
        <cfvo type="percent" val="33"/>
        <cfvo type="percent" val="67"/>
      </iconSet>
    </cfRule>
  </conditionalFormatting>
  <conditionalFormatting sqref="Z439 Z441 Z443 Z445 Z447 Z449 Z451 Z453 Z455 Z457">
    <cfRule type="containsText" dxfId="514" priority="1310" operator="containsText" text="Sh">
      <formula>NOT(ISERROR(SEARCH("Sh",Z439)))</formula>
    </cfRule>
    <cfRule type="cellIs" dxfId="513" priority="1311" operator="equal">
      <formula>"Sh"</formula>
    </cfRule>
  </conditionalFormatting>
  <conditionalFormatting sqref="AD438:AD483">
    <cfRule type="colorScale" priority="1309">
      <colorScale>
        <cfvo type="min"/>
        <cfvo type="max"/>
        <color rgb="FF63BE7B"/>
        <color rgb="FFFFEF9C"/>
      </colorScale>
    </cfRule>
  </conditionalFormatting>
  <conditionalFormatting sqref="G438:G483">
    <cfRule type="iconSet" priority="1215">
      <iconSet iconSet="3Flags">
        <cfvo type="percent" val="0"/>
        <cfvo type="percent" val="33"/>
        <cfvo type="percent" val="67"/>
      </iconSet>
    </cfRule>
  </conditionalFormatting>
  <conditionalFormatting sqref="R470">
    <cfRule type="dataBar" priority="12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{21293D9A-7BE8-48B4-9C2D-8703583D6063}</x14:id>
        </ext>
      </extLst>
    </cfRule>
  </conditionalFormatting>
  <conditionalFormatting sqref="R470">
    <cfRule type="dataBar" priority="12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{303966E5-1915-4A49-A22C-B6028FFB10CB}</x14:id>
        </ext>
      </extLst>
    </cfRule>
  </conditionalFormatting>
  <conditionalFormatting sqref="T470">
    <cfRule type="dataBar" priority="130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{586A15BE-AD27-432F-ADCA-2836BD4D69F9}</x14:id>
        </ext>
      </extLst>
    </cfRule>
  </conditionalFormatting>
  <conditionalFormatting sqref="R470">
    <cfRule type="dataBar" priority="130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{8566545A-0A22-4AEB-9C44-F3D45997BFFE}</x14:id>
        </ext>
      </extLst>
    </cfRule>
  </conditionalFormatting>
  <conditionalFormatting sqref="U470">
    <cfRule type="dataBar" priority="13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{18992961-1E4F-41C7-93C1-DCC7839FC883}</x14:id>
        </ext>
      </extLst>
    </cfRule>
  </conditionalFormatting>
  <conditionalFormatting sqref="T470">
    <cfRule type="dataBar" priority="130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{11AE72F6-2412-475E-A4FF-8BE1B93EF1CB}</x14:id>
        </ext>
      </extLst>
    </cfRule>
  </conditionalFormatting>
  <conditionalFormatting sqref="S470">
    <cfRule type="dataBar" priority="130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{DD948DA6-910B-4CB3-8D72-A084ADFA7F7B}</x14:id>
        </ext>
      </extLst>
    </cfRule>
  </conditionalFormatting>
  <conditionalFormatting sqref="R470">
    <cfRule type="dataBar" priority="130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{A8631ECF-3F98-41B3-956A-E3FBF740E513}</x14:id>
        </ext>
      </extLst>
    </cfRule>
  </conditionalFormatting>
  <conditionalFormatting sqref="S470">
    <cfRule type="dataBar" priority="130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{3659F732-E3DB-4BB0-8B9F-D945434D4C98}</x14:id>
        </ext>
      </extLst>
    </cfRule>
  </conditionalFormatting>
  <conditionalFormatting sqref="T470">
    <cfRule type="dataBar" priority="130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{AC377A5E-374A-43A5-B3FE-4AE3958CC019}</x14:id>
        </ext>
      </extLst>
    </cfRule>
  </conditionalFormatting>
  <conditionalFormatting sqref="U470">
    <cfRule type="dataBar" priority="13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{570CA55B-708F-4C6B-B7B6-BA8AAA5AEE93}</x14:id>
        </ext>
      </extLst>
    </cfRule>
  </conditionalFormatting>
  <conditionalFormatting sqref="S470">
    <cfRule type="dataBar" priority="129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{FE37ADDE-272F-4B32-A052-121503F9B1E8}</x14:id>
        </ext>
      </extLst>
    </cfRule>
  </conditionalFormatting>
  <conditionalFormatting sqref="T470">
    <cfRule type="dataBar" priority="129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{39F45D6C-AC1E-470F-9C05-7DCA068B2162}</x14:id>
        </ext>
      </extLst>
    </cfRule>
  </conditionalFormatting>
  <conditionalFormatting sqref="U470">
    <cfRule type="dataBar" priority="12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{E8AAC71A-0D93-42CB-B1DF-A1D5E39C4297}</x14:id>
        </ext>
      </extLst>
    </cfRule>
  </conditionalFormatting>
  <conditionalFormatting sqref="R470">
    <cfRule type="dataBar" priority="129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{3AAEA1BB-D8B3-4741-B5C2-771A70207F65}</x14:id>
        </ext>
      </extLst>
    </cfRule>
  </conditionalFormatting>
  <conditionalFormatting sqref="R469">
    <cfRule type="dataBar" priority="12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{60EADBD1-4B60-44DE-BCD7-322335262A42}</x14:id>
        </ext>
      </extLst>
    </cfRule>
  </conditionalFormatting>
  <conditionalFormatting sqref="T469">
    <cfRule type="dataBar" priority="128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{E4CAE284-ABD6-425C-9CD8-8E86CD51C2E8}</x14:id>
        </ext>
      </extLst>
    </cfRule>
  </conditionalFormatting>
  <conditionalFormatting sqref="R469">
    <cfRule type="dataBar" priority="128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{C7F9051E-3314-4900-87C0-791BC9071952}</x14:id>
        </ext>
      </extLst>
    </cfRule>
  </conditionalFormatting>
  <conditionalFormatting sqref="U469">
    <cfRule type="dataBar" priority="12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{F994B669-796E-4C40-B8FA-6DA5059FDA83}</x14:id>
        </ext>
      </extLst>
    </cfRule>
  </conditionalFormatting>
  <conditionalFormatting sqref="S469">
    <cfRule type="dataBar" priority="128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{1650BE20-CCA7-4519-96CB-7AF713A67218}</x14:id>
        </ext>
      </extLst>
    </cfRule>
  </conditionalFormatting>
  <conditionalFormatting sqref="R469">
    <cfRule type="dataBar" priority="129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{8AFA2E91-7DE0-42DC-9AB5-72F7008088C2}</x14:id>
        </ext>
      </extLst>
    </cfRule>
  </conditionalFormatting>
  <conditionalFormatting sqref="S469">
    <cfRule type="dataBar" priority="129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{62AA1B1B-CAD1-4B2B-B8E9-92E3184BF109}</x14:id>
        </ext>
      </extLst>
    </cfRule>
  </conditionalFormatting>
  <conditionalFormatting sqref="T469">
    <cfRule type="dataBar" priority="129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{4985033B-3189-45E0-852C-9F22F2897671}</x14:id>
        </ext>
      </extLst>
    </cfRule>
  </conditionalFormatting>
  <conditionalFormatting sqref="U469">
    <cfRule type="dataBar" priority="12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{4B2B55EE-F8D1-4B1D-8E9D-C6E84F034171}</x14:id>
        </ext>
      </extLst>
    </cfRule>
  </conditionalFormatting>
  <conditionalFormatting sqref="S469">
    <cfRule type="dataBar" priority="128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{A0CF8B60-B58E-4953-9B70-738EF1B03C67}</x14:id>
        </ext>
      </extLst>
    </cfRule>
  </conditionalFormatting>
  <conditionalFormatting sqref="T469">
    <cfRule type="dataBar" priority="128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{E474454E-D2D5-4656-A54E-314E45B66106}</x14:id>
        </ext>
      </extLst>
    </cfRule>
  </conditionalFormatting>
  <conditionalFormatting sqref="U469">
    <cfRule type="dataBar" priority="12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{87C79207-6E04-4315-B8D4-47ACCF04AF30}</x14:id>
        </ext>
      </extLst>
    </cfRule>
  </conditionalFormatting>
  <conditionalFormatting sqref="R469">
    <cfRule type="dataBar" priority="128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{56747BCD-6520-4ABB-BB8D-A6E3EE8668F5}</x14:id>
        </ext>
      </extLst>
    </cfRule>
  </conditionalFormatting>
  <conditionalFormatting sqref="R468">
    <cfRule type="dataBar" priority="12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{6300B8C9-D1DD-4BFE-BE13-5FC140A8B31F}</x14:id>
        </ext>
      </extLst>
    </cfRule>
  </conditionalFormatting>
  <conditionalFormatting sqref="R468">
    <cfRule type="dataBar" priority="12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{73767219-CF65-481A-ABAD-8BDB638A1E23}</x14:id>
        </ext>
      </extLst>
    </cfRule>
  </conditionalFormatting>
  <conditionalFormatting sqref="R468">
    <cfRule type="dataBar" priority="127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{090463B4-29FD-4ADB-A3D0-6D5203B9FE11}</x14:id>
        </ext>
      </extLst>
    </cfRule>
  </conditionalFormatting>
  <conditionalFormatting sqref="R468">
    <cfRule type="dataBar" priority="127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{F6686D10-5C65-4F1D-86BD-C6EA3A1CF851}</x14:id>
        </ext>
      </extLst>
    </cfRule>
  </conditionalFormatting>
  <conditionalFormatting sqref="S468">
    <cfRule type="dataBar" priority="128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{289AF4FF-0396-4660-BD91-74B79EC2B275}</x14:id>
        </ext>
      </extLst>
    </cfRule>
  </conditionalFormatting>
  <conditionalFormatting sqref="T468">
    <cfRule type="dataBar" priority="127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{3DDC9076-08E2-42C7-B208-D99C6DDB293E}</x14:id>
        </ext>
      </extLst>
    </cfRule>
  </conditionalFormatting>
  <conditionalFormatting sqref="T468">
    <cfRule type="dataBar" priority="127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{9F6CD8A2-A9D2-476F-A869-BC4DD0EFE919}</x14:id>
        </ext>
      </extLst>
    </cfRule>
  </conditionalFormatting>
  <conditionalFormatting sqref="U468">
    <cfRule type="dataBar" priority="127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{C0E48280-475E-458C-B88B-6022D309917F}</x14:id>
        </ext>
      </extLst>
    </cfRule>
  </conditionalFormatting>
  <conditionalFormatting sqref="U468">
    <cfRule type="dataBar" priority="127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{0ED1E588-4CC5-426E-A3CD-00BB3033AA11}</x14:id>
        </ext>
      </extLst>
    </cfRule>
  </conditionalFormatting>
  <conditionalFormatting sqref="X466:Y466">
    <cfRule type="containsText" dxfId="512" priority="1270" operator="containsText" text="Sh">
      <formula>NOT(ISERROR(SEARCH("Sh",X466)))</formula>
    </cfRule>
    <cfRule type="cellIs" dxfId="511" priority="1271" operator="equal">
      <formula>"Sh"</formula>
    </cfRule>
  </conditionalFormatting>
  <conditionalFormatting sqref="Z460">
    <cfRule type="containsText" dxfId="510" priority="1268" operator="containsText" text="Sh">
      <formula>NOT(ISERROR(SEARCH("Sh",Z460)))</formula>
    </cfRule>
    <cfRule type="cellIs" dxfId="509" priority="1269" operator="equal">
      <formula>"Sh"</formula>
    </cfRule>
  </conditionalFormatting>
  <conditionalFormatting sqref="Z461">
    <cfRule type="containsText" dxfId="508" priority="1266" operator="containsText" text="Sh">
      <formula>NOT(ISERROR(SEARCH("Sh",Z461)))</formula>
    </cfRule>
    <cfRule type="cellIs" dxfId="507" priority="1267" operator="equal">
      <formula>"Sh"</formula>
    </cfRule>
  </conditionalFormatting>
  <conditionalFormatting sqref="AE454:AE455">
    <cfRule type="colorScale" priority="1265">
      <colorScale>
        <cfvo type="min"/>
        <cfvo type="max"/>
        <color rgb="FF63BE7B"/>
        <color rgb="FFFCFCFF"/>
      </colorScale>
    </cfRule>
  </conditionalFormatting>
  <conditionalFormatting sqref="AE454:AE455">
    <cfRule type="colorScale" priority="1264">
      <colorScale>
        <cfvo type="min"/>
        <cfvo type="max"/>
        <color rgb="FF63BE7B"/>
        <color rgb="FFFFEF9C"/>
      </colorScale>
    </cfRule>
  </conditionalFormatting>
  <conditionalFormatting sqref="AF454:AF455">
    <cfRule type="colorScale" priority="1263">
      <colorScale>
        <cfvo type="min"/>
        <cfvo type="max"/>
        <color rgb="FF63BE7B"/>
        <color rgb="FFFCFCFF"/>
      </colorScale>
    </cfRule>
  </conditionalFormatting>
  <conditionalFormatting sqref="AF454:AF455">
    <cfRule type="colorScale" priority="1262">
      <colorScale>
        <cfvo type="min"/>
        <cfvo type="max"/>
        <color rgb="FF63BE7B"/>
        <color rgb="FFFFEF9C"/>
      </colorScale>
    </cfRule>
  </conditionalFormatting>
  <conditionalFormatting sqref="AG454:AH455">
    <cfRule type="colorScale" priority="1261">
      <colorScale>
        <cfvo type="min"/>
        <cfvo type="max"/>
        <color rgb="FF63BE7B"/>
        <color rgb="FFFCFCFF"/>
      </colorScale>
    </cfRule>
  </conditionalFormatting>
  <conditionalFormatting sqref="AG454:AH455">
    <cfRule type="colorScale" priority="1260">
      <colorScale>
        <cfvo type="min"/>
        <cfvo type="max"/>
        <color rgb="FF63BE7B"/>
        <color rgb="FFFFEF9C"/>
      </colorScale>
    </cfRule>
  </conditionalFormatting>
  <conditionalFormatting sqref="K438:K483">
    <cfRule type="iconSet" priority="1259">
      <iconSet iconSet="3Flags" reverse="1">
        <cfvo type="percent" val="0"/>
        <cfvo type="percent" val="33"/>
        <cfvo type="percent" val="67"/>
      </iconSet>
    </cfRule>
  </conditionalFormatting>
  <conditionalFormatting sqref="H472:H473 E472:E473">
    <cfRule type="containsText" dxfId="506" priority="1244" operator="containsText" text="Production">
      <formula>NOT(ISERROR(SEARCH("Production",E472)))</formula>
    </cfRule>
    <cfRule type="containsText" dxfId="505" priority="1245" operator="containsText" text="Roll">
      <formula>NOT(ISERROR(SEARCH("Roll",E472)))</formula>
    </cfRule>
  </conditionalFormatting>
  <conditionalFormatting sqref="X472:Y472">
    <cfRule type="containsText" dxfId="504" priority="1242" operator="containsText" text="Sh">
      <formula>NOT(ISERROR(SEARCH("Sh",X472)))</formula>
    </cfRule>
    <cfRule type="cellIs" dxfId="503" priority="1243" operator="equal">
      <formula>"Sh"</formula>
    </cfRule>
  </conditionalFormatting>
  <conditionalFormatting sqref="R472:R473">
    <cfRule type="dataBar" priority="12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{CCDCEB0C-CAB8-40BC-9CE2-62111C813CF6}</x14:id>
        </ext>
      </extLst>
    </cfRule>
  </conditionalFormatting>
  <conditionalFormatting sqref="R472:R473">
    <cfRule type="dataBar" priority="12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{F22E8AA7-536E-460A-B587-991D0959D087}</x14:id>
        </ext>
      </extLst>
    </cfRule>
  </conditionalFormatting>
  <conditionalFormatting sqref="T472:T473">
    <cfRule type="dataBar" priority="12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{ACA03873-AA98-491D-860E-BB71B48BCA85}</x14:id>
        </ext>
      </extLst>
    </cfRule>
  </conditionalFormatting>
  <conditionalFormatting sqref="R472:R473">
    <cfRule type="dataBar" priority="124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{4C2E3508-63A5-43DD-BB7A-E35C3E8A0744}</x14:id>
        </ext>
      </extLst>
    </cfRule>
  </conditionalFormatting>
  <conditionalFormatting sqref="U472:U473">
    <cfRule type="dataBar" priority="12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{5D259BA7-A16C-4ACE-A7CC-BCB4B70FF9B8}</x14:id>
        </ext>
      </extLst>
    </cfRule>
  </conditionalFormatting>
  <conditionalFormatting sqref="T472:T473">
    <cfRule type="dataBar" priority="125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{F0569E26-0DD9-4E1C-B27E-B8A50530F841}</x14:id>
        </ext>
      </extLst>
    </cfRule>
  </conditionalFormatting>
  <conditionalFormatting sqref="S472:S473">
    <cfRule type="dataBar" priority="12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{02AD1651-6266-48E3-B284-F404FD0B6DE0}</x14:id>
        </ext>
      </extLst>
    </cfRule>
  </conditionalFormatting>
  <conditionalFormatting sqref="G472:G473">
    <cfRule type="iconSet" priority="1253">
      <iconSet iconSet="3Flags">
        <cfvo type="percent" val="0"/>
        <cfvo type="percent" val="33"/>
        <cfvo type="percent" val="67"/>
      </iconSet>
    </cfRule>
  </conditionalFormatting>
  <conditionalFormatting sqref="R472:R473">
    <cfRule type="dataBar" priority="125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{FA6A1A81-42C8-4DF9-BC77-C41270358FB5}</x14:id>
        </ext>
      </extLst>
    </cfRule>
  </conditionalFormatting>
  <conditionalFormatting sqref="S472:S473">
    <cfRule type="dataBar" priority="125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{6C4178A2-620A-4960-BFEF-AC88E890256B}</x14:id>
        </ext>
      </extLst>
    </cfRule>
  </conditionalFormatting>
  <conditionalFormatting sqref="T472:T473">
    <cfRule type="dataBar" priority="12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{C8456FB9-6EBE-4F02-9151-45B94E09C308}</x14:id>
        </ext>
      </extLst>
    </cfRule>
  </conditionalFormatting>
  <conditionalFormatting sqref="U472:U473">
    <cfRule type="dataBar" priority="12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{6F0FFE81-7D13-4861-B320-24C0AD232C66}</x14:id>
        </ext>
      </extLst>
    </cfRule>
  </conditionalFormatting>
  <conditionalFormatting sqref="G472:G473">
    <cfRule type="iconSet" priority="1258">
      <iconSet iconSet="3Flags">
        <cfvo type="percent" val="0"/>
        <cfvo type="percent" val="33"/>
        <cfvo type="percent" val="67"/>
      </iconSet>
    </cfRule>
  </conditionalFormatting>
  <conditionalFormatting sqref="S472:S473">
    <cfRule type="dataBar" priority="123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{E956F744-5754-48F3-94E8-EA4CF0B811F8}</x14:id>
        </ext>
      </extLst>
    </cfRule>
  </conditionalFormatting>
  <conditionalFormatting sqref="T472:T473">
    <cfRule type="dataBar" priority="123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{8A43E1BD-3250-477E-9FBA-83F137CEB30F}</x14:id>
        </ext>
      </extLst>
    </cfRule>
  </conditionalFormatting>
  <conditionalFormatting sqref="U472:U473">
    <cfRule type="dataBar" priority="12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{86045FEE-3356-4A8C-8A85-6A6698DECBE1}</x14:id>
        </ext>
      </extLst>
    </cfRule>
  </conditionalFormatting>
  <conditionalFormatting sqref="R472:R473">
    <cfRule type="dataBar" priority="123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{86E4B458-3E99-4E4B-ABEF-D6870C12889B}</x14:id>
        </ext>
      </extLst>
    </cfRule>
  </conditionalFormatting>
  <conditionalFormatting sqref="J472:J473">
    <cfRule type="iconSet" priority="1241">
      <iconSet iconSet="3Flags" reverse="1">
        <cfvo type="percent" val="0"/>
        <cfvo type="percent" val="33"/>
        <cfvo type="percent" val="67"/>
      </iconSet>
    </cfRule>
  </conditionalFormatting>
  <conditionalFormatting sqref="L472:L473">
    <cfRule type="iconSet" priority="1239">
      <iconSet iconSet="3Flags" reverse="1">
        <cfvo type="percent" val="0"/>
        <cfvo type="percent" val="33"/>
        <cfvo type="percent" val="67"/>
      </iconSet>
    </cfRule>
    <cfRule type="iconSet" priority="1240">
      <iconSet iconSet="3Flags">
        <cfvo type="percent" val="0"/>
        <cfvo type="percent" val="33"/>
        <cfvo type="percent" val="67"/>
      </iconSet>
    </cfRule>
  </conditionalFormatting>
  <conditionalFormatting sqref="X474:Y474">
    <cfRule type="containsText" dxfId="502" priority="1233" operator="containsText" text="Sh">
      <formula>NOT(ISERROR(SEARCH("Sh",X474)))</formula>
    </cfRule>
    <cfRule type="cellIs" dxfId="501" priority="1234" operator="equal">
      <formula>"Sh"</formula>
    </cfRule>
  </conditionalFormatting>
  <conditionalFormatting sqref="R474:R476">
    <cfRule type="dataBar" priority="12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{10ECE48E-2A29-4856-AEA4-8B5FA9FF8EA9}</x14:id>
        </ext>
      </extLst>
    </cfRule>
  </conditionalFormatting>
  <conditionalFormatting sqref="T474:T476">
    <cfRule type="dataBar" priority="12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{58F517D2-B76F-49D9-840A-387D5588E15D}</x14:id>
        </ext>
      </extLst>
    </cfRule>
  </conditionalFormatting>
  <conditionalFormatting sqref="R474:R476">
    <cfRule type="dataBar" priority="122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{033A826E-D1DB-48B2-A0AE-7EEFCA9006A1}</x14:id>
        </ext>
      </extLst>
    </cfRule>
  </conditionalFormatting>
  <conditionalFormatting sqref="U474:U476">
    <cfRule type="dataBar" priority="12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{E74E174A-F702-4E29-8B98-30D40A143D44}</x14:id>
        </ext>
      </extLst>
    </cfRule>
  </conditionalFormatting>
  <conditionalFormatting sqref="S474:S476">
    <cfRule type="dataBar" priority="12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{01C06EEB-D818-4FD2-9767-F7B794B122AB}</x14:id>
        </ext>
      </extLst>
    </cfRule>
  </conditionalFormatting>
  <conditionalFormatting sqref="R474:R476">
    <cfRule type="dataBar" priority="12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{25F2778E-B4F4-449A-9D80-2124D4C2DF46}</x14:id>
        </ext>
      </extLst>
    </cfRule>
  </conditionalFormatting>
  <conditionalFormatting sqref="S474:S476">
    <cfRule type="dataBar" priority="12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{6618376B-7A87-4D6F-8BFC-4F0D13D4E57C}</x14:id>
        </ext>
      </extLst>
    </cfRule>
  </conditionalFormatting>
  <conditionalFormatting sqref="T474:T476">
    <cfRule type="dataBar" priority="123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{A760855F-C944-4DCF-8C22-24B3D9BA54E5}</x14:id>
        </ext>
      </extLst>
    </cfRule>
  </conditionalFormatting>
  <conditionalFormatting sqref="U474:U476">
    <cfRule type="dataBar" priority="12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{29C9D53B-4089-4E9D-94BF-2FAA000683B4}</x14:id>
        </ext>
      </extLst>
    </cfRule>
  </conditionalFormatting>
  <conditionalFormatting sqref="G474:G475">
    <cfRule type="iconSet" priority="1232">
      <iconSet iconSet="3Flags">
        <cfvo type="percent" val="0"/>
        <cfvo type="percent" val="33"/>
        <cfvo type="percent" val="67"/>
      </iconSet>
    </cfRule>
  </conditionalFormatting>
  <conditionalFormatting sqref="S474:S476">
    <cfRule type="dataBar" priority="12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{4C949696-55EA-47AC-BD05-8FC615819DC7}</x14:id>
        </ext>
      </extLst>
    </cfRule>
  </conditionalFormatting>
  <conditionalFormatting sqref="T474:T476">
    <cfRule type="dataBar" priority="12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{2C577BC8-C9FF-4760-B166-D50213B87206}</x14:id>
        </ext>
      </extLst>
    </cfRule>
  </conditionalFormatting>
  <conditionalFormatting sqref="U474:U476">
    <cfRule type="dataBar" priority="12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{BA005873-05C7-4296-9EAA-002907E6A0C3}</x14:id>
        </ext>
      </extLst>
    </cfRule>
  </conditionalFormatting>
  <conditionalFormatting sqref="R474:R476">
    <cfRule type="dataBar" priority="121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{C997248C-4624-47F6-BF1A-58C1E3278F0A}</x14:id>
        </ext>
      </extLst>
    </cfRule>
  </conditionalFormatting>
  <conditionalFormatting sqref="J474:J475">
    <cfRule type="iconSet" priority="1222">
      <iconSet iconSet="3Flags" reverse="1">
        <cfvo type="percent" val="0"/>
        <cfvo type="percent" val="33"/>
        <cfvo type="percent" val="67"/>
      </iconSet>
    </cfRule>
  </conditionalFormatting>
  <conditionalFormatting sqref="L474:L475">
    <cfRule type="iconSet" priority="1220">
      <iconSet iconSet="3Flags" reverse="1">
        <cfvo type="percent" val="0"/>
        <cfvo type="percent" val="33"/>
        <cfvo type="percent" val="67"/>
      </iconSet>
    </cfRule>
    <cfRule type="iconSet" priority="1221">
      <iconSet iconSet="3Flags">
        <cfvo type="percent" val="0"/>
        <cfvo type="percent" val="33"/>
        <cfvo type="percent" val="67"/>
      </iconSet>
    </cfRule>
  </conditionalFormatting>
  <conditionalFormatting sqref="R477">
    <cfRule type="dataBar" priority="12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{87588FEE-1285-498E-85CE-251F06F27259}</x14:id>
        </ext>
      </extLst>
    </cfRule>
  </conditionalFormatting>
  <conditionalFormatting sqref="T477">
    <cfRule type="dataBar" priority="12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{B6609CF4-4997-4737-8765-6A87736C4331}</x14:id>
        </ext>
      </extLst>
    </cfRule>
  </conditionalFormatting>
  <conditionalFormatting sqref="R477">
    <cfRule type="dataBar" priority="12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{55D3EEEF-28CC-4F26-B7F5-4F87002A154B}</x14:id>
        </ext>
      </extLst>
    </cfRule>
  </conditionalFormatting>
  <conditionalFormatting sqref="U477">
    <cfRule type="dataBar" priority="12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{A9E85A81-C8D9-41E7-8650-588EEB9CBC8E}</x14:id>
        </ext>
      </extLst>
    </cfRule>
  </conditionalFormatting>
  <conditionalFormatting sqref="S477">
    <cfRule type="dataBar" priority="12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{0BD88965-7289-412E-9DA7-B4AF7263AAC5}</x14:id>
        </ext>
      </extLst>
    </cfRule>
  </conditionalFormatting>
  <conditionalFormatting sqref="R482">
    <cfRule type="dataBar" priority="11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{59987B78-E32F-4F80-9AB7-C668D6241E45}</x14:id>
        </ext>
      </extLst>
    </cfRule>
  </conditionalFormatting>
  <conditionalFormatting sqref="R482">
    <cfRule type="dataBar" priority="12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{31B51084-D17A-4AF9-9398-506F98591D99}</x14:id>
        </ext>
      </extLst>
    </cfRule>
  </conditionalFormatting>
  <conditionalFormatting sqref="T482">
    <cfRule type="dataBar" priority="120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{AF46FA07-4F1D-4A82-AA8A-975AB079C77D}</x14:id>
        </ext>
      </extLst>
    </cfRule>
  </conditionalFormatting>
  <conditionalFormatting sqref="R482">
    <cfRule type="dataBar" priority="120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{7EF55436-0FEC-4741-8B8E-78D9ABCD4783}</x14:id>
        </ext>
      </extLst>
    </cfRule>
  </conditionalFormatting>
  <conditionalFormatting sqref="U482">
    <cfRule type="dataBar" priority="12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{53CCFA7C-D44E-4D82-9B67-9686967A4074}</x14:id>
        </ext>
      </extLst>
    </cfRule>
  </conditionalFormatting>
  <conditionalFormatting sqref="T482">
    <cfRule type="dataBar" priority="120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{B5C65799-2381-49E0-AB00-753B10EA91F6}</x14:id>
        </ext>
      </extLst>
    </cfRule>
  </conditionalFormatting>
  <conditionalFormatting sqref="S482">
    <cfRule type="dataBar" priority="120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{12CCF1E9-8D32-41EC-9CE4-E16E8949F444}</x14:id>
        </ext>
      </extLst>
    </cfRule>
  </conditionalFormatting>
  <conditionalFormatting sqref="R482">
    <cfRule type="dataBar" priority="120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{13D2C49C-C3C0-47BB-9DC0-53C201601841}</x14:id>
        </ext>
      </extLst>
    </cfRule>
  </conditionalFormatting>
  <conditionalFormatting sqref="S482">
    <cfRule type="dataBar" priority="120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{FC736E02-8298-4BFC-97FD-4B5A2B2955E1}</x14:id>
        </ext>
      </extLst>
    </cfRule>
  </conditionalFormatting>
  <conditionalFormatting sqref="T482">
    <cfRule type="dataBar" priority="120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{0B8A589D-F1AF-46F8-A074-31F9FF84A677}</x14:id>
        </ext>
      </extLst>
    </cfRule>
  </conditionalFormatting>
  <conditionalFormatting sqref="U482">
    <cfRule type="dataBar" priority="12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{6FC0BDAF-AC59-4796-920F-2F23EF250082}</x14:id>
        </ext>
      </extLst>
    </cfRule>
  </conditionalFormatting>
  <conditionalFormatting sqref="S482">
    <cfRule type="dataBar" priority="119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{01AB8CD1-AB7A-4965-95E3-B68CB8F4378E}</x14:id>
        </ext>
      </extLst>
    </cfRule>
  </conditionalFormatting>
  <conditionalFormatting sqref="T482">
    <cfRule type="dataBar" priority="119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{69AB1685-EA48-4017-A5A3-0C566882CC58}</x14:id>
        </ext>
      </extLst>
    </cfRule>
  </conditionalFormatting>
  <conditionalFormatting sqref="U482">
    <cfRule type="dataBar" priority="11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{5EB01AFC-D6FD-4898-A70E-BCF1FB2A6783}</x14:id>
        </ext>
      </extLst>
    </cfRule>
  </conditionalFormatting>
  <conditionalFormatting sqref="R482">
    <cfRule type="dataBar" priority="119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{B1EAE9BF-EA40-4C70-BECB-B88B1045726F}</x14:id>
        </ext>
      </extLst>
    </cfRule>
  </conditionalFormatting>
  <conditionalFormatting sqref="AD468">
    <cfRule type="colorScale" priority="1194">
      <colorScale>
        <cfvo type="min"/>
        <cfvo type="max"/>
        <color rgb="FF63BE7B"/>
        <color rgb="FFFCFCFF"/>
      </colorScale>
    </cfRule>
  </conditionalFormatting>
  <conditionalFormatting sqref="AE468">
    <cfRule type="colorScale" priority="1193">
      <colorScale>
        <cfvo type="min"/>
        <cfvo type="max"/>
        <color rgb="FF63BE7B"/>
        <color rgb="FFFCFCFF"/>
      </colorScale>
    </cfRule>
  </conditionalFormatting>
  <conditionalFormatting sqref="AE468">
    <cfRule type="colorScale" priority="1192">
      <colorScale>
        <cfvo type="min"/>
        <cfvo type="max"/>
        <color rgb="FF63BE7B"/>
        <color rgb="FFFFEF9C"/>
      </colorScale>
    </cfRule>
  </conditionalFormatting>
  <conditionalFormatting sqref="AF468">
    <cfRule type="colorScale" priority="1191">
      <colorScale>
        <cfvo type="min"/>
        <cfvo type="max"/>
        <color rgb="FF63BE7B"/>
        <color rgb="FFFCFCFF"/>
      </colorScale>
    </cfRule>
  </conditionalFormatting>
  <conditionalFormatting sqref="AF468">
    <cfRule type="colorScale" priority="1190">
      <colorScale>
        <cfvo type="min"/>
        <cfvo type="max"/>
        <color rgb="FF63BE7B"/>
        <color rgb="FFFFEF9C"/>
      </colorScale>
    </cfRule>
  </conditionalFormatting>
  <conditionalFormatting sqref="AG468:AH468">
    <cfRule type="colorScale" priority="1189">
      <colorScale>
        <cfvo type="min"/>
        <cfvo type="max"/>
        <color rgb="FF63BE7B"/>
        <color rgb="FFFCFCFF"/>
      </colorScale>
    </cfRule>
  </conditionalFormatting>
  <conditionalFormatting sqref="AG468:AH468">
    <cfRule type="colorScale" priority="1188">
      <colorScale>
        <cfvo type="min"/>
        <cfvo type="max"/>
        <color rgb="FF63BE7B"/>
        <color rgb="FFFFEF9C"/>
      </colorScale>
    </cfRule>
  </conditionalFormatting>
  <conditionalFormatting sqref="AB438:AB482">
    <cfRule type="containsText" dxfId="500" priority="1186" operator="containsText" text="Sh">
      <formula>NOT(ISERROR(SEARCH("Sh",AB438)))</formula>
    </cfRule>
    <cfRule type="cellIs" dxfId="499" priority="1187" operator="equal">
      <formula>"Sh"</formula>
    </cfRule>
  </conditionalFormatting>
  <conditionalFormatting sqref="AD476">
    <cfRule type="colorScale" priority="1185">
      <colorScale>
        <cfvo type="min"/>
        <cfvo type="max"/>
        <color rgb="FF63BE7B"/>
        <color rgb="FFFCFCFF"/>
      </colorScale>
    </cfRule>
  </conditionalFormatting>
  <conditionalFormatting sqref="AE476">
    <cfRule type="colorScale" priority="1184">
      <colorScale>
        <cfvo type="min"/>
        <cfvo type="max"/>
        <color rgb="FF63BE7B"/>
        <color rgb="FFFCFCFF"/>
      </colorScale>
    </cfRule>
  </conditionalFormatting>
  <conditionalFormatting sqref="AE476">
    <cfRule type="colorScale" priority="1183">
      <colorScale>
        <cfvo type="min"/>
        <cfvo type="max"/>
        <color rgb="FF63BE7B"/>
        <color rgb="FFFFEF9C"/>
      </colorScale>
    </cfRule>
  </conditionalFormatting>
  <conditionalFormatting sqref="AF476">
    <cfRule type="colorScale" priority="1182">
      <colorScale>
        <cfvo type="min"/>
        <cfvo type="max"/>
        <color rgb="FF63BE7B"/>
        <color rgb="FFFCFCFF"/>
      </colorScale>
    </cfRule>
  </conditionalFormatting>
  <conditionalFormatting sqref="AF476">
    <cfRule type="colorScale" priority="1181">
      <colorScale>
        <cfvo type="min"/>
        <cfvo type="max"/>
        <color rgb="FF63BE7B"/>
        <color rgb="FFFFEF9C"/>
      </colorScale>
    </cfRule>
  </conditionalFormatting>
  <conditionalFormatting sqref="AG476:AH476">
    <cfRule type="colorScale" priority="1180">
      <colorScale>
        <cfvo type="min"/>
        <cfvo type="max"/>
        <color rgb="FF63BE7B"/>
        <color rgb="FFFCFCFF"/>
      </colorScale>
    </cfRule>
  </conditionalFormatting>
  <conditionalFormatting sqref="AG476:AH476">
    <cfRule type="colorScale" priority="1179">
      <colorScale>
        <cfvo type="min"/>
        <cfvo type="max"/>
        <color rgb="FF63BE7B"/>
        <color rgb="FFFFEF9C"/>
      </colorScale>
    </cfRule>
  </conditionalFormatting>
  <conditionalFormatting sqref="S451:S455 S483 S458 S471 S466:S468 S479:S481">
    <cfRule type="dataBar" priority="150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{601CFCE5-2334-4AAC-BEB7-09742B5B8E81}</x14:id>
        </ext>
      </extLst>
    </cfRule>
  </conditionalFormatting>
  <conditionalFormatting sqref="T451:T453 T483 T458 T471 T466:T467 T479:T481">
    <cfRule type="dataBar" priority="150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{914573D8-24C3-47DB-90A0-1B5C6DA6E4C4}</x14:id>
        </ext>
      </extLst>
    </cfRule>
  </conditionalFormatting>
  <conditionalFormatting sqref="U458 U483 U471 U479:U481 U451:U453 U466:U467">
    <cfRule type="dataBar" priority="15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{B6054E27-2A36-4AE6-A48C-9AED0EECAE0D}</x14:id>
        </ext>
      </extLst>
    </cfRule>
  </conditionalFormatting>
  <conditionalFormatting sqref="R458 R483 R451:R455 R471 R466:R468 R479:R481">
    <cfRule type="dataBar" priority="15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{E8309981-C7F4-40BB-B906-267B4F8D8EA0}</x14:id>
        </ext>
      </extLst>
    </cfRule>
  </conditionalFormatting>
  <conditionalFormatting sqref="D438:D483">
    <cfRule type="containsText" dxfId="498" priority="1177" operator="containsText" text="Roll-To-Roll">
      <formula>NOT(ISERROR(SEARCH("Roll-To-Roll",D438)))</formula>
    </cfRule>
    <cfRule type="containsText" dxfId="497" priority="1178" operator="containsText" text="Production">
      <formula>NOT(ISERROR(SEARCH("Production",D438)))</formula>
    </cfRule>
  </conditionalFormatting>
  <conditionalFormatting sqref="R479:R481">
    <cfRule type="dataBar" priority="117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{53E69559-1D29-475C-8F0B-847381BB9AAF}</x14:id>
        </ext>
      </extLst>
    </cfRule>
  </conditionalFormatting>
  <conditionalFormatting sqref="S479:S481">
    <cfRule type="dataBar" priority="117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{5EAAA1DF-56D1-4EAA-A04E-37D18C2E301D}</x14:id>
        </ext>
      </extLst>
    </cfRule>
  </conditionalFormatting>
  <conditionalFormatting sqref="T479:T481">
    <cfRule type="dataBar" priority="117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{2E6CDD8E-B62C-47B1-A7E3-9E41F977856E}</x14:id>
        </ext>
      </extLst>
    </cfRule>
  </conditionalFormatting>
  <conditionalFormatting sqref="U479:U481">
    <cfRule type="dataBar" priority="11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{00DD011C-A686-401C-BEAD-109926156A2B}</x14:id>
        </ext>
      </extLst>
    </cfRule>
  </conditionalFormatting>
  <conditionalFormatting sqref="G479:G481">
    <cfRule type="iconSet" priority="1171">
      <iconSet iconSet="3Flags">
        <cfvo type="percent" val="0"/>
        <cfvo type="percent" val="33"/>
        <cfvo type="percent" val="67"/>
      </iconSet>
    </cfRule>
  </conditionalFormatting>
  <conditionalFormatting sqref="G479:G481">
    <cfRule type="iconSet" priority="1172">
      <iconSet iconSet="3Flags">
        <cfvo type="percent" val="0"/>
        <cfvo type="percent" val="33"/>
        <cfvo type="percent" val="67"/>
      </iconSet>
    </cfRule>
  </conditionalFormatting>
  <conditionalFormatting sqref="R479:R481">
    <cfRule type="dataBar" priority="117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{04A8F940-E907-4B90-B124-0F471428CA05}</x14:id>
        </ext>
      </extLst>
    </cfRule>
  </conditionalFormatting>
  <conditionalFormatting sqref="R438:R483">
    <cfRule type="dataBar" priority="116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{DEFA1330-112D-42D8-8654-8EEC7BE71056}</x14:id>
        </ext>
      </extLst>
    </cfRule>
  </conditionalFormatting>
  <conditionalFormatting sqref="S438:S483">
    <cfRule type="dataBar" priority="116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{26A9EC07-176F-4F4B-8C04-7BAD1EB53B15}</x14:id>
        </ext>
      </extLst>
    </cfRule>
  </conditionalFormatting>
  <conditionalFormatting sqref="T438:T483">
    <cfRule type="dataBar" priority="116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{7D3A4F65-6576-4A5C-9AB6-361DBE2DC4A2}</x14:id>
        </ext>
      </extLst>
    </cfRule>
  </conditionalFormatting>
  <conditionalFormatting sqref="U438:U483">
    <cfRule type="dataBar" priority="11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{2B95180B-4CD9-4F27-B3EA-C8A3539FEB87}</x14:id>
        </ext>
      </extLst>
    </cfRule>
  </conditionalFormatting>
  <conditionalFormatting sqref="H478">
    <cfRule type="containsText" dxfId="496" priority="1151" operator="containsText" text="Production">
      <formula>NOT(ISERROR(SEARCH("Production",H478)))</formula>
    </cfRule>
    <cfRule type="containsText" dxfId="495" priority="1152" operator="containsText" text="Roll">
      <formula>NOT(ISERROR(SEARCH("Roll",H478)))</formula>
    </cfRule>
  </conditionalFormatting>
  <conditionalFormatting sqref="X478:Y478">
    <cfRule type="containsText" dxfId="494" priority="1149" operator="containsText" text="Sh">
      <formula>NOT(ISERROR(SEARCH("Sh",X478)))</formula>
    </cfRule>
    <cfRule type="cellIs" dxfId="493" priority="1150" operator="equal">
      <formula>"Sh"</formula>
    </cfRule>
  </conditionalFormatting>
  <conditionalFormatting sqref="R478">
    <cfRule type="dataBar" priority="11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{FAFD22B9-DA1C-473D-9886-B09B132297CC}</x14:id>
        </ext>
      </extLst>
    </cfRule>
  </conditionalFormatting>
  <conditionalFormatting sqref="R478">
    <cfRule type="dataBar" priority="11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{27A8FECE-C6D7-4ACC-BE76-C7B0C9F57CF5}</x14:id>
        </ext>
      </extLst>
    </cfRule>
  </conditionalFormatting>
  <conditionalFormatting sqref="T478">
    <cfRule type="dataBar" priority="115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{51BC5999-AAF0-4363-80EA-ABF589AE6B3F}</x14:id>
        </ext>
      </extLst>
    </cfRule>
  </conditionalFormatting>
  <conditionalFormatting sqref="R478">
    <cfRule type="dataBar" priority="115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{A8F66FC1-83BF-41A2-A6AE-903E29CF087B}</x14:id>
        </ext>
      </extLst>
    </cfRule>
  </conditionalFormatting>
  <conditionalFormatting sqref="U478">
    <cfRule type="dataBar" priority="11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{4CD5E76D-040E-4092-ADD0-8B9EE378038F}</x14:id>
        </ext>
      </extLst>
    </cfRule>
  </conditionalFormatting>
  <conditionalFormatting sqref="T478">
    <cfRule type="dataBar" priority="11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{44F00E91-0567-4172-82D8-C276973660C8}</x14:id>
        </ext>
      </extLst>
    </cfRule>
  </conditionalFormatting>
  <conditionalFormatting sqref="S478">
    <cfRule type="dataBar" priority="115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{2D9FC5F7-40C1-4C8B-8200-90BDBA35A290}</x14:id>
        </ext>
      </extLst>
    </cfRule>
  </conditionalFormatting>
  <conditionalFormatting sqref="G478">
    <cfRule type="iconSet" priority="1160">
      <iconSet iconSet="3Flags">
        <cfvo type="percent" val="0"/>
        <cfvo type="percent" val="33"/>
        <cfvo type="percent" val="67"/>
      </iconSet>
    </cfRule>
  </conditionalFormatting>
  <conditionalFormatting sqref="R478">
    <cfRule type="dataBar" priority="116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{94E21A7E-3602-497B-841A-12A79399AD42}</x14:id>
        </ext>
      </extLst>
    </cfRule>
  </conditionalFormatting>
  <conditionalFormatting sqref="S478">
    <cfRule type="dataBar" priority="116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{3797AF2B-33A4-4D59-AB44-0BDB7E0ACF98}</x14:id>
        </ext>
      </extLst>
    </cfRule>
  </conditionalFormatting>
  <conditionalFormatting sqref="T478">
    <cfRule type="dataBar" priority="116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{EC608D23-BECA-4DFD-BCE8-E9FF8CED3AFA}</x14:id>
        </ext>
      </extLst>
    </cfRule>
  </conditionalFormatting>
  <conditionalFormatting sqref="U478">
    <cfRule type="dataBar" priority="11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{9F613757-FD0A-4378-94B2-E8598899270E}</x14:id>
        </ext>
      </extLst>
    </cfRule>
  </conditionalFormatting>
  <conditionalFormatting sqref="G478">
    <cfRule type="iconSet" priority="1165">
      <iconSet iconSet="3Flags">
        <cfvo type="percent" val="0"/>
        <cfvo type="percent" val="33"/>
        <cfvo type="percent" val="67"/>
      </iconSet>
    </cfRule>
  </conditionalFormatting>
  <conditionalFormatting sqref="S478">
    <cfRule type="dataBar" priority="11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{1D549D76-0FCF-4B15-BA0D-08D13A59EBD2}</x14:id>
        </ext>
      </extLst>
    </cfRule>
  </conditionalFormatting>
  <conditionalFormatting sqref="T478">
    <cfRule type="dataBar" priority="11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{83368323-60CD-4B12-813D-37F227AAE2EE}</x14:id>
        </ext>
      </extLst>
    </cfRule>
  </conditionalFormatting>
  <conditionalFormatting sqref="U478">
    <cfRule type="dataBar" priority="11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{651460A6-96EE-45B4-AB3E-4F830EE53CF4}</x14:id>
        </ext>
      </extLst>
    </cfRule>
  </conditionalFormatting>
  <conditionalFormatting sqref="R478">
    <cfRule type="dataBar" priority="114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{99DF20A4-8114-437B-BCD2-44DC345CA3BF}</x14:id>
        </ext>
      </extLst>
    </cfRule>
  </conditionalFormatting>
  <conditionalFormatting sqref="J478">
    <cfRule type="iconSet" priority="1148">
      <iconSet iconSet="3Flags" reverse="1">
        <cfvo type="percent" val="0"/>
        <cfvo type="percent" val="33"/>
        <cfvo type="percent" val="67"/>
      </iconSet>
    </cfRule>
  </conditionalFormatting>
  <conditionalFormatting sqref="L478">
    <cfRule type="iconSet" priority="1146">
      <iconSet iconSet="3Flags" reverse="1">
        <cfvo type="percent" val="0"/>
        <cfvo type="percent" val="33"/>
        <cfvo type="percent" val="67"/>
      </iconSet>
    </cfRule>
    <cfRule type="iconSet" priority="1147">
      <iconSet iconSet="3Flags">
        <cfvo type="percent" val="0"/>
        <cfvo type="percent" val="33"/>
        <cfvo type="percent" val="67"/>
      </iconSet>
    </cfRule>
  </conditionalFormatting>
  <conditionalFormatting sqref="AD479">
    <cfRule type="colorScale" priority="1141">
      <colorScale>
        <cfvo type="min"/>
        <cfvo type="max"/>
        <color rgb="FF63BE7B"/>
        <color rgb="FFFCFCFF"/>
      </colorScale>
    </cfRule>
  </conditionalFormatting>
  <conditionalFormatting sqref="AE479">
    <cfRule type="colorScale" priority="1140">
      <colorScale>
        <cfvo type="min"/>
        <cfvo type="max"/>
        <color rgb="FF63BE7B"/>
        <color rgb="FFFCFCFF"/>
      </colorScale>
    </cfRule>
  </conditionalFormatting>
  <conditionalFormatting sqref="AE479">
    <cfRule type="colorScale" priority="1139">
      <colorScale>
        <cfvo type="min"/>
        <cfvo type="max"/>
        <color rgb="FF63BE7B"/>
        <color rgb="FFFFEF9C"/>
      </colorScale>
    </cfRule>
  </conditionalFormatting>
  <conditionalFormatting sqref="AF479">
    <cfRule type="colorScale" priority="1138">
      <colorScale>
        <cfvo type="min"/>
        <cfvo type="max"/>
        <color rgb="FF63BE7B"/>
        <color rgb="FFFCFCFF"/>
      </colorScale>
    </cfRule>
  </conditionalFormatting>
  <conditionalFormatting sqref="AF479">
    <cfRule type="colorScale" priority="1137">
      <colorScale>
        <cfvo type="min"/>
        <cfvo type="max"/>
        <color rgb="FF63BE7B"/>
        <color rgb="FFFFEF9C"/>
      </colorScale>
    </cfRule>
  </conditionalFormatting>
  <conditionalFormatting sqref="AG479:AH479">
    <cfRule type="colorScale" priority="1136">
      <colorScale>
        <cfvo type="min"/>
        <cfvo type="max"/>
        <color rgb="FF63BE7B"/>
        <color rgb="FFFCFCFF"/>
      </colorScale>
    </cfRule>
  </conditionalFormatting>
  <conditionalFormatting sqref="AG479:AH479">
    <cfRule type="colorScale" priority="1135">
      <colorScale>
        <cfvo type="min"/>
        <cfvo type="max"/>
        <color rgb="FF63BE7B"/>
        <color rgb="FFFFEF9C"/>
      </colorScale>
    </cfRule>
  </conditionalFormatting>
  <conditionalFormatting sqref="F438:F483">
    <cfRule type="iconSet" priority="1134">
      <iconSet iconSet="3Signs">
        <cfvo type="percent" val="0"/>
        <cfvo type="percent" val="33"/>
        <cfvo type="percent" val="67"/>
      </iconSet>
    </cfRule>
  </conditionalFormatting>
  <conditionalFormatting sqref="AD481">
    <cfRule type="colorScale" priority="1133">
      <colorScale>
        <cfvo type="min"/>
        <cfvo type="max"/>
        <color rgb="FF63BE7B"/>
        <color rgb="FFFCFCFF"/>
      </colorScale>
    </cfRule>
  </conditionalFormatting>
  <conditionalFormatting sqref="AE481">
    <cfRule type="colorScale" priority="1132">
      <colorScale>
        <cfvo type="min"/>
        <cfvo type="max"/>
        <color rgb="FF63BE7B"/>
        <color rgb="FFFCFCFF"/>
      </colorScale>
    </cfRule>
  </conditionalFormatting>
  <conditionalFormatting sqref="AE481">
    <cfRule type="colorScale" priority="1131">
      <colorScale>
        <cfvo type="min"/>
        <cfvo type="max"/>
        <color rgb="FF63BE7B"/>
        <color rgb="FFFFEF9C"/>
      </colorScale>
    </cfRule>
  </conditionalFormatting>
  <conditionalFormatting sqref="AF481">
    <cfRule type="colorScale" priority="1130">
      <colorScale>
        <cfvo type="min"/>
        <cfvo type="max"/>
        <color rgb="FF63BE7B"/>
        <color rgb="FFFCFCFF"/>
      </colorScale>
    </cfRule>
  </conditionalFormatting>
  <conditionalFormatting sqref="AF481">
    <cfRule type="colorScale" priority="1129">
      <colorScale>
        <cfvo type="min"/>
        <cfvo type="max"/>
        <color rgb="FF63BE7B"/>
        <color rgb="FFFFEF9C"/>
      </colorScale>
    </cfRule>
  </conditionalFormatting>
  <conditionalFormatting sqref="AG481:AH481">
    <cfRule type="colorScale" priority="1128">
      <colorScale>
        <cfvo type="min"/>
        <cfvo type="max"/>
        <color rgb="FF63BE7B"/>
        <color rgb="FFFCFCFF"/>
      </colorScale>
    </cfRule>
  </conditionalFormatting>
  <conditionalFormatting sqref="AG481:AH481">
    <cfRule type="colorScale" priority="1127">
      <colorScale>
        <cfvo type="min"/>
        <cfvo type="max"/>
        <color rgb="FF63BE7B"/>
        <color rgb="FFFFEF9C"/>
      </colorScale>
    </cfRule>
  </conditionalFormatting>
  <conditionalFormatting sqref="AO483">
    <cfRule type="colorScale" priority="1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38:AI483">
    <cfRule type="colorScale" priority="1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438:AO482">
    <cfRule type="colorScale" priority="1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438:AO482">
    <cfRule type="colorScale" priority="1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48">
    <cfRule type="containsText" dxfId="492" priority="1121" operator="containsText" text="Sh">
      <formula>NOT(ISERROR(SEARCH("Sh",X448)))</formula>
    </cfRule>
    <cfRule type="cellIs" dxfId="491" priority="1122" operator="equal">
      <formula>"Sh"</formula>
    </cfRule>
  </conditionalFormatting>
  <conditionalFormatting sqref="X453">
    <cfRule type="containsText" dxfId="490" priority="1119" operator="containsText" text="Sh">
      <formula>NOT(ISERROR(SEARCH("Sh",X453)))</formula>
    </cfRule>
    <cfRule type="cellIs" dxfId="489" priority="1120" operator="equal">
      <formula>"Sh"</formula>
    </cfRule>
  </conditionalFormatting>
  <conditionalFormatting sqref="AC553:AC563">
    <cfRule type="containsText" dxfId="488" priority="1027" operator="containsText" text="Sh">
      <formula>NOT(ISERROR(SEARCH("Sh",AC553)))</formula>
    </cfRule>
    <cfRule type="cellIs" dxfId="487" priority="1028" operator="equal">
      <formula>"Sh"</formula>
    </cfRule>
  </conditionalFormatting>
  <conditionalFormatting sqref="Z553:AA553">
    <cfRule type="containsText" dxfId="486" priority="1025" operator="containsText" text="Sh">
      <formula>NOT(ISERROR(SEARCH("Sh",Z553)))</formula>
    </cfRule>
    <cfRule type="cellIs" dxfId="485" priority="1026" operator="equal">
      <formula>"Sh"</formula>
    </cfRule>
  </conditionalFormatting>
  <conditionalFormatting sqref="AC553:AC554">
    <cfRule type="iconSet" priority="1024">
      <iconSet>
        <cfvo type="percent" val="0"/>
        <cfvo type="percent" val="33"/>
        <cfvo type="percent" val="67"/>
      </iconSet>
    </cfRule>
  </conditionalFormatting>
  <conditionalFormatting sqref="H553:H554 E553:E554">
    <cfRule type="containsText" dxfId="484" priority="1022" operator="containsText" text="Production">
      <formula>NOT(ISERROR(SEARCH("Production",E553)))</formula>
    </cfRule>
    <cfRule type="containsText" dxfId="483" priority="1023" operator="containsText" text="Roll">
      <formula>NOT(ISERROR(SEARCH("Roll",E553)))</formula>
    </cfRule>
  </conditionalFormatting>
  <conditionalFormatting sqref="X553:Y553">
    <cfRule type="containsText" dxfId="482" priority="1020" operator="containsText" text="Sh">
      <formula>NOT(ISERROR(SEARCH("Sh",X553)))</formula>
    </cfRule>
    <cfRule type="cellIs" dxfId="481" priority="1021" operator="equal">
      <formula>"Sh"</formula>
    </cfRule>
  </conditionalFormatting>
  <conditionalFormatting sqref="J553:J554">
    <cfRule type="iconSet" priority="1019">
      <iconSet iconSet="3Flags" reverse="1">
        <cfvo type="percent" val="0"/>
        <cfvo type="percent" val="33"/>
        <cfvo type="percent" val="67"/>
      </iconSet>
    </cfRule>
  </conditionalFormatting>
  <conditionalFormatting sqref="L553:L554">
    <cfRule type="iconSet" priority="1017">
      <iconSet iconSet="3Flags" reverse="1">
        <cfvo type="percent" val="0"/>
        <cfvo type="percent" val="33"/>
        <cfvo type="percent" val="67"/>
      </iconSet>
    </cfRule>
    <cfRule type="iconSet" priority="1018">
      <iconSet iconSet="3Flags">
        <cfvo type="percent" val="0"/>
        <cfvo type="percent" val="33"/>
        <cfvo type="percent" val="67"/>
      </iconSet>
    </cfRule>
  </conditionalFormatting>
  <conditionalFormatting sqref="AC553:AC554">
    <cfRule type="iconSet" priority="1029">
      <iconSet>
        <cfvo type="percent" val="0"/>
        <cfvo type="percent" val="90" gte="0"/>
        <cfvo type="percent" val="100"/>
      </iconSet>
    </cfRule>
  </conditionalFormatting>
  <conditionalFormatting sqref="D553:D562">
    <cfRule type="containsText" dxfId="480" priority="1015" operator="containsText" text="Roll-To-Roll">
      <formula>NOT(ISERROR(SEARCH("Roll-To-Roll",D553)))</formula>
    </cfRule>
    <cfRule type="containsText" dxfId="479" priority="1016" operator="containsText" text="Production">
      <formula>NOT(ISERROR(SEARCH("Production",D553)))</formula>
    </cfRule>
  </conditionalFormatting>
  <conditionalFormatting sqref="F553:F554">
    <cfRule type="iconSet" priority="1014">
      <iconSet iconSet="3Signs">
        <cfvo type="percent" val="0"/>
        <cfvo type="percent" val="33"/>
        <cfvo type="percent" val="67"/>
      </iconSet>
    </cfRule>
  </conditionalFormatting>
  <conditionalFormatting sqref="X555:Y555">
    <cfRule type="containsText" dxfId="478" priority="1012" operator="containsText" text="Sh">
      <formula>NOT(ISERROR(SEARCH("Sh",X555)))</formula>
    </cfRule>
    <cfRule type="cellIs" dxfId="477" priority="1013" operator="equal">
      <formula>"Sh"</formula>
    </cfRule>
  </conditionalFormatting>
  <conditionalFormatting sqref="J557:J558">
    <cfRule type="iconSet" priority="1011">
      <iconSet iconSet="3Flags" reverse="1">
        <cfvo type="percent" val="0"/>
        <cfvo type="percent" val="33"/>
        <cfvo type="percent" val="67"/>
      </iconSet>
    </cfRule>
  </conditionalFormatting>
  <conditionalFormatting sqref="L557:L558">
    <cfRule type="iconSet" priority="1009">
      <iconSet iconSet="3Flags" reverse="1">
        <cfvo type="percent" val="0"/>
        <cfvo type="percent" val="33"/>
        <cfvo type="percent" val="67"/>
      </iconSet>
    </cfRule>
    <cfRule type="iconSet" priority="1010">
      <iconSet iconSet="3Flags">
        <cfvo type="percent" val="0"/>
        <cfvo type="percent" val="33"/>
        <cfvo type="percent" val="67"/>
      </iconSet>
    </cfRule>
  </conditionalFormatting>
  <conditionalFormatting sqref="F557:F558">
    <cfRule type="iconSet" priority="1008">
      <iconSet iconSet="3Signs">
        <cfvo type="percent" val="0"/>
        <cfvo type="percent" val="33"/>
        <cfvo type="percent" val="67"/>
      </iconSet>
    </cfRule>
  </conditionalFormatting>
  <conditionalFormatting sqref="H555:H556 E555:E556">
    <cfRule type="containsText" dxfId="476" priority="1006" operator="containsText" text="Production">
      <formula>NOT(ISERROR(SEARCH("Production",E555)))</formula>
    </cfRule>
    <cfRule type="containsText" dxfId="475" priority="1007" operator="containsText" text="Roll">
      <formula>NOT(ISERROR(SEARCH("Roll",E555)))</formula>
    </cfRule>
  </conditionalFormatting>
  <conditionalFormatting sqref="J555:J556">
    <cfRule type="iconSet" priority="1005">
      <iconSet iconSet="3Flags" reverse="1">
        <cfvo type="percent" val="0"/>
        <cfvo type="percent" val="33"/>
        <cfvo type="percent" val="67"/>
      </iconSet>
    </cfRule>
  </conditionalFormatting>
  <conditionalFormatting sqref="L555:L556">
    <cfRule type="iconSet" priority="1003">
      <iconSet iconSet="3Flags" reverse="1">
        <cfvo type="percent" val="0"/>
        <cfvo type="percent" val="33"/>
        <cfvo type="percent" val="67"/>
      </iconSet>
    </cfRule>
    <cfRule type="iconSet" priority="1004">
      <iconSet iconSet="3Flags">
        <cfvo type="percent" val="0"/>
        <cfvo type="percent" val="33"/>
        <cfvo type="percent" val="67"/>
      </iconSet>
    </cfRule>
  </conditionalFormatting>
  <conditionalFormatting sqref="F555:F556">
    <cfRule type="iconSet" priority="1002">
      <iconSet iconSet="3Signs">
        <cfvo type="percent" val="0"/>
        <cfvo type="percent" val="33"/>
        <cfvo type="percent" val="67"/>
      </iconSet>
    </cfRule>
  </conditionalFormatting>
  <conditionalFormatting sqref="Z554">
    <cfRule type="containsText" dxfId="474" priority="1000" operator="containsText" text="Sh">
      <formula>NOT(ISERROR(SEARCH("Sh",Z554)))</formula>
    </cfRule>
    <cfRule type="cellIs" dxfId="473" priority="1001" operator="equal">
      <formula>"Sh"</formula>
    </cfRule>
  </conditionalFormatting>
  <conditionalFormatting sqref="Z555 Z559 Z563">
    <cfRule type="containsText" dxfId="472" priority="998" operator="containsText" text="Sh">
      <formula>NOT(ISERROR(SEARCH("Sh",Z555)))</formula>
    </cfRule>
    <cfRule type="cellIs" dxfId="471" priority="999" operator="equal">
      <formula>"Sh"</formula>
    </cfRule>
  </conditionalFormatting>
  <conditionalFormatting sqref="Z556 Z560">
    <cfRule type="containsText" dxfId="470" priority="996" operator="containsText" text="Sh">
      <formula>NOT(ISERROR(SEARCH("Sh",Z556)))</formula>
    </cfRule>
    <cfRule type="cellIs" dxfId="469" priority="997" operator="equal">
      <formula>"Sh"</formula>
    </cfRule>
  </conditionalFormatting>
  <conditionalFormatting sqref="Z557 Z561">
    <cfRule type="containsText" dxfId="468" priority="994" operator="containsText" text="Sh">
      <formula>NOT(ISERROR(SEARCH("Sh",Z557)))</formula>
    </cfRule>
    <cfRule type="cellIs" dxfId="467" priority="995" operator="equal">
      <formula>"Sh"</formula>
    </cfRule>
  </conditionalFormatting>
  <conditionalFormatting sqref="Z558 Z562">
    <cfRule type="containsText" dxfId="466" priority="992" operator="containsText" text="Sh">
      <formula>NOT(ISERROR(SEARCH("Sh",Z558)))</formula>
    </cfRule>
    <cfRule type="cellIs" dxfId="465" priority="993" operator="equal">
      <formula>"Sh"</formula>
    </cfRule>
  </conditionalFormatting>
  <conditionalFormatting sqref="G553:G562">
    <cfRule type="iconSet" priority="1030">
      <iconSet iconSet="3Flags">
        <cfvo type="percent" val="0"/>
        <cfvo type="percent" val="33"/>
        <cfvo type="percent" val="67"/>
      </iconSet>
    </cfRule>
  </conditionalFormatting>
  <conditionalFormatting sqref="X557">
    <cfRule type="containsText" dxfId="464" priority="990" operator="containsText" text="Sh">
      <formula>NOT(ISERROR(SEARCH("Sh",X557)))</formula>
    </cfRule>
    <cfRule type="cellIs" dxfId="463" priority="991" operator="equal">
      <formula>"Sh"</formula>
    </cfRule>
  </conditionalFormatting>
  <conditionalFormatting sqref="AC555:AC563">
    <cfRule type="iconSet" priority="1035">
      <iconSet>
        <cfvo type="percent" val="0"/>
        <cfvo type="percent" val="33"/>
        <cfvo type="percent" val="67"/>
      </iconSet>
    </cfRule>
  </conditionalFormatting>
  <conditionalFormatting sqref="AC555:AC563">
    <cfRule type="iconSet" priority="1036">
      <iconSet>
        <cfvo type="percent" val="0"/>
        <cfvo type="percent" val="90" gte="0"/>
        <cfvo type="percent" val="100"/>
      </iconSet>
    </cfRule>
  </conditionalFormatting>
  <conditionalFormatting sqref="K553:K563">
    <cfRule type="iconSet" priority="989">
      <iconSet iconSet="3Flags" reverse="1">
        <cfvo type="percent" val="0"/>
        <cfvo type="percent" val="33"/>
        <cfvo type="percent" val="67"/>
      </iconSet>
    </cfRule>
  </conditionalFormatting>
  <conditionalFormatting sqref="H559:H560 E559:E560">
    <cfRule type="containsText" dxfId="462" priority="987" operator="containsText" text="Production">
      <formula>NOT(ISERROR(SEARCH("Production",E559)))</formula>
    </cfRule>
    <cfRule type="containsText" dxfId="461" priority="988" operator="containsText" text="Roll">
      <formula>NOT(ISERROR(SEARCH("Roll",E559)))</formula>
    </cfRule>
  </conditionalFormatting>
  <conditionalFormatting sqref="X559">
    <cfRule type="containsText" dxfId="460" priority="985" operator="containsText" text="Sh">
      <formula>NOT(ISERROR(SEARCH("Sh",X559)))</formula>
    </cfRule>
    <cfRule type="cellIs" dxfId="459" priority="986" operator="equal">
      <formula>"Sh"</formula>
    </cfRule>
  </conditionalFormatting>
  <conditionalFormatting sqref="J559:J560">
    <cfRule type="iconSet" priority="984">
      <iconSet iconSet="3Flags" reverse="1">
        <cfvo type="percent" val="0"/>
        <cfvo type="percent" val="33"/>
        <cfvo type="percent" val="67"/>
      </iconSet>
    </cfRule>
  </conditionalFormatting>
  <conditionalFormatting sqref="L559:L560">
    <cfRule type="iconSet" priority="982">
      <iconSet iconSet="3Flags" reverse="1">
        <cfvo type="percent" val="0"/>
        <cfvo type="percent" val="33"/>
        <cfvo type="percent" val="67"/>
      </iconSet>
    </cfRule>
    <cfRule type="iconSet" priority="983">
      <iconSet iconSet="3Flags">
        <cfvo type="percent" val="0"/>
        <cfvo type="percent" val="33"/>
        <cfvo type="percent" val="67"/>
      </iconSet>
    </cfRule>
  </conditionalFormatting>
  <conditionalFormatting sqref="F559:F560">
    <cfRule type="iconSet" priority="981">
      <iconSet iconSet="3Signs">
        <cfvo type="percent" val="0"/>
        <cfvo type="percent" val="33"/>
        <cfvo type="percent" val="67"/>
      </iconSet>
    </cfRule>
  </conditionalFormatting>
  <conditionalFormatting sqref="H561 E561">
    <cfRule type="containsText" dxfId="458" priority="979" operator="containsText" text="Production">
      <formula>NOT(ISERROR(SEARCH("Production",E561)))</formula>
    </cfRule>
    <cfRule type="containsText" dxfId="457" priority="980" operator="containsText" text="Roll">
      <formula>NOT(ISERROR(SEARCH("Roll",E561)))</formula>
    </cfRule>
  </conditionalFormatting>
  <conditionalFormatting sqref="J561">
    <cfRule type="iconSet" priority="978">
      <iconSet iconSet="3Flags" reverse="1">
        <cfvo type="percent" val="0"/>
        <cfvo type="percent" val="33"/>
        <cfvo type="percent" val="67"/>
      </iconSet>
    </cfRule>
  </conditionalFormatting>
  <conditionalFormatting sqref="L561">
    <cfRule type="iconSet" priority="976">
      <iconSet iconSet="3Flags" reverse="1">
        <cfvo type="percent" val="0"/>
        <cfvo type="percent" val="33"/>
        <cfvo type="percent" val="67"/>
      </iconSet>
    </cfRule>
    <cfRule type="iconSet" priority="977">
      <iconSet iconSet="3Flags">
        <cfvo type="percent" val="0"/>
        <cfvo type="percent" val="33"/>
        <cfvo type="percent" val="67"/>
      </iconSet>
    </cfRule>
  </conditionalFormatting>
  <conditionalFormatting sqref="F561">
    <cfRule type="iconSet" priority="975">
      <iconSet iconSet="3Signs">
        <cfvo type="percent" val="0"/>
        <cfvo type="percent" val="33"/>
        <cfvo type="percent" val="67"/>
      </iconSet>
    </cfRule>
  </conditionalFormatting>
  <conditionalFormatting sqref="D563">
    <cfRule type="containsText" dxfId="456" priority="968" operator="containsText" text="Roll-To-Roll">
      <formula>NOT(ISERROR(SEARCH("Roll-To-Roll",D563)))</formula>
    </cfRule>
    <cfRule type="containsText" dxfId="455" priority="969" operator="containsText" text="Production">
      <formula>NOT(ISERROR(SEARCH("Production",D563)))</formula>
    </cfRule>
  </conditionalFormatting>
  <conditionalFormatting sqref="G563">
    <cfRule type="iconSet" priority="970">
      <iconSet iconSet="3Flags">
        <cfvo type="percent" val="0"/>
        <cfvo type="percent" val="33"/>
        <cfvo type="percent" val="67"/>
      </iconSet>
    </cfRule>
  </conditionalFormatting>
  <conditionalFormatting sqref="H563 E563">
    <cfRule type="containsText" dxfId="454" priority="966" operator="containsText" text="Production">
      <formula>NOT(ISERROR(SEARCH("Production",E563)))</formula>
    </cfRule>
    <cfRule type="containsText" dxfId="453" priority="967" operator="containsText" text="Roll">
      <formula>NOT(ISERROR(SEARCH("Roll",E563)))</formula>
    </cfRule>
  </conditionalFormatting>
  <conditionalFormatting sqref="J563">
    <cfRule type="iconSet" priority="965">
      <iconSet iconSet="3Flags" reverse="1">
        <cfvo type="percent" val="0"/>
        <cfvo type="percent" val="33"/>
        <cfvo type="percent" val="67"/>
      </iconSet>
    </cfRule>
  </conditionalFormatting>
  <conditionalFormatting sqref="L563">
    <cfRule type="iconSet" priority="963">
      <iconSet iconSet="3Flags" reverse="1">
        <cfvo type="percent" val="0"/>
        <cfvo type="percent" val="33"/>
        <cfvo type="percent" val="67"/>
      </iconSet>
    </cfRule>
    <cfRule type="iconSet" priority="964">
      <iconSet iconSet="3Flags">
        <cfvo type="percent" val="0"/>
        <cfvo type="percent" val="33"/>
        <cfvo type="percent" val="67"/>
      </iconSet>
    </cfRule>
  </conditionalFormatting>
  <conditionalFormatting sqref="F563">
    <cfRule type="iconSet" priority="962">
      <iconSet iconSet="3Signs">
        <cfvo type="percent" val="0"/>
        <cfvo type="percent" val="33"/>
        <cfvo type="percent" val="67"/>
      </iconSet>
    </cfRule>
  </conditionalFormatting>
  <conditionalFormatting sqref="J562">
    <cfRule type="iconSet" priority="961">
      <iconSet iconSet="3Flags" reverse="1">
        <cfvo type="percent" val="0"/>
        <cfvo type="percent" val="33"/>
        <cfvo type="percent" val="67"/>
      </iconSet>
    </cfRule>
  </conditionalFormatting>
  <conditionalFormatting sqref="L562">
    <cfRule type="iconSet" priority="959">
      <iconSet iconSet="3Flags" reverse="1">
        <cfvo type="percent" val="0"/>
        <cfvo type="percent" val="33"/>
        <cfvo type="percent" val="67"/>
      </iconSet>
    </cfRule>
    <cfRule type="iconSet" priority="960">
      <iconSet iconSet="3Flags">
        <cfvo type="percent" val="0"/>
        <cfvo type="percent" val="33"/>
        <cfvo type="percent" val="67"/>
      </iconSet>
    </cfRule>
  </conditionalFormatting>
  <conditionalFormatting sqref="F562">
    <cfRule type="iconSet" priority="958">
      <iconSet iconSet="3Signs">
        <cfvo type="percent" val="0"/>
        <cfvo type="percent" val="33"/>
        <cfvo type="percent" val="67"/>
      </iconSet>
    </cfRule>
  </conditionalFormatting>
  <conditionalFormatting sqref="AB553:AB563">
    <cfRule type="containsText" dxfId="452" priority="956" operator="containsText" text="Sh">
      <formula>NOT(ISERROR(SEARCH("Sh",AB553)))</formula>
    </cfRule>
    <cfRule type="cellIs" dxfId="451" priority="957" operator="equal">
      <formula>"Sh"</formula>
    </cfRule>
  </conditionalFormatting>
  <conditionalFormatting sqref="AD553:AD554 AD557:AD560 AD562:AD563">
    <cfRule type="colorScale" priority="9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646:Z647 X617:X628 Z611:Z623 Z625:Z628 X631:X632 AB598:AC647">
    <cfRule type="containsText" dxfId="450" priority="933" operator="containsText" text="Sh">
      <formula>NOT(ISERROR(SEARCH("Sh",X598)))</formula>
    </cfRule>
    <cfRule type="cellIs" dxfId="449" priority="934" operator="equal">
      <formula>"Sh"</formula>
    </cfRule>
  </conditionalFormatting>
  <conditionalFormatting sqref="AA599">
    <cfRule type="containsText" dxfId="448" priority="931" operator="containsText" text="Sh">
      <formula>NOT(ISERROR(SEARCH("Sh",AA599)))</formula>
    </cfRule>
    <cfRule type="cellIs" dxfId="447" priority="932" operator="equal">
      <formula>"Sh"</formula>
    </cfRule>
  </conditionalFormatting>
  <conditionalFormatting sqref="E598:E601 H598:H605 H634:H637 E634:E637">
    <cfRule type="containsText" dxfId="446" priority="929" operator="containsText" text="Production">
      <formula>NOT(ISERROR(SEARCH("Production",E598)))</formula>
    </cfRule>
    <cfRule type="containsText" dxfId="445" priority="930" operator="containsText" text="Roll">
      <formula>NOT(ISERROR(SEARCH("Roll",E598)))</formula>
    </cfRule>
  </conditionalFormatting>
  <conditionalFormatting sqref="Y599">
    <cfRule type="containsText" dxfId="444" priority="927" operator="containsText" text="Sh">
      <formula>NOT(ISERROR(SEARCH("Sh",Y599)))</formula>
    </cfRule>
    <cfRule type="cellIs" dxfId="443" priority="928" operator="equal">
      <formula>"Sh"</formula>
    </cfRule>
  </conditionalFormatting>
  <conditionalFormatting sqref="J598:J601">
    <cfRule type="iconSet" priority="926">
      <iconSet iconSet="3Flags" reverse="1">
        <cfvo type="percent" val="0"/>
        <cfvo type="percent" val="33"/>
        <cfvo type="percent" val="67"/>
      </iconSet>
    </cfRule>
  </conditionalFormatting>
  <conditionalFormatting sqref="L598:L601">
    <cfRule type="iconSet" priority="924">
      <iconSet iconSet="3Flags" reverse="1">
        <cfvo type="percent" val="0"/>
        <cfvo type="percent" val="33"/>
        <cfvo type="percent" val="67"/>
      </iconSet>
    </cfRule>
    <cfRule type="iconSet" priority="925">
      <iconSet iconSet="3Flags">
        <cfvo type="percent" val="0"/>
        <cfvo type="percent" val="33"/>
        <cfvo type="percent" val="67"/>
      </iconSet>
    </cfRule>
  </conditionalFormatting>
  <conditionalFormatting sqref="D598:D644">
    <cfRule type="containsText" dxfId="442" priority="922" operator="containsText" text="Roll-To-Roll">
      <formula>NOT(ISERROR(SEARCH("Roll-To-Roll",D598)))</formula>
    </cfRule>
    <cfRule type="containsText" dxfId="441" priority="923" operator="containsText" text="Production">
      <formula>NOT(ISERROR(SEARCH("Production",D598)))</formula>
    </cfRule>
  </conditionalFormatting>
  <conditionalFormatting sqref="J606:J610">
    <cfRule type="iconSet" priority="921">
      <iconSet iconSet="3Flags" reverse="1">
        <cfvo type="percent" val="0"/>
        <cfvo type="percent" val="33"/>
        <cfvo type="percent" val="67"/>
      </iconSet>
    </cfRule>
  </conditionalFormatting>
  <conditionalFormatting sqref="L606:L610">
    <cfRule type="iconSet" priority="919">
      <iconSet iconSet="3Flags" reverse="1">
        <cfvo type="percent" val="0"/>
        <cfvo type="percent" val="33"/>
        <cfvo type="percent" val="67"/>
      </iconSet>
    </cfRule>
    <cfRule type="iconSet" priority="920">
      <iconSet iconSet="3Flags">
        <cfvo type="percent" val="0"/>
        <cfvo type="percent" val="33"/>
        <cfvo type="percent" val="67"/>
      </iconSet>
    </cfRule>
  </conditionalFormatting>
  <conditionalFormatting sqref="F598:F610">
    <cfRule type="iconSet" priority="918">
      <iconSet iconSet="3Signs">
        <cfvo type="percent" val="0"/>
        <cfvo type="percent" val="33"/>
        <cfvo type="percent" val="67"/>
      </iconSet>
    </cfRule>
  </conditionalFormatting>
  <conditionalFormatting sqref="E602:E605">
    <cfRule type="containsText" dxfId="440" priority="916" operator="containsText" text="Production">
      <formula>NOT(ISERROR(SEARCH("Production",E602)))</formula>
    </cfRule>
    <cfRule type="containsText" dxfId="439" priority="917" operator="containsText" text="Roll">
      <formula>NOT(ISERROR(SEARCH("Roll",E602)))</formula>
    </cfRule>
  </conditionalFormatting>
  <conditionalFormatting sqref="J602:J605">
    <cfRule type="iconSet" priority="915">
      <iconSet iconSet="3Flags" reverse="1">
        <cfvo type="percent" val="0"/>
        <cfvo type="percent" val="33"/>
        <cfvo type="percent" val="67"/>
      </iconSet>
    </cfRule>
  </conditionalFormatting>
  <conditionalFormatting sqref="L602:L605">
    <cfRule type="iconSet" priority="913">
      <iconSet iconSet="3Flags" reverse="1">
        <cfvo type="percent" val="0"/>
        <cfvo type="percent" val="33"/>
        <cfvo type="percent" val="67"/>
      </iconSet>
    </cfRule>
    <cfRule type="iconSet" priority="914">
      <iconSet iconSet="3Flags">
        <cfvo type="percent" val="0"/>
        <cfvo type="percent" val="33"/>
        <cfvo type="percent" val="67"/>
      </iconSet>
    </cfRule>
  </conditionalFormatting>
  <conditionalFormatting sqref="G598:G629">
    <cfRule type="iconSet" priority="935">
      <iconSet iconSet="3Flags">
        <cfvo type="percent" val="0"/>
        <cfvo type="percent" val="33"/>
        <cfvo type="percent" val="67"/>
      </iconSet>
    </cfRule>
  </conditionalFormatting>
  <conditionalFormatting sqref="H611:H616 E611:E616">
    <cfRule type="containsText" dxfId="438" priority="911" operator="containsText" text="Production">
      <formula>NOT(ISERROR(SEARCH("Production",E611)))</formula>
    </cfRule>
    <cfRule type="containsText" dxfId="437" priority="912" operator="containsText" text="Roll">
      <formula>NOT(ISERROR(SEARCH("Roll",E611)))</formula>
    </cfRule>
  </conditionalFormatting>
  <conditionalFormatting sqref="J611:J616">
    <cfRule type="iconSet" priority="910">
      <iconSet iconSet="3Flags" reverse="1">
        <cfvo type="percent" val="0"/>
        <cfvo type="percent" val="33"/>
        <cfvo type="percent" val="67"/>
      </iconSet>
    </cfRule>
  </conditionalFormatting>
  <conditionalFormatting sqref="L611:L616">
    <cfRule type="iconSet" priority="908">
      <iconSet iconSet="3Flags" reverse="1">
        <cfvo type="percent" val="0"/>
        <cfvo type="percent" val="33"/>
        <cfvo type="percent" val="67"/>
      </iconSet>
    </cfRule>
    <cfRule type="iconSet" priority="909">
      <iconSet iconSet="3Flags">
        <cfvo type="percent" val="0"/>
        <cfvo type="percent" val="33"/>
        <cfvo type="percent" val="67"/>
      </iconSet>
    </cfRule>
  </conditionalFormatting>
  <conditionalFormatting sqref="F611:F616">
    <cfRule type="iconSet" priority="907">
      <iconSet iconSet="3Signs">
        <cfvo type="percent" val="0"/>
        <cfvo type="percent" val="33"/>
        <cfvo type="percent" val="67"/>
      </iconSet>
    </cfRule>
  </conditionalFormatting>
  <conditionalFormatting sqref="Z629">
    <cfRule type="containsText" dxfId="436" priority="905" operator="containsText" text="Sh">
      <formula>NOT(ISERROR(SEARCH("Sh",Z629)))</formula>
    </cfRule>
    <cfRule type="cellIs" dxfId="435" priority="906" operator="equal">
      <formula>"Sh"</formula>
    </cfRule>
  </conditionalFormatting>
  <conditionalFormatting sqref="H630">
    <cfRule type="containsText" dxfId="434" priority="903" operator="containsText" text="Production">
      <formula>NOT(ISERROR(SEARCH("Production",H630)))</formula>
    </cfRule>
    <cfRule type="containsText" dxfId="433" priority="904" operator="containsText" text="Roll">
      <formula>NOT(ISERROR(SEARCH("Roll",H630)))</formula>
    </cfRule>
  </conditionalFormatting>
  <conditionalFormatting sqref="G630">
    <cfRule type="iconSet" priority="901">
      <iconSet iconSet="3Flags">
        <cfvo type="percent" val="0"/>
        <cfvo type="percent" val="33"/>
        <cfvo type="percent" val="67"/>
      </iconSet>
    </cfRule>
  </conditionalFormatting>
  <conditionalFormatting sqref="J630">
    <cfRule type="iconSet" priority="900">
      <iconSet iconSet="3Flags" reverse="1">
        <cfvo type="percent" val="0"/>
        <cfvo type="percent" val="33"/>
        <cfvo type="percent" val="67"/>
      </iconSet>
    </cfRule>
  </conditionalFormatting>
  <conditionalFormatting sqref="L630">
    <cfRule type="iconSet" priority="898">
      <iconSet iconSet="3Flags" reverse="1">
        <cfvo type="percent" val="0"/>
        <cfvo type="percent" val="33"/>
        <cfvo type="percent" val="67"/>
      </iconSet>
    </cfRule>
    <cfRule type="iconSet" priority="899">
      <iconSet iconSet="3Flags">
        <cfvo type="percent" val="0"/>
        <cfvo type="percent" val="33"/>
        <cfvo type="percent" val="67"/>
      </iconSet>
    </cfRule>
  </conditionalFormatting>
  <conditionalFormatting sqref="F630">
    <cfRule type="iconSet" priority="897">
      <iconSet iconSet="3Signs">
        <cfvo type="percent" val="0"/>
        <cfvo type="percent" val="33"/>
        <cfvo type="percent" val="67"/>
      </iconSet>
    </cfRule>
  </conditionalFormatting>
  <conditionalFormatting sqref="Z635">
    <cfRule type="containsText" dxfId="432" priority="895" operator="containsText" text="Sh">
      <formula>NOT(ISERROR(SEARCH("Sh",Z635)))</formula>
    </cfRule>
    <cfRule type="cellIs" dxfId="431" priority="896" operator="equal">
      <formula>"Sh"</formula>
    </cfRule>
  </conditionalFormatting>
  <conditionalFormatting sqref="H630 E630">
    <cfRule type="containsText" dxfId="430" priority="891" operator="containsText" text="Production">
      <formula>NOT(ISERROR(SEARCH("Production",E630)))</formula>
    </cfRule>
    <cfRule type="containsText" dxfId="429" priority="892" operator="containsText" text="Roll">
      <formula>NOT(ISERROR(SEARCH("Roll",E630)))</formula>
    </cfRule>
  </conditionalFormatting>
  <conditionalFormatting sqref="J630">
    <cfRule type="iconSet" priority="890">
      <iconSet iconSet="3Flags" reverse="1">
        <cfvo type="percent" val="0"/>
        <cfvo type="percent" val="33"/>
        <cfvo type="percent" val="67"/>
      </iconSet>
    </cfRule>
  </conditionalFormatting>
  <conditionalFormatting sqref="L630">
    <cfRule type="iconSet" priority="888">
      <iconSet iconSet="3Flags" reverse="1">
        <cfvo type="percent" val="0"/>
        <cfvo type="percent" val="33"/>
        <cfvo type="percent" val="67"/>
      </iconSet>
    </cfRule>
    <cfRule type="iconSet" priority="889">
      <iconSet iconSet="3Flags">
        <cfvo type="percent" val="0"/>
        <cfvo type="percent" val="33"/>
        <cfvo type="percent" val="67"/>
      </iconSet>
    </cfRule>
  </conditionalFormatting>
  <conditionalFormatting sqref="F630">
    <cfRule type="iconSet" priority="887">
      <iconSet iconSet="3Signs">
        <cfvo type="percent" val="0"/>
        <cfvo type="percent" val="33"/>
        <cfvo type="percent" val="67"/>
      </iconSet>
    </cfRule>
  </conditionalFormatting>
  <conditionalFormatting sqref="G630">
    <cfRule type="iconSet" priority="893">
      <iconSet iconSet="3Flags">
        <cfvo type="percent" val="0"/>
        <cfvo type="percent" val="33"/>
        <cfvo type="percent" val="67"/>
      </iconSet>
    </cfRule>
  </conditionalFormatting>
  <conditionalFormatting sqref="G647">
    <cfRule type="iconSet" priority="884">
      <iconSet iconSet="3Flags">
        <cfvo type="percent" val="0"/>
        <cfvo type="percent" val="33"/>
        <cfvo type="percent" val="67"/>
      </iconSet>
    </cfRule>
  </conditionalFormatting>
  <conditionalFormatting sqref="F647">
    <cfRule type="iconSet" priority="883">
      <iconSet iconSet="3Signs">
        <cfvo type="percent" val="0"/>
        <cfvo type="percent" val="33"/>
        <cfvo type="percent" val="67"/>
      </iconSet>
    </cfRule>
  </conditionalFormatting>
  <conditionalFormatting sqref="F647">
    <cfRule type="iconSet" priority="885">
      <iconSet iconSet="3Signs">
        <cfvo type="percent" val="0"/>
        <cfvo type="percent" val="33"/>
        <cfvo type="percent" val="67"/>
      </iconSet>
    </cfRule>
  </conditionalFormatting>
  <conditionalFormatting sqref="G647">
    <cfRule type="iconSet" priority="886">
      <iconSet iconSet="3Flags">
        <cfvo type="percent" val="0"/>
        <cfvo type="percent" val="33"/>
        <cfvo type="percent" val="67"/>
      </iconSet>
    </cfRule>
  </conditionalFormatting>
  <conditionalFormatting sqref="AC645:AC647">
    <cfRule type="iconSet" priority="936">
      <iconSet>
        <cfvo type="percent" val="0"/>
        <cfvo type="percent" val="33"/>
        <cfvo type="percent" val="67"/>
      </iconSet>
    </cfRule>
  </conditionalFormatting>
  <conditionalFormatting sqref="AC645:AC647">
    <cfRule type="iconSet" priority="937">
      <iconSet>
        <cfvo type="percent" val="0"/>
        <cfvo type="percent" val="90" gte="0"/>
        <cfvo type="percent" val="100"/>
      </iconSet>
    </cfRule>
  </conditionalFormatting>
  <conditionalFormatting sqref="F646">
    <cfRule type="iconSet" priority="938">
      <iconSet iconSet="3Signs">
        <cfvo type="percent" val="0"/>
        <cfvo type="percent" val="33"/>
        <cfvo type="percent" val="67"/>
      </iconSet>
    </cfRule>
  </conditionalFormatting>
  <conditionalFormatting sqref="G645">
    <cfRule type="iconSet" priority="880">
      <iconSet iconSet="3Flags">
        <cfvo type="percent" val="0"/>
        <cfvo type="percent" val="33"/>
        <cfvo type="percent" val="67"/>
      </iconSet>
    </cfRule>
  </conditionalFormatting>
  <conditionalFormatting sqref="F645">
    <cfRule type="iconSet" priority="879">
      <iconSet iconSet="3Signs">
        <cfvo type="percent" val="0"/>
        <cfvo type="percent" val="33"/>
        <cfvo type="percent" val="67"/>
      </iconSet>
    </cfRule>
  </conditionalFormatting>
  <conditionalFormatting sqref="X645">
    <cfRule type="containsText" dxfId="428" priority="876" operator="containsText" text="Sh">
      <formula>NOT(ISERROR(SEARCH("Sh",X645)))</formula>
    </cfRule>
    <cfRule type="cellIs" dxfId="427" priority="877" operator="equal">
      <formula>"Sh"</formula>
    </cfRule>
  </conditionalFormatting>
  <conditionalFormatting sqref="Z645">
    <cfRule type="containsText" dxfId="426" priority="874" operator="containsText" text="Sh">
      <formula>NOT(ISERROR(SEARCH("Sh",Z645)))</formula>
    </cfRule>
    <cfRule type="cellIs" dxfId="425" priority="875" operator="equal">
      <formula>"Sh"</formula>
    </cfRule>
  </conditionalFormatting>
  <conditionalFormatting sqref="K597">
    <cfRule type="iconSet" priority="940">
      <iconSet iconSet="3Flags" reverse="1">
        <cfvo type="percent" val="0"/>
        <cfvo type="percent" val="33"/>
        <cfvo type="percent" val="67"/>
      </iconSet>
    </cfRule>
  </conditionalFormatting>
  <conditionalFormatting sqref="G646:G647 G597:G644">
    <cfRule type="iconSet" priority="941">
      <iconSet iconSet="3Flags">
        <cfvo type="percent" val="0"/>
        <cfvo type="percent" val="33"/>
        <cfvo type="percent" val="67"/>
      </iconSet>
    </cfRule>
  </conditionalFormatting>
  <conditionalFormatting sqref="K645:K647">
    <cfRule type="iconSet" priority="851">
      <iconSet iconSet="3Flags" reverse="1">
        <cfvo type="percent" val="0"/>
        <cfvo type="percent" val="33"/>
        <cfvo type="percent" val="67"/>
      </iconSet>
    </cfRule>
  </conditionalFormatting>
  <conditionalFormatting sqref="G597:G647">
    <cfRule type="iconSet" priority="706">
      <iconSet iconSet="3Flags">
        <cfvo type="percent" val="0"/>
        <cfvo type="percent" val="33"/>
        <cfvo type="percent" val="67"/>
      </iconSet>
    </cfRule>
  </conditionalFormatting>
  <conditionalFormatting sqref="Z598:AA598 Z600 Z602 Z604 Z606 Z608">
    <cfRule type="containsText" dxfId="424" priority="849" operator="containsText" text="Sh">
      <formula>NOT(ISERROR(SEARCH("Sh",Z598)))</formula>
    </cfRule>
    <cfRule type="cellIs" dxfId="423" priority="850" operator="equal">
      <formula>"Sh"</formula>
    </cfRule>
  </conditionalFormatting>
  <conditionalFormatting sqref="Y598">
    <cfRule type="containsText" dxfId="422" priority="847" operator="containsText" text="Sh">
      <formula>NOT(ISERROR(SEARCH("Sh",Y598)))</formula>
    </cfRule>
    <cfRule type="cellIs" dxfId="421" priority="848" operator="equal">
      <formula>"Sh"</formula>
    </cfRule>
  </conditionalFormatting>
  <conditionalFormatting sqref="Y602:Y603">
    <cfRule type="containsText" dxfId="420" priority="845" operator="containsText" text="Sh">
      <formula>NOT(ISERROR(SEARCH("Sh",Y602)))</formula>
    </cfRule>
    <cfRule type="cellIs" dxfId="419" priority="846" operator="equal">
      <formula>"Sh"</formula>
    </cfRule>
  </conditionalFormatting>
  <conditionalFormatting sqref="S598:S610">
    <cfRule type="dataBar" priority="84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{6D60204C-99A3-4B38-8C5F-51C9E9C57109}</x14:id>
        </ext>
      </extLst>
    </cfRule>
  </conditionalFormatting>
  <conditionalFormatting sqref="T598:T610">
    <cfRule type="dataBar" priority="84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{B7BEB1B3-7CA9-46C6-8DFB-EA323C6AB7D3}</x14:id>
        </ext>
      </extLst>
    </cfRule>
  </conditionalFormatting>
  <conditionalFormatting sqref="U598:U610">
    <cfRule type="dataBar" priority="8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{8A89F869-7C13-4DA0-9A7B-9240E7F1EC58}</x14:id>
        </ext>
      </extLst>
    </cfRule>
  </conditionalFormatting>
  <conditionalFormatting sqref="S611:S613">
    <cfRule type="dataBar" priority="83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{081E3664-D91B-4611-8A5C-A59BB7F24B0D}</x14:id>
        </ext>
      </extLst>
    </cfRule>
  </conditionalFormatting>
  <conditionalFormatting sqref="T611:T613">
    <cfRule type="dataBar" priority="83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{AC2BD9DF-6B0D-40FE-B9F5-679E473FAEE1}</x14:id>
        </ext>
      </extLst>
    </cfRule>
  </conditionalFormatting>
  <conditionalFormatting sqref="U611:U613">
    <cfRule type="dataBar" priority="83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{A96657F6-16E0-478B-8DBF-A62E8D19260F}</x14:id>
        </ext>
      </extLst>
    </cfRule>
  </conditionalFormatting>
  <conditionalFormatting sqref="S645:S647 S597 S630 S634:S636">
    <cfRule type="dataBar" priority="94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{6CAB6BD1-D768-47CE-B6E8-8DABFEF3C41C}</x14:id>
        </ext>
      </extLst>
    </cfRule>
  </conditionalFormatting>
  <conditionalFormatting sqref="T645:T647 T597 T630 T634:T636">
    <cfRule type="dataBar" priority="94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{42D927A4-F92B-415B-B8F6-F1212935F0B7}</x14:id>
        </ext>
      </extLst>
    </cfRule>
  </conditionalFormatting>
  <conditionalFormatting sqref="U645:U647 U597 U630 U634:U636">
    <cfRule type="dataBar" priority="9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{E8E25D9E-2931-40C2-81D8-6D6C44CC32D4}</x14:id>
        </ext>
      </extLst>
    </cfRule>
  </conditionalFormatting>
  <conditionalFormatting sqref="S614:S616">
    <cfRule type="dataBar" priority="83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{9CF61A4B-8656-4AF9-9B62-9BBF72CE8582}</x14:id>
        </ext>
      </extLst>
    </cfRule>
  </conditionalFormatting>
  <conditionalFormatting sqref="T614:T616">
    <cfRule type="dataBar" priority="8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{F77223FD-7366-4C6F-9396-DE2B08B06DA5}</x14:id>
        </ext>
      </extLst>
    </cfRule>
  </conditionalFormatting>
  <conditionalFormatting sqref="U614:U616">
    <cfRule type="dataBar" priority="8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{4B036658-48A6-427F-ABF9-0A5EBA1782CA}</x14:id>
        </ext>
      </extLst>
    </cfRule>
  </conditionalFormatting>
  <conditionalFormatting sqref="S597:S647">
    <cfRule type="dataBar" priority="70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{9AC4EA08-6D1F-4C93-8B38-FE9E8118FA3D}</x14:id>
        </ext>
      </extLst>
    </cfRule>
  </conditionalFormatting>
  <conditionalFormatting sqref="T597:T647">
    <cfRule type="dataBar" priority="70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{32E41D22-F47D-4099-8CB1-62D146D040EF}</x14:id>
        </ext>
      </extLst>
    </cfRule>
  </conditionalFormatting>
  <conditionalFormatting sqref="U597:U647">
    <cfRule type="dataBar" priority="70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{A26B7338-4300-43D9-96B2-E96A6CCF7AEF}</x14:id>
        </ext>
      </extLst>
    </cfRule>
  </conditionalFormatting>
  <conditionalFormatting sqref="X598">
    <cfRule type="containsText" dxfId="418" priority="831" operator="containsText" text="Sh">
      <formula>NOT(ISERROR(SEARCH("Sh",X598)))</formula>
    </cfRule>
    <cfRule type="cellIs" dxfId="417" priority="832" operator="equal">
      <formula>"Sh"</formula>
    </cfRule>
  </conditionalFormatting>
  <conditionalFormatting sqref="X600">
    <cfRule type="containsText" dxfId="416" priority="829" operator="containsText" text="Sh">
      <formula>NOT(ISERROR(SEARCH("Sh",X600)))</formula>
    </cfRule>
    <cfRule type="cellIs" dxfId="415" priority="830" operator="equal">
      <formula>"Sh"</formula>
    </cfRule>
  </conditionalFormatting>
  <conditionalFormatting sqref="X602">
    <cfRule type="containsText" dxfId="414" priority="827" operator="containsText" text="Sh">
      <formula>NOT(ISERROR(SEARCH("Sh",X602)))</formula>
    </cfRule>
    <cfRule type="cellIs" dxfId="413" priority="828" operator="equal">
      <formula>"Sh"</formula>
    </cfRule>
  </conditionalFormatting>
  <conditionalFormatting sqref="X604">
    <cfRule type="containsText" dxfId="412" priority="825" operator="containsText" text="Sh">
      <formula>NOT(ISERROR(SEARCH("Sh",X604)))</formula>
    </cfRule>
    <cfRule type="cellIs" dxfId="411" priority="826" operator="equal">
      <formula>"Sh"</formula>
    </cfRule>
  </conditionalFormatting>
  <conditionalFormatting sqref="X606">
    <cfRule type="containsText" dxfId="410" priority="823" operator="containsText" text="Sh">
      <formula>NOT(ISERROR(SEARCH("Sh",X606)))</formula>
    </cfRule>
    <cfRule type="cellIs" dxfId="409" priority="824" operator="equal">
      <formula>"Sh"</formula>
    </cfRule>
  </conditionalFormatting>
  <conditionalFormatting sqref="X608">
    <cfRule type="containsText" dxfId="408" priority="821" operator="containsText" text="Sh">
      <formula>NOT(ISERROR(SEARCH("Sh",X608)))</formula>
    </cfRule>
    <cfRule type="cellIs" dxfId="407" priority="822" operator="equal">
      <formula>"Sh"</formula>
    </cfRule>
  </conditionalFormatting>
  <conditionalFormatting sqref="X611:X612">
    <cfRule type="containsText" dxfId="406" priority="819" operator="containsText" text="Sh">
      <formula>NOT(ISERROR(SEARCH("Sh",X611)))</formula>
    </cfRule>
    <cfRule type="cellIs" dxfId="405" priority="820" operator="equal">
      <formula>"Sh"</formula>
    </cfRule>
  </conditionalFormatting>
  <conditionalFormatting sqref="X614:X616">
    <cfRule type="containsText" dxfId="404" priority="817" operator="containsText" text="Sh">
      <formula>NOT(ISERROR(SEARCH("Sh",X614)))</formula>
    </cfRule>
    <cfRule type="cellIs" dxfId="403" priority="818" operator="equal">
      <formula>"Sh"</formula>
    </cfRule>
  </conditionalFormatting>
  <conditionalFormatting sqref="Z599 Z601 Z603 Z605 Z607 Z609:Z610">
    <cfRule type="containsText" dxfId="402" priority="815" operator="containsText" text="Sh">
      <formula>NOT(ISERROR(SEARCH("Sh",Z599)))</formula>
    </cfRule>
    <cfRule type="cellIs" dxfId="401" priority="816" operator="equal">
      <formula>"Sh"</formula>
    </cfRule>
  </conditionalFormatting>
  <conditionalFormatting sqref="J617:J622">
    <cfRule type="iconSet" priority="814">
      <iconSet iconSet="3Flags" reverse="1">
        <cfvo type="percent" val="0"/>
        <cfvo type="percent" val="33"/>
        <cfvo type="percent" val="67"/>
      </iconSet>
    </cfRule>
  </conditionalFormatting>
  <conditionalFormatting sqref="L617:L622">
    <cfRule type="iconSet" priority="812">
      <iconSet iconSet="3Flags" reverse="1">
        <cfvo type="percent" val="0"/>
        <cfvo type="percent" val="33"/>
        <cfvo type="percent" val="67"/>
      </iconSet>
    </cfRule>
    <cfRule type="iconSet" priority="813">
      <iconSet iconSet="3Flags">
        <cfvo type="percent" val="0"/>
        <cfvo type="percent" val="33"/>
        <cfvo type="percent" val="67"/>
      </iconSet>
    </cfRule>
  </conditionalFormatting>
  <conditionalFormatting sqref="F617:F622">
    <cfRule type="iconSet" priority="811">
      <iconSet iconSet="3Signs">
        <cfvo type="percent" val="0"/>
        <cfvo type="percent" val="33"/>
        <cfvo type="percent" val="67"/>
      </iconSet>
    </cfRule>
  </conditionalFormatting>
  <conditionalFormatting sqref="S617:S622">
    <cfRule type="dataBar" priority="80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{CF193338-532E-4F03-9ED5-B69ACB73F9BF}</x14:id>
        </ext>
      </extLst>
    </cfRule>
  </conditionalFormatting>
  <conditionalFormatting sqref="T617:T622">
    <cfRule type="dataBar" priority="80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{744D72CE-8D4D-4C6F-9B41-01B50B46C03A}</x14:id>
        </ext>
      </extLst>
    </cfRule>
  </conditionalFormatting>
  <conditionalFormatting sqref="U617:U622">
    <cfRule type="dataBar" priority="80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{510B51EE-4DDF-4786-9979-A6B6297C7317}</x14:id>
        </ext>
      </extLst>
    </cfRule>
  </conditionalFormatting>
  <conditionalFormatting sqref="J623:J628">
    <cfRule type="iconSet" priority="806">
      <iconSet iconSet="3Flags" reverse="1">
        <cfvo type="percent" val="0"/>
        <cfvo type="percent" val="33"/>
        <cfvo type="percent" val="67"/>
      </iconSet>
    </cfRule>
  </conditionalFormatting>
  <conditionalFormatting sqref="L623:L628">
    <cfRule type="iconSet" priority="804">
      <iconSet iconSet="3Flags" reverse="1">
        <cfvo type="percent" val="0"/>
        <cfvo type="percent" val="33"/>
        <cfvo type="percent" val="67"/>
      </iconSet>
    </cfRule>
    <cfRule type="iconSet" priority="805">
      <iconSet iconSet="3Flags">
        <cfvo type="percent" val="0"/>
        <cfvo type="percent" val="33"/>
        <cfvo type="percent" val="67"/>
      </iconSet>
    </cfRule>
  </conditionalFormatting>
  <conditionalFormatting sqref="F623:F628">
    <cfRule type="iconSet" priority="803">
      <iconSet iconSet="3Signs">
        <cfvo type="percent" val="0"/>
        <cfvo type="percent" val="33"/>
        <cfvo type="percent" val="67"/>
      </iconSet>
    </cfRule>
  </conditionalFormatting>
  <conditionalFormatting sqref="S623:S628">
    <cfRule type="dataBar" priority="80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{44B1B268-3845-433D-B0DC-F5B5C20FB7EC}</x14:id>
        </ext>
      </extLst>
    </cfRule>
  </conditionalFormatting>
  <conditionalFormatting sqref="T623:T628">
    <cfRule type="dataBar" priority="8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{CBDF8B24-FA8D-43B9-8BC9-58A779A10DEE}</x14:id>
        </ext>
      </extLst>
    </cfRule>
  </conditionalFormatting>
  <conditionalFormatting sqref="U623:U628">
    <cfRule type="dataBar" priority="79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{390E0505-B730-4EEB-BFC1-4C0683098290}</x14:id>
        </ext>
      </extLst>
    </cfRule>
  </conditionalFormatting>
  <conditionalFormatting sqref="H629 E629">
    <cfRule type="containsText" dxfId="400" priority="797" operator="containsText" text="Production">
      <formula>NOT(ISERROR(SEARCH("Production",E629)))</formula>
    </cfRule>
    <cfRule type="containsText" dxfId="399" priority="798" operator="containsText" text="Roll">
      <formula>NOT(ISERROR(SEARCH("Roll",E629)))</formula>
    </cfRule>
  </conditionalFormatting>
  <conditionalFormatting sqref="J629">
    <cfRule type="iconSet" priority="796">
      <iconSet iconSet="3Flags" reverse="1">
        <cfvo type="percent" val="0"/>
        <cfvo type="percent" val="33"/>
        <cfvo type="percent" val="67"/>
      </iconSet>
    </cfRule>
  </conditionalFormatting>
  <conditionalFormatting sqref="L629">
    <cfRule type="iconSet" priority="794">
      <iconSet iconSet="3Flags" reverse="1">
        <cfvo type="percent" val="0"/>
        <cfvo type="percent" val="33"/>
        <cfvo type="percent" val="67"/>
      </iconSet>
    </cfRule>
    <cfRule type="iconSet" priority="795">
      <iconSet iconSet="3Flags">
        <cfvo type="percent" val="0"/>
        <cfvo type="percent" val="33"/>
        <cfvo type="percent" val="67"/>
      </iconSet>
    </cfRule>
  </conditionalFormatting>
  <conditionalFormatting sqref="F629">
    <cfRule type="iconSet" priority="793">
      <iconSet iconSet="3Signs">
        <cfvo type="percent" val="0"/>
        <cfvo type="percent" val="33"/>
        <cfvo type="percent" val="67"/>
      </iconSet>
    </cfRule>
  </conditionalFormatting>
  <conditionalFormatting sqref="S629">
    <cfRule type="dataBar" priority="79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{B6434698-E18B-41B6-84BF-4BC24751818E}</x14:id>
        </ext>
      </extLst>
    </cfRule>
  </conditionalFormatting>
  <conditionalFormatting sqref="T629">
    <cfRule type="dataBar" priority="79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{1D9AB383-7F75-47C8-8AD6-A009B921EC7E}</x14:id>
        </ext>
      </extLst>
    </cfRule>
  </conditionalFormatting>
  <conditionalFormatting sqref="U629">
    <cfRule type="dataBar" priority="78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{3C301434-B921-4B19-9A1F-B12B3A363DE4}</x14:id>
        </ext>
      </extLst>
    </cfRule>
  </conditionalFormatting>
  <conditionalFormatting sqref="X629">
    <cfRule type="containsText" dxfId="398" priority="787" operator="containsText" text="Sh">
      <formula>NOT(ISERROR(SEARCH("Sh",X629)))</formula>
    </cfRule>
    <cfRule type="cellIs" dxfId="397" priority="788" operator="equal">
      <formula>"Sh"</formula>
    </cfRule>
  </conditionalFormatting>
  <conditionalFormatting sqref="H631:H633 E631:E633">
    <cfRule type="containsText" dxfId="396" priority="785" operator="containsText" text="Production">
      <formula>NOT(ISERROR(SEARCH("Production",E631)))</formula>
    </cfRule>
    <cfRule type="containsText" dxfId="395" priority="786" operator="containsText" text="Roll">
      <formula>NOT(ISERROR(SEARCH("Roll",E631)))</formula>
    </cfRule>
  </conditionalFormatting>
  <conditionalFormatting sqref="J631:J633">
    <cfRule type="iconSet" priority="784">
      <iconSet iconSet="3Flags" reverse="1">
        <cfvo type="percent" val="0"/>
        <cfvo type="percent" val="33"/>
        <cfvo type="percent" val="67"/>
      </iconSet>
    </cfRule>
  </conditionalFormatting>
  <conditionalFormatting sqref="L631:L633">
    <cfRule type="iconSet" priority="782">
      <iconSet iconSet="3Flags" reverse="1">
        <cfvo type="percent" val="0"/>
        <cfvo type="percent" val="33"/>
        <cfvo type="percent" val="67"/>
      </iconSet>
    </cfRule>
    <cfRule type="iconSet" priority="783">
      <iconSet iconSet="3Flags">
        <cfvo type="percent" val="0"/>
        <cfvo type="percent" val="33"/>
        <cfvo type="percent" val="67"/>
      </iconSet>
    </cfRule>
  </conditionalFormatting>
  <conditionalFormatting sqref="T631:T633">
    <cfRule type="dataBar" priority="78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{F7B60A84-2058-43AB-882C-D7F75ED87E9C}</x14:id>
        </ext>
      </extLst>
    </cfRule>
  </conditionalFormatting>
  <conditionalFormatting sqref="U631:U633">
    <cfRule type="dataBar" priority="78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{333460BC-822B-415A-AD51-EEB10B5B40B2}</x14:id>
        </ext>
      </extLst>
    </cfRule>
  </conditionalFormatting>
  <conditionalFormatting sqref="X633:X638">
    <cfRule type="containsText" dxfId="394" priority="778" operator="containsText" text="Sh">
      <formula>NOT(ISERROR(SEARCH("Sh",X633)))</formula>
    </cfRule>
    <cfRule type="cellIs" dxfId="393" priority="779" operator="equal">
      <formula>"Sh"</formula>
    </cfRule>
  </conditionalFormatting>
  <conditionalFormatting sqref="AC598:AC644">
    <cfRule type="iconSet" priority="945">
      <iconSet>
        <cfvo type="percent" val="0"/>
        <cfvo type="percent" val="33"/>
        <cfvo type="percent" val="67"/>
      </iconSet>
    </cfRule>
  </conditionalFormatting>
  <conditionalFormatting sqref="AC598:AC644">
    <cfRule type="iconSet" priority="946">
      <iconSet>
        <cfvo type="percent" val="0"/>
        <cfvo type="percent" val="90" gte="0"/>
        <cfvo type="percent" val="100"/>
      </iconSet>
    </cfRule>
  </conditionalFormatting>
  <conditionalFormatting sqref="J634:J636">
    <cfRule type="iconSet" priority="947">
      <iconSet iconSet="3Flags" reverse="1">
        <cfvo type="percent" val="0"/>
        <cfvo type="percent" val="33"/>
        <cfvo type="percent" val="67"/>
      </iconSet>
    </cfRule>
  </conditionalFormatting>
  <conditionalFormatting sqref="L634:L636">
    <cfRule type="iconSet" priority="948">
      <iconSet iconSet="3Flags" reverse="1">
        <cfvo type="percent" val="0"/>
        <cfvo type="percent" val="33"/>
        <cfvo type="percent" val="67"/>
      </iconSet>
    </cfRule>
    <cfRule type="iconSet" priority="949">
      <iconSet iconSet="3Flags">
        <cfvo type="percent" val="0"/>
        <cfvo type="percent" val="33"/>
        <cfvo type="percent" val="67"/>
      </iconSet>
    </cfRule>
  </conditionalFormatting>
  <conditionalFormatting sqref="G634:G636">
    <cfRule type="iconSet" priority="950">
      <iconSet iconSet="3Flags">
        <cfvo type="percent" val="0"/>
        <cfvo type="percent" val="33"/>
        <cfvo type="percent" val="67"/>
      </iconSet>
    </cfRule>
  </conditionalFormatting>
  <conditionalFormatting sqref="X637:X638">
    <cfRule type="containsText" dxfId="392" priority="776" operator="containsText" text="Sh">
      <formula>NOT(ISERROR(SEARCH("Sh",X637)))</formula>
    </cfRule>
    <cfRule type="cellIs" dxfId="391" priority="777" operator="equal">
      <formula>"Sh"</formula>
    </cfRule>
  </conditionalFormatting>
  <conditionalFormatting sqref="H637 E637">
    <cfRule type="containsText" dxfId="390" priority="774" operator="containsText" text="Production">
      <formula>NOT(ISERROR(SEARCH("Production",E637)))</formula>
    </cfRule>
    <cfRule type="containsText" dxfId="389" priority="775" operator="containsText" text="Roll">
      <formula>NOT(ISERROR(SEARCH("Roll",E637)))</formula>
    </cfRule>
  </conditionalFormatting>
  <conditionalFormatting sqref="J637">
    <cfRule type="iconSet" priority="773">
      <iconSet iconSet="3Flags" reverse="1">
        <cfvo type="percent" val="0"/>
        <cfvo type="percent" val="33"/>
        <cfvo type="percent" val="67"/>
      </iconSet>
    </cfRule>
  </conditionalFormatting>
  <conditionalFormatting sqref="L637">
    <cfRule type="iconSet" priority="771">
      <iconSet iconSet="3Flags" reverse="1">
        <cfvo type="percent" val="0"/>
        <cfvo type="percent" val="33"/>
        <cfvo type="percent" val="67"/>
      </iconSet>
    </cfRule>
    <cfRule type="iconSet" priority="772">
      <iconSet iconSet="3Flags">
        <cfvo type="percent" val="0"/>
        <cfvo type="percent" val="33"/>
        <cfvo type="percent" val="67"/>
      </iconSet>
    </cfRule>
  </conditionalFormatting>
  <conditionalFormatting sqref="T637">
    <cfRule type="dataBar" priority="77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{8B6F2980-5097-4704-9AA6-C8CDFBF34DD3}</x14:id>
        </ext>
      </extLst>
    </cfRule>
  </conditionalFormatting>
  <conditionalFormatting sqref="U637">
    <cfRule type="dataBar" priority="76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{54AEABBA-AEAA-42A4-8AC3-C9AFC79049F6}</x14:id>
        </ext>
      </extLst>
    </cfRule>
  </conditionalFormatting>
  <conditionalFormatting sqref="G639:G640">
    <cfRule type="iconSet" priority="768">
      <iconSet iconSet="3Flags">
        <cfvo type="percent" val="0"/>
        <cfvo type="percent" val="33"/>
        <cfvo type="percent" val="67"/>
      </iconSet>
    </cfRule>
  </conditionalFormatting>
  <conditionalFormatting sqref="J639">
    <cfRule type="iconSet" priority="767">
      <iconSet iconSet="3Flags" reverse="1">
        <cfvo type="percent" val="0"/>
        <cfvo type="percent" val="33"/>
        <cfvo type="percent" val="67"/>
      </iconSet>
    </cfRule>
  </conditionalFormatting>
  <conditionalFormatting sqref="L639">
    <cfRule type="iconSet" priority="765">
      <iconSet iconSet="3Flags" reverse="1">
        <cfvo type="percent" val="0"/>
        <cfvo type="percent" val="33"/>
        <cfvo type="percent" val="67"/>
      </iconSet>
    </cfRule>
    <cfRule type="iconSet" priority="766">
      <iconSet iconSet="3Flags">
        <cfvo type="percent" val="0"/>
        <cfvo type="percent" val="33"/>
        <cfvo type="percent" val="67"/>
      </iconSet>
    </cfRule>
  </conditionalFormatting>
  <conditionalFormatting sqref="F639">
    <cfRule type="iconSet" priority="764">
      <iconSet iconSet="3Signs">
        <cfvo type="percent" val="0"/>
        <cfvo type="percent" val="33"/>
        <cfvo type="percent" val="67"/>
      </iconSet>
    </cfRule>
  </conditionalFormatting>
  <conditionalFormatting sqref="S639">
    <cfRule type="dataBar" priority="76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{CBA03688-BCCA-4046-A39F-D914C042F27F}</x14:id>
        </ext>
      </extLst>
    </cfRule>
  </conditionalFormatting>
  <conditionalFormatting sqref="T639">
    <cfRule type="dataBar" priority="76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{3CB12869-09B5-44F6-A8E2-C7F7023C9F26}</x14:id>
        </ext>
      </extLst>
    </cfRule>
  </conditionalFormatting>
  <conditionalFormatting sqref="U639">
    <cfRule type="dataBar" priority="7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{1C7D5CE7-A16D-48CA-8015-E7855D1B41E9}</x14:id>
        </ext>
      </extLst>
    </cfRule>
  </conditionalFormatting>
  <conditionalFormatting sqref="J640">
    <cfRule type="iconSet" priority="759">
      <iconSet iconSet="3Flags" reverse="1">
        <cfvo type="percent" val="0"/>
        <cfvo type="percent" val="33"/>
        <cfvo type="percent" val="67"/>
      </iconSet>
    </cfRule>
  </conditionalFormatting>
  <conditionalFormatting sqref="L640">
    <cfRule type="iconSet" priority="757">
      <iconSet iconSet="3Flags" reverse="1">
        <cfvo type="percent" val="0"/>
        <cfvo type="percent" val="33"/>
        <cfvo type="percent" val="67"/>
      </iconSet>
    </cfRule>
    <cfRule type="iconSet" priority="758">
      <iconSet iconSet="3Flags">
        <cfvo type="percent" val="0"/>
        <cfvo type="percent" val="33"/>
        <cfvo type="percent" val="67"/>
      </iconSet>
    </cfRule>
  </conditionalFormatting>
  <conditionalFormatting sqref="F640">
    <cfRule type="iconSet" priority="756">
      <iconSet iconSet="3Signs">
        <cfvo type="percent" val="0"/>
        <cfvo type="percent" val="33"/>
        <cfvo type="percent" val="67"/>
      </iconSet>
    </cfRule>
  </conditionalFormatting>
  <conditionalFormatting sqref="S640">
    <cfRule type="dataBar" priority="75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{8CCF2748-461D-486F-83DF-E7F9D1FEAD2E}</x14:id>
        </ext>
      </extLst>
    </cfRule>
  </conditionalFormatting>
  <conditionalFormatting sqref="T640">
    <cfRule type="dataBar" priority="75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{3267A734-6928-4613-960E-37B6DADB75F5}</x14:id>
        </ext>
      </extLst>
    </cfRule>
  </conditionalFormatting>
  <conditionalFormatting sqref="U640">
    <cfRule type="dataBar" priority="75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{222C1059-6C62-40C3-AEA8-D666A182064D}</x14:id>
        </ext>
      </extLst>
    </cfRule>
  </conditionalFormatting>
  <conditionalFormatting sqref="X639:X642">
    <cfRule type="containsText" dxfId="388" priority="750" operator="containsText" text="Sh">
      <formula>NOT(ISERROR(SEARCH("Sh",X639)))</formula>
    </cfRule>
    <cfRule type="cellIs" dxfId="387" priority="751" operator="equal">
      <formula>"Sh"</formula>
    </cfRule>
  </conditionalFormatting>
  <conditionalFormatting sqref="G631:G637">
    <cfRule type="iconSet" priority="951">
      <iconSet iconSet="3Flags">
        <cfvo type="percent" val="0"/>
        <cfvo type="percent" val="33"/>
        <cfvo type="percent" val="67"/>
      </iconSet>
    </cfRule>
  </conditionalFormatting>
  <conditionalFormatting sqref="F631:F637">
    <cfRule type="iconSet" priority="952">
      <iconSet iconSet="3Signs">
        <cfvo type="percent" val="0"/>
        <cfvo type="percent" val="33"/>
        <cfvo type="percent" val="67"/>
      </iconSet>
    </cfRule>
  </conditionalFormatting>
  <conditionalFormatting sqref="S631:S637">
    <cfRule type="dataBar" priority="9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{D6641D4D-E928-4E96-8021-618E88646D44}</x14:id>
        </ext>
      </extLst>
    </cfRule>
  </conditionalFormatting>
  <conditionalFormatting sqref="Z638">
    <cfRule type="containsText" dxfId="386" priority="747" operator="containsText" text="Sh">
      <formula>NOT(ISERROR(SEARCH("Sh",Z638)))</formula>
    </cfRule>
    <cfRule type="cellIs" dxfId="385" priority="748" operator="equal">
      <formula>"Sh"</formula>
    </cfRule>
  </conditionalFormatting>
  <conditionalFormatting sqref="G638">
    <cfRule type="iconSet" priority="749">
      <iconSet iconSet="3Flags">
        <cfvo type="percent" val="0"/>
        <cfvo type="percent" val="33"/>
        <cfvo type="percent" val="67"/>
      </iconSet>
    </cfRule>
  </conditionalFormatting>
  <conditionalFormatting sqref="H638 E638">
    <cfRule type="containsText" dxfId="384" priority="745" operator="containsText" text="Production">
      <formula>NOT(ISERROR(SEARCH("Production",E638)))</formula>
    </cfRule>
    <cfRule type="containsText" dxfId="383" priority="746" operator="containsText" text="Roll">
      <formula>NOT(ISERROR(SEARCH("Roll",E638)))</formula>
    </cfRule>
  </conditionalFormatting>
  <conditionalFormatting sqref="J638">
    <cfRule type="iconSet" priority="744">
      <iconSet iconSet="3Flags" reverse="1">
        <cfvo type="percent" val="0"/>
        <cfvo type="percent" val="33"/>
        <cfvo type="percent" val="67"/>
      </iconSet>
    </cfRule>
  </conditionalFormatting>
  <conditionalFormatting sqref="L638">
    <cfRule type="iconSet" priority="742">
      <iconSet iconSet="3Flags" reverse="1">
        <cfvo type="percent" val="0"/>
        <cfvo type="percent" val="33"/>
        <cfvo type="percent" val="67"/>
      </iconSet>
    </cfRule>
    <cfRule type="iconSet" priority="743">
      <iconSet iconSet="3Flags">
        <cfvo type="percent" val="0"/>
        <cfvo type="percent" val="33"/>
        <cfvo type="percent" val="67"/>
      </iconSet>
    </cfRule>
  </conditionalFormatting>
  <conditionalFormatting sqref="F638">
    <cfRule type="iconSet" priority="741">
      <iconSet iconSet="3Signs">
        <cfvo type="percent" val="0"/>
        <cfvo type="percent" val="33"/>
        <cfvo type="percent" val="67"/>
      </iconSet>
    </cfRule>
  </conditionalFormatting>
  <conditionalFormatting sqref="S638">
    <cfRule type="dataBar" priority="73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{3B414D2B-5E4E-4380-8B95-E3E58007EB8A}</x14:id>
        </ext>
      </extLst>
    </cfRule>
  </conditionalFormatting>
  <conditionalFormatting sqref="T638">
    <cfRule type="dataBar" priority="73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{CFFB5630-3E70-467C-B538-DCBCADC843C4}</x14:id>
        </ext>
      </extLst>
    </cfRule>
  </conditionalFormatting>
  <conditionalFormatting sqref="U638">
    <cfRule type="dataBar" priority="73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{1BE00233-C16D-4F2B-83DF-04322DD1F4B2}</x14:id>
        </ext>
      </extLst>
    </cfRule>
  </conditionalFormatting>
  <conditionalFormatting sqref="Z641:Z642">
    <cfRule type="containsText" dxfId="382" priority="734" operator="containsText" text="Sh">
      <formula>NOT(ISERROR(SEARCH("Sh",Z641)))</formula>
    </cfRule>
    <cfRule type="cellIs" dxfId="381" priority="735" operator="equal">
      <formula>"Sh"</formula>
    </cfRule>
  </conditionalFormatting>
  <conditionalFormatting sqref="G641:G642">
    <cfRule type="iconSet" priority="736">
      <iconSet iconSet="3Flags">
        <cfvo type="percent" val="0"/>
        <cfvo type="percent" val="33"/>
        <cfvo type="percent" val="67"/>
      </iconSet>
    </cfRule>
  </conditionalFormatting>
  <conditionalFormatting sqref="J641:J642">
    <cfRule type="iconSet" priority="733">
      <iconSet iconSet="3Flags" reverse="1">
        <cfvo type="percent" val="0"/>
        <cfvo type="percent" val="33"/>
        <cfvo type="percent" val="67"/>
      </iconSet>
    </cfRule>
  </conditionalFormatting>
  <conditionalFormatting sqref="L641:L642">
    <cfRule type="iconSet" priority="731">
      <iconSet iconSet="3Flags" reverse="1">
        <cfvo type="percent" val="0"/>
        <cfvo type="percent" val="33"/>
        <cfvo type="percent" val="67"/>
      </iconSet>
    </cfRule>
    <cfRule type="iconSet" priority="732">
      <iconSet iconSet="3Flags">
        <cfvo type="percent" val="0"/>
        <cfvo type="percent" val="33"/>
        <cfvo type="percent" val="67"/>
      </iconSet>
    </cfRule>
  </conditionalFormatting>
  <conditionalFormatting sqref="F641:F642">
    <cfRule type="iconSet" priority="730">
      <iconSet iconSet="3Signs">
        <cfvo type="percent" val="0"/>
        <cfvo type="percent" val="33"/>
        <cfvo type="percent" val="67"/>
      </iconSet>
    </cfRule>
  </conditionalFormatting>
  <conditionalFormatting sqref="S641:S642">
    <cfRule type="dataBar" priority="7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{AB21BEDA-039B-45F8-A436-D2012B4B30D6}</x14:id>
        </ext>
      </extLst>
    </cfRule>
  </conditionalFormatting>
  <conditionalFormatting sqref="T641:T642">
    <cfRule type="dataBar" priority="7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{95FFBFF6-B7F3-433B-8981-33C1876DB3E8}</x14:id>
        </ext>
      </extLst>
    </cfRule>
  </conditionalFormatting>
  <conditionalFormatting sqref="U641:U642">
    <cfRule type="dataBar" priority="7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{6257FD42-307D-4DBF-A359-06350056AB7A}</x14:id>
        </ext>
      </extLst>
    </cfRule>
  </conditionalFormatting>
  <conditionalFormatting sqref="Y608:Y609">
    <cfRule type="containsText" dxfId="380" priority="724" operator="containsText" text="Sh">
      <formula>NOT(ISERROR(SEARCH("Sh",Y608)))</formula>
    </cfRule>
    <cfRule type="cellIs" dxfId="379" priority="725" operator="equal">
      <formula>"Sh"</formula>
    </cfRule>
  </conditionalFormatting>
  <conditionalFormatting sqref="H643:H644 E643:E644">
    <cfRule type="containsText" dxfId="378" priority="718" operator="containsText" text="Production">
      <formula>NOT(ISERROR(SEARCH("Production",E643)))</formula>
    </cfRule>
    <cfRule type="containsText" dxfId="377" priority="719" operator="containsText" text="Roll">
      <formula>NOT(ISERROR(SEARCH("Roll",E643)))</formula>
    </cfRule>
  </conditionalFormatting>
  <conditionalFormatting sqref="X643:X644">
    <cfRule type="containsText" dxfId="376" priority="716" operator="containsText" text="Sh">
      <formula>NOT(ISERROR(SEARCH("Sh",X643)))</formula>
    </cfRule>
    <cfRule type="cellIs" dxfId="375" priority="717" operator="equal">
      <formula>"Sh"</formula>
    </cfRule>
  </conditionalFormatting>
  <conditionalFormatting sqref="X643:X644">
    <cfRule type="containsText" dxfId="374" priority="714" operator="containsText" text="Sh">
      <formula>NOT(ISERROR(SEARCH("Sh",X643)))</formula>
    </cfRule>
    <cfRule type="cellIs" dxfId="373" priority="715" operator="equal">
      <formula>"Sh"</formula>
    </cfRule>
  </conditionalFormatting>
  <conditionalFormatting sqref="H643:H644 E643:E644">
    <cfRule type="containsText" dxfId="372" priority="712" operator="containsText" text="Production">
      <formula>NOT(ISERROR(SEARCH("Production",E643)))</formula>
    </cfRule>
    <cfRule type="containsText" dxfId="371" priority="713" operator="containsText" text="Roll">
      <formula>NOT(ISERROR(SEARCH("Roll",E643)))</formula>
    </cfRule>
  </conditionalFormatting>
  <conditionalFormatting sqref="J643:J644">
    <cfRule type="iconSet" priority="711">
      <iconSet iconSet="3Flags" reverse="1">
        <cfvo type="percent" val="0"/>
        <cfvo type="percent" val="33"/>
        <cfvo type="percent" val="67"/>
      </iconSet>
    </cfRule>
  </conditionalFormatting>
  <conditionalFormatting sqref="L643:L644">
    <cfRule type="iconSet" priority="709">
      <iconSet iconSet="3Flags" reverse="1">
        <cfvo type="percent" val="0"/>
        <cfvo type="percent" val="33"/>
        <cfvo type="percent" val="67"/>
      </iconSet>
    </cfRule>
    <cfRule type="iconSet" priority="710">
      <iconSet iconSet="3Flags">
        <cfvo type="percent" val="0"/>
        <cfvo type="percent" val="33"/>
        <cfvo type="percent" val="67"/>
      </iconSet>
    </cfRule>
  </conditionalFormatting>
  <conditionalFormatting sqref="T643:T644">
    <cfRule type="dataBar" priority="70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{24B87AA8-5527-47FC-95CC-D4DA4F466169}</x14:id>
        </ext>
      </extLst>
    </cfRule>
  </conditionalFormatting>
  <conditionalFormatting sqref="U643:U644">
    <cfRule type="dataBar" priority="70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{4D434ED0-BCE3-4743-A980-FA3277A2143E}</x14:id>
        </ext>
      </extLst>
    </cfRule>
  </conditionalFormatting>
  <conditionalFormatting sqref="G643:G644">
    <cfRule type="iconSet" priority="720">
      <iconSet iconSet="3Flags">
        <cfvo type="percent" val="0"/>
        <cfvo type="percent" val="33"/>
        <cfvo type="percent" val="67"/>
      </iconSet>
    </cfRule>
  </conditionalFormatting>
  <conditionalFormatting sqref="F643:F644">
    <cfRule type="iconSet" priority="721">
      <iconSet iconSet="3Signs">
        <cfvo type="percent" val="0"/>
        <cfvo type="percent" val="33"/>
        <cfvo type="percent" val="67"/>
      </iconSet>
    </cfRule>
  </conditionalFormatting>
  <conditionalFormatting sqref="S643:S644">
    <cfRule type="dataBar" priority="7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{DADBDAF8-C7C5-48B2-A1DD-CFE0AFF86DDB}</x14:id>
        </ext>
      </extLst>
    </cfRule>
  </conditionalFormatting>
  <conditionalFormatting sqref="F597:F647">
    <cfRule type="iconSet" priority="705">
      <iconSet>
        <cfvo type="percent" val="0"/>
        <cfvo type="percent" val="33"/>
        <cfvo type="percent" val="67"/>
      </iconSet>
    </cfRule>
  </conditionalFormatting>
  <conditionalFormatting sqref="AD597:AD647">
    <cfRule type="colorScale" priority="7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98:K644">
    <cfRule type="iconSet" priority="698">
      <iconSet iconSet="3Flags" reverse="1">
        <cfvo type="percent" val="0"/>
        <cfvo type="percent" val="33"/>
        <cfvo type="percent" val="67"/>
      </iconSet>
    </cfRule>
  </conditionalFormatting>
  <conditionalFormatting sqref="X648:X649 AB648:AC649 AC650:AC651 Z648:Z654 AC660 Z656:Z666 AC665:AC666 Z683:Z690">
    <cfRule type="containsText" dxfId="370" priority="490" operator="containsText" text="Sh">
      <formula>NOT(ISERROR(SEARCH("Sh",X648)))</formula>
    </cfRule>
    <cfRule type="cellIs" dxfId="369" priority="491" operator="equal">
      <formula>"Sh"</formula>
    </cfRule>
  </conditionalFormatting>
  <conditionalFormatting sqref="H648:H649 E648:E649">
    <cfRule type="containsText" dxfId="368" priority="488" operator="containsText" text="Production">
      <formula>NOT(ISERROR(SEARCH("Production",E648)))</formula>
    </cfRule>
    <cfRule type="containsText" dxfId="367" priority="489" operator="containsText" text="Roll">
      <formula>NOT(ISERROR(SEARCH("Roll",E648)))</formula>
    </cfRule>
  </conditionalFormatting>
  <conditionalFormatting sqref="D648:D654">
    <cfRule type="containsText" dxfId="366" priority="486" operator="containsText" text="Roll-To-Roll">
      <formula>NOT(ISERROR(SEARCH("Roll-To-Roll",D648)))</formula>
    </cfRule>
    <cfRule type="containsText" dxfId="365" priority="487" operator="containsText" text="Production">
      <formula>NOT(ISERROR(SEARCH("Production",D648)))</formula>
    </cfRule>
  </conditionalFormatting>
  <conditionalFormatting sqref="S660:S667 S655 S682:S688 S691">
    <cfRule type="dataBar" priority="49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{72905EE8-D22C-4EE5-B99F-AC83425DC9CD}</x14:id>
        </ext>
      </extLst>
    </cfRule>
  </conditionalFormatting>
  <conditionalFormatting sqref="T660:T667 T655 T682:T688 T691">
    <cfRule type="dataBar" priority="49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{5456BA95-3492-41BD-B267-860C188B3B5F}</x14:id>
        </ext>
      </extLst>
    </cfRule>
  </conditionalFormatting>
  <conditionalFormatting sqref="U660:U667 U655 U682:U688 U691">
    <cfRule type="dataBar" priority="49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{EA2530F6-51A6-4BDE-BAD8-7DBCC9242364}</x14:id>
        </ext>
      </extLst>
    </cfRule>
  </conditionalFormatting>
  <conditionalFormatting sqref="G648:G649">
    <cfRule type="iconSet" priority="495">
      <iconSet iconSet="3Flags">
        <cfvo type="percent" val="0"/>
        <cfvo type="percent" val="33"/>
        <cfvo type="percent" val="67"/>
      </iconSet>
    </cfRule>
  </conditionalFormatting>
  <conditionalFormatting sqref="J648:J649">
    <cfRule type="iconSet" priority="496">
      <iconSet iconSet="3Flags" reverse="1">
        <cfvo type="percent" val="0"/>
        <cfvo type="percent" val="33"/>
        <cfvo type="percent" val="67"/>
      </iconSet>
    </cfRule>
  </conditionalFormatting>
  <conditionalFormatting sqref="L648:L649">
    <cfRule type="iconSet" priority="497">
      <iconSet iconSet="3Flags" reverse="1">
        <cfvo type="percent" val="0"/>
        <cfvo type="percent" val="33"/>
        <cfvo type="percent" val="67"/>
      </iconSet>
    </cfRule>
    <cfRule type="iconSet" priority="498">
      <iconSet iconSet="3Flags">
        <cfvo type="percent" val="0"/>
        <cfvo type="percent" val="33"/>
        <cfvo type="percent" val="67"/>
      </iconSet>
    </cfRule>
  </conditionalFormatting>
  <conditionalFormatting sqref="F648:F649">
    <cfRule type="iconSet" priority="499">
      <iconSet iconSet="3Signs">
        <cfvo type="percent" val="0"/>
        <cfvo type="percent" val="33"/>
        <cfvo type="percent" val="67"/>
      </iconSet>
    </cfRule>
  </conditionalFormatting>
  <conditionalFormatting sqref="S648:S649">
    <cfRule type="dataBar" priority="50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{F225AB78-530E-47EC-9FF3-9FD19D226AD6}</x14:id>
        </ext>
      </extLst>
    </cfRule>
  </conditionalFormatting>
  <conditionalFormatting sqref="T648:T649">
    <cfRule type="dataBar" priority="50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{82BB167D-5A1B-4656-939A-53AD57487DCF}</x14:id>
        </ext>
      </extLst>
    </cfRule>
  </conditionalFormatting>
  <conditionalFormatting sqref="U648:U649">
    <cfRule type="dataBar" priority="50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{4A83DAC7-F475-496E-9FBD-8DBFDEF25D3A}</x14:id>
        </ext>
      </extLst>
    </cfRule>
  </conditionalFormatting>
  <conditionalFormatting sqref="AC648 AC650">
    <cfRule type="iconSet" priority="484">
      <iconSet>
        <cfvo type="percent" val="0"/>
        <cfvo type="percent" val="33"/>
        <cfvo type="percent" val="67"/>
      </iconSet>
    </cfRule>
  </conditionalFormatting>
  <conditionalFormatting sqref="AC648 AC650">
    <cfRule type="iconSet" priority="485">
      <iconSet>
        <cfvo type="percent" val="0"/>
        <cfvo type="percent" val="90" gte="0"/>
        <cfvo type="percent" val="100"/>
      </iconSet>
    </cfRule>
  </conditionalFormatting>
  <conditionalFormatting sqref="AC649 AC651">
    <cfRule type="iconSet" priority="482">
      <iconSet>
        <cfvo type="percent" val="0"/>
        <cfvo type="percent" val="33"/>
        <cfvo type="percent" val="67"/>
      </iconSet>
    </cfRule>
  </conditionalFormatting>
  <conditionalFormatting sqref="AC649 AC651">
    <cfRule type="iconSet" priority="483">
      <iconSet>
        <cfvo type="percent" val="0"/>
        <cfvo type="percent" val="90" gte="0"/>
        <cfvo type="percent" val="100"/>
      </iconSet>
    </cfRule>
  </conditionalFormatting>
  <conditionalFormatting sqref="Y652 Y654">
    <cfRule type="containsText" dxfId="364" priority="480" operator="containsText" text="Sh">
      <formula>NOT(ISERROR(SEARCH("Sh",Y652)))</formula>
    </cfRule>
    <cfRule type="cellIs" dxfId="363" priority="481" operator="equal">
      <formula>"Sh"</formula>
    </cfRule>
  </conditionalFormatting>
  <conditionalFormatting sqref="AC652:AC653 AB650:AB672">
    <cfRule type="containsText" dxfId="362" priority="478" operator="containsText" text="Sh">
      <formula>NOT(ISERROR(SEARCH("Sh",AB650)))</formula>
    </cfRule>
    <cfRule type="cellIs" dxfId="361" priority="479" operator="equal">
      <formula>"Sh"</formula>
    </cfRule>
  </conditionalFormatting>
  <conditionalFormatting sqref="J650:J651">
    <cfRule type="iconSet" priority="476">
      <iconSet iconSet="3Flags" reverse="1">
        <cfvo type="percent" val="0"/>
        <cfvo type="percent" val="33"/>
        <cfvo type="percent" val="67"/>
      </iconSet>
    </cfRule>
  </conditionalFormatting>
  <conditionalFormatting sqref="L650:L651">
    <cfRule type="iconSet" priority="474">
      <iconSet iconSet="3Flags" reverse="1">
        <cfvo type="percent" val="0"/>
        <cfvo type="percent" val="33"/>
        <cfvo type="percent" val="67"/>
      </iconSet>
    </cfRule>
    <cfRule type="iconSet" priority="475">
      <iconSet iconSet="3Flags">
        <cfvo type="percent" val="0"/>
        <cfvo type="percent" val="33"/>
        <cfvo type="percent" val="67"/>
      </iconSet>
    </cfRule>
  </conditionalFormatting>
  <conditionalFormatting sqref="F650:F651">
    <cfRule type="iconSet" priority="473">
      <iconSet iconSet="3Signs">
        <cfvo type="percent" val="0"/>
        <cfvo type="percent" val="33"/>
        <cfvo type="percent" val="67"/>
      </iconSet>
    </cfRule>
  </conditionalFormatting>
  <conditionalFormatting sqref="G650:G651">
    <cfRule type="iconSet" priority="477">
      <iconSet iconSet="3Flags">
        <cfvo type="percent" val="0"/>
        <cfvo type="percent" val="33"/>
        <cfvo type="percent" val="67"/>
      </iconSet>
    </cfRule>
  </conditionalFormatting>
  <conditionalFormatting sqref="S650:S651">
    <cfRule type="dataBar" priority="47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{B9802C8E-634C-449A-A3EB-24387E9A1E58}</x14:id>
        </ext>
      </extLst>
    </cfRule>
  </conditionalFormatting>
  <conditionalFormatting sqref="T650:T651">
    <cfRule type="dataBar" priority="47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{CCDC8841-E035-4BD6-B76B-A39C406E868A}</x14:id>
        </ext>
      </extLst>
    </cfRule>
  </conditionalFormatting>
  <conditionalFormatting sqref="U650:U651">
    <cfRule type="dataBar" priority="46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{B70A6143-ABB0-4C75-812C-C0B26FA23910}</x14:id>
        </ext>
      </extLst>
    </cfRule>
  </conditionalFormatting>
  <conditionalFormatting sqref="AC648:AC651">
    <cfRule type="iconSet" priority="504">
      <iconSet>
        <cfvo type="percent" val="0"/>
        <cfvo type="percent" val="33"/>
        <cfvo type="percent" val="67"/>
      </iconSet>
    </cfRule>
  </conditionalFormatting>
  <conditionalFormatting sqref="AC648:AC651">
    <cfRule type="iconSet" priority="505">
      <iconSet>
        <cfvo type="percent" val="0"/>
        <cfvo type="percent" val="90" gte="0"/>
        <cfvo type="percent" val="100"/>
      </iconSet>
    </cfRule>
  </conditionalFormatting>
  <conditionalFormatting sqref="AC654">
    <cfRule type="containsText" dxfId="360" priority="467" operator="containsText" text="Sh">
      <formula>NOT(ISERROR(SEARCH("Sh",AC654)))</formula>
    </cfRule>
    <cfRule type="cellIs" dxfId="359" priority="468" operator="equal">
      <formula>"Sh"</formula>
    </cfRule>
  </conditionalFormatting>
  <conditionalFormatting sqref="J652:J654">
    <cfRule type="iconSet" priority="506">
      <iconSet iconSet="3Flags" reverse="1">
        <cfvo type="percent" val="0"/>
        <cfvo type="percent" val="33"/>
        <cfvo type="percent" val="67"/>
      </iconSet>
    </cfRule>
  </conditionalFormatting>
  <conditionalFormatting sqref="L652:L654">
    <cfRule type="iconSet" priority="507">
      <iconSet iconSet="3Flags" reverse="1">
        <cfvo type="percent" val="0"/>
        <cfvo type="percent" val="33"/>
        <cfvo type="percent" val="67"/>
      </iconSet>
    </cfRule>
    <cfRule type="iconSet" priority="508">
      <iconSet iconSet="3Flags">
        <cfvo type="percent" val="0"/>
        <cfvo type="percent" val="33"/>
        <cfvo type="percent" val="67"/>
      </iconSet>
    </cfRule>
  </conditionalFormatting>
  <conditionalFormatting sqref="F652:F654">
    <cfRule type="iconSet" priority="509">
      <iconSet iconSet="3Signs">
        <cfvo type="percent" val="0"/>
        <cfvo type="percent" val="33"/>
        <cfvo type="percent" val="67"/>
      </iconSet>
    </cfRule>
  </conditionalFormatting>
  <conditionalFormatting sqref="G652:G654">
    <cfRule type="iconSet" priority="510">
      <iconSet iconSet="3Flags">
        <cfvo type="percent" val="0"/>
        <cfvo type="percent" val="33"/>
        <cfvo type="percent" val="67"/>
      </iconSet>
    </cfRule>
  </conditionalFormatting>
  <conditionalFormatting sqref="S652:S654">
    <cfRule type="dataBar" priority="5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{3C7B3D7D-DD8B-4FD0-8EDB-7EC3279F87AB}</x14:id>
        </ext>
      </extLst>
    </cfRule>
  </conditionalFormatting>
  <conditionalFormatting sqref="T652:T654">
    <cfRule type="dataBar" priority="5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{63B7F9FE-AE41-4427-B4AF-058C761AB3C7}</x14:id>
        </ext>
      </extLst>
    </cfRule>
  </conditionalFormatting>
  <conditionalFormatting sqref="U652:U654">
    <cfRule type="dataBar" priority="5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{FF123FBE-A68A-494B-AC88-4F32B0AE21E6}</x14:id>
        </ext>
      </extLst>
    </cfRule>
  </conditionalFormatting>
  <conditionalFormatting sqref="AC652:AC654">
    <cfRule type="iconSet" priority="514">
      <iconSet>
        <cfvo type="percent" val="0"/>
        <cfvo type="percent" val="33"/>
        <cfvo type="percent" val="67"/>
      </iconSet>
    </cfRule>
  </conditionalFormatting>
  <conditionalFormatting sqref="AC652:AC654">
    <cfRule type="iconSet" priority="515">
      <iconSet>
        <cfvo type="percent" val="0"/>
        <cfvo type="percent" val="90" gte="0"/>
        <cfvo type="percent" val="100"/>
      </iconSet>
    </cfRule>
  </conditionalFormatting>
  <conditionalFormatting sqref="D656">
    <cfRule type="containsText" dxfId="358" priority="456" operator="containsText" text="Roll-To-Roll">
      <formula>NOT(ISERROR(SEARCH("Roll-To-Roll",D656)))</formula>
    </cfRule>
    <cfRule type="containsText" dxfId="357" priority="457" operator="containsText" text="Production">
      <formula>NOT(ISERROR(SEARCH("Production",D656)))</formula>
    </cfRule>
  </conditionalFormatting>
  <conditionalFormatting sqref="Y656">
    <cfRule type="containsText" dxfId="356" priority="454" operator="containsText" text="Sh">
      <formula>NOT(ISERROR(SEARCH("Sh",Y656)))</formula>
    </cfRule>
    <cfRule type="cellIs" dxfId="355" priority="455" operator="equal">
      <formula>"Sh"</formula>
    </cfRule>
  </conditionalFormatting>
  <conditionalFormatting sqref="AC656 AC658:AC660 AC662:AC663">
    <cfRule type="containsText" dxfId="354" priority="452" operator="containsText" text="Sh">
      <formula>NOT(ISERROR(SEARCH("Sh",AC656)))</formula>
    </cfRule>
    <cfRule type="cellIs" dxfId="353" priority="453" operator="equal">
      <formula>"Sh"</formula>
    </cfRule>
  </conditionalFormatting>
  <conditionalFormatting sqref="J656">
    <cfRule type="iconSet" priority="458">
      <iconSet iconSet="3Flags" reverse="1">
        <cfvo type="percent" val="0"/>
        <cfvo type="percent" val="33"/>
        <cfvo type="percent" val="67"/>
      </iconSet>
    </cfRule>
  </conditionalFormatting>
  <conditionalFormatting sqref="L656">
    <cfRule type="iconSet" priority="459">
      <iconSet iconSet="3Flags" reverse="1">
        <cfvo type="percent" val="0"/>
        <cfvo type="percent" val="33"/>
        <cfvo type="percent" val="67"/>
      </iconSet>
    </cfRule>
    <cfRule type="iconSet" priority="460">
      <iconSet iconSet="3Flags">
        <cfvo type="percent" val="0"/>
        <cfvo type="percent" val="33"/>
        <cfvo type="percent" val="67"/>
      </iconSet>
    </cfRule>
  </conditionalFormatting>
  <conditionalFormatting sqref="F656">
    <cfRule type="iconSet" priority="461">
      <iconSet iconSet="3Signs">
        <cfvo type="percent" val="0"/>
        <cfvo type="percent" val="33"/>
        <cfvo type="percent" val="67"/>
      </iconSet>
    </cfRule>
  </conditionalFormatting>
  <conditionalFormatting sqref="G656">
    <cfRule type="iconSet" priority="462">
      <iconSet iconSet="3Flags">
        <cfvo type="percent" val="0"/>
        <cfvo type="percent" val="33"/>
        <cfvo type="percent" val="67"/>
      </iconSet>
    </cfRule>
  </conditionalFormatting>
  <conditionalFormatting sqref="S656">
    <cfRule type="dataBar" priority="46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{26B01ED1-5832-41CE-AF05-080CEC3656F7}</x14:id>
        </ext>
      </extLst>
    </cfRule>
  </conditionalFormatting>
  <conditionalFormatting sqref="T656">
    <cfRule type="dataBar" priority="4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{3062784D-C4C5-46FD-ABCF-084066426943}</x14:id>
        </ext>
      </extLst>
    </cfRule>
  </conditionalFormatting>
  <conditionalFormatting sqref="U656">
    <cfRule type="dataBar" priority="46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{ACBC19A6-D042-45B3-8DB9-7E732F7B3748}</x14:id>
        </ext>
      </extLst>
    </cfRule>
  </conditionalFormatting>
  <conditionalFormatting sqref="AC657 AC661 AC664 X657:X658">
    <cfRule type="containsText" dxfId="352" priority="439" operator="containsText" text="Sh">
      <formula>NOT(ISERROR(SEARCH("Sh",X657)))</formula>
    </cfRule>
    <cfRule type="cellIs" dxfId="351" priority="440" operator="equal">
      <formula>"Sh"</formula>
    </cfRule>
  </conditionalFormatting>
  <conditionalFormatting sqref="H657:H658 E657:E658">
    <cfRule type="containsText" dxfId="350" priority="437" operator="containsText" text="Production">
      <formula>NOT(ISERROR(SEARCH("Production",E657)))</formula>
    </cfRule>
    <cfRule type="containsText" dxfId="349" priority="438" operator="containsText" text="Roll">
      <formula>NOT(ISERROR(SEARCH("Roll",E657)))</formula>
    </cfRule>
  </conditionalFormatting>
  <conditionalFormatting sqref="D657:D658">
    <cfRule type="containsText" dxfId="348" priority="435" operator="containsText" text="Roll-To-Roll">
      <formula>NOT(ISERROR(SEARCH("Roll-To-Roll",D657)))</formula>
    </cfRule>
    <cfRule type="containsText" dxfId="347" priority="436" operator="containsText" text="Production">
      <formula>NOT(ISERROR(SEARCH("Production",D657)))</formula>
    </cfRule>
  </conditionalFormatting>
  <conditionalFormatting sqref="G657:G658">
    <cfRule type="iconSet" priority="441">
      <iconSet iconSet="3Flags">
        <cfvo type="percent" val="0"/>
        <cfvo type="percent" val="33"/>
        <cfvo type="percent" val="67"/>
      </iconSet>
    </cfRule>
  </conditionalFormatting>
  <conditionalFormatting sqref="J657:J658">
    <cfRule type="iconSet" priority="442">
      <iconSet iconSet="3Flags" reverse="1">
        <cfvo type="percent" val="0"/>
        <cfvo type="percent" val="33"/>
        <cfvo type="percent" val="67"/>
      </iconSet>
    </cfRule>
  </conditionalFormatting>
  <conditionalFormatting sqref="L657:L658">
    <cfRule type="iconSet" priority="443">
      <iconSet iconSet="3Flags" reverse="1">
        <cfvo type="percent" val="0"/>
        <cfvo type="percent" val="33"/>
        <cfvo type="percent" val="67"/>
      </iconSet>
    </cfRule>
    <cfRule type="iconSet" priority="444">
      <iconSet iconSet="3Flags">
        <cfvo type="percent" val="0"/>
        <cfvo type="percent" val="33"/>
        <cfvo type="percent" val="67"/>
      </iconSet>
    </cfRule>
  </conditionalFormatting>
  <conditionalFormatting sqref="F657:F658">
    <cfRule type="iconSet" priority="445">
      <iconSet iconSet="3Signs">
        <cfvo type="percent" val="0"/>
        <cfvo type="percent" val="33"/>
        <cfvo type="percent" val="67"/>
      </iconSet>
    </cfRule>
  </conditionalFormatting>
  <conditionalFormatting sqref="S657:S658">
    <cfRule type="dataBar" priority="4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{F8D1366A-40D0-48C2-877D-188F108D49DE}</x14:id>
        </ext>
      </extLst>
    </cfRule>
  </conditionalFormatting>
  <conditionalFormatting sqref="T657:T658">
    <cfRule type="dataBar" priority="44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{B7D7811E-7DEC-45A5-9802-6DA5EFFEF7C7}</x14:id>
        </ext>
      </extLst>
    </cfRule>
  </conditionalFormatting>
  <conditionalFormatting sqref="U657:U658">
    <cfRule type="dataBar" priority="4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{D919FFB0-1F75-4B36-90D5-72027D82EF1C}</x14:id>
        </ext>
      </extLst>
    </cfRule>
  </conditionalFormatting>
  <conditionalFormatting sqref="AC657 AC661 AC664">
    <cfRule type="iconSet" priority="433">
      <iconSet>
        <cfvo type="percent" val="0"/>
        <cfvo type="percent" val="33"/>
        <cfvo type="percent" val="67"/>
      </iconSet>
    </cfRule>
  </conditionalFormatting>
  <conditionalFormatting sqref="AC657 AC661 AC664">
    <cfRule type="iconSet" priority="434">
      <iconSet>
        <cfvo type="percent" val="0"/>
        <cfvo type="percent" val="90" gte="0"/>
        <cfvo type="percent" val="100"/>
      </iconSet>
    </cfRule>
  </conditionalFormatting>
  <conditionalFormatting sqref="AC657">
    <cfRule type="iconSet" priority="450">
      <iconSet>
        <cfvo type="percent" val="0"/>
        <cfvo type="percent" val="33"/>
        <cfvo type="percent" val="67"/>
      </iconSet>
    </cfRule>
  </conditionalFormatting>
  <conditionalFormatting sqref="AC657">
    <cfRule type="iconSet" priority="451">
      <iconSet>
        <cfvo type="percent" val="0"/>
        <cfvo type="percent" val="90" gte="0"/>
        <cfvo type="percent" val="100"/>
      </iconSet>
    </cfRule>
  </conditionalFormatting>
  <conditionalFormatting sqref="D659:D660">
    <cfRule type="containsText" dxfId="346" priority="422" operator="containsText" text="Roll-To-Roll">
      <formula>NOT(ISERROR(SEARCH("Roll-To-Roll",D659)))</formula>
    </cfRule>
    <cfRule type="containsText" dxfId="345" priority="423" operator="containsText" text="Production">
      <formula>NOT(ISERROR(SEARCH("Production",D659)))</formula>
    </cfRule>
  </conditionalFormatting>
  <conditionalFormatting sqref="Y659:Y660">
    <cfRule type="containsText" dxfId="344" priority="420" operator="containsText" text="Sh">
      <formula>NOT(ISERROR(SEARCH("Sh",Y659)))</formula>
    </cfRule>
    <cfRule type="cellIs" dxfId="343" priority="421" operator="equal">
      <formula>"Sh"</formula>
    </cfRule>
  </conditionalFormatting>
  <conditionalFormatting sqref="J659">
    <cfRule type="iconSet" priority="424">
      <iconSet iconSet="3Flags" reverse="1">
        <cfvo type="percent" val="0"/>
        <cfvo type="percent" val="33"/>
        <cfvo type="percent" val="67"/>
      </iconSet>
    </cfRule>
  </conditionalFormatting>
  <conditionalFormatting sqref="L659">
    <cfRule type="iconSet" priority="425">
      <iconSet iconSet="3Flags" reverse="1">
        <cfvo type="percent" val="0"/>
        <cfvo type="percent" val="33"/>
        <cfvo type="percent" val="67"/>
      </iconSet>
    </cfRule>
    <cfRule type="iconSet" priority="426">
      <iconSet iconSet="3Flags">
        <cfvo type="percent" val="0"/>
        <cfvo type="percent" val="33"/>
        <cfvo type="percent" val="67"/>
      </iconSet>
    </cfRule>
  </conditionalFormatting>
  <conditionalFormatting sqref="F659">
    <cfRule type="iconSet" priority="427">
      <iconSet iconSet="3Signs">
        <cfvo type="percent" val="0"/>
        <cfvo type="percent" val="33"/>
        <cfvo type="percent" val="67"/>
      </iconSet>
    </cfRule>
  </conditionalFormatting>
  <conditionalFormatting sqref="G659">
    <cfRule type="iconSet" priority="428">
      <iconSet iconSet="3Flags">
        <cfvo type="percent" val="0"/>
        <cfvo type="percent" val="33"/>
        <cfvo type="percent" val="67"/>
      </iconSet>
    </cfRule>
  </conditionalFormatting>
  <conditionalFormatting sqref="S659">
    <cfRule type="dataBar" priority="4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{6F565B0B-CE6C-47E5-815C-751A2B1890FA}</x14:id>
        </ext>
      </extLst>
    </cfRule>
  </conditionalFormatting>
  <conditionalFormatting sqref="T659">
    <cfRule type="dataBar" priority="43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{43AC5F50-73A9-4F36-93D8-7FD9749174AF}</x14:id>
        </ext>
      </extLst>
    </cfRule>
  </conditionalFormatting>
  <conditionalFormatting sqref="U659">
    <cfRule type="dataBar" priority="4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{FC23EB18-BBB1-4E32-BA93-5DCD7DC7AAA9}</x14:id>
        </ext>
      </extLst>
    </cfRule>
  </conditionalFormatting>
  <conditionalFormatting sqref="G648:G672 G682:G691">
    <cfRule type="iconSet" priority="419">
      <iconSet iconSet="3Flags">
        <cfvo type="percent" val="0"/>
        <cfvo type="percent" val="33"/>
        <cfvo type="percent" val="67"/>
      </iconSet>
    </cfRule>
  </conditionalFormatting>
  <conditionalFormatting sqref="AC656 AC662:AC663 AC658:AC660 AC665:AC666">
    <cfRule type="iconSet" priority="517">
      <iconSet>
        <cfvo type="percent" val="0"/>
        <cfvo type="percent" val="33"/>
        <cfvo type="percent" val="67"/>
      </iconSet>
    </cfRule>
  </conditionalFormatting>
  <conditionalFormatting sqref="AC656 AC662:AC663 AC658:AC660 AC665:AC666">
    <cfRule type="iconSet" priority="518">
      <iconSet>
        <cfvo type="percent" val="0"/>
        <cfvo type="percent" val="90" gte="0"/>
        <cfvo type="percent" val="100"/>
      </iconSet>
    </cfRule>
  </conditionalFormatting>
  <conditionalFormatting sqref="S648:S672 S681:S688 S691">
    <cfRule type="dataBar" priority="4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{AF317282-F057-4D5B-A86B-EFBA49545019}</x14:id>
        </ext>
      </extLst>
    </cfRule>
  </conditionalFormatting>
  <conditionalFormatting sqref="T648:T672 T681:T688 T691">
    <cfRule type="dataBar" priority="4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{DBCC210F-F9A5-4D70-86F1-C8F46959F679}</x14:id>
        </ext>
      </extLst>
    </cfRule>
  </conditionalFormatting>
  <conditionalFormatting sqref="U648:U672 U681:U688 U691">
    <cfRule type="dataBar" priority="4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{E7EF5492-DC54-460C-84A2-AADE6FF9C031}</x14:id>
        </ext>
      </extLst>
    </cfRule>
  </conditionalFormatting>
  <conditionalFormatting sqref="F648:F672 F682:F688 F691">
    <cfRule type="iconSet" priority="519">
      <iconSet>
        <cfvo type="percent" val="0"/>
        <cfvo type="percent" val="33"/>
        <cfvo type="percent" val="67"/>
      </iconSet>
    </cfRule>
  </conditionalFormatting>
  <conditionalFormatting sqref="K648:K672 K681:K688 K691">
    <cfRule type="iconSet" priority="520">
      <iconSet iconSet="3Flags" reverse="1">
        <cfvo type="percent" val="0"/>
        <cfvo type="percent" val="33"/>
        <cfvo type="percent" val="67"/>
      </iconSet>
    </cfRule>
  </conditionalFormatting>
  <conditionalFormatting sqref="J668:J672">
    <cfRule type="iconSet" priority="414">
      <iconSet iconSet="3Flags" reverse="1">
        <cfvo type="percent" val="0"/>
        <cfvo type="percent" val="33"/>
        <cfvo type="percent" val="67"/>
      </iconSet>
    </cfRule>
  </conditionalFormatting>
  <conditionalFormatting sqref="L668:L672">
    <cfRule type="iconSet" priority="412">
      <iconSet iconSet="3Flags" reverse="1">
        <cfvo type="percent" val="0"/>
        <cfvo type="percent" val="33"/>
        <cfvo type="percent" val="67"/>
      </iconSet>
    </cfRule>
    <cfRule type="iconSet" priority="413">
      <iconSet iconSet="3Flags">
        <cfvo type="percent" val="0"/>
        <cfvo type="percent" val="33"/>
        <cfvo type="percent" val="67"/>
      </iconSet>
    </cfRule>
  </conditionalFormatting>
  <conditionalFormatting sqref="F668:F672">
    <cfRule type="iconSet" priority="411">
      <iconSet iconSet="3Signs">
        <cfvo type="percent" val="0"/>
        <cfvo type="percent" val="33"/>
        <cfvo type="percent" val="67"/>
      </iconSet>
    </cfRule>
  </conditionalFormatting>
  <conditionalFormatting sqref="G668:G672">
    <cfRule type="iconSet" priority="415">
      <iconSet iconSet="3Flags">
        <cfvo type="percent" val="0"/>
        <cfvo type="percent" val="33"/>
        <cfvo type="percent" val="67"/>
      </iconSet>
    </cfRule>
  </conditionalFormatting>
  <conditionalFormatting sqref="S668:S672">
    <cfRule type="dataBar" priority="40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{33771252-AD51-426F-8CEB-3138D11E80CC}</x14:id>
        </ext>
      </extLst>
    </cfRule>
  </conditionalFormatting>
  <conditionalFormatting sqref="T668:T672">
    <cfRule type="dataBar" priority="40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{6E8B77B6-A886-41FC-91D9-0B9CD885F1AF}</x14:id>
        </ext>
      </extLst>
    </cfRule>
  </conditionalFormatting>
  <conditionalFormatting sqref="U668:U672">
    <cfRule type="dataBar" priority="40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{3B0526F6-E08E-48E2-B72E-82A188AC51B9}</x14:id>
        </ext>
      </extLst>
    </cfRule>
  </conditionalFormatting>
  <conditionalFormatting sqref="Y670">
    <cfRule type="containsText" dxfId="342" priority="405" operator="containsText" text="Sh">
      <formula>NOT(ISERROR(SEARCH("Sh",Y670)))</formula>
    </cfRule>
    <cfRule type="cellIs" dxfId="341" priority="406" operator="equal">
      <formula>"Sh"</formula>
    </cfRule>
  </conditionalFormatting>
  <conditionalFormatting sqref="AC668 AC670 AC672">
    <cfRule type="containsText" dxfId="340" priority="401" operator="containsText" text="Sh">
      <formula>NOT(ISERROR(SEARCH("Sh",AC668)))</formula>
    </cfRule>
    <cfRule type="cellIs" dxfId="339" priority="402" operator="equal">
      <formula>"Sh"</formula>
    </cfRule>
  </conditionalFormatting>
  <conditionalFormatting sqref="AC668 AC670 AC672">
    <cfRule type="iconSet" priority="403">
      <iconSet>
        <cfvo type="percent" val="0"/>
        <cfvo type="percent" val="33"/>
        <cfvo type="percent" val="67"/>
      </iconSet>
    </cfRule>
  </conditionalFormatting>
  <conditionalFormatting sqref="AC668 AC670 AC672">
    <cfRule type="iconSet" priority="404">
      <iconSet>
        <cfvo type="percent" val="0"/>
        <cfvo type="percent" val="90" gte="0"/>
        <cfvo type="percent" val="100"/>
      </iconSet>
    </cfRule>
  </conditionalFormatting>
  <conditionalFormatting sqref="AC669 AC671">
    <cfRule type="containsText" dxfId="338" priority="397" operator="containsText" text="Sh">
      <formula>NOT(ISERROR(SEARCH("Sh",AC669)))</formula>
    </cfRule>
    <cfRule type="cellIs" dxfId="337" priority="398" operator="equal">
      <formula>"Sh"</formula>
    </cfRule>
  </conditionalFormatting>
  <conditionalFormatting sqref="AC669 AC671">
    <cfRule type="iconSet" priority="399">
      <iconSet>
        <cfvo type="percent" val="0"/>
        <cfvo type="percent" val="33"/>
        <cfvo type="percent" val="67"/>
      </iconSet>
    </cfRule>
  </conditionalFormatting>
  <conditionalFormatting sqref="AC669 AC671">
    <cfRule type="iconSet" priority="400">
      <iconSet>
        <cfvo type="percent" val="0"/>
        <cfvo type="percent" val="90" gte="0"/>
        <cfvo type="percent" val="100"/>
      </iconSet>
    </cfRule>
  </conditionalFormatting>
  <conditionalFormatting sqref="Z674 AB673:AC677 Z676 Z678 Z680 AB678 AC678:AC690">
    <cfRule type="containsText" dxfId="336" priority="390" operator="containsText" text="Sh">
      <formula>NOT(ISERROR(SEARCH("Sh",Z673)))</formula>
    </cfRule>
    <cfRule type="cellIs" dxfId="335" priority="391" operator="equal">
      <formula>"Sh"</formula>
    </cfRule>
  </conditionalFormatting>
  <conditionalFormatting sqref="AC673:AC690">
    <cfRule type="iconSet" priority="392">
      <iconSet>
        <cfvo type="percent" val="0"/>
        <cfvo type="percent" val="33"/>
        <cfvo type="percent" val="67"/>
      </iconSet>
    </cfRule>
  </conditionalFormatting>
  <conditionalFormatting sqref="AC673:AC690">
    <cfRule type="iconSet" priority="393">
      <iconSet>
        <cfvo type="percent" val="0"/>
        <cfvo type="percent" val="90" gte="0"/>
        <cfvo type="percent" val="100"/>
      </iconSet>
    </cfRule>
  </conditionalFormatting>
  <conditionalFormatting sqref="F673:F678">
    <cfRule type="iconSet" priority="394">
      <iconSet iconSet="3Signs">
        <cfvo type="percent" val="0"/>
        <cfvo type="percent" val="33"/>
        <cfvo type="percent" val="67"/>
      </iconSet>
    </cfRule>
  </conditionalFormatting>
  <conditionalFormatting sqref="G673:G678">
    <cfRule type="iconSet" priority="396">
      <iconSet iconSet="3Flags">
        <cfvo type="percent" val="0"/>
        <cfvo type="percent" val="33"/>
        <cfvo type="percent" val="67"/>
      </iconSet>
    </cfRule>
  </conditionalFormatting>
  <conditionalFormatting sqref="S673:S678">
    <cfRule type="dataBar" priority="38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{2F805409-417F-4F3F-8319-558743A76DEE}</x14:id>
        </ext>
      </extLst>
    </cfRule>
  </conditionalFormatting>
  <conditionalFormatting sqref="T673:T678">
    <cfRule type="dataBar" priority="38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{EE563C06-77DB-4A9D-8F1C-50A6D24CD2A1}</x14:id>
        </ext>
      </extLst>
    </cfRule>
  </conditionalFormatting>
  <conditionalFormatting sqref="U673:U678">
    <cfRule type="dataBar" priority="38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{653AF91D-7AA6-4D61-B8DA-9FACCFA77C80}</x14:id>
        </ext>
      </extLst>
    </cfRule>
  </conditionalFormatting>
  <conditionalFormatting sqref="K673:K678">
    <cfRule type="iconSet" priority="386">
      <iconSet iconSet="3Flags" reverse="1">
        <cfvo type="percent" val="0"/>
        <cfvo type="percent" val="33"/>
        <cfvo type="percent" val="67"/>
      </iconSet>
    </cfRule>
  </conditionalFormatting>
  <conditionalFormatting sqref="G673:G678">
    <cfRule type="iconSet" priority="385">
      <iconSet iconSet="3Flags">
        <cfvo type="percent" val="0"/>
        <cfvo type="percent" val="33"/>
        <cfvo type="percent" val="67"/>
      </iconSet>
    </cfRule>
  </conditionalFormatting>
  <conditionalFormatting sqref="Z681 AB680:AB690">
    <cfRule type="containsText" dxfId="334" priority="380" operator="containsText" text="Sh">
      <formula>NOT(ISERROR(SEARCH("Sh",Z680)))</formula>
    </cfRule>
    <cfRule type="cellIs" dxfId="333" priority="381" operator="equal">
      <formula>"Sh"</formula>
    </cfRule>
  </conditionalFormatting>
  <conditionalFormatting sqref="F680:F681">
    <cfRule type="iconSet" priority="382">
      <iconSet iconSet="3Signs">
        <cfvo type="percent" val="0"/>
        <cfvo type="percent" val="33"/>
        <cfvo type="percent" val="67"/>
      </iconSet>
    </cfRule>
  </conditionalFormatting>
  <conditionalFormatting sqref="G680:G681">
    <cfRule type="iconSet" priority="384">
      <iconSet iconSet="3Flags">
        <cfvo type="percent" val="0"/>
        <cfvo type="percent" val="33"/>
        <cfvo type="percent" val="67"/>
      </iconSet>
    </cfRule>
  </conditionalFormatting>
  <conditionalFormatting sqref="S680">
    <cfRule type="dataBar" priority="37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{73E8B67C-65D9-4D1F-A5D6-25E547E1F53D}</x14:id>
        </ext>
      </extLst>
    </cfRule>
  </conditionalFormatting>
  <conditionalFormatting sqref="T680">
    <cfRule type="dataBar" priority="37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{73F10D02-09D1-464A-990F-DCBA18CC39DD}</x14:id>
        </ext>
      </extLst>
    </cfRule>
  </conditionalFormatting>
  <conditionalFormatting sqref="U680">
    <cfRule type="dataBar" priority="37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{7FF6A9ED-0D18-4FD2-9B87-29B16484D1DC}</x14:id>
        </ext>
      </extLst>
    </cfRule>
  </conditionalFormatting>
  <conditionalFormatting sqref="K680">
    <cfRule type="iconSet" priority="376">
      <iconSet iconSet="3Flags" reverse="1">
        <cfvo type="percent" val="0"/>
        <cfvo type="percent" val="33"/>
        <cfvo type="percent" val="67"/>
      </iconSet>
    </cfRule>
  </conditionalFormatting>
  <conditionalFormatting sqref="G680:G681">
    <cfRule type="iconSet" priority="375">
      <iconSet iconSet="3Flags">
        <cfvo type="percent" val="0"/>
        <cfvo type="percent" val="33"/>
        <cfvo type="percent" val="67"/>
      </iconSet>
    </cfRule>
  </conditionalFormatting>
  <conditionalFormatting sqref="AB679">
    <cfRule type="containsText" dxfId="332" priority="370" operator="containsText" text="Sh">
      <formula>NOT(ISERROR(SEARCH("Sh",AB679)))</formula>
    </cfRule>
    <cfRule type="cellIs" dxfId="331" priority="371" operator="equal">
      <formula>"Sh"</formula>
    </cfRule>
  </conditionalFormatting>
  <conditionalFormatting sqref="F679">
    <cfRule type="iconSet" priority="372">
      <iconSet iconSet="3Signs">
        <cfvo type="percent" val="0"/>
        <cfvo type="percent" val="33"/>
        <cfvo type="percent" val="67"/>
      </iconSet>
    </cfRule>
  </conditionalFormatting>
  <conditionalFormatting sqref="G679">
    <cfRule type="iconSet" priority="374">
      <iconSet iconSet="3Flags">
        <cfvo type="percent" val="0"/>
        <cfvo type="percent" val="33"/>
        <cfvo type="percent" val="67"/>
      </iconSet>
    </cfRule>
  </conditionalFormatting>
  <conditionalFormatting sqref="S679">
    <cfRule type="dataBar" priority="36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{8A43D0C0-EA33-4E74-BB11-D4FEE7894CB8}</x14:id>
        </ext>
      </extLst>
    </cfRule>
  </conditionalFormatting>
  <conditionalFormatting sqref="T679">
    <cfRule type="dataBar" priority="36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{60772B19-E07D-4F9D-918A-1A1C3D661EDF}</x14:id>
        </ext>
      </extLst>
    </cfRule>
  </conditionalFormatting>
  <conditionalFormatting sqref="U679">
    <cfRule type="dataBar" priority="36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{7BF70D0B-FCE5-43D4-8BE0-7DAFBD10A0CE}</x14:id>
        </ext>
      </extLst>
    </cfRule>
  </conditionalFormatting>
  <conditionalFormatting sqref="K679">
    <cfRule type="iconSet" priority="366">
      <iconSet iconSet="3Flags" reverse="1">
        <cfvo type="percent" val="0"/>
        <cfvo type="percent" val="33"/>
        <cfvo type="percent" val="67"/>
      </iconSet>
    </cfRule>
  </conditionalFormatting>
  <conditionalFormatting sqref="G679">
    <cfRule type="iconSet" priority="365">
      <iconSet iconSet="3Flags">
        <cfvo type="percent" val="0"/>
        <cfvo type="percent" val="33"/>
        <cfvo type="percent" val="67"/>
      </iconSet>
    </cfRule>
  </conditionalFormatting>
  <conditionalFormatting sqref="D681">
    <cfRule type="containsText" dxfId="330" priority="363" operator="containsText" text="Roll-To-Roll">
      <formula>NOT(ISERROR(SEARCH("Roll-To-Roll",D681)))</formula>
    </cfRule>
    <cfRule type="containsText" dxfId="329" priority="364" operator="containsText" text="Production">
      <formula>NOT(ISERROR(SEARCH("Production",D681)))</formula>
    </cfRule>
  </conditionalFormatting>
  <conditionalFormatting sqref="D686:D690">
    <cfRule type="containsText" dxfId="328" priority="361" operator="containsText" text="Roll-To-Roll">
      <formula>NOT(ISERROR(SEARCH("Roll-To-Roll",D686)))</formula>
    </cfRule>
    <cfRule type="containsText" dxfId="327" priority="362" operator="containsText" text="Production">
      <formula>NOT(ISERROR(SEARCH("Production",D686)))</formula>
    </cfRule>
  </conditionalFormatting>
  <conditionalFormatting sqref="G648:G691">
    <cfRule type="iconSet" priority="342">
      <iconSet iconSet="3Flags">
        <cfvo type="percent" val="0"/>
        <cfvo type="percent" val="33"/>
        <cfvo type="percent" val="67"/>
      </iconSet>
    </cfRule>
  </conditionalFormatting>
  <conditionalFormatting sqref="Y668">
    <cfRule type="containsText" dxfId="326" priority="359" operator="containsText" text="Sh">
      <formula>NOT(ISERROR(SEARCH("Sh",Y668)))</formula>
    </cfRule>
    <cfRule type="cellIs" dxfId="325" priority="360" operator="equal">
      <formula>"Sh"</formula>
    </cfRule>
  </conditionalFormatting>
  <conditionalFormatting sqref="S648:S691">
    <cfRule type="dataBar" priority="34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{CBDBD08A-5CE4-4E97-A584-BC9B440D2362}</x14:id>
        </ext>
      </extLst>
    </cfRule>
  </conditionalFormatting>
  <conditionalFormatting sqref="T648:T691">
    <cfRule type="dataBar" priority="3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{898B40B0-E2CC-4BCD-A5F4-90AB384B279F}</x14:id>
        </ext>
      </extLst>
    </cfRule>
  </conditionalFormatting>
  <conditionalFormatting sqref="U648:U691">
    <cfRule type="dataBar" priority="33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{50E2700C-7BC4-45D2-8899-0EB6D4B7DC77}</x14:id>
        </ext>
      </extLst>
    </cfRule>
  </conditionalFormatting>
  <conditionalFormatting sqref="R648:R691">
    <cfRule type="iconSet" priority="341">
      <iconSet iconSet="3Signs">
        <cfvo type="percent" val="0"/>
        <cfvo type="percent" val="33"/>
        <cfvo type="percent" val="67"/>
      </iconSet>
    </cfRule>
  </conditionalFormatting>
  <conditionalFormatting sqref="L681">
    <cfRule type="iconSet" priority="357">
      <iconSet iconSet="3Flags" reverse="1">
        <cfvo type="percent" val="0"/>
        <cfvo type="percent" val="33"/>
        <cfvo type="percent" val="67"/>
      </iconSet>
    </cfRule>
    <cfRule type="iconSet" priority="358">
      <iconSet iconSet="3Flags">
        <cfvo type="percent" val="0"/>
        <cfvo type="percent" val="33"/>
        <cfvo type="percent" val="67"/>
      </iconSet>
    </cfRule>
  </conditionalFormatting>
  <conditionalFormatting sqref="S681">
    <cfRule type="dataBar" priority="35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{541326E8-4AEC-4D60-ADF8-DF98D63AF973}</x14:id>
        </ext>
      </extLst>
    </cfRule>
  </conditionalFormatting>
  <conditionalFormatting sqref="T681">
    <cfRule type="dataBar" priority="35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{4BE2F4D9-A899-4ADE-BF09-471AE3AAA99C}</x14:id>
        </ext>
      </extLst>
    </cfRule>
  </conditionalFormatting>
  <conditionalFormatting sqref="U681">
    <cfRule type="dataBar" priority="35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{2CDF053E-B7FA-45CD-B2CE-0567B0899688}</x14:id>
        </ext>
      </extLst>
    </cfRule>
  </conditionalFormatting>
  <conditionalFormatting sqref="AD690:AD691 AD648:AD688">
    <cfRule type="colorScale" priority="3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89:F690">
    <cfRule type="iconSet" priority="348">
      <iconSet iconSet="3Signs">
        <cfvo type="percent" val="0"/>
        <cfvo type="percent" val="33"/>
        <cfvo type="percent" val="67"/>
      </iconSet>
    </cfRule>
  </conditionalFormatting>
  <conditionalFormatting sqref="G689:G690">
    <cfRule type="iconSet" priority="350">
      <iconSet iconSet="3Flags">
        <cfvo type="percent" val="0"/>
        <cfvo type="percent" val="33"/>
        <cfvo type="percent" val="67"/>
      </iconSet>
    </cfRule>
  </conditionalFormatting>
  <conditionalFormatting sqref="S689:S690">
    <cfRule type="dataBar" priority="34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{39697B5F-75AB-4088-BF26-18BB2A353E17}</x14:id>
        </ext>
      </extLst>
    </cfRule>
  </conditionalFormatting>
  <conditionalFormatting sqref="T689:T690">
    <cfRule type="dataBar" priority="34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{4898F82C-A745-455B-BD35-98B1B1956BE7}</x14:id>
        </ext>
      </extLst>
    </cfRule>
  </conditionalFormatting>
  <conditionalFormatting sqref="U689:U690">
    <cfRule type="dataBar" priority="3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{A7162613-F4FC-4D63-BDC3-98471BF74D6F}</x14:id>
        </ext>
      </extLst>
    </cfRule>
  </conditionalFormatting>
  <conditionalFormatting sqref="K689:K690">
    <cfRule type="iconSet" priority="344">
      <iconSet iconSet="3Flags" reverse="1">
        <cfvo type="percent" val="0"/>
        <cfvo type="percent" val="33"/>
        <cfvo type="percent" val="67"/>
      </iconSet>
    </cfRule>
  </conditionalFormatting>
  <conditionalFormatting sqref="G689:G690">
    <cfRule type="iconSet" priority="343">
      <iconSet iconSet="3Flags">
        <cfvo type="percent" val="0"/>
        <cfvo type="percent" val="33"/>
        <cfvo type="percent" val="67"/>
      </iconSet>
    </cfRule>
  </conditionalFormatting>
  <conditionalFormatting sqref="Z698 Z705:Z713">
    <cfRule type="containsText" dxfId="324" priority="319" operator="containsText" text="Sh">
      <formula>NOT(ISERROR(SEARCH("Sh",Z698)))</formula>
    </cfRule>
    <cfRule type="cellIs" dxfId="323" priority="320" operator="equal">
      <formula>"Sh"</formula>
    </cfRule>
  </conditionalFormatting>
  <conditionalFormatting sqref="E694:E695">
    <cfRule type="containsText" dxfId="322" priority="317" operator="containsText" text="Production">
      <formula>NOT(ISERROR(SEARCH("Production",E694)))</formula>
    </cfRule>
    <cfRule type="containsText" dxfId="321" priority="318" operator="containsText" text="Roll">
      <formula>NOT(ISERROR(SEARCH("Roll",E694)))</formula>
    </cfRule>
  </conditionalFormatting>
  <conditionalFormatting sqref="D694:D704">
    <cfRule type="containsText" dxfId="320" priority="315" operator="containsText" text="Roll-To-Roll">
      <formula>NOT(ISERROR(SEARCH("Roll-To-Roll",D694)))</formula>
    </cfRule>
    <cfRule type="containsText" dxfId="319" priority="316" operator="containsText" text="Production">
      <formula>NOT(ISERROR(SEARCH("Production",D694)))</formula>
    </cfRule>
  </conditionalFormatting>
  <conditionalFormatting sqref="S714">
    <cfRule type="dataBar" priority="3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{365BAE66-5D07-4E05-80DA-FF61E7760E3C}</x14:id>
        </ext>
      </extLst>
    </cfRule>
  </conditionalFormatting>
  <conditionalFormatting sqref="T714">
    <cfRule type="dataBar" priority="3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{2F14752A-376D-4524-B3C7-CEF0640EB499}</x14:id>
        </ext>
      </extLst>
    </cfRule>
  </conditionalFormatting>
  <conditionalFormatting sqref="U714">
    <cfRule type="dataBar" priority="3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{C90C525C-AFA4-43ED-A190-0A6CA754FE10}</x14:id>
        </ext>
      </extLst>
    </cfRule>
  </conditionalFormatting>
  <conditionalFormatting sqref="Y698">
    <cfRule type="containsText" dxfId="318" priority="313" operator="containsText" text="Sh">
      <formula>NOT(ISERROR(SEARCH("Sh",Y698)))</formula>
    </cfRule>
    <cfRule type="cellIs" dxfId="317" priority="314" operator="equal">
      <formula>"Sh"</formula>
    </cfRule>
  </conditionalFormatting>
  <conditionalFormatting sqref="AB698:AC698 AB714:AB715">
    <cfRule type="containsText" dxfId="316" priority="311" operator="containsText" text="Sh">
      <formula>NOT(ISERROR(SEARCH("Sh",AB698)))</formula>
    </cfRule>
    <cfRule type="cellIs" dxfId="315" priority="312" operator="equal">
      <formula>"Sh"</formula>
    </cfRule>
  </conditionalFormatting>
  <conditionalFormatting sqref="J698">
    <cfRule type="iconSet" priority="324">
      <iconSet iconSet="3Flags" reverse="1">
        <cfvo type="percent" val="0"/>
        <cfvo type="percent" val="33"/>
        <cfvo type="percent" val="67"/>
      </iconSet>
    </cfRule>
  </conditionalFormatting>
  <conditionalFormatting sqref="L698">
    <cfRule type="iconSet" priority="325">
      <iconSet iconSet="3Flags" reverse="1">
        <cfvo type="percent" val="0"/>
        <cfvo type="percent" val="33"/>
        <cfvo type="percent" val="67"/>
      </iconSet>
    </cfRule>
    <cfRule type="iconSet" priority="326">
      <iconSet iconSet="3Flags">
        <cfvo type="percent" val="0"/>
        <cfvo type="percent" val="33"/>
        <cfvo type="percent" val="67"/>
      </iconSet>
    </cfRule>
  </conditionalFormatting>
  <conditionalFormatting sqref="F698 F700:F702">
    <cfRule type="iconSet" priority="327">
      <iconSet iconSet="3Signs">
        <cfvo type="percent" val="0"/>
        <cfvo type="percent" val="33"/>
        <cfvo type="percent" val="67"/>
      </iconSet>
    </cfRule>
  </conditionalFormatting>
  <conditionalFormatting sqref="G698 G700:G702">
    <cfRule type="iconSet" priority="328">
      <iconSet iconSet="3Flags">
        <cfvo type="percent" val="0"/>
        <cfvo type="percent" val="33"/>
        <cfvo type="percent" val="67"/>
      </iconSet>
    </cfRule>
  </conditionalFormatting>
  <conditionalFormatting sqref="S698">
    <cfRule type="dataBar" priority="3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{4F8C1F11-EA53-49F4-80EF-F404707747CE}</x14:id>
        </ext>
      </extLst>
    </cfRule>
  </conditionalFormatting>
  <conditionalFormatting sqref="T698">
    <cfRule type="dataBar" priority="33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{36454229-A2E1-44F4-BE80-2BD99CB015E6}</x14:id>
        </ext>
      </extLst>
    </cfRule>
  </conditionalFormatting>
  <conditionalFormatting sqref="U698">
    <cfRule type="dataBar" priority="3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{9A23332A-5513-4B75-9C36-5DE4A203D4AC}</x14:id>
        </ext>
      </extLst>
    </cfRule>
  </conditionalFormatting>
  <conditionalFormatting sqref="AC698">
    <cfRule type="iconSet" priority="332">
      <iconSet>
        <cfvo type="percent" val="0"/>
        <cfvo type="percent" val="33"/>
        <cfvo type="percent" val="67"/>
      </iconSet>
    </cfRule>
  </conditionalFormatting>
  <conditionalFormatting sqref="AC698">
    <cfRule type="iconSet" priority="333">
      <iconSet>
        <cfvo type="percent" val="0"/>
        <cfvo type="percent" val="90" gte="0"/>
        <cfvo type="percent" val="100"/>
      </iconSet>
    </cfRule>
  </conditionalFormatting>
  <conditionalFormatting sqref="X705">
    <cfRule type="containsText" dxfId="314" priority="300" operator="containsText" text="Sh">
      <formula>NOT(ISERROR(SEARCH("Sh",X705)))</formula>
    </cfRule>
    <cfRule type="cellIs" dxfId="313" priority="301" operator="equal">
      <formula>"Sh"</formula>
    </cfRule>
  </conditionalFormatting>
  <conditionalFormatting sqref="H705 E705">
    <cfRule type="containsText" dxfId="312" priority="298" operator="containsText" text="Production">
      <formula>NOT(ISERROR(SEARCH("Production",E705)))</formula>
    </cfRule>
    <cfRule type="containsText" dxfId="311" priority="299" operator="containsText" text="Roll">
      <formula>NOT(ISERROR(SEARCH("Roll",E705)))</formula>
    </cfRule>
  </conditionalFormatting>
  <conditionalFormatting sqref="D705">
    <cfRule type="containsText" dxfId="310" priority="296" operator="containsText" text="Roll-To-Roll">
      <formula>NOT(ISERROR(SEARCH("Roll-To-Roll",D705)))</formula>
    </cfRule>
    <cfRule type="containsText" dxfId="309" priority="297" operator="containsText" text="Production">
      <formula>NOT(ISERROR(SEARCH("Production",D705)))</formula>
    </cfRule>
  </conditionalFormatting>
  <conditionalFormatting sqref="G705">
    <cfRule type="iconSet" priority="302">
      <iconSet iconSet="3Flags">
        <cfvo type="percent" val="0"/>
        <cfvo type="percent" val="33"/>
        <cfvo type="percent" val="67"/>
      </iconSet>
    </cfRule>
  </conditionalFormatting>
  <conditionalFormatting sqref="J705">
    <cfRule type="iconSet" priority="303">
      <iconSet iconSet="3Flags" reverse="1">
        <cfvo type="percent" val="0"/>
        <cfvo type="percent" val="33"/>
        <cfvo type="percent" val="67"/>
      </iconSet>
    </cfRule>
  </conditionalFormatting>
  <conditionalFormatting sqref="L705">
    <cfRule type="iconSet" priority="304">
      <iconSet iconSet="3Flags" reverse="1">
        <cfvo type="percent" val="0"/>
        <cfvo type="percent" val="33"/>
        <cfvo type="percent" val="67"/>
      </iconSet>
    </cfRule>
    <cfRule type="iconSet" priority="305">
      <iconSet iconSet="3Flags">
        <cfvo type="percent" val="0"/>
        <cfvo type="percent" val="33"/>
        <cfvo type="percent" val="67"/>
      </iconSet>
    </cfRule>
  </conditionalFormatting>
  <conditionalFormatting sqref="F705">
    <cfRule type="iconSet" priority="306">
      <iconSet iconSet="3Signs">
        <cfvo type="percent" val="0"/>
        <cfvo type="percent" val="33"/>
        <cfvo type="percent" val="67"/>
      </iconSet>
    </cfRule>
  </conditionalFormatting>
  <conditionalFormatting sqref="S705">
    <cfRule type="dataBar" priority="30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{2766E004-B2C9-40CA-AC04-FBB1377F4DB7}</x14:id>
        </ext>
      </extLst>
    </cfRule>
  </conditionalFormatting>
  <conditionalFormatting sqref="T705">
    <cfRule type="dataBar" priority="30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{69B8FD04-BC87-4197-AC4A-FB2F98224688}</x14:id>
        </ext>
      </extLst>
    </cfRule>
  </conditionalFormatting>
  <conditionalFormatting sqref="U705">
    <cfRule type="dataBar" priority="30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{A03F0CBB-A48C-40A8-93B6-F9E1009B6953}</x14:id>
        </ext>
      </extLst>
    </cfRule>
  </conditionalFormatting>
  <conditionalFormatting sqref="G705 G698 G700:G702 G714:G715">
    <cfRule type="iconSet" priority="295">
      <iconSet iconSet="3Flags">
        <cfvo type="percent" val="0"/>
        <cfvo type="percent" val="33"/>
        <cfvo type="percent" val="67"/>
      </iconSet>
    </cfRule>
  </conditionalFormatting>
  <conditionalFormatting sqref="S705 S698 S714:S715">
    <cfRule type="dataBar" priority="29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{4B2645BA-5FA1-4A2A-A1D1-8893F244F4E1}</x14:id>
        </ext>
      </extLst>
    </cfRule>
  </conditionalFormatting>
  <conditionalFormatting sqref="T705 T698 T714:T715">
    <cfRule type="dataBar" priority="29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{AA7BB361-CAD0-4901-A337-748BC2471613}</x14:id>
        </ext>
      </extLst>
    </cfRule>
  </conditionalFormatting>
  <conditionalFormatting sqref="U705 U698 U714:U715">
    <cfRule type="dataBar" priority="29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{8A9AE72F-3698-4D04-A2CA-2F8C322C7B22}</x14:id>
        </ext>
      </extLst>
    </cfRule>
  </conditionalFormatting>
  <conditionalFormatting sqref="F705 F698 F700:F702 F714:F715">
    <cfRule type="iconSet" priority="335">
      <iconSet>
        <cfvo type="percent" val="0"/>
        <cfvo type="percent" val="33"/>
        <cfvo type="percent" val="67"/>
      </iconSet>
    </cfRule>
  </conditionalFormatting>
  <conditionalFormatting sqref="K705 K698 K714:K715">
    <cfRule type="iconSet" priority="336">
      <iconSet iconSet="3Flags" reverse="1">
        <cfvo type="percent" val="0"/>
        <cfvo type="percent" val="33"/>
        <cfvo type="percent" val="67"/>
      </iconSet>
    </cfRule>
  </conditionalFormatting>
  <conditionalFormatting sqref="J715">
    <cfRule type="iconSet" priority="290">
      <iconSet iconSet="3Flags" reverse="1">
        <cfvo type="percent" val="0"/>
        <cfvo type="percent" val="33"/>
        <cfvo type="percent" val="67"/>
      </iconSet>
    </cfRule>
  </conditionalFormatting>
  <conditionalFormatting sqref="L715">
    <cfRule type="iconSet" priority="288">
      <iconSet iconSet="3Flags" reverse="1">
        <cfvo type="percent" val="0"/>
        <cfvo type="percent" val="33"/>
        <cfvo type="percent" val="67"/>
      </iconSet>
    </cfRule>
    <cfRule type="iconSet" priority="289">
      <iconSet iconSet="3Flags">
        <cfvo type="percent" val="0"/>
        <cfvo type="percent" val="33"/>
        <cfvo type="percent" val="67"/>
      </iconSet>
    </cfRule>
  </conditionalFormatting>
  <conditionalFormatting sqref="F715">
    <cfRule type="iconSet" priority="287">
      <iconSet iconSet="3Signs">
        <cfvo type="percent" val="0"/>
        <cfvo type="percent" val="33"/>
        <cfvo type="percent" val="67"/>
      </iconSet>
    </cfRule>
  </conditionalFormatting>
  <conditionalFormatting sqref="G715">
    <cfRule type="iconSet" priority="291">
      <iconSet iconSet="3Flags">
        <cfvo type="percent" val="0"/>
        <cfvo type="percent" val="33"/>
        <cfvo type="percent" val="67"/>
      </iconSet>
    </cfRule>
  </conditionalFormatting>
  <conditionalFormatting sqref="S715">
    <cfRule type="dataBar" priority="28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{860D1221-84AC-45EE-A3CB-D9B9F8B1D05A}</x14:id>
        </ext>
      </extLst>
    </cfRule>
  </conditionalFormatting>
  <conditionalFormatting sqref="T715">
    <cfRule type="dataBar" priority="28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{2826EE72-00ED-4226-9EB6-FC3DC25295F1}</x14:id>
        </ext>
      </extLst>
    </cfRule>
  </conditionalFormatting>
  <conditionalFormatting sqref="U715">
    <cfRule type="dataBar" priority="28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{321373E5-EF47-4AD0-B5BF-C9449635E3FF}</x14:id>
        </ext>
      </extLst>
    </cfRule>
  </conditionalFormatting>
  <conditionalFormatting sqref="AC715">
    <cfRule type="containsText" dxfId="308" priority="279" operator="containsText" text="Sh">
      <formula>NOT(ISERROR(SEARCH("Sh",AC715)))</formula>
    </cfRule>
    <cfRule type="cellIs" dxfId="307" priority="280" operator="equal">
      <formula>"Sh"</formula>
    </cfRule>
  </conditionalFormatting>
  <conditionalFormatting sqref="AC715">
    <cfRule type="iconSet" priority="281">
      <iconSet>
        <cfvo type="percent" val="0"/>
        <cfvo type="percent" val="33"/>
        <cfvo type="percent" val="67"/>
      </iconSet>
    </cfRule>
  </conditionalFormatting>
  <conditionalFormatting sqref="AC715">
    <cfRule type="iconSet" priority="282">
      <iconSet>
        <cfvo type="percent" val="0"/>
        <cfvo type="percent" val="90" gte="0"/>
        <cfvo type="percent" val="100"/>
      </iconSet>
    </cfRule>
  </conditionalFormatting>
  <conditionalFormatting sqref="G705 G698 G700:G702 G714:G715">
    <cfRule type="iconSet" priority="275">
      <iconSet iconSet="3Flags">
        <cfvo type="percent" val="0"/>
        <cfvo type="percent" val="33"/>
        <cfvo type="percent" val="67"/>
      </iconSet>
    </cfRule>
  </conditionalFormatting>
  <conditionalFormatting sqref="Y715">
    <cfRule type="containsText" dxfId="306" priority="277" operator="containsText" text="Sh">
      <formula>NOT(ISERROR(SEARCH("Sh",Y715)))</formula>
    </cfRule>
    <cfRule type="cellIs" dxfId="305" priority="278" operator="equal">
      <formula>"Sh"</formula>
    </cfRule>
  </conditionalFormatting>
  <conditionalFormatting sqref="S705 S698 S714:S715">
    <cfRule type="dataBar" priority="27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{5A259734-3DC7-45E3-848A-E4061AC9C2B8}</x14:id>
        </ext>
      </extLst>
    </cfRule>
  </conditionalFormatting>
  <conditionalFormatting sqref="T705 T698 T714:T715">
    <cfRule type="dataBar" priority="27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{B754D235-3AEE-4F76-9CC9-FA9BB3420FC3}</x14:id>
        </ext>
      </extLst>
    </cfRule>
  </conditionalFormatting>
  <conditionalFormatting sqref="U705 U698 U714:U715">
    <cfRule type="dataBar" priority="27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{8BFFCB1F-0056-445B-BBD8-2D4257FA4A8F}</x14:id>
        </ext>
      </extLst>
    </cfRule>
  </conditionalFormatting>
  <conditionalFormatting sqref="R705 R698 R714:R715">
    <cfRule type="iconSet" priority="274">
      <iconSet iconSet="3Signs">
        <cfvo type="percent" val="0"/>
        <cfvo type="percent" val="33"/>
        <cfvo type="percent" val="67"/>
      </iconSet>
    </cfRule>
  </conditionalFormatting>
  <conditionalFormatting sqref="AD705:AD710 AD698:AD702 AD713:AD715">
    <cfRule type="colorScale" priority="2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03:S704">
    <cfRule type="dataBar" priority="26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{BED619E4-A669-4B5A-908D-52D09B1FE1D5}</x14:id>
        </ext>
      </extLst>
    </cfRule>
  </conditionalFormatting>
  <conditionalFormatting sqref="T703:T704">
    <cfRule type="dataBar" priority="26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{6DB8D17E-B797-4C99-BFAA-FA6E3C40E581}</x14:id>
        </ext>
      </extLst>
    </cfRule>
  </conditionalFormatting>
  <conditionalFormatting sqref="U703:U704">
    <cfRule type="dataBar" priority="2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{77FE3F35-BB58-4D31-B814-B805CBC3B9B5}</x14:id>
        </ext>
      </extLst>
    </cfRule>
  </conditionalFormatting>
  <conditionalFormatting sqref="K703:K704">
    <cfRule type="iconSet" priority="269">
      <iconSet iconSet="3Flags" reverse="1">
        <cfvo type="percent" val="0"/>
        <cfvo type="percent" val="33"/>
        <cfvo type="percent" val="67"/>
      </iconSet>
    </cfRule>
  </conditionalFormatting>
  <conditionalFormatting sqref="AC703:AC704 AC706:AC707 AC709:AC710 AC712:AC713">
    <cfRule type="containsText" dxfId="304" priority="262" operator="containsText" text="Sh">
      <formula>NOT(ISERROR(SEARCH("Sh",AC703)))</formula>
    </cfRule>
    <cfRule type="cellIs" dxfId="303" priority="263" operator="equal">
      <formula>"Sh"</formula>
    </cfRule>
  </conditionalFormatting>
  <conditionalFormatting sqref="AC703:AC704 AC706:AC707 AC709:AC710 AC712:AC713">
    <cfRule type="iconSet" priority="264">
      <iconSet>
        <cfvo type="percent" val="0"/>
        <cfvo type="percent" val="33"/>
        <cfvo type="percent" val="67"/>
      </iconSet>
    </cfRule>
  </conditionalFormatting>
  <conditionalFormatting sqref="AC703:AC704 AC706:AC707 AC709:AC710 AC712:AC713">
    <cfRule type="iconSet" priority="265">
      <iconSet>
        <cfvo type="percent" val="0"/>
        <cfvo type="percent" val="90" gte="0"/>
        <cfvo type="percent" val="100"/>
      </iconSet>
    </cfRule>
  </conditionalFormatting>
  <conditionalFormatting sqref="AB703:AB704 AB706:AB707 AB709:AB710 AB712:AB713">
    <cfRule type="containsText" dxfId="302" priority="258" operator="containsText" text="Sh">
      <formula>NOT(ISERROR(SEARCH("Sh",AB703)))</formula>
    </cfRule>
    <cfRule type="cellIs" dxfId="301" priority="259" operator="equal">
      <formula>"Sh"</formula>
    </cfRule>
  </conditionalFormatting>
  <conditionalFormatting sqref="F703:F704">
    <cfRule type="iconSet" priority="260">
      <iconSet iconSet="3Signs">
        <cfvo type="percent" val="0"/>
        <cfvo type="percent" val="33"/>
        <cfvo type="percent" val="67"/>
      </iconSet>
    </cfRule>
  </conditionalFormatting>
  <conditionalFormatting sqref="G703:G704">
    <cfRule type="iconSet" priority="261">
      <iconSet iconSet="3Flags">
        <cfvo type="percent" val="0"/>
        <cfvo type="percent" val="33"/>
        <cfvo type="percent" val="67"/>
      </iconSet>
    </cfRule>
  </conditionalFormatting>
  <conditionalFormatting sqref="G703:G704">
    <cfRule type="iconSet" priority="257">
      <iconSet iconSet="3Flags">
        <cfvo type="percent" val="0"/>
        <cfvo type="percent" val="33"/>
        <cfvo type="percent" val="67"/>
      </iconSet>
    </cfRule>
  </conditionalFormatting>
  <conditionalFormatting sqref="G703:G704">
    <cfRule type="iconSet" priority="248">
      <iconSet iconSet="3Flags">
        <cfvo type="percent" val="0"/>
        <cfvo type="percent" val="33"/>
        <cfvo type="percent" val="67"/>
      </iconSet>
    </cfRule>
  </conditionalFormatting>
  <conditionalFormatting sqref="S703:S704">
    <cfRule type="dataBar" priority="2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{28A8BF5D-465E-446A-A35F-2ED60E0B435F}</x14:id>
        </ext>
      </extLst>
    </cfRule>
  </conditionalFormatting>
  <conditionalFormatting sqref="T703:T704">
    <cfRule type="dataBar" priority="24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{91CADD89-7B54-41B3-9AA0-A17CE6B24670}</x14:id>
        </ext>
      </extLst>
    </cfRule>
  </conditionalFormatting>
  <conditionalFormatting sqref="U703:U704">
    <cfRule type="dataBar" priority="2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{5B765B86-3808-46CA-BCCE-0F38530CE55A}</x14:id>
        </ext>
      </extLst>
    </cfRule>
  </conditionalFormatting>
  <conditionalFormatting sqref="R703:R704">
    <cfRule type="iconSet" priority="247">
      <iconSet iconSet="3Signs">
        <cfvo type="percent" val="0"/>
        <cfvo type="percent" val="33"/>
        <cfvo type="percent" val="67"/>
      </iconSet>
    </cfRule>
  </conditionalFormatting>
  <conditionalFormatting sqref="L703:L704">
    <cfRule type="iconSet" priority="255">
      <iconSet iconSet="3Flags" reverse="1">
        <cfvo type="percent" val="0"/>
        <cfvo type="percent" val="33"/>
        <cfvo type="percent" val="67"/>
      </iconSet>
    </cfRule>
    <cfRule type="iconSet" priority="256">
      <iconSet iconSet="3Flags">
        <cfvo type="percent" val="0"/>
        <cfvo type="percent" val="33"/>
        <cfvo type="percent" val="67"/>
      </iconSet>
    </cfRule>
  </conditionalFormatting>
  <conditionalFormatting sqref="S703:S704">
    <cfRule type="dataBar" priority="2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{83F551FB-6F2E-4A0A-AD72-43EE14551A0F}</x14:id>
        </ext>
      </extLst>
    </cfRule>
  </conditionalFormatting>
  <conditionalFormatting sqref="T703:T704">
    <cfRule type="dataBar" priority="25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{15A7B636-9DE9-40ED-B075-24D76D55E427}</x14:id>
        </ext>
      </extLst>
    </cfRule>
  </conditionalFormatting>
  <conditionalFormatting sqref="U703:U704">
    <cfRule type="dataBar" priority="25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{1BC144B2-6580-4607-9B3D-306779F2F0AB}</x14:id>
        </ext>
      </extLst>
    </cfRule>
  </conditionalFormatting>
  <conditionalFormatting sqref="AD703:AD704">
    <cfRule type="colorScale" priority="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97">
    <cfRule type="dataBar" priority="24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{FFD1F967-5182-47D8-9F16-CD1D3BBF57A3}</x14:id>
        </ext>
      </extLst>
    </cfRule>
  </conditionalFormatting>
  <conditionalFormatting sqref="T697">
    <cfRule type="dataBar" priority="24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{C604C89C-C57C-49B2-BA6F-969F2C32A122}</x14:id>
        </ext>
      </extLst>
    </cfRule>
  </conditionalFormatting>
  <conditionalFormatting sqref="U697">
    <cfRule type="dataBar" priority="2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{9F4CA710-0A1F-4B5A-A97E-CC829AB5E4E2}</x14:id>
        </ext>
      </extLst>
    </cfRule>
  </conditionalFormatting>
  <conditionalFormatting sqref="K697">
    <cfRule type="iconSet" priority="242">
      <iconSet iconSet="3Flags" reverse="1">
        <cfvo type="percent" val="0"/>
        <cfvo type="percent" val="33"/>
        <cfvo type="percent" val="67"/>
      </iconSet>
    </cfRule>
  </conditionalFormatting>
  <conditionalFormatting sqref="AC697">
    <cfRule type="containsText" dxfId="300" priority="235" operator="containsText" text="Sh">
      <formula>NOT(ISERROR(SEARCH("Sh",AC697)))</formula>
    </cfRule>
    <cfRule type="cellIs" dxfId="299" priority="236" operator="equal">
      <formula>"Sh"</formula>
    </cfRule>
  </conditionalFormatting>
  <conditionalFormatting sqref="AC697">
    <cfRule type="iconSet" priority="237">
      <iconSet>
        <cfvo type="percent" val="0"/>
        <cfvo type="percent" val="33"/>
        <cfvo type="percent" val="67"/>
      </iconSet>
    </cfRule>
  </conditionalFormatting>
  <conditionalFormatting sqref="AC697">
    <cfRule type="iconSet" priority="238">
      <iconSet>
        <cfvo type="percent" val="0"/>
        <cfvo type="percent" val="90" gte="0"/>
        <cfvo type="percent" val="100"/>
      </iconSet>
    </cfRule>
  </conditionalFormatting>
  <conditionalFormatting sqref="AB697">
    <cfRule type="containsText" dxfId="298" priority="231" operator="containsText" text="Sh">
      <formula>NOT(ISERROR(SEARCH("Sh",AB697)))</formula>
    </cfRule>
    <cfRule type="cellIs" dxfId="297" priority="232" operator="equal">
      <formula>"Sh"</formula>
    </cfRule>
  </conditionalFormatting>
  <conditionalFormatting sqref="F697">
    <cfRule type="iconSet" priority="233">
      <iconSet iconSet="3Signs">
        <cfvo type="percent" val="0"/>
        <cfvo type="percent" val="33"/>
        <cfvo type="percent" val="67"/>
      </iconSet>
    </cfRule>
  </conditionalFormatting>
  <conditionalFormatting sqref="G697">
    <cfRule type="iconSet" priority="234">
      <iconSet iconSet="3Flags">
        <cfvo type="percent" val="0"/>
        <cfvo type="percent" val="33"/>
        <cfvo type="percent" val="67"/>
      </iconSet>
    </cfRule>
  </conditionalFormatting>
  <conditionalFormatting sqref="G697">
    <cfRule type="iconSet" priority="230">
      <iconSet iconSet="3Flags">
        <cfvo type="percent" val="0"/>
        <cfvo type="percent" val="33"/>
        <cfvo type="percent" val="67"/>
      </iconSet>
    </cfRule>
  </conditionalFormatting>
  <conditionalFormatting sqref="G697">
    <cfRule type="iconSet" priority="221">
      <iconSet iconSet="3Flags">
        <cfvo type="percent" val="0"/>
        <cfvo type="percent" val="33"/>
        <cfvo type="percent" val="67"/>
      </iconSet>
    </cfRule>
  </conditionalFormatting>
  <conditionalFormatting sqref="S697">
    <cfRule type="dataBar" priority="2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{A662E282-D380-48B2-A11C-DD3D0668FBB6}</x14:id>
        </ext>
      </extLst>
    </cfRule>
  </conditionalFormatting>
  <conditionalFormatting sqref="T697">
    <cfRule type="dataBar" priority="2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{CC595AC0-8417-45AF-8769-B5434F71468F}</x14:id>
        </ext>
      </extLst>
    </cfRule>
  </conditionalFormatting>
  <conditionalFormatting sqref="U697">
    <cfRule type="dataBar" priority="2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{8E1BF676-4383-479C-94CC-6453F7ED6ACA}</x14:id>
        </ext>
      </extLst>
    </cfRule>
  </conditionalFormatting>
  <conditionalFormatting sqref="R697">
    <cfRule type="iconSet" priority="220">
      <iconSet iconSet="3Signs">
        <cfvo type="percent" val="0"/>
        <cfvo type="percent" val="33"/>
        <cfvo type="percent" val="67"/>
      </iconSet>
    </cfRule>
  </conditionalFormatting>
  <conditionalFormatting sqref="L697">
    <cfRule type="iconSet" priority="228">
      <iconSet iconSet="3Flags" reverse="1">
        <cfvo type="percent" val="0"/>
        <cfvo type="percent" val="33"/>
        <cfvo type="percent" val="67"/>
      </iconSet>
    </cfRule>
    <cfRule type="iconSet" priority="229">
      <iconSet iconSet="3Flags">
        <cfvo type="percent" val="0"/>
        <cfvo type="percent" val="33"/>
        <cfvo type="percent" val="67"/>
      </iconSet>
    </cfRule>
  </conditionalFormatting>
  <conditionalFormatting sqref="S697">
    <cfRule type="dataBar" priority="2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{1F1D1E58-2B2F-42BD-AE54-DA3BDA9F2A6A}</x14:id>
        </ext>
      </extLst>
    </cfRule>
  </conditionalFormatting>
  <conditionalFormatting sqref="T697">
    <cfRule type="dataBar" priority="22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{8A747AA1-0461-431A-9004-353EF2DBD79D}</x14:id>
        </ext>
      </extLst>
    </cfRule>
  </conditionalFormatting>
  <conditionalFormatting sqref="U697">
    <cfRule type="dataBar" priority="2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{E9E7556D-EC86-4134-BAAB-28F68480FEEC}</x14:id>
        </ext>
      </extLst>
    </cfRule>
  </conditionalFormatting>
  <conditionalFormatting sqref="AD697">
    <cfRule type="colorScale" priority="2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96">
    <cfRule type="dataBar" priority="2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{6DF1D07B-3982-4070-944E-839EA6ED77E7}</x14:id>
        </ext>
      </extLst>
    </cfRule>
  </conditionalFormatting>
  <conditionalFormatting sqref="T696">
    <cfRule type="dataBar" priority="2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{09A78941-E478-4570-83B4-2A32A8992464}</x14:id>
        </ext>
      </extLst>
    </cfRule>
  </conditionalFormatting>
  <conditionalFormatting sqref="U696">
    <cfRule type="dataBar" priority="2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{1867C0BC-40FA-47E6-A581-4E1D1BE94AB7}</x14:id>
        </ext>
      </extLst>
    </cfRule>
  </conditionalFormatting>
  <conditionalFormatting sqref="K696">
    <cfRule type="iconSet" priority="215">
      <iconSet iconSet="3Flags" reverse="1">
        <cfvo type="percent" val="0"/>
        <cfvo type="percent" val="33"/>
        <cfvo type="percent" val="67"/>
      </iconSet>
    </cfRule>
  </conditionalFormatting>
  <conditionalFormatting sqref="AC696">
    <cfRule type="containsText" dxfId="296" priority="208" operator="containsText" text="Sh">
      <formula>NOT(ISERROR(SEARCH("Sh",AC696)))</formula>
    </cfRule>
    <cfRule type="cellIs" dxfId="295" priority="209" operator="equal">
      <formula>"Sh"</formula>
    </cfRule>
  </conditionalFormatting>
  <conditionalFormatting sqref="AC696">
    <cfRule type="iconSet" priority="210">
      <iconSet>
        <cfvo type="percent" val="0"/>
        <cfvo type="percent" val="33"/>
        <cfvo type="percent" val="67"/>
      </iconSet>
    </cfRule>
  </conditionalFormatting>
  <conditionalFormatting sqref="AC696">
    <cfRule type="iconSet" priority="211">
      <iconSet>
        <cfvo type="percent" val="0"/>
        <cfvo type="percent" val="90" gte="0"/>
        <cfvo type="percent" val="100"/>
      </iconSet>
    </cfRule>
  </conditionalFormatting>
  <conditionalFormatting sqref="AB696">
    <cfRule type="containsText" dxfId="294" priority="204" operator="containsText" text="Sh">
      <formula>NOT(ISERROR(SEARCH("Sh",AB696)))</formula>
    </cfRule>
    <cfRule type="cellIs" dxfId="293" priority="205" operator="equal">
      <formula>"Sh"</formula>
    </cfRule>
  </conditionalFormatting>
  <conditionalFormatting sqref="F696">
    <cfRule type="iconSet" priority="206">
      <iconSet iconSet="3Signs">
        <cfvo type="percent" val="0"/>
        <cfvo type="percent" val="33"/>
        <cfvo type="percent" val="67"/>
      </iconSet>
    </cfRule>
  </conditionalFormatting>
  <conditionalFormatting sqref="G696">
    <cfRule type="iconSet" priority="207">
      <iconSet iconSet="3Flags">
        <cfvo type="percent" val="0"/>
        <cfvo type="percent" val="33"/>
        <cfvo type="percent" val="67"/>
      </iconSet>
    </cfRule>
  </conditionalFormatting>
  <conditionalFormatting sqref="G696">
    <cfRule type="iconSet" priority="203">
      <iconSet iconSet="3Flags">
        <cfvo type="percent" val="0"/>
        <cfvo type="percent" val="33"/>
        <cfvo type="percent" val="67"/>
      </iconSet>
    </cfRule>
  </conditionalFormatting>
  <conditionalFormatting sqref="G696">
    <cfRule type="iconSet" priority="194">
      <iconSet iconSet="3Flags">
        <cfvo type="percent" val="0"/>
        <cfvo type="percent" val="33"/>
        <cfvo type="percent" val="67"/>
      </iconSet>
    </cfRule>
  </conditionalFormatting>
  <conditionalFormatting sqref="S696">
    <cfRule type="dataBar" priority="19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{A81A95FE-0D1B-4BDC-AB21-22BBD8DFAF3F}</x14:id>
        </ext>
      </extLst>
    </cfRule>
  </conditionalFormatting>
  <conditionalFormatting sqref="T696">
    <cfRule type="dataBar" priority="19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{B0F18B67-9CF7-47C6-B17B-1D555127EBD3}</x14:id>
        </ext>
      </extLst>
    </cfRule>
  </conditionalFormatting>
  <conditionalFormatting sqref="U696">
    <cfRule type="dataBar" priority="19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{AE4BF9B7-BA2E-40E4-81DA-0EBAAD21CC70}</x14:id>
        </ext>
      </extLst>
    </cfRule>
  </conditionalFormatting>
  <conditionalFormatting sqref="R696">
    <cfRule type="iconSet" priority="193">
      <iconSet iconSet="3Signs">
        <cfvo type="percent" val="0"/>
        <cfvo type="percent" val="33"/>
        <cfvo type="percent" val="67"/>
      </iconSet>
    </cfRule>
  </conditionalFormatting>
  <conditionalFormatting sqref="L696">
    <cfRule type="iconSet" priority="201">
      <iconSet iconSet="3Flags" reverse="1">
        <cfvo type="percent" val="0"/>
        <cfvo type="percent" val="33"/>
        <cfvo type="percent" val="67"/>
      </iconSet>
    </cfRule>
    <cfRule type="iconSet" priority="202">
      <iconSet iconSet="3Flags">
        <cfvo type="percent" val="0"/>
        <cfvo type="percent" val="33"/>
        <cfvo type="percent" val="67"/>
      </iconSet>
    </cfRule>
  </conditionalFormatting>
  <conditionalFormatting sqref="S696">
    <cfRule type="dataBar" priority="19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{99EA4676-99AB-4016-B44C-D2D8D661A12A}</x14:id>
        </ext>
      </extLst>
    </cfRule>
  </conditionalFormatting>
  <conditionalFormatting sqref="T696">
    <cfRule type="dataBar" priority="19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{9F964757-D08E-4CD2-8A34-E9C9FCE04D7B}</x14:id>
        </ext>
      </extLst>
    </cfRule>
  </conditionalFormatting>
  <conditionalFormatting sqref="U696">
    <cfRule type="dataBar" priority="19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{E4331A85-5705-4AAC-9791-3AC48C0648B6}</x14:id>
        </ext>
      </extLst>
    </cfRule>
  </conditionalFormatting>
  <conditionalFormatting sqref="AD696">
    <cfRule type="colorScale" priority="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95">
    <cfRule type="dataBar" priority="18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{95FCCB8A-780C-4052-8786-76D2231D8B2E}</x14:id>
        </ext>
      </extLst>
    </cfRule>
  </conditionalFormatting>
  <conditionalFormatting sqref="T695">
    <cfRule type="dataBar" priority="18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{D0D7E065-FD0C-4A5C-A4EB-EEDB80F9D650}</x14:id>
        </ext>
      </extLst>
    </cfRule>
  </conditionalFormatting>
  <conditionalFormatting sqref="U695">
    <cfRule type="dataBar" priority="18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{7E7F6786-D3AB-4486-87BF-741811897046}</x14:id>
        </ext>
      </extLst>
    </cfRule>
  </conditionalFormatting>
  <conditionalFormatting sqref="K695">
    <cfRule type="iconSet" priority="188">
      <iconSet iconSet="3Flags" reverse="1">
        <cfvo type="percent" val="0"/>
        <cfvo type="percent" val="33"/>
        <cfvo type="percent" val="67"/>
      </iconSet>
    </cfRule>
  </conditionalFormatting>
  <conditionalFormatting sqref="AC695">
    <cfRule type="containsText" dxfId="292" priority="181" operator="containsText" text="Sh">
      <formula>NOT(ISERROR(SEARCH("Sh",AC695)))</formula>
    </cfRule>
    <cfRule type="cellIs" dxfId="291" priority="182" operator="equal">
      <formula>"Sh"</formula>
    </cfRule>
  </conditionalFormatting>
  <conditionalFormatting sqref="AC695">
    <cfRule type="iconSet" priority="183">
      <iconSet>
        <cfvo type="percent" val="0"/>
        <cfvo type="percent" val="33"/>
        <cfvo type="percent" val="67"/>
      </iconSet>
    </cfRule>
  </conditionalFormatting>
  <conditionalFormatting sqref="AC695">
    <cfRule type="iconSet" priority="184">
      <iconSet>
        <cfvo type="percent" val="0"/>
        <cfvo type="percent" val="90" gte="0"/>
        <cfvo type="percent" val="100"/>
      </iconSet>
    </cfRule>
  </conditionalFormatting>
  <conditionalFormatting sqref="AB695">
    <cfRule type="containsText" dxfId="290" priority="177" operator="containsText" text="Sh">
      <formula>NOT(ISERROR(SEARCH("Sh",AB695)))</formula>
    </cfRule>
    <cfRule type="cellIs" dxfId="289" priority="178" operator="equal">
      <formula>"Sh"</formula>
    </cfRule>
  </conditionalFormatting>
  <conditionalFormatting sqref="F695">
    <cfRule type="iconSet" priority="179">
      <iconSet iconSet="3Signs">
        <cfvo type="percent" val="0"/>
        <cfvo type="percent" val="33"/>
        <cfvo type="percent" val="67"/>
      </iconSet>
    </cfRule>
  </conditionalFormatting>
  <conditionalFormatting sqref="G695">
    <cfRule type="iconSet" priority="180">
      <iconSet iconSet="3Flags">
        <cfvo type="percent" val="0"/>
        <cfvo type="percent" val="33"/>
        <cfvo type="percent" val="67"/>
      </iconSet>
    </cfRule>
  </conditionalFormatting>
  <conditionalFormatting sqref="G695">
    <cfRule type="iconSet" priority="176">
      <iconSet iconSet="3Flags">
        <cfvo type="percent" val="0"/>
        <cfvo type="percent" val="33"/>
        <cfvo type="percent" val="67"/>
      </iconSet>
    </cfRule>
  </conditionalFormatting>
  <conditionalFormatting sqref="G695">
    <cfRule type="iconSet" priority="167">
      <iconSet iconSet="3Flags">
        <cfvo type="percent" val="0"/>
        <cfvo type="percent" val="33"/>
        <cfvo type="percent" val="67"/>
      </iconSet>
    </cfRule>
  </conditionalFormatting>
  <conditionalFormatting sqref="S695">
    <cfRule type="dataBar" priority="16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{F848DC8D-E7B3-419E-98D1-562C0015559C}</x14:id>
        </ext>
      </extLst>
    </cfRule>
  </conditionalFormatting>
  <conditionalFormatting sqref="T695">
    <cfRule type="dataBar" priority="1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{01BB91CA-23D1-4851-BA9E-6F164B73AD6E}</x14:id>
        </ext>
      </extLst>
    </cfRule>
  </conditionalFormatting>
  <conditionalFormatting sqref="U695">
    <cfRule type="dataBar" priority="16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{594B7AB9-C5C3-45EF-99C0-E8B6E6298757}</x14:id>
        </ext>
      </extLst>
    </cfRule>
  </conditionalFormatting>
  <conditionalFormatting sqref="R695">
    <cfRule type="iconSet" priority="166">
      <iconSet iconSet="3Signs">
        <cfvo type="percent" val="0"/>
        <cfvo type="percent" val="33"/>
        <cfvo type="percent" val="67"/>
      </iconSet>
    </cfRule>
  </conditionalFormatting>
  <conditionalFormatting sqref="L695">
    <cfRule type="iconSet" priority="174">
      <iconSet iconSet="3Flags" reverse="1">
        <cfvo type="percent" val="0"/>
        <cfvo type="percent" val="33"/>
        <cfvo type="percent" val="67"/>
      </iconSet>
    </cfRule>
    <cfRule type="iconSet" priority="175">
      <iconSet iconSet="3Flags">
        <cfvo type="percent" val="0"/>
        <cfvo type="percent" val="33"/>
        <cfvo type="percent" val="67"/>
      </iconSet>
    </cfRule>
  </conditionalFormatting>
  <conditionalFormatting sqref="S695">
    <cfRule type="dataBar" priority="17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{49E62662-CA21-47E3-9F19-DF0922326DD9}</x14:id>
        </ext>
      </extLst>
    </cfRule>
  </conditionalFormatting>
  <conditionalFormatting sqref="T695">
    <cfRule type="dataBar" priority="17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{D7A08411-4284-4F4D-92CC-72E983B7B834}</x14:id>
        </ext>
      </extLst>
    </cfRule>
  </conditionalFormatting>
  <conditionalFormatting sqref="U695">
    <cfRule type="dataBar" priority="17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{2C9D6704-4BD7-4B3C-B846-C74048468ED2}</x14:id>
        </ext>
      </extLst>
    </cfRule>
  </conditionalFormatting>
  <conditionalFormatting sqref="AD695">
    <cfRule type="colorScale" priority="1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94">
    <cfRule type="dataBar" priority="16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{28879605-2A32-47E7-81EB-8D09B2D6BE59}</x14:id>
        </ext>
      </extLst>
    </cfRule>
  </conditionalFormatting>
  <conditionalFormatting sqref="T694">
    <cfRule type="dataBar" priority="15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{5F397272-9A8E-4775-AFA6-7E155FC347AF}</x14:id>
        </ext>
      </extLst>
    </cfRule>
  </conditionalFormatting>
  <conditionalFormatting sqref="U694">
    <cfRule type="dataBar" priority="1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{69E1DE83-1D55-474B-9F58-3B10A9BAF499}</x14:id>
        </ext>
      </extLst>
    </cfRule>
  </conditionalFormatting>
  <conditionalFormatting sqref="K694">
    <cfRule type="iconSet" priority="161">
      <iconSet iconSet="3Flags" reverse="1">
        <cfvo type="percent" val="0"/>
        <cfvo type="percent" val="33"/>
        <cfvo type="percent" val="67"/>
      </iconSet>
    </cfRule>
  </conditionalFormatting>
  <conditionalFormatting sqref="AC694">
    <cfRule type="containsText" dxfId="288" priority="154" operator="containsText" text="Sh">
      <formula>NOT(ISERROR(SEARCH("Sh",AC694)))</formula>
    </cfRule>
    <cfRule type="cellIs" dxfId="287" priority="155" operator="equal">
      <formula>"Sh"</formula>
    </cfRule>
  </conditionalFormatting>
  <conditionalFormatting sqref="AC694">
    <cfRule type="iconSet" priority="156">
      <iconSet>
        <cfvo type="percent" val="0"/>
        <cfvo type="percent" val="33"/>
        <cfvo type="percent" val="67"/>
      </iconSet>
    </cfRule>
  </conditionalFormatting>
  <conditionalFormatting sqref="AC694">
    <cfRule type="iconSet" priority="157">
      <iconSet>
        <cfvo type="percent" val="0"/>
        <cfvo type="percent" val="90" gte="0"/>
        <cfvo type="percent" val="100"/>
      </iconSet>
    </cfRule>
  </conditionalFormatting>
  <conditionalFormatting sqref="AB694 Z694:Z697">
    <cfRule type="containsText" dxfId="286" priority="150" operator="containsText" text="Sh">
      <formula>NOT(ISERROR(SEARCH("Sh",Z694)))</formula>
    </cfRule>
    <cfRule type="cellIs" dxfId="285" priority="151" operator="equal">
      <formula>"Sh"</formula>
    </cfRule>
  </conditionalFormatting>
  <conditionalFormatting sqref="F694">
    <cfRule type="iconSet" priority="152">
      <iconSet iconSet="3Signs">
        <cfvo type="percent" val="0"/>
        <cfvo type="percent" val="33"/>
        <cfvo type="percent" val="67"/>
      </iconSet>
    </cfRule>
  </conditionalFormatting>
  <conditionalFormatting sqref="G694">
    <cfRule type="iconSet" priority="153">
      <iconSet iconSet="3Flags">
        <cfvo type="percent" val="0"/>
        <cfvo type="percent" val="33"/>
        <cfvo type="percent" val="67"/>
      </iconSet>
    </cfRule>
  </conditionalFormatting>
  <conditionalFormatting sqref="G694">
    <cfRule type="iconSet" priority="149">
      <iconSet iconSet="3Flags">
        <cfvo type="percent" val="0"/>
        <cfvo type="percent" val="33"/>
        <cfvo type="percent" val="67"/>
      </iconSet>
    </cfRule>
  </conditionalFormatting>
  <conditionalFormatting sqref="G694">
    <cfRule type="iconSet" priority="140">
      <iconSet iconSet="3Flags">
        <cfvo type="percent" val="0"/>
        <cfvo type="percent" val="33"/>
        <cfvo type="percent" val="67"/>
      </iconSet>
    </cfRule>
  </conditionalFormatting>
  <conditionalFormatting sqref="S694">
    <cfRule type="dataBar" priority="13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{6BB7454D-C77A-4F08-BBBE-75066448436B}</x14:id>
        </ext>
      </extLst>
    </cfRule>
  </conditionalFormatting>
  <conditionalFormatting sqref="T694">
    <cfRule type="dataBar" priority="13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{2C32B752-227E-4F0A-8799-142DE5381557}</x14:id>
        </ext>
      </extLst>
    </cfRule>
  </conditionalFormatting>
  <conditionalFormatting sqref="U694">
    <cfRule type="dataBar" priority="13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{FDFBCC54-0854-48A7-989F-6102FA38415D}</x14:id>
        </ext>
      </extLst>
    </cfRule>
  </conditionalFormatting>
  <conditionalFormatting sqref="R694">
    <cfRule type="iconSet" priority="139">
      <iconSet iconSet="3Signs">
        <cfvo type="percent" val="0"/>
        <cfvo type="percent" val="33"/>
        <cfvo type="percent" val="67"/>
      </iconSet>
    </cfRule>
  </conditionalFormatting>
  <conditionalFormatting sqref="L694">
    <cfRule type="iconSet" priority="147">
      <iconSet iconSet="3Flags" reverse="1">
        <cfvo type="percent" val="0"/>
        <cfvo type="percent" val="33"/>
        <cfvo type="percent" val="67"/>
      </iconSet>
    </cfRule>
    <cfRule type="iconSet" priority="148">
      <iconSet iconSet="3Flags">
        <cfvo type="percent" val="0"/>
        <cfvo type="percent" val="33"/>
        <cfvo type="percent" val="67"/>
      </iconSet>
    </cfRule>
  </conditionalFormatting>
  <conditionalFormatting sqref="S694">
    <cfRule type="dataBar" priority="1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{2226026C-BA02-4FE8-9962-21A244132681}</x14:id>
        </ext>
      </extLst>
    </cfRule>
  </conditionalFormatting>
  <conditionalFormatting sqref="T694">
    <cfRule type="dataBar" priority="14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{9CE2E98B-0136-45B9-94AB-D3264A499CBC}</x14:id>
        </ext>
      </extLst>
    </cfRule>
  </conditionalFormatting>
  <conditionalFormatting sqref="U694">
    <cfRule type="dataBar" priority="1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{0574E222-386C-408D-B878-C68A083A1D95}</x14:id>
        </ext>
      </extLst>
    </cfRule>
  </conditionalFormatting>
  <conditionalFormatting sqref="AD694"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99">
    <cfRule type="iconSet" priority="133">
      <iconSet iconSet="3Signs">
        <cfvo type="percent" val="0"/>
        <cfvo type="percent" val="33"/>
        <cfvo type="percent" val="67"/>
      </iconSet>
    </cfRule>
  </conditionalFormatting>
  <conditionalFormatting sqref="G699">
    <cfRule type="iconSet" priority="135">
      <iconSet iconSet="3Flags">
        <cfvo type="percent" val="0"/>
        <cfvo type="percent" val="33"/>
        <cfvo type="percent" val="67"/>
      </iconSet>
    </cfRule>
  </conditionalFormatting>
  <conditionalFormatting sqref="S699:S702">
    <cfRule type="dataBar" priority="13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{D418CF3B-C7AB-46A8-AFAE-41B8E7954A19}</x14:id>
        </ext>
      </extLst>
    </cfRule>
  </conditionalFormatting>
  <conditionalFormatting sqref="T699:T702">
    <cfRule type="dataBar" priority="13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{626E2A71-7835-458A-9DAE-DD8424F96C3E}</x14:id>
        </ext>
      </extLst>
    </cfRule>
  </conditionalFormatting>
  <conditionalFormatting sqref="U699:U702">
    <cfRule type="dataBar" priority="13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{37FCF7FD-7DE9-4767-9C1E-A76DC01059CC}</x14:id>
        </ext>
      </extLst>
    </cfRule>
  </conditionalFormatting>
  <conditionalFormatting sqref="K699:K702">
    <cfRule type="iconSet" priority="129">
      <iconSet iconSet="3Flags" reverse="1">
        <cfvo type="percent" val="0"/>
        <cfvo type="percent" val="33"/>
        <cfvo type="percent" val="67"/>
      </iconSet>
    </cfRule>
  </conditionalFormatting>
  <conditionalFormatting sqref="G699">
    <cfRule type="iconSet" priority="128">
      <iconSet iconSet="3Flags">
        <cfvo type="percent" val="0"/>
        <cfvo type="percent" val="33"/>
        <cfvo type="percent" val="67"/>
      </iconSet>
    </cfRule>
  </conditionalFormatting>
  <conditionalFormatting sqref="G699">
    <cfRule type="iconSet" priority="127">
      <iconSet iconSet="3Flags">
        <cfvo type="percent" val="0"/>
        <cfvo type="percent" val="33"/>
        <cfvo type="percent" val="67"/>
      </iconSet>
    </cfRule>
  </conditionalFormatting>
  <conditionalFormatting sqref="S699:S702">
    <cfRule type="dataBar" priority="1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{6618B62F-1E6B-4D1E-AEE3-C8EB8564DD27}</x14:id>
        </ext>
      </extLst>
    </cfRule>
  </conditionalFormatting>
  <conditionalFormatting sqref="T699:T702">
    <cfRule type="dataBar" priority="1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{276D6170-1712-4556-A39A-8021AF60C60D}</x14:id>
        </ext>
      </extLst>
    </cfRule>
  </conditionalFormatting>
  <conditionalFormatting sqref="U699:U702">
    <cfRule type="dataBar" priority="1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{0DA0ADB3-DEDF-440F-8E68-33646649B332}</x14:id>
        </ext>
      </extLst>
    </cfRule>
  </conditionalFormatting>
  <conditionalFormatting sqref="R699:R702">
    <cfRule type="iconSet" priority="126">
      <iconSet iconSet="3Signs">
        <cfvo type="percent" val="0"/>
        <cfvo type="percent" val="33"/>
        <cfvo type="percent" val="67"/>
      </iconSet>
    </cfRule>
  </conditionalFormatting>
  <conditionalFormatting sqref="Z699">
    <cfRule type="containsText" dxfId="284" priority="121" operator="containsText" text="Sh">
      <formula>NOT(ISERROR(SEARCH("Sh",Z699)))</formula>
    </cfRule>
    <cfRule type="cellIs" dxfId="283" priority="122" operator="equal">
      <formula>"Sh"</formula>
    </cfRule>
  </conditionalFormatting>
  <conditionalFormatting sqref="Z700:Z701">
    <cfRule type="containsText" dxfId="282" priority="119" operator="containsText" text="Sh">
      <formula>NOT(ISERROR(SEARCH("Sh",Z700)))</formula>
    </cfRule>
    <cfRule type="cellIs" dxfId="281" priority="120" operator="equal">
      <formula>"Sh"</formula>
    </cfRule>
  </conditionalFormatting>
  <conditionalFormatting sqref="Z702">
    <cfRule type="containsText" dxfId="280" priority="117" operator="containsText" text="Sh">
      <formula>NOT(ISERROR(SEARCH("Sh",Z702)))</formula>
    </cfRule>
    <cfRule type="cellIs" dxfId="279" priority="118" operator="equal">
      <formula>"Sh"</formula>
    </cfRule>
  </conditionalFormatting>
  <conditionalFormatting sqref="Z703:Z704">
    <cfRule type="containsText" dxfId="278" priority="115" operator="containsText" text="Sh">
      <formula>NOT(ISERROR(SEARCH("Sh",Z703)))</formula>
    </cfRule>
    <cfRule type="cellIs" dxfId="277" priority="116" operator="equal">
      <formula>"Sh"</formula>
    </cfRule>
  </conditionalFormatting>
  <conditionalFormatting sqref="AC699">
    <cfRule type="containsText" dxfId="276" priority="111" operator="containsText" text="Sh">
      <formula>NOT(ISERROR(SEARCH("Sh",AC699)))</formula>
    </cfRule>
    <cfRule type="cellIs" dxfId="275" priority="112" operator="equal">
      <formula>"Sh"</formula>
    </cfRule>
  </conditionalFormatting>
  <conditionalFormatting sqref="AC699">
    <cfRule type="iconSet" priority="113">
      <iconSet>
        <cfvo type="percent" val="0"/>
        <cfvo type="percent" val="33"/>
        <cfvo type="percent" val="67"/>
      </iconSet>
    </cfRule>
  </conditionalFormatting>
  <conditionalFormatting sqref="AC699">
    <cfRule type="iconSet" priority="114">
      <iconSet>
        <cfvo type="percent" val="0"/>
        <cfvo type="percent" val="90" gte="0"/>
        <cfvo type="percent" val="100"/>
      </iconSet>
    </cfRule>
  </conditionalFormatting>
  <conditionalFormatting sqref="AB699">
    <cfRule type="containsText" dxfId="274" priority="109" operator="containsText" text="Sh">
      <formula>NOT(ISERROR(SEARCH("Sh",AB699)))</formula>
    </cfRule>
    <cfRule type="cellIs" dxfId="273" priority="110" operator="equal">
      <formula>"Sh"</formula>
    </cfRule>
  </conditionalFormatting>
  <conditionalFormatting sqref="AC700:AC701">
    <cfRule type="containsText" dxfId="272" priority="105" operator="containsText" text="Sh">
      <formula>NOT(ISERROR(SEARCH("Sh",AC700)))</formula>
    </cfRule>
    <cfRule type="cellIs" dxfId="271" priority="106" operator="equal">
      <formula>"Sh"</formula>
    </cfRule>
  </conditionalFormatting>
  <conditionalFormatting sqref="AC700:AC701">
    <cfRule type="iconSet" priority="107">
      <iconSet>
        <cfvo type="percent" val="0"/>
        <cfvo type="percent" val="33"/>
        <cfvo type="percent" val="67"/>
      </iconSet>
    </cfRule>
  </conditionalFormatting>
  <conditionalFormatting sqref="AC700:AC701">
    <cfRule type="iconSet" priority="108">
      <iconSet>
        <cfvo type="percent" val="0"/>
        <cfvo type="percent" val="90" gte="0"/>
        <cfvo type="percent" val="100"/>
      </iconSet>
    </cfRule>
  </conditionalFormatting>
  <conditionalFormatting sqref="AB700:AB701">
    <cfRule type="containsText" dxfId="270" priority="103" operator="containsText" text="Sh">
      <formula>NOT(ISERROR(SEARCH("Sh",AB700)))</formula>
    </cfRule>
    <cfRule type="cellIs" dxfId="269" priority="104" operator="equal">
      <formula>"Sh"</formula>
    </cfRule>
  </conditionalFormatting>
  <conditionalFormatting sqref="AC702 AC705 AC708 AC711">
    <cfRule type="containsText" dxfId="268" priority="99" operator="containsText" text="Sh">
      <formula>NOT(ISERROR(SEARCH("Sh",AC702)))</formula>
    </cfRule>
    <cfRule type="cellIs" dxfId="267" priority="100" operator="equal">
      <formula>"Sh"</formula>
    </cfRule>
  </conditionalFormatting>
  <conditionalFormatting sqref="AC702 AC705 AC708 AC711">
    <cfRule type="iconSet" priority="101">
      <iconSet>
        <cfvo type="percent" val="0"/>
        <cfvo type="percent" val="33"/>
        <cfvo type="percent" val="67"/>
      </iconSet>
    </cfRule>
  </conditionalFormatting>
  <conditionalFormatting sqref="AC702 AC705 AC708 AC711">
    <cfRule type="iconSet" priority="102">
      <iconSet>
        <cfvo type="percent" val="0"/>
        <cfvo type="percent" val="90" gte="0"/>
        <cfvo type="percent" val="100"/>
      </iconSet>
    </cfRule>
  </conditionalFormatting>
  <conditionalFormatting sqref="AB702 AB705 AB708 AB711">
    <cfRule type="containsText" dxfId="266" priority="97" operator="containsText" text="Sh">
      <formula>NOT(ISERROR(SEARCH("Sh",AB702)))</formula>
    </cfRule>
    <cfRule type="cellIs" dxfId="265" priority="98" operator="equal">
      <formula>"Sh"</formula>
    </cfRule>
  </conditionalFormatting>
  <conditionalFormatting sqref="D706:D707">
    <cfRule type="containsText" dxfId="264" priority="83" operator="containsText" text="Roll-To-Roll">
      <formula>NOT(ISERROR(SEARCH("Roll-To-Roll",D706)))</formula>
    </cfRule>
    <cfRule type="containsText" dxfId="263" priority="84" operator="containsText" text="Production">
      <formula>NOT(ISERROR(SEARCH("Production",D706)))</formula>
    </cfRule>
  </conditionalFormatting>
  <conditionalFormatting sqref="J706:J707">
    <cfRule type="iconSet" priority="85">
      <iconSet iconSet="3Flags" reverse="1">
        <cfvo type="percent" val="0"/>
        <cfvo type="percent" val="33"/>
        <cfvo type="percent" val="67"/>
      </iconSet>
    </cfRule>
  </conditionalFormatting>
  <conditionalFormatting sqref="L706:L707">
    <cfRule type="iconSet" priority="86">
      <iconSet iconSet="3Flags" reverse="1">
        <cfvo type="percent" val="0"/>
        <cfvo type="percent" val="33"/>
        <cfvo type="percent" val="67"/>
      </iconSet>
    </cfRule>
    <cfRule type="iconSet" priority="87">
      <iconSet iconSet="3Flags">
        <cfvo type="percent" val="0"/>
        <cfvo type="percent" val="33"/>
        <cfvo type="percent" val="67"/>
      </iconSet>
    </cfRule>
  </conditionalFormatting>
  <conditionalFormatting sqref="F706:F707">
    <cfRule type="iconSet" priority="88">
      <iconSet iconSet="3Signs">
        <cfvo type="percent" val="0"/>
        <cfvo type="percent" val="33"/>
        <cfvo type="percent" val="67"/>
      </iconSet>
    </cfRule>
  </conditionalFormatting>
  <conditionalFormatting sqref="G706:G707">
    <cfRule type="iconSet" priority="89">
      <iconSet iconSet="3Flags">
        <cfvo type="percent" val="0"/>
        <cfvo type="percent" val="33"/>
        <cfvo type="percent" val="67"/>
      </iconSet>
    </cfRule>
  </conditionalFormatting>
  <conditionalFormatting sqref="S706:S707">
    <cfRule type="dataBar" priority="9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{D7BD2684-5AF6-4F38-82D0-1F4549DBA94D}</x14:id>
        </ext>
      </extLst>
    </cfRule>
  </conditionalFormatting>
  <conditionalFormatting sqref="T706:T707">
    <cfRule type="dataBar" priority="9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{A64E08BB-6FA6-4227-9315-30B2970B5B8A}</x14:id>
        </ext>
      </extLst>
    </cfRule>
  </conditionalFormatting>
  <conditionalFormatting sqref="U706:U707">
    <cfRule type="dataBar" priority="9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{42E969BD-8F5A-49E8-AA6F-60FDA1E6864C}</x14:id>
        </ext>
      </extLst>
    </cfRule>
  </conditionalFormatting>
  <conditionalFormatting sqref="G706:G707">
    <cfRule type="iconSet" priority="82">
      <iconSet iconSet="3Flags">
        <cfvo type="percent" val="0"/>
        <cfvo type="percent" val="33"/>
        <cfvo type="percent" val="67"/>
      </iconSet>
    </cfRule>
  </conditionalFormatting>
  <conditionalFormatting sqref="S706:S707">
    <cfRule type="dataBar" priority="8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{9C4F8F5C-7616-44A2-AA7B-BEA30783363E}</x14:id>
        </ext>
      </extLst>
    </cfRule>
  </conditionalFormatting>
  <conditionalFormatting sqref="T706:T707">
    <cfRule type="dataBar" priority="8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{9BEE24D7-0391-4C3A-9358-60106C352E07}</x14:id>
        </ext>
      </extLst>
    </cfRule>
  </conditionalFormatting>
  <conditionalFormatting sqref="U706:U707">
    <cfRule type="dataBar" priority="7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{CB86D9D1-BD6A-4B3A-8B09-8173374A92E9}</x14:id>
        </ext>
      </extLst>
    </cfRule>
  </conditionalFormatting>
  <conditionalFormatting sqref="F706:F707">
    <cfRule type="iconSet" priority="94">
      <iconSet>
        <cfvo type="percent" val="0"/>
        <cfvo type="percent" val="33"/>
        <cfvo type="percent" val="67"/>
      </iconSet>
    </cfRule>
  </conditionalFormatting>
  <conditionalFormatting sqref="K706:K707">
    <cfRule type="iconSet" priority="95">
      <iconSet iconSet="3Flags" reverse="1">
        <cfvo type="percent" val="0"/>
        <cfvo type="percent" val="33"/>
        <cfvo type="percent" val="67"/>
      </iconSet>
    </cfRule>
  </conditionalFormatting>
  <conditionalFormatting sqref="G706:G707">
    <cfRule type="iconSet" priority="78">
      <iconSet iconSet="3Flags">
        <cfvo type="percent" val="0"/>
        <cfvo type="percent" val="33"/>
        <cfvo type="percent" val="67"/>
      </iconSet>
    </cfRule>
  </conditionalFormatting>
  <conditionalFormatting sqref="S706:S707">
    <cfRule type="dataBar" priority="7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{25FB2ADA-35FA-4B4D-A10B-FBB76C46F9DB}</x14:id>
        </ext>
      </extLst>
    </cfRule>
  </conditionalFormatting>
  <conditionalFormatting sqref="T706:T707">
    <cfRule type="dataBar" priority="7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{207563FA-4C44-4170-A29B-BF15719DA73A}</x14:id>
        </ext>
      </extLst>
    </cfRule>
  </conditionalFormatting>
  <conditionalFormatting sqref="U706:U707">
    <cfRule type="dataBar" priority="7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{7B40F6E2-1BBF-4266-8C29-8C0C1A852634}</x14:id>
        </ext>
      </extLst>
    </cfRule>
  </conditionalFormatting>
  <conditionalFormatting sqref="R706:R707">
    <cfRule type="iconSet" priority="77">
      <iconSet iconSet="3Signs">
        <cfvo type="percent" val="0"/>
        <cfvo type="percent" val="33"/>
        <cfvo type="percent" val="67"/>
      </iconSet>
    </cfRule>
  </conditionalFormatting>
  <conditionalFormatting sqref="G711:G715 G694:G707">
    <cfRule type="iconSet" priority="73">
      <iconSet iconSet="3Flags">
        <cfvo type="percent" val="0"/>
        <cfvo type="percent" val="33"/>
        <cfvo type="percent" val="67"/>
      </iconSet>
    </cfRule>
  </conditionalFormatting>
  <conditionalFormatting sqref="D708:D710">
    <cfRule type="containsText" dxfId="262" priority="69" operator="containsText" text="Roll-To-Roll">
      <formula>NOT(ISERROR(SEARCH("Roll-To-Roll",D708)))</formula>
    </cfRule>
    <cfRule type="containsText" dxfId="261" priority="70" operator="containsText" text="Production">
      <formula>NOT(ISERROR(SEARCH("Production",D708)))</formula>
    </cfRule>
  </conditionalFormatting>
  <conditionalFormatting sqref="G708:G710">
    <cfRule type="iconSet" priority="71">
      <iconSet iconSet="3Flags">
        <cfvo type="percent" val="0"/>
        <cfvo type="percent" val="33"/>
        <cfvo type="percent" val="67"/>
      </iconSet>
    </cfRule>
  </conditionalFormatting>
  <conditionalFormatting sqref="H708:H710 E708:E710">
    <cfRule type="containsText" dxfId="260" priority="67" operator="containsText" text="Production">
      <formula>NOT(ISERROR(SEARCH("Production",E708)))</formula>
    </cfRule>
    <cfRule type="containsText" dxfId="259" priority="68" operator="containsText" text="Roll">
      <formula>NOT(ISERROR(SEARCH("Roll",E708)))</formula>
    </cfRule>
  </conditionalFormatting>
  <conditionalFormatting sqref="J708:J710">
    <cfRule type="iconSet" priority="66">
      <iconSet iconSet="3Flags" reverse="1">
        <cfvo type="percent" val="0"/>
        <cfvo type="percent" val="33"/>
        <cfvo type="percent" val="67"/>
      </iconSet>
    </cfRule>
  </conditionalFormatting>
  <conditionalFormatting sqref="L708:L710">
    <cfRule type="iconSet" priority="64">
      <iconSet iconSet="3Flags" reverse="1">
        <cfvo type="percent" val="0"/>
        <cfvo type="percent" val="33"/>
        <cfvo type="percent" val="67"/>
      </iconSet>
    </cfRule>
    <cfRule type="iconSet" priority="65">
      <iconSet iconSet="3Flags">
        <cfvo type="percent" val="0"/>
        <cfvo type="percent" val="33"/>
        <cfvo type="percent" val="67"/>
      </iconSet>
    </cfRule>
  </conditionalFormatting>
  <conditionalFormatting sqref="F708:F710">
    <cfRule type="iconSet" priority="63">
      <iconSet iconSet="3Signs">
        <cfvo type="percent" val="0"/>
        <cfvo type="percent" val="33"/>
        <cfvo type="percent" val="67"/>
      </iconSet>
    </cfRule>
  </conditionalFormatting>
  <conditionalFormatting sqref="G708:G710">
    <cfRule type="iconSet" priority="72">
      <iconSet iconSet="3Flags">
        <cfvo type="percent" val="0"/>
        <cfvo type="percent" val="33"/>
        <cfvo type="percent" val="67"/>
      </iconSet>
    </cfRule>
  </conditionalFormatting>
  <conditionalFormatting sqref="G708:G710">
    <cfRule type="iconSet" priority="56">
      <iconSet iconSet="3Flags">
        <cfvo type="percent" val="0"/>
        <cfvo type="percent" val="33"/>
        <cfvo type="percent" val="67"/>
      </iconSet>
    </cfRule>
  </conditionalFormatting>
  <conditionalFormatting sqref="S708:S710">
    <cfRule type="dataBar" priority="6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{462CDA0B-206C-4E6A-BD8C-BC898A874423}</x14:id>
        </ext>
      </extLst>
    </cfRule>
  </conditionalFormatting>
  <conditionalFormatting sqref="T708:T710">
    <cfRule type="dataBar" priority="6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{268022DB-0584-4CA4-88E5-517FF665A78C}</x14:id>
        </ext>
      </extLst>
    </cfRule>
  </conditionalFormatting>
  <conditionalFormatting sqref="U708:U710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{267B8B73-CFDD-4561-8247-9B61713DB7C1}</x14:id>
        </ext>
      </extLst>
    </cfRule>
  </conditionalFormatting>
  <conditionalFormatting sqref="S708:S710">
    <cfRule type="dataBar" priority="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{1B39CC8A-6110-4FE5-AC45-7DB0EED2CCC8}</x14:id>
        </ext>
      </extLst>
    </cfRule>
  </conditionalFormatting>
  <conditionalFormatting sqref="T708:T710">
    <cfRule type="dataBar" priority="5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{A2EC5CA0-F030-40E5-B93C-D84CCE8E285B}</x14:id>
        </ext>
      </extLst>
    </cfRule>
  </conditionalFormatting>
  <conditionalFormatting sqref="U708:U710">
    <cfRule type="dataBar" priority="5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{EB9DD727-00F8-4A3D-867D-A035DF8A6EFB}</x14:id>
        </ext>
      </extLst>
    </cfRule>
  </conditionalFormatting>
  <conditionalFormatting sqref="X708">
    <cfRule type="containsText" dxfId="258" priority="57" operator="containsText" text="Sh">
      <formula>NOT(ISERROR(SEARCH("Sh",X708)))</formula>
    </cfRule>
    <cfRule type="cellIs" dxfId="257" priority="58" operator="equal">
      <formula>"Sh"</formula>
    </cfRule>
  </conditionalFormatting>
  <conditionalFormatting sqref="F708:F710">
    <cfRule type="iconSet" priority="55">
      <iconSet>
        <cfvo type="percent" val="0"/>
        <cfvo type="percent" val="33"/>
        <cfvo type="percent" val="67"/>
      </iconSet>
    </cfRule>
  </conditionalFormatting>
  <conditionalFormatting sqref="K708:K710">
    <cfRule type="iconSet" priority="50">
      <iconSet iconSet="3Flags" reverse="1">
        <cfvo type="percent" val="0"/>
        <cfvo type="percent" val="33"/>
        <cfvo type="percent" val="67"/>
      </iconSet>
    </cfRule>
  </conditionalFormatting>
  <conditionalFormatting sqref="D711:D713">
    <cfRule type="containsText" dxfId="256" priority="48" operator="containsText" text="Roll-To-Roll">
      <formula>NOT(ISERROR(SEARCH("Roll-To-Roll",D711)))</formula>
    </cfRule>
    <cfRule type="containsText" dxfId="255" priority="49" operator="containsText" text="Production">
      <formula>NOT(ISERROR(SEARCH("Production",D711)))</formula>
    </cfRule>
  </conditionalFormatting>
  <conditionalFormatting sqref="S711">
    <cfRule type="dataBar" priority="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{55A2AA6E-FC5C-4679-AAEF-35BCB88C7B9D}</x14:id>
        </ext>
      </extLst>
    </cfRule>
  </conditionalFormatting>
  <conditionalFormatting sqref="T711">
    <cfRule type="dataBar" priority="4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{8FEB5E25-C7CD-4680-A132-C8C95ADD9FB3}</x14:id>
        </ext>
      </extLst>
    </cfRule>
  </conditionalFormatting>
  <conditionalFormatting sqref="U711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{86C47F16-0E95-44F8-8A7F-26CDFA7AB029}</x14:id>
        </ext>
      </extLst>
    </cfRule>
  </conditionalFormatting>
  <conditionalFormatting sqref="K711">
    <cfRule type="iconSet" priority="46">
      <iconSet iconSet="3Flags" reverse="1">
        <cfvo type="percent" val="0"/>
        <cfvo type="percent" val="33"/>
        <cfvo type="percent" val="67"/>
      </iconSet>
    </cfRule>
  </conditionalFormatting>
  <conditionalFormatting sqref="F711">
    <cfRule type="iconSet" priority="41">
      <iconSet iconSet="3Signs">
        <cfvo type="percent" val="0"/>
        <cfvo type="percent" val="33"/>
        <cfvo type="percent" val="67"/>
      </iconSet>
    </cfRule>
  </conditionalFormatting>
  <conditionalFormatting sqref="G711">
    <cfRule type="iconSet" priority="42">
      <iconSet iconSet="3Flags">
        <cfvo type="percent" val="0"/>
        <cfvo type="percent" val="33"/>
        <cfvo type="percent" val="67"/>
      </iconSet>
    </cfRule>
  </conditionalFormatting>
  <conditionalFormatting sqref="G711">
    <cfRule type="iconSet" priority="40">
      <iconSet iconSet="3Flags">
        <cfvo type="percent" val="0"/>
        <cfvo type="percent" val="33"/>
        <cfvo type="percent" val="67"/>
      </iconSet>
    </cfRule>
  </conditionalFormatting>
  <conditionalFormatting sqref="G711">
    <cfRule type="iconSet" priority="31">
      <iconSet iconSet="3Flags">
        <cfvo type="percent" val="0"/>
        <cfvo type="percent" val="33"/>
        <cfvo type="percent" val="67"/>
      </iconSet>
    </cfRule>
  </conditionalFormatting>
  <conditionalFormatting sqref="S711">
    <cfRule type="dataBar" priority="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{2E5A888C-F97B-48C8-B83F-1DB44D16F5A0}</x14:id>
        </ext>
      </extLst>
    </cfRule>
  </conditionalFormatting>
  <conditionalFormatting sqref="T711">
    <cfRule type="dataBar" priority="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{E08DFB4D-0C3E-42F0-B625-C877284CFB98}</x14:id>
        </ext>
      </extLst>
    </cfRule>
  </conditionalFormatting>
  <conditionalFormatting sqref="U711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{0D8B420B-B8CF-415F-BDAA-87D492CB2BD9}</x14:id>
        </ext>
      </extLst>
    </cfRule>
  </conditionalFormatting>
  <conditionalFormatting sqref="R711">
    <cfRule type="iconSet" priority="30">
      <iconSet iconSet="3Signs">
        <cfvo type="percent" val="0"/>
        <cfvo type="percent" val="33"/>
        <cfvo type="percent" val="67"/>
      </iconSet>
    </cfRule>
  </conditionalFormatting>
  <conditionalFormatting sqref="L711">
    <cfRule type="iconSet" priority="38">
      <iconSet iconSet="3Flags" reverse="1">
        <cfvo type="percent" val="0"/>
        <cfvo type="percent" val="33"/>
        <cfvo type="percent" val="67"/>
      </iconSet>
    </cfRule>
    <cfRule type="iconSet" priority="39">
      <iconSet iconSet="3Flags">
        <cfvo type="percent" val="0"/>
        <cfvo type="percent" val="33"/>
        <cfvo type="percent" val="67"/>
      </iconSet>
    </cfRule>
  </conditionalFormatting>
  <conditionalFormatting sqref="S711">
    <cfRule type="dataBar" priority="3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{AFABFE9B-5EAC-4550-AFAF-7623EC7E3F62}</x14:id>
        </ext>
      </extLst>
    </cfRule>
  </conditionalFormatting>
  <conditionalFormatting sqref="T711">
    <cfRule type="dataBar" priority="3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{4A3B2E1F-AC55-4883-B469-DD31D33F2400}</x14:id>
        </ext>
      </extLst>
    </cfRule>
  </conditionalFormatting>
  <conditionalFormatting sqref="U711">
    <cfRule type="dataBar" priority="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{36EB7F58-B01F-43A4-AB6C-4B9D7B5003FA}</x14:id>
        </ext>
      </extLst>
    </cfRule>
  </conditionalFormatting>
  <conditionalFormatting sqref="AD712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12:J713">
    <cfRule type="iconSet" priority="15">
      <iconSet iconSet="3Flags" reverse="1">
        <cfvo type="percent" val="0"/>
        <cfvo type="percent" val="33"/>
        <cfvo type="percent" val="67"/>
      </iconSet>
    </cfRule>
  </conditionalFormatting>
  <conditionalFormatting sqref="L712:L713">
    <cfRule type="iconSet" priority="16">
      <iconSet iconSet="3Flags" reverse="1">
        <cfvo type="percent" val="0"/>
        <cfvo type="percent" val="33"/>
        <cfvo type="percent" val="67"/>
      </iconSet>
    </cfRule>
    <cfRule type="iconSet" priority="17">
      <iconSet iconSet="3Flags">
        <cfvo type="percent" val="0"/>
        <cfvo type="percent" val="33"/>
        <cfvo type="percent" val="67"/>
      </iconSet>
    </cfRule>
  </conditionalFormatting>
  <conditionalFormatting sqref="F712:F713">
    <cfRule type="iconSet" priority="18">
      <iconSet iconSet="3Signs">
        <cfvo type="percent" val="0"/>
        <cfvo type="percent" val="33"/>
        <cfvo type="percent" val="67"/>
      </iconSet>
    </cfRule>
  </conditionalFormatting>
  <conditionalFormatting sqref="G712:G713">
    <cfRule type="iconSet" priority="19">
      <iconSet iconSet="3Flags">
        <cfvo type="percent" val="0"/>
        <cfvo type="percent" val="33"/>
        <cfvo type="percent" val="67"/>
      </iconSet>
    </cfRule>
  </conditionalFormatting>
  <conditionalFormatting sqref="S712:S713">
    <cfRule type="dataBar" priority="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{52D13F9D-5F92-4A8E-BA9D-2BABE50573C3}</x14:id>
        </ext>
      </extLst>
    </cfRule>
  </conditionalFormatting>
  <conditionalFormatting sqref="T712:T713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{B5F32144-672A-46D3-9A38-187F1772AE24}</x14:id>
        </ext>
      </extLst>
    </cfRule>
  </conditionalFormatting>
  <conditionalFormatting sqref="U712:U713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{3606F8A2-EC60-4ED9-AD0E-E90C7225B0B6}</x14:id>
        </ext>
      </extLst>
    </cfRule>
  </conditionalFormatting>
  <conditionalFormatting sqref="G712:G713">
    <cfRule type="iconSet" priority="14">
      <iconSet iconSet="3Flags">
        <cfvo type="percent" val="0"/>
        <cfvo type="percent" val="33"/>
        <cfvo type="percent" val="67"/>
      </iconSet>
    </cfRule>
  </conditionalFormatting>
  <conditionalFormatting sqref="S712:S713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{E356BE9F-F8AA-4842-847B-ECCD3448F67A}</x14:id>
        </ext>
      </extLst>
    </cfRule>
  </conditionalFormatting>
  <conditionalFormatting sqref="T712:T713">
    <cfRule type="dataBar" priority="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{C7403A67-D337-4953-AF7A-24D0B2C895D0}</x14:id>
        </ext>
      </extLst>
    </cfRule>
  </conditionalFormatting>
  <conditionalFormatting sqref="U712:U713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{E87B080E-BA3E-43E0-A2E4-8F86CAD7B1E1}</x14:id>
        </ext>
      </extLst>
    </cfRule>
  </conditionalFormatting>
  <conditionalFormatting sqref="F712:F713">
    <cfRule type="iconSet" priority="24">
      <iconSet>
        <cfvo type="percent" val="0"/>
        <cfvo type="percent" val="33"/>
        <cfvo type="percent" val="67"/>
      </iconSet>
    </cfRule>
  </conditionalFormatting>
  <conditionalFormatting sqref="K712:K713">
    <cfRule type="iconSet" priority="25">
      <iconSet iconSet="3Flags" reverse="1">
        <cfvo type="percent" val="0"/>
        <cfvo type="percent" val="33"/>
        <cfvo type="percent" val="67"/>
      </iconSet>
    </cfRule>
  </conditionalFormatting>
  <conditionalFormatting sqref="G712:G713">
    <cfRule type="iconSet" priority="10">
      <iconSet iconSet="3Flags">
        <cfvo type="percent" val="0"/>
        <cfvo type="percent" val="33"/>
        <cfvo type="percent" val="67"/>
      </iconSet>
    </cfRule>
  </conditionalFormatting>
  <conditionalFormatting sqref="S712:S713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{0B0C7AA8-5F80-46BC-80F5-D723E1635498}</x14:id>
        </ext>
      </extLst>
    </cfRule>
  </conditionalFormatting>
  <conditionalFormatting sqref="T712:T713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{C1EF734A-BB50-43FC-8047-AC1FC50DAEE1}</x14:id>
        </ext>
      </extLst>
    </cfRule>
  </conditionalFormatting>
  <conditionalFormatting sqref="U712:U713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{DD244F66-550A-438A-B096-1DAE85A2E7FA}</x14:id>
        </ext>
      </extLst>
    </cfRule>
  </conditionalFormatting>
  <conditionalFormatting sqref="R712:R713">
    <cfRule type="iconSet" priority="9">
      <iconSet iconSet="3Signs">
        <cfvo type="percent" val="0"/>
        <cfvo type="percent" val="33"/>
        <cfvo type="percent" val="67"/>
      </iconSet>
    </cfRule>
  </conditionalFormatting>
  <conditionalFormatting sqref="R694:R715">
    <cfRule type="iconSet" priority="5">
      <iconSet iconSet="3Signs">
        <cfvo type="percent" val="0"/>
        <cfvo type="percent" val="33"/>
        <cfvo type="percent" val="67"/>
      </iconSet>
    </cfRule>
  </conditionalFormatting>
  <conditionalFormatting sqref="S694:S715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{7E6EE83E-A8E9-4FC0-A479-01525830B0C4}</x14:id>
        </ext>
      </extLst>
    </cfRule>
  </conditionalFormatting>
  <conditionalFormatting sqref="T694:T715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{9283A365-AA84-4315-BA9E-274467C51221}</x14:id>
        </ext>
      </extLst>
    </cfRule>
  </conditionalFormatting>
  <conditionalFormatting sqref="U694:U715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{CCAFDC53-0A06-4D5E-ACB0-D68BF217F1F2}</x14:id>
        </ext>
      </extLst>
    </cfRule>
  </conditionalFormatting>
  <conditionalFormatting sqref="G694:G715">
    <cfRule type="iconSet" priority="1">
      <iconSet iconSet="3Flags">
        <cfvo type="percent" val="0"/>
        <cfvo type="percent" val="33"/>
        <cfvo type="percent" val="67"/>
      </iconSet>
    </cfRule>
  </conditionalFormatting>
  <dataValidations disablePrompts="1" count="1">
    <dataValidation type="list" allowBlank="1" showInputMessage="1" showErrorMessage="1" sqref="AB298:AB362 AF278 AB279:AB295 AH175:AH224 AC225:AC277" xr:uid="{4AAABA09-158D-4E67-AA48-A00AF3CF52E0}">
      <formula1>"20um Schlenk, 70um Civen, 18um Lux, 25um Sig, R2R Civen Top, R2R Civen Bottom, R2R Schlenk Top, R2R Schlenk Bottom"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AF9FE25-07DA-4041-BDB1-74E167346E0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Q296:Q297</xm:sqref>
        </x14:conditionalFormatting>
        <x14:conditionalFormatting xmlns:xm="http://schemas.microsoft.com/office/excel/2006/main">
          <x14:cfRule type="dataBar" id="{3CBFCEFF-5075-4537-8A66-76781F5BE93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Q297</xm:sqref>
        </x14:conditionalFormatting>
        <x14:conditionalFormatting xmlns:xm="http://schemas.microsoft.com/office/excel/2006/main">
          <x14:cfRule type="dataBar" id="{09CEA31D-1B48-4697-8896-57F15B4EC31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Q296</xm:sqref>
        </x14:conditionalFormatting>
        <x14:conditionalFormatting xmlns:xm="http://schemas.microsoft.com/office/excel/2006/main">
          <x14:cfRule type="dataBar" id="{46E77996-BE4B-4D76-B0EE-56DA7960EAE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Q296:Q297</xm:sqref>
        </x14:conditionalFormatting>
        <x14:conditionalFormatting xmlns:xm="http://schemas.microsoft.com/office/excel/2006/main">
          <x14:cfRule type="dataBar" id="{08558170-C6F8-4909-A5B9-E9FD9FC134E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Q296:Q297</xm:sqref>
        </x14:conditionalFormatting>
        <x14:conditionalFormatting xmlns:xm="http://schemas.microsoft.com/office/excel/2006/main">
          <x14:cfRule type="dataBar" id="{70FB5D10-95C1-4734-A412-9CC55454D68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Q296:Q297</xm:sqref>
        </x14:conditionalFormatting>
        <x14:conditionalFormatting xmlns:xm="http://schemas.microsoft.com/office/excel/2006/main">
          <x14:cfRule type="dataBar" id="{6F7AE1CC-FA87-4581-90F3-8D03006C4DC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R595:R596 R1:R360 R692:R693 R716:R1048576</xm:sqref>
        </x14:conditionalFormatting>
        <x14:conditionalFormatting xmlns:xm="http://schemas.microsoft.com/office/excel/2006/main">
          <x14:cfRule type="dataBar" id="{922A0A14-886A-4961-871E-7E82DBB22B6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S595:S596 S1:S360 S692:S693 S716:S1048576</xm:sqref>
        </x14:conditionalFormatting>
        <x14:conditionalFormatting xmlns:xm="http://schemas.microsoft.com/office/excel/2006/main">
          <x14:cfRule type="dataBar" id="{AE1BA4B2-500D-405A-B98C-DEE96293E7E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T595:T596 T1:T360 T692:T693 T716:T1048576</xm:sqref>
        </x14:conditionalFormatting>
        <x14:conditionalFormatting xmlns:xm="http://schemas.microsoft.com/office/excel/2006/main">
          <x14:cfRule type="dataBar" id="{A6B0B41D-7D0C-4C7C-83D5-B43969C273E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U595:U596 U1:U360 U692:U693 U716:U1048576</xm:sqref>
        </x14:conditionalFormatting>
        <x14:conditionalFormatting xmlns:xm="http://schemas.microsoft.com/office/excel/2006/main">
          <x14:cfRule type="dataBar" id="{1C92C556-1BF4-49DB-923E-B64497090DC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O595:O596 O1:O360 O692:O693 O716:O1048576</xm:sqref>
        </x14:conditionalFormatting>
        <x14:conditionalFormatting xmlns:xm="http://schemas.microsoft.com/office/excel/2006/main">
          <x14:cfRule type="dataBar" id="{BE22D4B5-0F36-49E4-9CBB-1DEABD7099F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P595:P596 P1:P360 P692:P693 P716:P1048576</xm:sqref>
        </x14:conditionalFormatting>
        <x14:conditionalFormatting xmlns:xm="http://schemas.microsoft.com/office/excel/2006/main">
          <x14:cfRule type="dataBar" id="{C318AD80-C62B-4AA6-8C64-30FCDB4DC5E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Q595:Q596 Q1:Q360 Q692:Q693 Q716:Q1048576</xm:sqref>
        </x14:conditionalFormatting>
        <x14:conditionalFormatting xmlns:xm="http://schemas.microsoft.com/office/excel/2006/main">
          <x14:cfRule type="dataBar" id="{E1E7EA3B-7760-4BCA-920C-99C8D473B8D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R361:R362</xm:sqref>
        </x14:conditionalFormatting>
        <x14:conditionalFormatting xmlns:xm="http://schemas.microsoft.com/office/excel/2006/main">
          <x14:cfRule type="dataBar" id="{B9B7403C-BC9C-4EE0-ABE6-5EDC18B5877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S361:S362</xm:sqref>
        </x14:conditionalFormatting>
        <x14:conditionalFormatting xmlns:xm="http://schemas.microsoft.com/office/excel/2006/main">
          <x14:cfRule type="dataBar" id="{E1FCB1AC-FFEA-42F9-8543-7C25F7EC621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T361:T362</xm:sqref>
        </x14:conditionalFormatting>
        <x14:conditionalFormatting xmlns:xm="http://schemas.microsoft.com/office/excel/2006/main">
          <x14:cfRule type="dataBar" id="{164A1104-3354-4C1B-A0E5-DFDD1D6860D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U361:U362</xm:sqref>
        </x14:conditionalFormatting>
        <x14:conditionalFormatting xmlns:xm="http://schemas.microsoft.com/office/excel/2006/main">
          <x14:cfRule type="dataBar" id="{7F19FC93-35B5-432A-B10B-A132A607BF0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R361:R362</xm:sqref>
        </x14:conditionalFormatting>
        <x14:conditionalFormatting xmlns:xm="http://schemas.microsoft.com/office/excel/2006/main">
          <x14:cfRule type="dataBar" id="{200C3769-6181-4A98-A0E4-691D6C5A775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R361:R362</xm:sqref>
        </x14:conditionalFormatting>
        <x14:conditionalFormatting xmlns:xm="http://schemas.microsoft.com/office/excel/2006/main">
          <x14:cfRule type="dataBar" id="{C2A22FB5-9EBD-4B33-9574-DFD81010D12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T361:T362</xm:sqref>
        </x14:conditionalFormatting>
        <x14:conditionalFormatting xmlns:xm="http://schemas.microsoft.com/office/excel/2006/main">
          <x14:cfRule type="dataBar" id="{EFF7F4B6-757E-4261-AB74-0B857219B13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R361:R362</xm:sqref>
        </x14:conditionalFormatting>
        <x14:conditionalFormatting xmlns:xm="http://schemas.microsoft.com/office/excel/2006/main">
          <x14:cfRule type="dataBar" id="{2C7F42F5-C789-4F1F-B103-F1F86B81A8B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U361:U362</xm:sqref>
        </x14:conditionalFormatting>
        <x14:conditionalFormatting xmlns:xm="http://schemas.microsoft.com/office/excel/2006/main">
          <x14:cfRule type="dataBar" id="{17763EB3-C870-48D3-A7B1-A5A60415EE7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T361:T362</xm:sqref>
        </x14:conditionalFormatting>
        <x14:conditionalFormatting xmlns:xm="http://schemas.microsoft.com/office/excel/2006/main">
          <x14:cfRule type="dataBar" id="{C2309DB6-F248-449A-BB97-76803B9849A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S361:S362</xm:sqref>
        </x14:conditionalFormatting>
        <x14:conditionalFormatting xmlns:xm="http://schemas.microsoft.com/office/excel/2006/main">
          <x14:cfRule type="dataBar" id="{44C578EC-39BB-4B27-952F-17A2484759A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R361:R362</xm:sqref>
        </x14:conditionalFormatting>
        <x14:conditionalFormatting xmlns:xm="http://schemas.microsoft.com/office/excel/2006/main">
          <x14:cfRule type="dataBar" id="{A3CFD419-5B27-4CEA-8218-F33F91A2E78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R436:R437</xm:sqref>
        </x14:conditionalFormatting>
        <x14:conditionalFormatting xmlns:xm="http://schemas.microsoft.com/office/excel/2006/main">
          <x14:cfRule type="dataBar" id="{96F0D14B-DDF7-4AC3-9E36-169C152185C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R436:R437</xm:sqref>
        </x14:conditionalFormatting>
        <x14:conditionalFormatting xmlns:xm="http://schemas.microsoft.com/office/excel/2006/main">
          <x14:cfRule type="dataBar" id="{D892B876-79C1-405B-99CE-59E6209BFE8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T436:T437</xm:sqref>
        </x14:conditionalFormatting>
        <x14:conditionalFormatting xmlns:xm="http://schemas.microsoft.com/office/excel/2006/main">
          <x14:cfRule type="dataBar" id="{1FD0AC37-DEEA-4726-9089-859A969C977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R436:R437</xm:sqref>
        </x14:conditionalFormatting>
        <x14:conditionalFormatting xmlns:xm="http://schemas.microsoft.com/office/excel/2006/main">
          <x14:cfRule type="dataBar" id="{EF4E4361-AD4D-4396-B895-2F33526D9FC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U436:U437</xm:sqref>
        </x14:conditionalFormatting>
        <x14:conditionalFormatting xmlns:xm="http://schemas.microsoft.com/office/excel/2006/main">
          <x14:cfRule type="dataBar" id="{8E866C13-B8ED-4BE6-9FC9-552055DB0EB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T436:T437</xm:sqref>
        </x14:conditionalFormatting>
        <x14:conditionalFormatting xmlns:xm="http://schemas.microsoft.com/office/excel/2006/main">
          <x14:cfRule type="dataBar" id="{0EC5F098-2F9D-4D81-83B7-D7AD9DCE870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S436:S437</xm:sqref>
        </x14:conditionalFormatting>
        <x14:conditionalFormatting xmlns:xm="http://schemas.microsoft.com/office/excel/2006/main">
          <x14:cfRule type="dataBar" id="{8824CA88-1DD9-423D-92C8-BAC28FBAC48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R436:R437</xm:sqref>
        </x14:conditionalFormatting>
        <x14:conditionalFormatting xmlns:xm="http://schemas.microsoft.com/office/excel/2006/main">
          <x14:cfRule type="dataBar" id="{81B73DFB-1F23-4E68-8516-5EC7C08971C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S436:S437</xm:sqref>
        </x14:conditionalFormatting>
        <x14:conditionalFormatting xmlns:xm="http://schemas.microsoft.com/office/excel/2006/main">
          <x14:cfRule type="dataBar" id="{6562191B-5AAC-41AA-95F7-D63FC062B2B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T436:T437</xm:sqref>
        </x14:conditionalFormatting>
        <x14:conditionalFormatting xmlns:xm="http://schemas.microsoft.com/office/excel/2006/main">
          <x14:cfRule type="dataBar" id="{A85976C1-447C-4C2D-9FDA-9CF309B00DA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U436:U437</xm:sqref>
        </x14:conditionalFormatting>
        <x14:conditionalFormatting xmlns:xm="http://schemas.microsoft.com/office/excel/2006/main">
          <x14:cfRule type="dataBar" id="{3FCC394A-800C-408C-A921-99CCD6C4064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S436:S437</xm:sqref>
        </x14:conditionalFormatting>
        <x14:conditionalFormatting xmlns:xm="http://schemas.microsoft.com/office/excel/2006/main">
          <x14:cfRule type="dataBar" id="{C55B49F9-9E8F-442B-9639-008FE5B5B66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T436:T437</xm:sqref>
        </x14:conditionalFormatting>
        <x14:conditionalFormatting xmlns:xm="http://schemas.microsoft.com/office/excel/2006/main">
          <x14:cfRule type="dataBar" id="{B6A5A74C-813F-4BC9-AE13-91B0D9F993F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U436:U437</xm:sqref>
        </x14:conditionalFormatting>
        <x14:conditionalFormatting xmlns:xm="http://schemas.microsoft.com/office/excel/2006/main">
          <x14:cfRule type="dataBar" id="{7E8F7138-D90B-4E8B-A1B9-4AA478F782F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R436:R437</xm:sqref>
        </x14:conditionalFormatting>
        <x14:conditionalFormatting xmlns:xm="http://schemas.microsoft.com/office/excel/2006/main">
          <x14:cfRule type="dataBar" id="{76D41ECC-2A52-4C77-A415-3AE97A8F32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R363</xm:sqref>
        </x14:conditionalFormatting>
        <x14:conditionalFormatting xmlns:xm="http://schemas.microsoft.com/office/excel/2006/main">
          <x14:cfRule type="dataBar" id="{F6FE323A-B1DE-41DA-84A6-87E6AF5A114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T363</xm:sqref>
        </x14:conditionalFormatting>
        <x14:conditionalFormatting xmlns:xm="http://schemas.microsoft.com/office/excel/2006/main">
          <x14:cfRule type="dataBar" id="{B1D048C5-6B97-43F0-A2B0-8C651F73A01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R370:R377</xm:sqref>
        </x14:conditionalFormatting>
        <x14:conditionalFormatting xmlns:xm="http://schemas.microsoft.com/office/excel/2006/main">
          <x14:cfRule type="dataBar" id="{0B80F986-DB0C-4543-923A-949A499A84B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T370:T377</xm:sqref>
        </x14:conditionalFormatting>
        <x14:conditionalFormatting xmlns:xm="http://schemas.microsoft.com/office/excel/2006/main">
          <x14:cfRule type="dataBar" id="{EDE4DC04-C678-4535-B27D-2A590D94A46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R370:R377</xm:sqref>
        </x14:conditionalFormatting>
        <x14:conditionalFormatting xmlns:xm="http://schemas.microsoft.com/office/excel/2006/main">
          <x14:cfRule type="dataBar" id="{ACA15DBA-DD67-481B-9A89-29F6DFA0220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U370:U377</xm:sqref>
        </x14:conditionalFormatting>
        <x14:conditionalFormatting xmlns:xm="http://schemas.microsoft.com/office/excel/2006/main">
          <x14:cfRule type="dataBar" id="{824A27A0-CB12-4459-9DB0-C90B0334911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S370:S377</xm:sqref>
        </x14:conditionalFormatting>
        <x14:conditionalFormatting xmlns:xm="http://schemas.microsoft.com/office/excel/2006/main">
          <x14:cfRule type="dataBar" id="{0922D81C-C22E-4895-90B4-E11AF8E1D2A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R364:R369</xm:sqref>
        </x14:conditionalFormatting>
        <x14:conditionalFormatting xmlns:xm="http://schemas.microsoft.com/office/excel/2006/main">
          <x14:cfRule type="dataBar" id="{E56BEDBB-183E-4854-BF7A-920ABB025B0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R363:R369</xm:sqref>
        </x14:conditionalFormatting>
        <x14:conditionalFormatting xmlns:xm="http://schemas.microsoft.com/office/excel/2006/main">
          <x14:cfRule type="dataBar" id="{8A6BC763-4F62-4D69-A211-D90BA920FF3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T363:T369</xm:sqref>
        </x14:conditionalFormatting>
        <x14:conditionalFormatting xmlns:xm="http://schemas.microsoft.com/office/excel/2006/main">
          <x14:cfRule type="dataBar" id="{7642963A-171C-452A-BA21-B367A335182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R363:R369</xm:sqref>
        </x14:conditionalFormatting>
        <x14:conditionalFormatting xmlns:xm="http://schemas.microsoft.com/office/excel/2006/main">
          <x14:cfRule type="dataBar" id="{363EF6AE-ABD7-466A-B8F6-6519E580EE2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U363:U369</xm:sqref>
        </x14:conditionalFormatting>
        <x14:conditionalFormatting xmlns:xm="http://schemas.microsoft.com/office/excel/2006/main">
          <x14:cfRule type="dataBar" id="{5EA314DE-2DA8-4D0A-B533-7732448FBAF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T364:T369</xm:sqref>
        </x14:conditionalFormatting>
        <x14:conditionalFormatting xmlns:xm="http://schemas.microsoft.com/office/excel/2006/main">
          <x14:cfRule type="dataBar" id="{CA4553F4-6E0D-4395-B2E8-13D97AE2D8F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S363:S369</xm:sqref>
        </x14:conditionalFormatting>
        <x14:conditionalFormatting xmlns:xm="http://schemas.microsoft.com/office/excel/2006/main">
          <x14:cfRule type="dataBar" id="{A5C4C140-31E1-43D4-9627-29B8621886D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R378</xm:sqref>
        </x14:conditionalFormatting>
        <x14:conditionalFormatting xmlns:xm="http://schemas.microsoft.com/office/excel/2006/main">
          <x14:cfRule type="dataBar" id="{7F5054D9-7ACD-43D1-8332-8FCFDA9AE32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R378</xm:sqref>
        </x14:conditionalFormatting>
        <x14:conditionalFormatting xmlns:xm="http://schemas.microsoft.com/office/excel/2006/main">
          <x14:cfRule type="dataBar" id="{8AD2400C-38B6-4580-A127-CD742832E59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T378</xm:sqref>
        </x14:conditionalFormatting>
        <x14:conditionalFormatting xmlns:xm="http://schemas.microsoft.com/office/excel/2006/main">
          <x14:cfRule type="dataBar" id="{62E46FF9-2BAE-48ED-8E9A-879C0433946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R378</xm:sqref>
        </x14:conditionalFormatting>
        <x14:conditionalFormatting xmlns:xm="http://schemas.microsoft.com/office/excel/2006/main">
          <x14:cfRule type="dataBar" id="{588BA243-7561-45D9-86E0-B2FCD8AE1AC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U378</xm:sqref>
        </x14:conditionalFormatting>
        <x14:conditionalFormatting xmlns:xm="http://schemas.microsoft.com/office/excel/2006/main">
          <x14:cfRule type="dataBar" id="{F8593E7A-F06A-4F06-A1A5-D736C2D84AA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T378</xm:sqref>
        </x14:conditionalFormatting>
        <x14:conditionalFormatting xmlns:xm="http://schemas.microsoft.com/office/excel/2006/main">
          <x14:cfRule type="dataBar" id="{FCF411A9-74EE-4407-B40F-3EBB6F1FC9E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S378</xm:sqref>
        </x14:conditionalFormatting>
        <x14:conditionalFormatting xmlns:xm="http://schemas.microsoft.com/office/excel/2006/main">
          <x14:cfRule type="dataBar" id="{9FEE4013-66AA-4282-9483-965266D2571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R379</xm:sqref>
        </x14:conditionalFormatting>
        <x14:conditionalFormatting xmlns:xm="http://schemas.microsoft.com/office/excel/2006/main">
          <x14:cfRule type="dataBar" id="{6FA678B6-A3B8-4FA1-865F-275322939EC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R379</xm:sqref>
        </x14:conditionalFormatting>
        <x14:conditionalFormatting xmlns:xm="http://schemas.microsoft.com/office/excel/2006/main">
          <x14:cfRule type="dataBar" id="{853088EA-8A8C-4F80-AEB3-3571E4F3A96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T379</xm:sqref>
        </x14:conditionalFormatting>
        <x14:conditionalFormatting xmlns:xm="http://schemas.microsoft.com/office/excel/2006/main">
          <x14:cfRule type="dataBar" id="{9C82D786-0447-4F64-851B-E8657005725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R379</xm:sqref>
        </x14:conditionalFormatting>
        <x14:conditionalFormatting xmlns:xm="http://schemas.microsoft.com/office/excel/2006/main">
          <x14:cfRule type="dataBar" id="{FE508122-2AE9-4B22-AEEE-2DB5C84BA92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U379</xm:sqref>
        </x14:conditionalFormatting>
        <x14:conditionalFormatting xmlns:xm="http://schemas.microsoft.com/office/excel/2006/main">
          <x14:cfRule type="dataBar" id="{78C0161F-FA04-43BE-97C7-C601395E9C2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T379</xm:sqref>
        </x14:conditionalFormatting>
        <x14:conditionalFormatting xmlns:xm="http://schemas.microsoft.com/office/excel/2006/main">
          <x14:cfRule type="dataBar" id="{3E6772A9-F7E9-4CAC-9A89-A4B76946434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S379</xm:sqref>
        </x14:conditionalFormatting>
        <x14:conditionalFormatting xmlns:xm="http://schemas.microsoft.com/office/excel/2006/main">
          <x14:cfRule type="dataBar" id="{FA46D7BB-E411-4384-8E74-15ABBA354EF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R434:R435 R416 R363:R390 R423:R431</xm:sqref>
        </x14:conditionalFormatting>
        <x14:conditionalFormatting xmlns:xm="http://schemas.microsoft.com/office/excel/2006/main">
          <x14:cfRule type="dataBar" id="{D9661B72-A951-4FE2-8C6C-98BE559B43F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S434:S435 S416 S363:S390 S423:S431</xm:sqref>
        </x14:conditionalFormatting>
        <x14:conditionalFormatting xmlns:xm="http://schemas.microsoft.com/office/excel/2006/main">
          <x14:cfRule type="dataBar" id="{18C6B703-F884-4B49-89B9-30F067080C8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T434:T435 T416 T363:T390 T423:T431</xm:sqref>
        </x14:conditionalFormatting>
        <x14:conditionalFormatting xmlns:xm="http://schemas.microsoft.com/office/excel/2006/main">
          <x14:cfRule type="dataBar" id="{9098AB03-E938-4D5B-935E-A2084D400B8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U434:U435 U416 U363:U390 U423:U431</xm:sqref>
        </x14:conditionalFormatting>
        <x14:conditionalFormatting xmlns:xm="http://schemas.microsoft.com/office/excel/2006/main">
          <x14:cfRule type="dataBar" id="{1A3D32F7-81B3-4034-B50B-20DE39A0BDF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R434:R435 R416 R429:R431</xm:sqref>
        </x14:conditionalFormatting>
        <x14:conditionalFormatting xmlns:xm="http://schemas.microsoft.com/office/excel/2006/main">
          <x14:cfRule type="dataBar" id="{E62F267B-2FC9-4E02-B04A-30AC7998058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T392:T395</xm:sqref>
        </x14:conditionalFormatting>
        <x14:conditionalFormatting xmlns:xm="http://schemas.microsoft.com/office/excel/2006/main">
          <x14:cfRule type="dataBar" id="{68979B84-75BB-4081-A324-85C3DD6EC72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U392:U395</xm:sqref>
        </x14:conditionalFormatting>
        <x14:conditionalFormatting xmlns:xm="http://schemas.microsoft.com/office/excel/2006/main">
          <x14:cfRule type="dataBar" id="{509A91AF-4ECE-4FBC-AA68-911B9D9DAA2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T392:T395</xm:sqref>
        </x14:conditionalFormatting>
        <x14:conditionalFormatting xmlns:xm="http://schemas.microsoft.com/office/excel/2006/main">
          <x14:cfRule type="dataBar" id="{6104B68B-6986-4F18-93F5-8A017754C9D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S392:S395</xm:sqref>
        </x14:conditionalFormatting>
        <x14:conditionalFormatting xmlns:xm="http://schemas.microsoft.com/office/excel/2006/main">
          <x14:cfRule type="dataBar" id="{BF6A0DA3-3A5D-4B3C-BEC7-167EE3F4246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S392:S395</xm:sqref>
        </x14:conditionalFormatting>
        <x14:conditionalFormatting xmlns:xm="http://schemas.microsoft.com/office/excel/2006/main">
          <x14:cfRule type="dataBar" id="{32F1D572-B8AE-46DD-9A4F-F0D716B56C7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T392:T395</xm:sqref>
        </x14:conditionalFormatting>
        <x14:conditionalFormatting xmlns:xm="http://schemas.microsoft.com/office/excel/2006/main">
          <x14:cfRule type="dataBar" id="{ACE90D30-AC88-4184-BA24-7BC42D47A48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U392:U395</xm:sqref>
        </x14:conditionalFormatting>
        <x14:conditionalFormatting xmlns:xm="http://schemas.microsoft.com/office/excel/2006/main">
          <x14:cfRule type="dataBar" id="{265DE069-7D23-48CB-B873-BBA324FC566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T396</xm:sqref>
        </x14:conditionalFormatting>
        <x14:conditionalFormatting xmlns:xm="http://schemas.microsoft.com/office/excel/2006/main">
          <x14:cfRule type="dataBar" id="{69441F94-D597-4B66-BE36-F17267777AD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U396</xm:sqref>
        </x14:conditionalFormatting>
        <x14:conditionalFormatting xmlns:xm="http://schemas.microsoft.com/office/excel/2006/main">
          <x14:cfRule type="dataBar" id="{21C1BE47-B873-4275-9C37-13189CAE297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T397</xm:sqref>
        </x14:conditionalFormatting>
        <x14:conditionalFormatting xmlns:xm="http://schemas.microsoft.com/office/excel/2006/main">
          <x14:cfRule type="dataBar" id="{51B48412-E4F0-447A-9E7E-0CB6953074C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U397</xm:sqref>
        </x14:conditionalFormatting>
        <x14:conditionalFormatting xmlns:xm="http://schemas.microsoft.com/office/excel/2006/main">
          <x14:cfRule type="dataBar" id="{86598CC5-83F9-4ED0-B5B0-32DBFD39467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S363:S435</xm:sqref>
        </x14:conditionalFormatting>
        <x14:conditionalFormatting xmlns:xm="http://schemas.microsoft.com/office/excel/2006/main">
          <x14:cfRule type="dataBar" id="{890F457F-F8CE-41DF-8BEF-E7A4F04205A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T363:T435</xm:sqref>
        </x14:conditionalFormatting>
        <x14:conditionalFormatting xmlns:xm="http://schemas.microsoft.com/office/excel/2006/main">
          <x14:cfRule type="dataBar" id="{D368C1D8-A518-4EEC-AB4B-0C6FB1C79B9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U363:U435</xm:sqref>
        </x14:conditionalFormatting>
        <x14:conditionalFormatting xmlns:xm="http://schemas.microsoft.com/office/excel/2006/main">
          <x14:cfRule type="dataBar" id="{3EBE1E34-DB2E-4638-A2D3-BA9217CBBD9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R363:R435</xm:sqref>
        </x14:conditionalFormatting>
        <x14:conditionalFormatting xmlns:xm="http://schemas.microsoft.com/office/excel/2006/main">
          <x14:cfRule type="dataBar" id="{F5BB92DC-5EF0-4705-93C2-CCA8EBCA719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R398:R399</xm:sqref>
        </x14:conditionalFormatting>
        <x14:conditionalFormatting xmlns:xm="http://schemas.microsoft.com/office/excel/2006/main">
          <x14:cfRule type="dataBar" id="{C3D2C3E1-F5DF-4F7F-9AE2-AF8E0EEBCEE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S398:S399</xm:sqref>
        </x14:conditionalFormatting>
        <x14:conditionalFormatting xmlns:xm="http://schemas.microsoft.com/office/excel/2006/main">
          <x14:cfRule type="dataBar" id="{0E5C2216-4A20-4740-BAEC-2660EA524E2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T398:T399</xm:sqref>
        </x14:conditionalFormatting>
        <x14:conditionalFormatting xmlns:xm="http://schemas.microsoft.com/office/excel/2006/main">
          <x14:cfRule type="dataBar" id="{9E2CC74A-002F-4739-A58A-106C068D81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U398:U399</xm:sqref>
        </x14:conditionalFormatting>
        <x14:conditionalFormatting xmlns:xm="http://schemas.microsoft.com/office/excel/2006/main">
          <x14:cfRule type="dataBar" id="{7983788C-78F9-48D1-85DE-106B9F88F86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R413:R415</xm:sqref>
        </x14:conditionalFormatting>
        <x14:conditionalFormatting xmlns:xm="http://schemas.microsoft.com/office/excel/2006/main">
          <x14:cfRule type="dataBar" id="{B82B8AC4-E55A-4EE8-9A93-E2D78761ADA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R413:R415</xm:sqref>
        </x14:conditionalFormatting>
        <x14:conditionalFormatting xmlns:xm="http://schemas.microsoft.com/office/excel/2006/main">
          <x14:cfRule type="dataBar" id="{7504E23A-2B73-43ED-82E8-180A98A3C06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T413:T415</xm:sqref>
        </x14:conditionalFormatting>
        <x14:conditionalFormatting xmlns:xm="http://schemas.microsoft.com/office/excel/2006/main">
          <x14:cfRule type="dataBar" id="{A37B5F92-93CA-4C47-A905-7F456B5467C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R413:R415</xm:sqref>
        </x14:conditionalFormatting>
        <x14:conditionalFormatting xmlns:xm="http://schemas.microsoft.com/office/excel/2006/main">
          <x14:cfRule type="dataBar" id="{732ACA34-6312-4CBD-A10D-95DA8DFCA45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U413:U415</xm:sqref>
        </x14:conditionalFormatting>
        <x14:conditionalFormatting xmlns:xm="http://schemas.microsoft.com/office/excel/2006/main">
          <x14:cfRule type="dataBar" id="{14BD55DE-1D62-4BAF-930D-C5C79B0E684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T413:T415</xm:sqref>
        </x14:conditionalFormatting>
        <x14:conditionalFormatting xmlns:xm="http://schemas.microsoft.com/office/excel/2006/main">
          <x14:cfRule type="dataBar" id="{990600B8-070E-4543-9580-A3C640B70BB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S413:S415</xm:sqref>
        </x14:conditionalFormatting>
        <x14:conditionalFormatting xmlns:xm="http://schemas.microsoft.com/office/excel/2006/main">
          <x14:cfRule type="dataBar" id="{E2D6274F-68F8-4CF0-B67E-BA31940480B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R413:R415</xm:sqref>
        </x14:conditionalFormatting>
        <x14:conditionalFormatting xmlns:xm="http://schemas.microsoft.com/office/excel/2006/main">
          <x14:cfRule type="dataBar" id="{D20B93F5-C116-4801-9BD2-FD5134A1C49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S413:S415</xm:sqref>
        </x14:conditionalFormatting>
        <x14:conditionalFormatting xmlns:xm="http://schemas.microsoft.com/office/excel/2006/main">
          <x14:cfRule type="dataBar" id="{C09FBF94-A2A0-483A-81DE-81E005897BC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T413:T415</xm:sqref>
        </x14:conditionalFormatting>
        <x14:conditionalFormatting xmlns:xm="http://schemas.microsoft.com/office/excel/2006/main">
          <x14:cfRule type="dataBar" id="{B90EC74D-E544-440E-AF40-42141E39831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U413:U415</xm:sqref>
        </x14:conditionalFormatting>
        <x14:conditionalFormatting xmlns:xm="http://schemas.microsoft.com/office/excel/2006/main">
          <x14:cfRule type="dataBar" id="{12BD3DB4-7388-4055-84E2-EA79F2368EE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R413:R415</xm:sqref>
        </x14:conditionalFormatting>
        <x14:conditionalFormatting xmlns:xm="http://schemas.microsoft.com/office/excel/2006/main">
          <x14:cfRule type="dataBar" id="{67A74DE5-B5D5-469A-A512-2D78B2E1A06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R417:R420</xm:sqref>
        </x14:conditionalFormatting>
        <x14:conditionalFormatting xmlns:xm="http://schemas.microsoft.com/office/excel/2006/main">
          <x14:cfRule type="dataBar" id="{311FCE8B-725B-4C37-8228-800F66BC4B3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R417:R420</xm:sqref>
        </x14:conditionalFormatting>
        <x14:conditionalFormatting xmlns:xm="http://schemas.microsoft.com/office/excel/2006/main">
          <x14:cfRule type="dataBar" id="{91A9F674-3480-4801-94F0-94F9C0E54D2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T417:T420</xm:sqref>
        </x14:conditionalFormatting>
        <x14:conditionalFormatting xmlns:xm="http://schemas.microsoft.com/office/excel/2006/main">
          <x14:cfRule type="dataBar" id="{D469B3AD-F043-41E7-B196-18EE7279EC5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R417:R420</xm:sqref>
        </x14:conditionalFormatting>
        <x14:conditionalFormatting xmlns:xm="http://schemas.microsoft.com/office/excel/2006/main">
          <x14:cfRule type="dataBar" id="{19AEA117-7BB5-4C67-A660-00F1862321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U417:U420</xm:sqref>
        </x14:conditionalFormatting>
        <x14:conditionalFormatting xmlns:xm="http://schemas.microsoft.com/office/excel/2006/main">
          <x14:cfRule type="dataBar" id="{5ABC61D9-0E80-4AA6-A370-C2F3FC9EE25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T417:T420</xm:sqref>
        </x14:conditionalFormatting>
        <x14:conditionalFormatting xmlns:xm="http://schemas.microsoft.com/office/excel/2006/main">
          <x14:cfRule type="dataBar" id="{1F1EA7D9-A6EF-40BC-83D7-12D9B2A03BE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S417:S420</xm:sqref>
        </x14:conditionalFormatting>
        <x14:conditionalFormatting xmlns:xm="http://schemas.microsoft.com/office/excel/2006/main">
          <x14:cfRule type="dataBar" id="{A04BED6C-B696-49C0-AC5F-A657B8D9EE1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R417:R420</xm:sqref>
        </x14:conditionalFormatting>
        <x14:conditionalFormatting xmlns:xm="http://schemas.microsoft.com/office/excel/2006/main">
          <x14:cfRule type="dataBar" id="{FBE0EC88-8E3C-4424-B12B-65773FA2143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S417:S420</xm:sqref>
        </x14:conditionalFormatting>
        <x14:conditionalFormatting xmlns:xm="http://schemas.microsoft.com/office/excel/2006/main">
          <x14:cfRule type="dataBar" id="{D3639996-8795-4E37-B161-14813984391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T417:T420</xm:sqref>
        </x14:conditionalFormatting>
        <x14:conditionalFormatting xmlns:xm="http://schemas.microsoft.com/office/excel/2006/main">
          <x14:cfRule type="dataBar" id="{0A3BDA64-E550-4E17-BA3C-2F038EC97A4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U417:U420</xm:sqref>
        </x14:conditionalFormatting>
        <x14:conditionalFormatting xmlns:xm="http://schemas.microsoft.com/office/excel/2006/main">
          <x14:cfRule type="dataBar" id="{BE2817DE-BC4A-4C8E-B5EA-322FEA7FA99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R417:R420</xm:sqref>
        </x14:conditionalFormatting>
        <x14:conditionalFormatting xmlns:xm="http://schemas.microsoft.com/office/excel/2006/main">
          <x14:cfRule type="dataBar" id="{3475DB36-DF3B-4E02-AEB4-91463202D39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R421:R422</xm:sqref>
        </x14:conditionalFormatting>
        <x14:conditionalFormatting xmlns:xm="http://schemas.microsoft.com/office/excel/2006/main">
          <x14:cfRule type="dataBar" id="{339557E2-73AE-4F67-A2ED-FC3EB731A82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R421:R422</xm:sqref>
        </x14:conditionalFormatting>
        <x14:conditionalFormatting xmlns:xm="http://schemas.microsoft.com/office/excel/2006/main">
          <x14:cfRule type="dataBar" id="{6EFC1EC7-066B-4CD2-A506-801C4A78563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T421:T422</xm:sqref>
        </x14:conditionalFormatting>
        <x14:conditionalFormatting xmlns:xm="http://schemas.microsoft.com/office/excel/2006/main">
          <x14:cfRule type="dataBar" id="{2C4856A3-3FC3-41E3-8CBC-7F835556BFB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R421:R422</xm:sqref>
        </x14:conditionalFormatting>
        <x14:conditionalFormatting xmlns:xm="http://schemas.microsoft.com/office/excel/2006/main">
          <x14:cfRule type="dataBar" id="{A9FCAC2F-90B3-4FB1-80AE-604F5DB1459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U421:U422</xm:sqref>
        </x14:conditionalFormatting>
        <x14:conditionalFormatting xmlns:xm="http://schemas.microsoft.com/office/excel/2006/main">
          <x14:cfRule type="dataBar" id="{D785F9D0-F01C-431A-8B12-35AE94C893A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T421:T422</xm:sqref>
        </x14:conditionalFormatting>
        <x14:conditionalFormatting xmlns:xm="http://schemas.microsoft.com/office/excel/2006/main">
          <x14:cfRule type="dataBar" id="{3DDA76D3-B98D-4833-8A22-DE30E52F520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S421:S422</xm:sqref>
        </x14:conditionalFormatting>
        <x14:conditionalFormatting xmlns:xm="http://schemas.microsoft.com/office/excel/2006/main">
          <x14:cfRule type="dataBar" id="{F9255FAE-493F-4C33-A7EB-5964900A394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R421:R422</xm:sqref>
        </x14:conditionalFormatting>
        <x14:conditionalFormatting xmlns:xm="http://schemas.microsoft.com/office/excel/2006/main">
          <x14:cfRule type="dataBar" id="{20DFB230-D4F0-459D-8012-E30B5503131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S421:S422</xm:sqref>
        </x14:conditionalFormatting>
        <x14:conditionalFormatting xmlns:xm="http://schemas.microsoft.com/office/excel/2006/main">
          <x14:cfRule type="dataBar" id="{509A0DE1-504B-4322-9B7B-64A6350FBC6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T421:T422</xm:sqref>
        </x14:conditionalFormatting>
        <x14:conditionalFormatting xmlns:xm="http://schemas.microsoft.com/office/excel/2006/main">
          <x14:cfRule type="dataBar" id="{F2322568-986A-472F-9972-5E026BD30DE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U421:U422</xm:sqref>
        </x14:conditionalFormatting>
        <x14:conditionalFormatting xmlns:xm="http://schemas.microsoft.com/office/excel/2006/main">
          <x14:cfRule type="dataBar" id="{16DFDCD8-13E6-42D0-A4CB-D180BA7F9DA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R421:R422</xm:sqref>
        </x14:conditionalFormatting>
        <x14:conditionalFormatting xmlns:xm="http://schemas.microsoft.com/office/excel/2006/main">
          <x14:cfRule type="dataBar" id="{AF041A6A-35C8-4139-8E5B-222361D93C1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R423:R428</xm:sqref>
        </x14:conditionalFormatting>
        <x14:conditionalFormatting xmlns:xm="http://schemas.microsoft.com/office/excel/2006/main">
          <x14:cfRule type="dataBar" id="{A237790B-6447-4007-BF16-EAACA339F60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T423:T428</xm:sqref>
        </x14:conditionalFormatting>
        <x14:conditionalFormatting xmlns:xm="http://schemas.microsoft.com/office/excel/2006/main">
          <x14:cfRule type="dataBar" id="{FAA9516F-514C-4893-9219-2C032DFD82A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R423:R428</xm:sqref>
        </x14:conditionalFormatting>
        <x14:conditionalFormatting xmlns:xm="http://schemas.microsoft.com/office/excel/2006/main">
          <x14:cfRule type="dataBar" id="{3B2C56A1-E0A2-43E1-957E-E09C760B269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U423:U428</xm:sqref>
        </x14:conditionalFormatting>
        <x14:conditionalFormatting xmlns:xm="http://schemas.microsoft.com/office/excel/2006/main">
          <x14:cfRule type="dataBar" id="{D7A83EBA-25BD-4885-A4AA-7F426E32B73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S423:S428</xm:sqref>
        </x14:conditionalFormatting>
        <x14:conditionalFormatting xmlns:xm="http://schemas.microsoft.com/office/excel/2006/main">
          <x14:cfRule type="dataBar" id="{AFA03648-08A2-4754-A316-91A3454523C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R432:R433</xm:sqref>
        </x14:conditionalFormatting>
        <x14:conditionalFormatting xmlns:xm="http://schemas.microsoft.com/office/excel/2006/main">
          <x14:cfRule type="dataBar" id="{1623903B-F8EE-48CA-A242-C26BD12D94F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R432:R433</xm:sqref>
        </x14:conditionalFormatting>
        <x14:conditionalFormatting xmlns:xm="http://schemas.microsoft.com/office/excel/2006/main">
          <x14:cfRule type="dataBar" id="{2BCBB64B-1E04-499A-AD33-56913283764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T432:T433</xm:sqref>
        </x14:conditionalFormatting>
        <x14:conditionalFormatting xmlns:xm="http://schemas.microsoft.com/office/excel/2006/main">
          <x14:cfRule type="dataBar" id="{A1DB713D-0B2A-42B5-91F4-486C9371A86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R432:R433</xm:sqref>
        </x14:conditionalFormatting>
        <x14:conditionalFormatting xmlns:xm="http://schemas.microsoft.com/office/excel/2006/main">
          <x14:cfRule type="dataBar" id="{735293EA-CFA8-49B4-AEF1-A2B46D40820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U432:U433</xm:sqref>
        </x14:conditionalFormatting>
        <x14:conditionalFormatting xmlns:xm="http://schemas.microsoft.com/office/excel/2006/main">
          <x14:cfRule type="dataBar" id="{7BE07F68-EEBC-4F3C-9A52-C511F93FEFF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T432:T433</xm:sqref>
        </x14:conditionalFormatting>
        <x14:conditionalFormatting xmlns:xm="http://schemas.microsoft.com/office/excel/2006/main">
          <x14:cfRule type="dataBar" id="{B6E59FC5-E27D-419E-B453-57488B31A4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S432:S433</xm:sqref>
        </x14:conditionalFormatting>
        <x14:conditionalFormatting xmlns:xm="http://schemas.microsoft.com/office/excel/2006/main">
          <x14:cfRule type="dataBar" id="{36CD8121-1400-4A25-B2D9-206F57A0C3A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R432:R433</xm:sqref>
        </x14:conditionalFormatting>
        <x14:conditionalFormatting xmlns:xm="http://schemas.microsoft.com/office/excel/2006/main">
          <x14:cfRule type="dataBar" id="{8BD8D6DB-D88E-4E18-8C5E-38E731F98D7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S432:S433</xm:sqref>
        </x14:conditionalFormatting>
        <x14:conditionalFormatting xmlns:xm="http://schemas.microsoft.com/office/excel/2006/main">
          <x14:cfRule type="dataBar" id="{A4E3C23B-767C-4824-9AB0-7751BBB541B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T432:T433</xm:sqref>
        </x14:conditionalFormatting>
        <x14:conditionalFormatting xmlns:xm="http://schemas.microsoft.com/office/excel/2006/main">
          <x14:cfRule type="dataBar" id="{8BFACB9D-B2BC-4E00-A55C-37124778F00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U432:U433</xm:sqref>
        </x14:conditionalFormatting>
        <x14:conditionalFormatting xmlns:xm="http://schemas.microsoft.com/office/excel/2006/main">
          <x14:cfRule type="dataBar" id="{5B739BA8-BAC8-4FB7-94B1-953C13756A2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R432:R433</xm:sqref>
        </x14:conditionalFormatting>
        <x14:conditionalFormatting xmlns:xm="http://schemas.microsoft.com/office/excel/2006/main">
          <x14:cfRule type="dataBar" id="{C8340911-5384-4476-A8C3-6A869CA1F79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R392:R397</xm:sqref>
        </x14:conditionalFormatting>
        <x14:conditionalFormatting xmlns:xm="http://schemas.microsoft.com/office/excel/2006/main">
          <x14:cfRule type="dataBar" id="{4CA216A3-EDEF-40B1-8E0F-59D01784239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R392:R397</xm:sqref>
        </x14:conditionalFormatting>
        <x14:conditionalFormatting xmlns:xm="http://schemas.microsoft.com/office/excel/2006/main">
          <x14:cfRule type="dataBar" id="{86E78734-8D30-4CCB-87BA-F7D8D9ABE7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R454:R455</xm:sqref>
        </x14:conditionalFormatting>
        <x14:conditionalFormatting xmlns:xm="http://schemas.microsoft.com/office/excel/2006/main">
          <x14:cfRule type="dataBar" id="{69526045-F3FE-425E-B54F-8DEE9B70803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R454:R455</xm:sqref>
        </x14:conditionalFormatting>
        <x14:conditionalFormatting xmlns:xm="http://schemas.microsoft.com/office/excel/2006/main">
          <x14:cfRule type="dataBar" id="{0B83CA40-33D4-4374-80FD-0C9CF160B7B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R454:R455</xm:sqref>
        </x14:conditionalFormatting>
        <x14:conditionalFormatting xmlns:xm="http://schemas.microsoft.com/office/excel/2006/main">
          <x14:cfRule type="dataBar" id="{7CF10B5D-67AF-467A-98A9-14F1ADC7D9B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S454:U454</xm:sqref>
        </x14:conditionalFormatting>
        <x14:conditionalFormatting xmlns:xm="http://schemas.microsoft.com/office/excel/2006/main">
          <x14:cfRule type="dataBar" id="{037B9431-7C59-4C04-91C5-83FE2F42CBD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R451:R455 R458</xm:sqref>
        </x14:conditionalFormatting>
        <x14:conditionalFormatting xmlns:xm="http://schemas.microsoft.com/office/excel/2006/main">
          <x14:cfRule type="dataBar" id="{F7781C71-9E7E-4229-A7CD-9804BEF10C6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S451:S455 S458</xm:sqref>
        </x14:conditionalFormatting>
        <x14:conditionalFormatting xmlns:xm="http://schemas.microsoft.com/office/excel/2006/main">
          <x14:cfRule type="dataBar" id="{BA6583FF-8BC1-4B53-B81F-4790D641037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T451:T453 T458</xm:sqref>
        </x14:conditionalFormatting>
        <x14:conditionalFormatting xmlns:xm="http://schemas.microsoft.com/office/excel/2006/main">
          <x14:cfRule type="dataBar" id="{98F99A3C-2440-4573-BF33-60CC7E78FC2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U451:U453 U458</xm:sqref>
        </x14:conditionalFormatting>
        <x14:conditionalFormatting xmlns:xm="http://schemas.microsoft.com/office/excel/2006/main">
          <x14:cfRule type="dataBar" id="{2A37922A-C3D4-47BA-87B3-0F0406F6B43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R466:R467 R471</xm:sqref>
        </x14:conditionalFormatting>
        <x14:conditionalFormatting xmlns:xm="http://schemas.microsoft.com/office/excel/2006/main">
          <x14:cfRule type="dataBar" id="{FB510663-BB23-4F5E-9A00-F02422C1FCF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R466:R467 R471</xm:sqref>
        </x14:conditionalFormatting>
        <x14:conditionalFormatting xmlns:xm="http://schemas.microsoft.com/office/excel/2006/main">
          <x14:cfRule type="dataBar" id="{4EB46271-9002-4D6E-B105-D672DE58D8D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T466:T467</xm:sqref>
        </x14:conditionalFormatting>
        <x14:conditionalFormatting xmlns:xm="http://schemas.microsoft.com/office/excel/2006/main">
          <x14:cfRule type="dataBar" id="{F50BE045-6FAA-4172-B518-F7BBCB87A63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R466:R467 R471</xm:sqref>
        </x14:conditionalFormatting>
        <x14:conditionalFormatting xmlns:xm="http://schemas.microsoft.com/office/excel/2006/main">
          <x14:cfRule type="dataBar" id="{9E73E531-C337-4AEC-B1E5-5D095DD6054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U466:U467</xm:sqref>
        </x14:conditionalFormatting>
        <x14:conditionalFormatting xmlns:xm="http://schemas.microsoft.com/office/excel/2006/main">
          <x14:cfRule type="dataBar" id="{C8088F77-389F-4A7B-84A4-C40C8A0CA37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T466:T467</xm:sqref>
        </x14:conditionalFormatting>
        <x14:conditionalFormatting xmlns:xm="http://schemas.microsoft.com/office/excel/2006/main">
          <x14:cfRule type="dataBar" id="{8B83BAE5-B86B-4D0E-84C9-546721B3532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S466:S467</xm:sqref>
        </x14:conditionalFormatting>
        <x14:conditionalFormatting xmlns:xm="http://schemas.microsoft.com/office/excel/2006/main">
          <x14:cfRule type="dataBar" id="{0E655634-D3AE-4757-8692-C250A893086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R466:R467 R471</xm:sqref>
        </x14:conditionalFormatting>
        <x14:conditionalFormatting xmlns:xm="http://schemas.microsoft.com/office/excel/2006/main">
          <x14:cfRule type="dataBar" id="{90D772FA-F90D-470D-BB38-F2B08A44853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S466:S467</xm:sqref>
        </x14:conditionalFormatting>
        <x14:conditionalFormatting xmlns:xm="http://schemas.microsoft.com/office/excel/2006/main">
          <x14:cfRule type="dataBar" id="{0C3A4BFF-11C9-4F77-B0B6-9C87593763A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T466:T467</xm:sqref>
        </x14:conditionalFormatting>
        <x14:conditionalFormatting xmlns:xm="http://schemas.microsoft.com/office/excel/2006/main">
          <x14:cfRule type="dataBar" id="{2339E67C-2BB4-4EC3-B0DD-F3B9DF782CE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U466:U467</xm:sqref>
        </x14:conditionalFormatting>
        <x14:conditionalFormatting xmlns:xm="http://schemas.microsoft.com/office/excel/2006/main">
          <x14:cfRule type="dataBar" id="{836B5FB1-9A12-41A0-8123-CA5D10492CF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R466:R467 R471</xm:sqref>
        </x14:conditionalFormatting>
        <x14:conditionalFormatting xmlns:xm="http://schemas.microsoft.com/office/excel/2006/main">
          <x14:cfRule type="dataBar" id="{D449661B-3B71-472A-AEDA-CFA99DCA82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T471</xm:sqref>
        </x14:conditionalFormatting>
        <x14:conditionalFormatting xmlns:xm="http://schemas.microsoft.com/office/excel/2006/main">
          <x14:cfRule type="dataBar" id="{CD15D62A-CCB1-4944-8D2D-125C205D771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U471</xm:sqref>
        </x14:conditionalFormatting>
        <x14:conditionalFormatting xmlns:xm="http://schemas.microsoft.com/office/excel/2006/main">
          <x14:cfRule type="dataBar" id="{97800361-AECC-43EF-A501-ADDA963FEE4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R438:R441</xm:sqref>
        </x14:conditionalFormatting>
        <x14:conditionalFormatting xmlns:xm="http://schemas.microsoft.com/office/excel/2006/main">
          <x14:cfRule type="dataBar" id="{70BDA76E-2EBB-4B82-AEC2-6F4341E265D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R438:R441</xm:sqref>
        </x14:conditionalFormatting>
        <x14:conditionalFormatting xmlns:xm="http://schemas.microsoft.com/office/excel/2006/main">
          <x14:cfRule type="dataBar" id="{5EB6F685-3561-4EA2-BD22-F9AA7A94633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T438:T441</xm:sqref>
        </x14:conditionalFormatting>
        <x14:conditionalFormatting xmlns:xm="http://schemas.microsoft.com/office/excel/2006/main">
          <x14:cfRule type="dataBar" id="{FE48D55E-4E2E-4364-A7CA-96AB18CB8DA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R438:R441</xm:sqref>
        </x14:conditionalFormatting>
        <x14:conditionalFormatting xmlns:xm="http://schemas.microsoft.com/office/excel/2006/main">
          <x14:cfRule type="dataBar" id="{95A1484D-A311-48F2-B315-F86363CE0BB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U438:U441</xm:sqref>
        </x14:conditionalFormatting>
        <x14:conditionalFormatting xmlns:xm="http://schemas.microsoft.com/office/excel/2006/main">
          <x14:cfRule type="dataBar" id="{696F779C-6032-4294-90B6-AC71CA4885A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T438:T441</xm:sqref>
        </x14:conditionalFormatting>
        <x14:conditionalFormatting xmlns:xm="http://schemas.microsoft.com/office/excel/2006/main">
          <x14:cfRule type="dataBar" id="{80BDB87D-7321-471E-AB59-C2146BE9435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S438:S441</xm:sqref>
        </x14:conditionalFormatting>
        <x14:conditionalFormatting xmlns:xm="http://schemas.microsoft.com/office/excel/2006/main">
          <x14:cfRule type="dataBar" id="{8C79DBD9-8B41-4846-90D9-089CB546C85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R438:R441</xm:sqref>
        </x14:conditionalFormatting>
        <x14:conditionalFormatting xmlns:xm="http://schemas.microsoft.com/office/excel/2006/main">
          <x14:cfRule type="dataBar" id="{09744932-EA5A-4870-A9E8-F465AC98578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S438:S441</xm:sqref>
        </x14:conditionalFormatting>
        <x14:conditionalFormatting xmlns:xm="http://schemas.microsoft.com/office/excel/2006/main">
          <x14:cfRule type="dataBar" id="{0DA65A74-1AEC-4CBB-B06F-4FF0868FF26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T438:T441</xm:sqref>
        </x14:conditionalFormatting>
        <x14:conditionalFormatting xmlns:xm="http://schemas.microsoft.com/office/excel/2006/main">
          <x14:cfRule type="dataBar" id="{8D177F23-C021-4DC5-AB4E-D4D75C5698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U438:U441</xm:sqref>
        </x14:conditionalFormatting>
        <x14:conditionalFormatting xmlns:xm="http://schemas.microsoft.com/office/excel/2006/main">
          <x14:cfRule type="dataBar" id="{0BCFCCA2-9BCE-44CF-BDF2-0C8A8964E9B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S438:S441</xm:sqref>
        </x14:conditionalFormatting>
        <x14:conditionalFormatting xmlns:xm="http://schemas.microsoft.com/office/excel/2006/main">
          <x14:cfRule type="dataBar" id="{32E994C4-496F-4391-B201-A31BEEE742F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T438:T441</xm:sqref>
        </x14:conditionalFormatting>
        <x14:conditionalFormatting xmlns:xm="http://schemas.microsoft.com/office/excel/2006/main">
          <x14:cfRule type="dataBar" id="{0E9457AC-E7C5-4B65-BB55-BD3D876F0E6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U438:U441</xm:sqref>
        </x14:conditionalFormatting>
        <x14:conditionalFormatting xmlns:xm="http://schemas.microsoft.com/office/excel/2006/main">
          <x14:cfRule type="dataBar" id="{7CE89014-A7E3-48F4-A7B9-674B189C1E8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R438:R441</xm:sqref>
        </x14:conditionalFormatting>
        <x14:conditionalFormatting xmlns:xm="http://schemas.microsoft.com/office/excel/2006/main">
          <x14:cfRule type="dataBar" id="{DCFBF50B-37D8-4459-B6D6-777E60BA526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R442:R445</xm:sqref>
        </x14:conditionalFormatting>
        <x14:conditionalFormatting xmlns:xm="http://schemas.microsoft.com/office/excel/2006/main">
          <x14:cfRule type="dataBar" id="{7DDAC88D-F17E-437F-9310-ED0965616BF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T442:T445</xm:sqref>
        </x14:conditionalFormatting>
        <x14:conditionalFormatting xmlns:xm="http://schemas.microsoft.com/office/excel/2006/main">
          <x14:cfRule type="dataBar" id="{6037BAC1-71ED-4DA4-B1FC-9B17034CDF2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R442:R445</xm:sqref>
        </x14:conditionalFormatting>
        <x14:conditionalFormatting xmlns:xm="http://schemas.microsoft.com/office/excel/2006/main">
          <x14:cfRule type="dataBar" id="{BD50E6FC-FDEB-4122-A02E-E9700CE7131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U442:U445</xm:sqref>
        </x14:conditionalFormatting>
        <x14:conditionalFormatting xmlns:xm="http://schemas.microsoft.com/office/excel/2006/main">
          <x14:cfRule type="dataBar" id="{8E3E1188-463F-48B7-A754-DE463C38B8A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S442:S445</xm:sqref>
        </x14:conditionalFormatting>
        <x14:conditionalFormatting xmlns:xm="http://schemas.microsoft.com/office/excel/2006/main">
          <x14:cfRule type="dataBar" id="{464800D9-6793-4BAE-A2E3-5D432328D61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R442:R445</xm:sqref>
        </x14:conditionalFormatting>
        <x14:conditionalFormatting xmlns:xm="http://schemas.microsoft.com/office/excel/2006/main">
          <x14:cfRule type="dataBar" id="{8F65745C-72D8-4C59-8B25-44789247AFB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S442:S445</xm:sqref>
        </x14:conditionalFormatting>
        <x14:conditionalFormatting xmlns:xm="http://schemas.microsoft.com/office/excel/2006/main">
          <x14:cfRule type="dataBar" id="{2843C6A5-12D4-410B-BD55-9B8DCE38D4A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T442:T445</xm:sqref>
        </x14:conditionalFormatting>
        <x14:conditionalFormatting xmlns:xm="http://schemas.microsoft.com/office/excel/2006/main">
          <x14:cfRule type="dataBar" id="{9AE58684-06BE-424D-9C3B-94220ADD212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U442:U445</xm:sqref>
        </x14:conditionalFormatting>
        <x14:conditionalFormatting xmlns:xm="http://schemas.microsoft.com/office/excel/2006/main">
          <x14:cfRule type="dataBar" id="{550CE073-96ED-4AFA-B27C-B7BF80A6D5A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S442:S445</xm:sqref>
        </x14:conditionalFormatting>
        <x14:conditionalFormatting xmlns:xm="http://schemas.microsoft.com/office/excel/2006/main">
          <x14:cfRule type="dataBar" id="{22C0B1D0-323D-4462-ADB4-0F869B9A674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T442:T445</xm:sqref>
        </x14:conditionalFormatting>
        <x14:conditionalFormatting xmlns:xm="http://schemas.microsoft.com/office/excel/2006/main">
          <x14:cfRule type="dataBar" id="{D0ECDA43-AB90-42AD-8169-ACCCFB702ED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U442:U445</xm:sqref>
        </x14:conditionalFormatting>
        <x14:conditionalFormatting xmlns:xm="http://schemas.microsoft.com/office/excel/2006/main">
          <x14:cfRule type="dataBar" id="{C1E0DA12-4872-4F2C-BD87-5781BCC8022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R442:R445</xm:sqref>
        </x14:conditionalFormatting>
        <x14:conditionalFormatting xmlns:xm="http://schemas.microsoft.com/office/excel/2006/main">
          <x14:cfRule type="dataBar" id="{C186F5B8-BA17-4A03-B64B-BB7F79F487B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R446:R450</xm:sqref>
        </x14:conditionalFormatting>
        <x14:conditionalFormatting xmlns:xm="http://schemas.microsoft.com/office/excel/2006/main">
          <x14:cfRule type="dataBar" id="{DC843E61-C0FB-446A-95D6-30173015720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R446:R450</xm:sqref>
        </x14:conditionalFormatting>
        <x14:conditionalFormatting xmlns:xm="http://schemas.microsoft.com/office/excel/2006/main">
          <x14:cfRule type="dataBar" id="{A1A361B8-0FE3-4F30-8F51-35DF831FD21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T446:T450</xm:sqref>
        </x14:conditionalFormatting>
        <x14:conditionalFormatting xmlns:xm="http://schemas.microsoft.com/office/excel/2006/main">
          <x14:cfRule type="dataBar" id="{943D09CD-C475-41C9-8BF7-E9594CE099F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R446:R450</xm:sqref>
        </x14:conditionalFormatting>
        <x14:conditionalFormatting xmlns:xm="http://schemas.microsoft.com/office/excel/2006/main">
          <x14:cfRule type="dataBar" id="{38733DDD-A922-46D0-B4B7-5153914D6F8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U446:U450</xm:sqref>
        </x14:conditionalFormatting>
        <x14:conditionalFormatting xmlns:xm="http://schemas.microsoft.com/office/excel/2006/main">
          <x14:cfRule type="dataBar" id="{E4313890-ED0B-4C18-BD28-F8975DF48C0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T446:T450</xm:sqref>
        </x14:conditionalFormatting>
        <x14:conditionalFormatting xmlns:xm="http://schemas.microsoft.com/office/excel/2006/main">
          <x14:cfRule type="dataBar" id="{5E224B4D-6B01-4799-8199-2ED526CB531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S446:S450</xm:sqref>
        </x14:conditionalFormatting>
        <x14:conditionalFormatting xmlns:xm="http://schemas.microsoft.com/office/excel/2006/main">
          <x14:cfRule type="dataBar" id="{0ACE2963-B594-49F0-917B-DE1D7C7EBE3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R446:R450</xm:sqref>
        </x14:conditionalFormatting>
        <x14:conditionalFormatting xmlns:xm="http://schemas.microsoft.com/office/excel/2006/main">
          <x14:cfRule type="dataBar" id="{D5EC9BA2-74EE-4210-A4E9-E4806CCBF8B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S446:S450</xm:sqref>
        </x14:conditionalFormatting>
        <x14:conditionalFormatting xmlns:xm="http://schemas.microsoft.com/office/excel/2006/main">
          <x14:cfRule type="dataBar" id="{FB0E2C55-76E3-4681-85A3-7702369BA72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T446:T450</xm:sqref>
        </x14:conditionalFormatting>
        <x14:conditionalFormatting xmlns:xm="http://schemas.microsoft.com/office/excel/2006/main">
          <x14:cfRule type="dataBar" id="{80D2973C-DDE8-45A2-AE1E-3AA750E7547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U446:U450</xm:sqref>
        </x14:conditionalFormatting>
        <x14:conditionalFormatting xmlns:xm="http://schemas.microsoft.com/office/excel/2006/main">
          <x14:cfRule type="dataBar" id="{496217FB-8A2F-4B07-9BAC-DA95D6C139A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S446:S450</xm:sqref>
        </x14:conditionalFormatting>
        <x14:conditionalFormatting xmlns:xm="http://schemas.microsoft.com/office/excel/2006/main">
          <x14:cfRule type="dataBar" id="{504E8EB8-79E4-4E03-9664-8175D08BA17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T446:T450</xm:sqref>
        </x14:conditionalFormatting>
        <x14:conditionalFormatting xmlns:xm="http://schemas.microsoft.com/office/excel/2006/main">
          <x14:cfRule type="dataBar" id="{8029F3C9-6B1D-4193-8F3C-16EB9AEC50C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U446:U450</xm:sqref>
        </x14:conditionalFormatting>
        <x14:conditionalFormatting xmlns:xm="http://schemas.microsoft.com/office/excel/2006/main">
          <x14:cfRule type="dataBar" id="{24BC0BCA-6433-4DB3-8CE6-EDDF324120B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R446:R450</xm:sqref>
        </x14:conditionalFormatting>
        <x14:conditionalFormatting xmlns:xm="http://schemas.microsoft.com/office/excel/2006/main">
          <x14:cfRule type="dataBar" id="{93356612-75A2-463C-A666-DB515E319F5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R456:R457</xm:sqref>
        </x14:conditionalFormatting>
        <x14:conditionalFormatting xmlns:xm="http://schemas.microsoft.com/office/excel/2006/main">
          <x14:cfRule type="dataBar" id="{CBCD9A91-B5AF-4933-A258-E8437DE409E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T456:T457</xm:sqref>
        </x14:conditionalFormatting>
        <x14:conditionalFormatting xmlns:xm="http://schemas.microsoft.com/office/excel/2006/main">
          <x14:cfRule type="dataBar" id="{E321F341-2C43-4C21-B7D9-997A295808D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R456:R457</xm:sqref>
        </x14:conditionalFormatting>
        <x14:conditionalFormatting xmlns:xm="http://schemas.microsoft.com/office/excel/2006/main">
          <x14:cfRule type="dataBar" id="{73B111D6-DCEF-4FC5-8505-A9729FE7F49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U456:U457</xm:sqref>
        </x14:conditionalFormatting>
        <x14:conditionalFormatting xmlns:xm="http://schemas.microsoft.com/office/excel/2006/main">
          <x14:cfRule type="dataBar" id="{BCDB1153-01B1-47A8-A925-A5C705FD67A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S456:S457</xm:sqref>
        </x14:conditionalFormatting>
        <x14:conditionalFormatting xmlns:xm="http://schemas.microsoft.com/office/excel/2006/main">
          <x14:cfRule type="dataBar" id="{AF417174-1741-44DC-9982-DA092578580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R456:R457</xm:sqref>
        </x14:conditionalFormatting>
        <x14:conditionalFormatting xmlns:xm="http://schemas.microsoft.com/office/excel/2006/main">
          <x14:cfRule type="dataBar" id="{6D75EECB-BA12-4342-8B54-FD1D75508EF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S456:S457</xm:sqref>
        </x14:conditionalFormatting>
        <x14:conditionalFormatting xmlns:xm="http://schemas.microsoft.com/office/excel/2006/main">
          <x14:cfRule type="dataBar" id="{3A4046F0-8DD7-417C-A425-4630CEF6FFF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T456:T457</xm:sqref>
        </x14:conditionalFormatting>
        <x14:conditionalFormatting xmlns:xm="http://schemas.microsoft.com/office/excel/2006/main">
          <x14:cfRule type="dataBar" id="{A7C44710-6699-44E4-BD30-B7FBAFEB9C4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U456:U457</xm:sqref>
        </x14:conditionalFormatting>
        <x14:conditionalFormatting xmlns:xm="http://schemas.microsoft.com/office/excel/2006/main">
          <x14:cfRule type="dataBar" id="{9122DE63-30AE-4EE9-AF1D-A90C03A9F9A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S456:S457</xm:sqref>
        </x14:conditionalFormatting>
        <x14:conditionalFormatting xmlns:xm="http://schemas.microsoft.com/office/excel/2006/main">
          <x14:cfRule type="dataBar" id="{6D753419-9297-4852-BD58-161FB670B38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T456:T457</xm:sqref>
        </x14:conditionalFormatting>
        <x14:conditionalFormatting xmlns:xm="http://schemas.microsoft.com/office/excel/2006/main">
          <x14:cfRule type="dataBar" id="{FDBB3B8F-6DCC-48BC-AFBF-31F07445107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U456:U457</xm:sqref>
        </x14:conditionalFormatting>
        <x14:conditionalFormatting xmlns:xm="http://schemas.microsoft.com/office/excel/2006/main">
          <x14:cfRule type="dataBar" id="{3B79EA90-0FAF-4FDB-AED9-C0532FF1B58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R456:R457</xm:sqref>
        </x14:conditionalFormatting>
        <x14:conditionalFormatting xmlns:xm="http://schemas.microsoft.com/office/excel/2006/main">
          <x14:cfRule type="dataBar" id="{DF0BCC3C-5C52-496D-B188-5C8F01FA60C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R451</xm:sqref>
        </x14:conditionalFormatting>
        <x14:conditionalFormatting xmlns:xm="http://schemas.microsoft.com/office/excel/2006/main">
          <x14:cfRule type="dataBar" id="{31819890-AB27-4251-B94B-3BA293762A7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R452</xm:sqref>
        </x14:conditionalFormatting>
        <x14:conditionalFormatting xmlns:xm="http://schemas.microsoft.com/office/excel/2006/main">
          <x14:cfRule type="dataBar" id="{3E869228-4CDD-4AF2-BB70-5BB61B0FF66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R453</xm:sqref>
        </x14:conditionalFormatting>
        <x14:conditionalFormatting xmlns:xm="http://schemas.microsoft.com/office/excel/2006/main">
          <x14:cfRule type="dataBar" id="{D28D8418-D78E-425A-8025-3D626B0B091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T454:T455</xm:sqref>
        </x14:conditionalFormatting>
        <x14:conditionalFormatting xmlns:xm="http://schemas.microsoft.com/office/excel/2006/main">
          <x14:cfRule type="dataBar" id="{7FE1B00B-EA63-46D1-BB97-0B0D4B04DDF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T454:T455</xm:sqref>
        </x14:conditionalFormatting>
        <x14:conditionalFormatting xmlns:xm="http://schemas.microsoft.com/office/excel/2006/main">
          <x14:cfRule type="dataBar" id="{DBF70915-08D3-493F-A970-9D4907032F6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U454:U455</xm:sqref>
        </x14:conditionalFormatting>
        <x14:conditionalFormatting xmlns:xm="http://schemas.microsoft.com/office/excel/2006/main">
          <x14:cfRule type="dataBar" id="{C5D760B3-3366-4733-875B-A7C6CA6F35E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U454:U455</xm:sqref>
        </x14:conditionalFormatting>
        <x14:conditionalFormatting xmlns:xm="http://schemas.microsoft.com/office/excel/2006/main">
          <x14:cfRule type="dataBar" id="{F8A651BC-661C-4BC0-914F-37F723EFF0C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R459:R462</xm:sqref>
        </x14:conditionalFormatting>
        <x14:conditionalFormatting xmlns:xm="http://schemas.microsoft.com/office/excel/2006/main">
          <x14:cfRule type="dataBar" id="{92569936-C344-46E0-B77E-54F03A1D0F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R459:R462</xm:sqref>
        </x14:conditionalFormatting>
        <x14:conditionalFormatting xmlns:xm="http://schemas.microsoft.com/office/excel/2006/main">
          <x14:cfRule type="dataBar" id="{00502A5D-B00C-4C28-B9BB-D0635537CE0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T459:T462</xm:sqref>
        </x14:conditionalFormatting>
        <x14:conditionalFormatting xmlns:xm="http://schemas.microsoft.com/office/excel/2006/main">
          <x14:cfRule type="dataBar" id="{9988BD2B-5FED-4DB4-863D-261D23AA5AC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R459:R462</xm:sqref>
        </x14:conditionalFormatting>
        <x14:conditionalFormatting xmlns:xm="http://schemas.microsoft.com/office/excel/2006/main">
          <x14:cfRule type="dataBar" id="{671A864A-C5E6-4F4E-9CC9-60D7808B3DA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U459:U462</xm:sqref>
        </x14:conditionalFormatting>
        <x14:conditionalFormatting xmlns:xm="http://schemas.microsoft.com/office/excel/2006/main">
          <x14:cfRule type="dataBar" id="{2D995C56-2D3D-4ABE-A567-7AA9179E7CA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T459:T462</xm:sqref>
        </x14:conditionalFormatting>
        <x14:conditionalFormatting xmlns:xm="http://schemas.microsoft.com/office/excel/2006/main">
          <x14:cfRule type="dataBar" id="{AA1F2E6A-548D-4C0E-A9AD-C0EE1B3F90F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S459:S462</xm:sqref>
        </x14:conditionalFormatting>
        <x14:conditionalFormatting xmlns:xm="http://schemas.microsoft.com/office/excel/2006/main">
          <x14:cfRule type="dataBar" id="{410CD8FF-356B-4E32-AE89-6C5C65EB65F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R459:R462</xm:sqref>
        </x14:conditionalFormatting>
        <x14:conditionalFormatting xmlns:xm="http://schemas.microsoft.com/office/excel/2006/main">
          <x14:cfRule type="dataBar" id="{FF82ECA4-5387-44FD-921C-20EDF519BEF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S459:S462</xm:sqref>
        </x14:conditionalFormatting>
        <x14:conditionalFormatting xmlns:xm="http://schemas.microsoft.com/office/excel/2006/main">
          <x14:cfRule type="dataBar" id="{F623F778-E9DB-41C1-B0EE-73E55A3F4A2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T459:T462</xm:sqref>
        </x14:conditionalFormatting>
        <x14:conditionalFormatting xmlns:xm="http://schemas.microsoft.com/office/excel/2006/main">
          <x14:cfRule type="dataBar" id="{6A72A098-3DC2-41A5-800F-88DBBC3F9B7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U459:U462</xm:sqref>
        </x14:conditionalFormatting>
        <x14:conditionalFormatting xmlns:xm="http://schemas.microsoft.com/office/excel/2006/main">
          <x14:cfRule type="dataBar" id="{5A69B774-5BC5-4247-BF05-6311FB19B24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S459:S462</xm:sqref>
        </x14:conditionalFormatting>
        <x14:conditionalFormatting xmlns:xm="http://schemas.microsoft.com/office/excel/2006/main">
          <x14:cfRule type="dataBar" id="{41721BFA-BF83-405B-A986-F2B1601A9FB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T459:T462</xm:sqref>
        </x14:conditionalFormatting>
        <x14:conditionalFormatting xmlns:xm="http://schemas.microsoft.com/office/excel/2006/main">
          <x14:cfRule type="dataBar" id="{B772A6BE-4B3C-4A91-B6AD-6EDF43C4CE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U459:U462</xm:sqref>
        </x14:conditionalFormatting>
        <x14:conditionalFormatting xmlns:xm="http://schemas.microsoft.com/office/excel/2006/main">
          <x14:cfRule type="dataBar" id="{1C8D14D7-F1BF-44E2-A654-079A1B02D38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R459:R462</xm:sqref>
        </x14:conditionalFormatting>
        <x14:conditionalFormatting xmlns:xm="http://schemas.microsoft.com/office/excel/2006/main">
          <x14:cfRule type="dataBar" id="{694099A7-4A48-4149-AF20-8C398516983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R463:R465</xm:sqref>
        </x14:conditionalFormatting>
        <x14:conditionalFormatting xmlns:xm="http://schemas.microsoft.com/office/excel/2006/main">
          <x14:cfRule type="dataBar" id="{401A01B7-53DD-48B8-98EE-3962B99E0DC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T463:T465</xm:sqref>
        </x14:conditionalFormatting>
        <x14:conditionalFormatting xmlns:xm="http://schemas.microsoft.com/office/excel/2006/main">
          <x14:cfRule type="dataBar" id="{39F1A1B8-293D-4800-9D49-134DF85DC2B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R463:R465</xm:sqref>
        </x14:conditionalFormatting>
        <x14:conditionalFormatting xmlns:xm="http://schemas.microsoft.com/office/excel/2006/main">
          <x14:cfRule type="dataBar" id="{E88B4DEC-1CDE-4D40-9A78-F24276DBC5E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U463:U465</xm:sqref>
        </x14:conditionalFormatting>
        <x14:conditionalFormatting xmlns:xm="http://schemas.microsoft.com/office/excel/2006/main">
          <x14:cfRule type="dataBar" id="{BC9215A9-497F-448D-A7E2-251EB19FAC2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S463:S465</xm:sqref>
        </x14:conditionalFormatting>
        <x14:conditionalFormatting xmlns:xm="http://schemas.microsoft.com/office/excel/2006/main">
          <x14:cfRule type="dataBar" id="{61ECE6A7-1079-4ED8-9E76-2BCF83B333C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R463:R465</xm:sqref>
        </x14:conditionalFormatting>
        <x14:conditionalFormatting xmlns:xm="http://schemas.microsoft.com/office/excel/2006/main">
          <x14:cfRule type="dataBar" id="{05760738-2475-42AE-B09E-303653C7101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S463:S465</xm:sqref>
        </x14:conditionalFormatting>
        <x14:conditionalFormatting xmlns:xm="http://schemas.microsoft.com/office/excel/2006/main">
          <x14:cfRule type="dataBar" id="{33877028-0CE6-48C8-9776-97FF6C64BE1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T463:T465</xm:sqref>
        </x14:conditionalFormatting>
        <x14:conditionalFormatting xmlns:xm="http://schemas.microsoft.com/office/excel/2006/main">
          <x14:cfRule type="dataBar" id="{D16DC507-C081-4A0C-867F-5FF038FC039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U463:U465</xm:sqref>
        </x14:conditionalFormatting>
        <x14:conditionalFormatting xmlns:xm="http://schemas.microsoft.com/office/excel/2006/main">
          <x14:cfRule type="dataBar" id="{1653E7E7-A1A0-47FE-936F-C04F4BB389F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S463:S465</xm:sqref>
        </x14:conditionalFormatting>
        <x14:conditionalFormatting xmlns:xm="http://schemas.microsoft.com/office/excel/2006/main">
          <x14:cfRule type="dataBar" id="{0EA511FE-49B8-40D8-8FAA-9CC6F13B0B9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T463:T465</xm:sqref>
        </x14:conditionalFormatting>
        <x14:conditionalFormatting xmlns:xm="http://schemas.microsoft.com/office/excel/2006/main">
          <x14:cfRule type="dataBar" id="{E01C8CC4-50D6-4048-BA4F-C2ED7CAC821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U463:U465</xm:sqref>
        </x14:conditionalFormatting>
        <x14:conditionalFormatting xmlns:xm="http://schemas.microsoft.com/office/excel/2006/main">
          <x14:cfRule type="dataBar" id="{EBA49561-9CAD-41E9-AC0C-7983F8307C0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R463:R465</xm:sqref>
        </x14:conditionalFormatting>
        <x14:conditionalFormatting xmlns:xm="http://schemas.microsoft.com/office/excel/2006/main">
          <x14:cfRule type="dataBar" id="{21293D9A-7BE8-48B4-9C2D-8703583D60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R470</xm:sqref>
        </x14:conditionalFormatting>
        <x14:conditionalFormatting xmlns:xm="http://schemas.microsoft.com/office/excel/2006/main">
          <x14:cfRule type="dataBar" id="{303966E5-1915-4A49-A22C-B6028FFB10C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R470</xm:sqref>
        </x14:conditionalFormatting>
        <x14:conditionalFormatting xmlns:xm="http://schemas.microsoft.com/office/excel/2006/main">
          <x14:cfRule type="dataBar" id="{586A15BE-AD27-432F-ADCA-2836BD4D69F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T470</xm:sqref>
        </x14:conditionalFormatting>
        <x14:conditionalFormatting xmlns:xm="http://schemas.microsoft.com/office/excel/2006/main">
          <x14:cfRule type="dataBar" id="{8566545A-0A22-4AEB-9C44-F3D45997BFF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R470</xm:sqref>
        </x14:conditionalFormatting>
        <x14:conditionalFormatting xmlns:xm="http://schemas.microsoft.com/office/excel/2006/main">
          <x14:cfRule type="dataBar" id="{18992961-1E4F-41C7-93C1-DCC7839FC88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U470</xm:sqref>
        </x14:conditionalFormatting>
        <x14:conditionalFormatting xmlns:xm="http://schemas.microsoft.com/office/excel/2006/main">
          <x14:cfRule type="dataBar" id="{11AE72F6-2412-475E-A4FF-8BE1B93EF1C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T470</xm:sqref>
        </x14:conditionalFormatting>
        <x14:conditionalFormatting xmlns:xm="http://schemas.microsoft.com/office/excel/2006/main">
          <x14:cfRule type="dataBar" id="{DD948DA6-910B-4CB3-8D72-A084ADFA7F7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S470</xm:sqref>
        </x14:conditionalFormatting>
        <x14:conditionalFormatting xmlns:xm="http://schemas.microsoft.com/office/excel/2006/main">
          <x14:cfRule type="dataBar" id="{A8631ECF-3F98-41B3-956A-E3FBF740E51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R470</xm:sqref>
        </x14:conditionalFormatting>
        <x14:conditionalFormatting xmlns:xm="http://schemas.microsoft.com/office/excel/2006/main">
          <x14:cfRule type="dataBar" id="{3659F732-E3DB-4BB0-8B9F-D945434D4C9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S470</xm:sqref>
        </x14:conditionalFormatting>
        <x14:conditionalFormatting xmlns:xm="http://schemas.microsoft.com/office/excel/2006/main">
          <x14:cfRule type="dataBar" id="{AC377A5E-374A-43A5-B3FE-4AE3958CC01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T470</xm:sqref>
        </x14:conditionalFormatting>
        <x14:conditionalFormatting xmlns:xm="http://schemas.microsoft.com/office/excel/2006/main">
          <x14:cfRule type="dataBar" id="{570CA55B-708F-4C6B-B7B6-BA8AAA5AEE9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U470</xm:sqref>
        </x14:conditionalFormatting>
        <x14:conditionalFormatting xmlns:xm="http://schemas.microsoft.com/office/excel/2006/main">
          <x14:cfRule type="dataBar" id="{FE37ADDE-272F-4B32-A052-121503F9B1E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S470</xm:sqref>
        </x14:conditionalFormatting>
        <x14:conditionalFormatting xmlns:xm="http://schemas.microsoft.com/office/excel/2006/main">
          <x14:cfRule type="dataBar" id="{39F45D6C-AC1E-470F-9C05-7DCA068B216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T470</xm:sqref>
        </x14:conditionalFormatting>
        <x14:conditionalFormatting xmlns:xm="http://schemas.microsoft.com/office/excel/2006/main">
          <x14:cfRule type="dataBar" id="{E8AAC71A-0D93-42CB-B1DF-A1D5E39C429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U470</xm:sqref>
        </x14:conditionalFormatting>
        <x14:conditionalFormatting xmlns:xm="http://schemas.microsoft.com/office/excel/2006/main">
          <x14:cfRule type="dataBar" id="{3AAEA1BB-D8B3-4741-B5C2-771A70207F6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R470</xm:sqref>
        </x14:conditionalFormatting>
        <x14:conditionalFormatting xmlns:xm="http://schemas.microsoft.com/office/excel/2006/main">
          <x14:cfRule type="dataBar" id="{60EADBD1-4B60-44DE-BCD7-322335262A4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R469</xm:sqref>
        </x14:conditionalFormatting>
        <x14:conditionalFormatting xmlns:xm="http://schemas.microsoft.com/office/excel/2006/main">
          <x14:cfRule type="dataBar" id="{E4CAE284-ABD6-425C-9CD8-8E86CD51C2E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T469</xm:sqref>
        </x14:conditionalFormatting>
        <x14:conditionalFormatting xmlns:xm="http://schemas.microsoft.com/office/excel/2006/main">
          <x14:cfRule type="dataBar" id="{C7F9051E-3314-4900-87C0-791BC907195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R469</xm:sqref>
        </x14:conditionalFormatting>
        <x14:conditionalFormatting xmlns:xm="http://schemas.microsoft.com/office/excel/2006/main">
          <x14:cfRule type="dataBar" id="{F994B669-796E-4C40-B8FA-6DA5059FDA8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U469</xm:sqref>
        </x14:conditionalFormatting>
        <x14:conditionalFormatting xmlns:xm="http://schemas.microsoft.com/office/excel/2006/main">
          <x14:cfRule type="dataBar" id="{1650BE20-CCA7-4519-96CB-7AF713A6721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S469</xm:sqref>
        </x14:conditionalFormatting>
        <x14:conditionalFormatting xmlns:xm="http://schemas.microsoft.com/office/excel/2006/main">
          <x14:cfRule type="dataBar" id="{8AFA2E91-7DE0-42DC-9AB5-72F7008088C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R469</xm:sqref>
        </x14:conditionalFormatting>
        <x14:conditionalFormatting xmlns:xm="http://schemas.microsoft.com/office/excel/2006/main">
          <x14:cfRule type="dataBar" id="{62AA1B1B-CAD1-4B2B-B8E9-92E3184BF10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S469</xm:sqref>
        </x14:conditionalFormatting>
        <x14:conditionalFormatting xmlns:xm="http://schemas.microsoft.com/office/excel/2006/main">
          <x14:cfRule type="dataBar" id="{4985033B-3189-45E0-852C-9F22F289767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T469</xm:sqref>
        </x14:conditionalFormatting>
        <x14:conditionalFormatting xmlns:xm="http://schemas.microsoft.com/office/excel/2006/main">
          <x14:cfRule type="dataBar" id="{4B2B55EE-F8D1-4B1D-8E9D-C6E84F03417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U469</xm:sqref>
        </x14:conditionalFormatting>
        <x14:conditionalFormatting xmlns:xm="http://schemas.microsoft.com/office/excel/2006/main">
          <x14:cfRule type="dataBar" id="{A0CF8B60-B58E-4953-9B70-738EF1B03C6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S469</xm:sqref>
        </x14:conditionalFormatting>
        <x14:conditionalFormatting xmlns:xm="http://schemas.microsoft.com/office/excel/2006/main">
          <x14:cfRule type="dataBar" id="{E474454E-D2D5-4656-A54E-314E45B6610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T469</xm:sqref>
        </x14:conditionalFormatting>
        <x14:conditionalFormatting xmlns:xm="http://schemas.microsoft.com/office/excel/2006/main">
          <x14:cfRule type="dataBar" id="{87C79207-6E04-4315-B8D4-47ACCF04AF3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U469</xm:sqref>
        </x14:conditionalFormatting>
        <x14:conditionalFormatting xmlns:xm="http://schemas.microsoft.com/office/excel/2006/main">
          <x14:cfRule type="dataBar" id="{56747BCD-6520-4ABB-BB8D-A6E3EE8668F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R469</xm:sqref>
        </x14:conditionalFormatting>
        <x14:conditionalFormatting xmlns:xm="http://schemas.microsoft.com/office/excel/2006/main">
          <x14:cfRule type="dataBar" id="{6300B8C9-D1DD-4BFE-BE13-5FC140A8B31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R468</xm:sqref>
        </x14:conditionalFormatting>
        <x14:conditionalFormatting xmlns:xm="http://schemas.microsoft.com/office/excel/2006/main">
          <x14:cfRule type="dataBar" id="{73767219-CF65-481A-ABAD-8BDB638A1E2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R468</xm:sqref>
        </x14:conditionalFormatting>
        <x14:conditionalFormatting xmlns:xm="http://schemas.microsoft.com/office/excel/2006/main">
          <x14:cfRule type="dataBar" id="{090463B4-29FD-4ADB-A3D0-6D5203B9FE1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R468</xm:sqref>
        </x14:conditionalFormatting>
        <x14:conditionalFormatting xmlns:xm="http://schemas.microsoft.com/office/excel/2006/main">
          <x14:cfRule type="dataBar" id="{F6686D10-5C65-4F1D-86BD-C6EA3A1CF85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R468</xm:sqref>
        </x14:conditionalFormatting>
        <x14:conditionalFormatting xmlns:xm="http://schemas.microsoft.com/office/excel/2006/main">
          <x14:cfRule type="dataBar" id="{289AF4FF-0396-4660-BD91-74B79EC2B27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S468</xm:sqref>
        </x14:conditionalFormatting>
        <x14:conditionalFormatting xmlns:xm="http://schemas.microsoft.com/office/excel/2006/main">
          <x14:cfRule type="dataBar" id="{3DDC9076-08E2-42C7-B208-D99C6DDB293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T468</xm:sqref>
        </x14:conditionalFormatting>
        <x14:conditionalFormatting xmlns:xm="http://schemas.microsoft.com/office/excel/2006/main">
          <x14:cfRule type="dataBar" id="{9F6CD8A2-A9D2-476F-A869-BC4DD0EFE91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T468</xm:sqref>
        </x14:conditionalFormatting>
        <x14:conditionalFormatting xmlns:xm="http://schemas.microsoft.com/office/excel/2006/main">
          <x14:cfRule type="dataBar" id="{C0E48280-475E-458C-B88B-6022D309917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U468</xm:sqref>
        </x14:conditionalFormatting>
        <x14:conditionalFormatting xmlns:xm="http://schemas.microsoft.com/office/excel/2006/main">
          <x14:cfRule type="dataBar" id="{0ED1E588-4CC5-426E-A3CD-00BB3033AA1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U468</xm:sqref>
        </x14:conditionalFormatting>
        <x14:conditionalFormatting xmlns:xm="http://schemas.microsoft.com/office/excel/2006/main">
          <x14:cfRule type="dataBar" id="{CCDCEB0C-CAB8-40BC-9CE2-62111C813CF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R472:R473</xm:sqref>
        </x14:conditionalFormatting>
        <x14:conditionalFormatting xmlns:xm="http://schemas.microsoft.com/office/excel/2006/main">
          <x14:cfRule type="dataBar" id="{F22E8AA7-536E-460A-B587-991D0959D08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R472:R473</xm:sqref>
        </x14:conditionalFormatting>
        <x14:conditionalFormatting xmlns:xm="http://schemas.microsoft.com/office/excel/2006/main">
          <x14:cfRule type="dataBar" id="{ACA03873-AA98-491D-860E-BB71B48BCA8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T472:T473</xm:sqref>
        </x14:conditionalFormatting>
        <x14:conditionalFormatting xmlns:xm="http://schemas.microsoft.com/office/excel/2006/main">
          <x14:cfRule type="dataBar" id="{4C2E3508-63A5-43DD-BB7A-E35C3E8A074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R472:R473</xm:sqref>
        </x14:conditionalFormatting>
        <x14:conditionalFormatting xmlns:xm="http://schemas.microsoft.com/office/excel/2006/main">
          <x14:cfRule type="dataBar" id="{5D259BA7-A16C-4ACE-A7CC-BCB4B70FF9B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U472:U473</xm:sqref>
        </x14:conditionalFormatting>
        <x14:conditionalFormatting xmlns:xm="http://schemas.microsoft.com/office/excel/2006/main">
          <x14:cfRule type="dataBar" id="{F0569E26-0DD9-4E1C-B27E-B8A50530F84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T472:T473</xm:sqref>
        </x14:conditionalFormatting>
        <x14:conditionalFormatting xmlns:xm="http://schemas.microsoft.com/office/excel/2006/main">
          <x14:cfRule type="dataBar" id="{02AD1651-6266-48E3-B284-F404FD0B6DE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S472:S473</xm:sqref>
        </x14:conditionalFormatting>
        <x14:conditionalFormatting xmlns:xm="http://schemas.microsoft.com/office/excel/2006/main">
          <x14:cfRule type="dataBar" id="{FA6A1A81-42C8-4DF9-BC77-C41270358FB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R472:R473</xm:sqref>
        </x14:conditionalFormatting>
        <x14:conditionalFormatting xmlns:xm="http://schemas.microsoft.com/office/excel/2006/main">
          <x14:cfRule type="dataBar" id="{6C4178A2-620A-4960-BFEF-AC88E890256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S472:S473</xm:sqref>
        </x14:conditionalFormatting>
        <x14:conditionalFormatting xmlns:xm="http://schemas.microsoft.com/office/excel/2006/main">
          <x14:cfRule type="dataBar" id="{C8456FB9-6EBE-4F02-9151-45B94E09C30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T472:T473</xm:sqref>
        </x14:conditionalFormatting>
        <x14:conditionalFormatting xmlns:xm="http://schemas.microsoft.com/office/excel/2006/main">
          <x14:cfRule type="dataBar" id="{6F0FFE81-7D13-4861-B320-24C0AD232C6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U472:U473</xm:sqref>
        </x14:conditionalFormatting>
        <x14:conditionalFormatting xmlns:xm="http://schemas.microsoft.com/office/excel/2006/main">
          <x14:cfRule type="dataBar" id="{E956F744-5754-48F3-94E8-EA4CF0B811F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S472:S473</xm:sqref>
        </x14:conditionalFormatting>
        <x14:conditionalFormatting xmlns:xm="http://schemas.microsoft.com/office/excel/2006/main">
          <x14:cfRule type="dataBar" id="{8A43E1BD-3250-477E-9FBA-83F137CEB30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T472:T473</xm:sqref>
        </x14:conditionalFormatting>
        <x14:conditionalFormatting xmlns:xm="http://schemas.microsoft.com/office/excel/2006/main">
          <x14:cfRule type="dataBar" id="{86045FEE-3356-4A8C-8A85-6A6698DECBE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U472:U473</xm:sqref>
        </x14:conditionalFormatting>
        <x14:conditionalFormatting xmlns:xm="http://schemas.microsoft.com/office/excel/2006/main">
          <x14:cfRule type="dataBar" id="{86E4B458-3E99-4E4B-ABEF-D6870C12889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R472:R473</xm:sqref>
        </x14:conditionalFormatting>
        <x14:conditionalFormatting xmlns:xm="http://schemas.microsoft.com/office/excel/2006/main">
          <x14:cfRule type="dataBar" id="{10ECE48E-2A29-4856-AEA4-8B5FA9FF8EA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R474:R476</xm:sqref>
        </x14:conditionalFormatting>
        <x14:conditionalFormatting xmlns:xm="http://schemas.microsoft.com/office/excel/2006/main">
          <x14:cfRule type="dataBar" id="{58F517D2-B76F-49D9-840A-387D5588E15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T474:T476</xm:sqref>
        </x14:conditionalFormatting>
        <x14:conditionalFormatting xmlns:xm="http://schemas.microsoft.com/office/excel/2006/main">
          <x14:cfRule type="dataBar" id="{033A826E-D1DB-48B2-A0AE-7EEFCA9006A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R474:R476</xm:sqref>
        </x14:conditionalFormatting>
        <x14:conditionalFormatting xmlns:xm="http://schemas.microsoft.com/office/excel/2006/main">
          <x14:cfRule type="dataBar" id="{E74E174A-F702-4E29-8B98-30D40A143D4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U474:U476</xm:sqref>
        </x14:conditionalFormatting>
        <x14:conditionalFormatting xmlns:xm="http://schemas.microsoft.com/office/excel/2006/main">
          <x14:cfRule type="dataBar" id="{01C06EEB-D818-4FD2-9767-F7B794B122A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S474:S476</xm:sqref>
        </x14:conditionalFormatting>
        <x14:conditionalFormatting xmlns:xm="http://schemas.microsoft.com/office/excel/2006/main">
          <x14:cfRule type="dataBar" id="{25F2778E-B4F4-449A-9D80-2124D4C2DF4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R474:R476</xm:sqref>
        </x14:conditionalFormatting>
        <x14:conditionalFormatting xmlns:xm="http://schemas.microsoft.com/office/excel/2006/main">
          <x14:cfRule type="dataBar" id="{6618376B-7A87-4D6F-8BFC-4F0D13D4E57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S474:S476</xm:sqref>
        </x14:conditionalFormatting>
        <x14:conditionalFormatting xmlns:xm="http://schemas.microsoft.com/office/excel/2006/main">
          <x14:cfRule type="dataBar" id="{A760855F-C944-4DCF-8C22-24B3D9BA54E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T474:T476</xm:sqref>
        </x14:conditionalFormatting>
        <x14:conditionalFormatting xmlns:xm="http://schemas.microsoft.com/office/excel/2006/main">
          <x14:cfRule type="dataBar" id="{29C9D53B-4089-4E9D-94BF-2FAA000683B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U474:U476</xm:sqref>
        </x14:conditionalFormatting>
        <x14:conditionalFormatting xmlns:xm="http://schemas.microsoft.com/office/excel/2006/main">
          <x14:cfRule type="dataBar" id="{4C949696-55EA-47AC-BD05-8FC615819DC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S474:S476</xm:sqref>
        </x14:conditionalFormatting>
        <x14:conditionalFormatting xmlns:xm="http://schemas.microsoft.com/office/excel/2006/main">
          <x14:cfRule type="dataBar" id="{2C577BC8-C9FF-4760-B166-D50213B8720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T474:T476</xm:sqref>
        </x14:conditionalFormatting>
        <x14:conditionalFormatting xmlns:xm="http://schemas.microsoft.com/office/excel/2006/main">
          <x14:cfRule type="dataBar" id="{BA005873-05C7-4296-9EAA-002907E6A0C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U474:U476</xm:sqref>
        </x14:conditionalFormatting>
        <x14:conditionalFormatting xmlns:xm="http://schemas.microsoft.com/office/excel/2006/main">
          <x14:cfRule type="dataBar" id="{C997248C-4624-47F6-BF1A-58C1E3278F0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R474:R476</xm:sqref>
        </x14:conditionalFormatting>
        <x14:conditionalFormatting xmlns:xm="http://schemas.microsoft.com/office/excel/2006/main">
          <x14:cfRule type="dataBar" id="{87588FEE-1285-498E-85CE-251F06F2725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R477</xm:sqref>
        </x14:conditionalFormatting>
        <x14:conditionalFormatting xmlns:xm="http://schemas.microsoft.com/office/excel/2006/main">
          <x14:cfRule type="dataBar" id="{B6609CF4-4997-4737-8765-6A87736C433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T477</xm:sqref>
        </x14:conditionalFormatting>
        <x14:conditionalFormatting xmlns:xm="http://schemas.microsoft.com/office/excel/2006/main">
          <x14:cfRule type="dataBar" id="{55D3EEEF-28CC-4F26-B7F5-4F87002A154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R477</xm:sqref>
        </x14:conditionalFormatting>
        <x14:conditionalFormatting xmlns:xm="http://schemas.microsoft.com/office/excel/2006/main">
          <x14:cfRule type="dataBar" id="{A9E85A81-C8D9-41E7-8650-588EEB9CBC8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U477</xm:sqref>
        </x14:conditionalFormatting>
        <x14:conditionalFormatting xmlns:xm="http://schemas.microsoft.com/office/excel/2006/main">
          <x14:cfRule type="dataBar" id="{0BD88965-7289-412E-9DA7-B4AF7263AAC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S477</xm:sqref>
        </x14:conditionalFormatting>
        <x14:conditionalFormatting xmlns:xm="http://schemas.microsoft.com/office/excel/2006/main">
          <x14:cfRule type="dataBar" id="{59987B78-E32F-4F80-9AB7-C668D6241E4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R482</xm:sqref>
        </x14:conditionalFormatting>
        <x14:conditionalFormatting xmlns:xm="http://schemas.microsoft.com/office/excel/2006/main">
          <x14:cfRule type="dataBar" id="{31B51084-D17A-4AF9-9398-506F98591D9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R482</xm:sqref>
        </x14:conditionalFormatting>
        <x14:conditionalFormatting xmlns:xm="http://schemas.microsoft.com/office/excel/2006/main">
          <x14:cfRule type="dataBar" id="{AF46FA07-4F1D-4A82-AA8A-975AB079C77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T482</xm:sqref>
        </x14:conditionalFormatting>
        <x14:conditionalFormatting xmlns:xm="http://schemas.microsoft.com/office/excel/2006/main">
          <x14:cfRule type="dataBar" id="{7EF55436-0FEC-4741-8B8E-78D9ABCD478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R482</xm:sqref>
        </x14:conditionalFormatting>
        <x14:conditionalFormatting xmlns:xm="http://schemas.microsoft.com/office/excel/2006/main">
          <x14:cfRule type="dataBar" id="{53CCFA7C-D44E-4D82-9B67-9686967A407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U482</xm:sqref>
        </x14:conditionalFormatting>
        <x14:conditionalFormatting xmlns:xm="http://schemas.microsoft.com/office/excel/2006/main">
          <x14:cfRule type="dataBar" id="{B5C65799-2381-49E0-AB00-753B10EA91F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T482</xm:sqref>
        </x14:conditionalFormatting>
        <x14:conditionalFormatting xmlns:xm="http://schemas.microsoft.com/office/excel/2006/main">
          <x14:cfRule type="dataBar" id="{12CCF1E9-8D32-41EC-9CE4-E16E8949F44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S482</xm:sqref>
        </x14:conditionalFormatting>
        <x14:conditionalFormatting xmlns:xm="http://schemas.microsoft.com/office/excel/2006/main">
          <x14:cfRule type="dataBar" id="{13D2C49C-C3C0-47BB-9DC0-53C20160184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R482</xm:sqref>
        </x14:conditionalFormatting>
        <x14:conditionalFormatting xmlns:xm="http://schemas.microsoft.com/office/excel/2006/main">
          <x14:cfRule type="dataBar" id="{FC736E02-8298-4BFC-97FD-4B5A2B2955E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S482</xm:sqref>
        </x14:conditionalFormatting>
        <x14:conditionalFormatting xmlns:xm="http://schemas.microsoft.com/office/excel/2006/main">
          <x14:cfRule type="dataBar" id="{0B8A589D-F1AF-46F8-A074-31F9FF84A67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T482</xm:sqref>
        </x14:conditionalFormatting>
        <x14:conditionalFormatting xmlns:xm="http://schemas.microsoft.com/office/excel/2006/main">
          <x14:cfRule type="dataBar" id="{6FC0BDAF-AC59-4796-920F-2F23EF25008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U482</xm:sqref>
        </x14:conditionalFormatting>
        <x14:conditionalFormatting xmlns:xm="http://schemas.microsoft.com/office/excel/2006/main">
          <x14:cfRule type="dataBar" id="{01AB8CD1-AB7A-4965-95E3-B68CB8F4378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S482</xm:sqref>
        </x14:conditionalFormatting>
        <x14:conditionalFormatting xmlns:xm="http://schemas.microsoft.com/office/excel/2006/main">
          <x14:cfRule type="dataBar" id="{69AB1685-EA48-4017-A5A3-0C566882CC5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T482</xm:sqref>
        </x14:conditionalFormatting>
        <x14:conditionalFormatting xmlns:xm="http://schemas.microsoft.com/office/excel/2006/main">
          <x14:cfRule type="dataBar" id="{5EB01AFC-D6FD-4898-A70E-BCF1FB2A678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U482</xm:sqref>
        </x14:conditionalFormatting>
        <x14:conditionalFormatting xmlns:xm="http://schemas.microsoft.com/office/excel/2006/main">
          <x14:cfRule type="dataBar" id="{B1EAE9BF-EA40-4C70-BECB-B88B1045726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R482</xm:sqref>
        </x14:conditionalFormatting>
        <x14:conditionalFormatting xmlns:xm="http://schemas.microsoft.com/office/excel/2006/main">
          <x14:cfRule type="dataBar" id="{601CFCE5-2334-4AAC-BEB7-09742B5B8E8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S451:S455 S483 S458 S471 S466:S468 S479:S481</xm:sqref>
        </x14:conditionalFormatting>
        <x14:conditionalFormatting xmlns:xm="http://schemas.microsoft.com/office/excel/2006/main">
          <x14:cfRule type="dataBar" id="{914573D8-24C3-47DB-90A0-1B5C6DA6E4C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T451:T453 T483 T458 T471 T466:T467 T479:T481</xm:sqref>
        </x14:conditionalFormatting>
        <x14:conditionalFormatting xmlns:xm="http://schemas.microsoft.com/office/excel/2006/main">
          <x14:cfRule type="dataBar" id="{B6054E27-2A36-4AE6-A48C-9AED0EECAE0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U458 U483 U471 U479:U481 U451:U453 U466:U467</xm:sqref>
        </x14:conditionalFormatting>
        <x14:conditionalFormatting xmlns:xm="http://schemas.microsoft.com/office/excel/2006/main">
          <x14:cfRule type="dataBar" id="{E8309981-C7F4-40BB-B906-267B4F8D8EA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R458 R483 R451:R455 R471 R466:R468 R479:R481</xm:sqref>
        </x14:conditionalFormatting>
        <x14:conditionalFormatting xmlns:xm="http://schemas.microsoft.com/office/excel/2006/main">
          <x14:cfRule type="dataBar" id="{53E69559-1D29-475C-8F0B-847381BB9AA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R479:R481</xm:sqref>
        </x14:conditionalFormatting>
        <x14:conditionalFormatting xmlns:xm="http://schemas.microsoft.com/office/excel/2006/main">
          <x14:cfRule type="dataBar" id="{5EAAA1DF-56D1-4EAA-A04E-37D18C2E301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S479:S481</xm:sqref>
        </x14:conditionalFormatting>
        <x14:conditionalFormatting xmlns:xm="http://schemas.microsoft.com/office/excel/2006/main">
          <x14:cfRule type="dataBar" id="{2E6CDD8E-B62C-47B1-A7E3-9E41F977856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T479:T481</xm:sqref>
        </x14:conditionalFormatting>
        <x14:conditionalFormatting xmlns:xm="http://schemas.microsoft.com/office/excel/2006/main">
          <x14:cfRule type="dataBar" id="{00DD011C-A686-401C-BEAD-109926156A2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U479:U481</xm:sqref>
        </x14:conditionalFormatting>
        <x14:conditionalFormatting xmlns:xm="http://schemas.microsoft.com/office/excel/2006/main">
          <x14:cfRule type="dataBar" id="{04A8F940-E907-4B90-B124-0F471428CA0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R479:R481</xm:sqref>
        </x14:conditionalFormatting>
        <x14:conditionalFormatting xmlns:xm="http://schemas.microsoft.com/office/excel/2006/main">
          <x14:cfRule type="dataBar" id="{DEFA1330-112D-42D8-8654-8EEC7BE7105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R438:R483</xm:sqref>
        </x14:conditionalFormatting>
        <x14:conditionalFormatting xmlns:xm="http://schemas.microsoft.com/office/excel/2006/main">
          <x14:cfRule type="dataBar" id="{26A9EC07-176F-4F4B-8C04-7BAD1EB53B1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S438:S483</xm:sqref>
        </x14:conditionalFormatting>
        <x14:conditionalFormatting xmlns:xm="http://schemas.microsoft.com/office/excel/2006/main">
          <x14:cfRule type="dataBar" id="{7D3A4F65-6576-4A5C-9AB6-361DBE2DC4A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T438:T483</xm:sqref>
        </x14:conditionalFormatting>
        <x14:conditionalFormatting xmlns:xm="http://schemas.microsoft.com/office/excel/2006/main">
          <x14:cfRule type="dataBar" id="{2B95180B-4CD9-4F27-B3EA-C8A3539FEB8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U438:U483</xm:sqref>
        </x14:conditionalFormatting>
        <x14:conditionalFormatting xmlns:xm="http://schemas.microsoft.com/office/excel/2006/main">
          <x14:cfRule type="dataBar" id="{FAFD22B9-DA1C-473D-9886-B09B132297C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R478</xm:sqref>
        </x14:conditionalFormatting>
        <x14:conditionalFormatting xmlns:xm="http://schemas.microsoft.com/office/excel/2006/main">
          <x14:cfRule type="dataBar" id="{27A8FECE-C6D7-4ACC-BE76-C7B0C9F57CF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R478</xm:sqref>
        </x14:conditionalFormatting>
        <x14:conditionalFormatting xmlns:xm="http://schemas.microsoft.com/office/excel/2006/main">
          <x14:cfRule type="dataBar" id="{51BC5999-AAF0-4363-80EA-ABF589AE6B3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T478</xm:sqref>
        </x14:conditionalFormatting>
        <x14:conditionalFormatting xmlns:xm="http://schemas.microsoft.com/office/excel/2006/main">
          <x14:cfRule type="dataBar" id="{A8F66FC1-83BF-41A2-A6AE-903E29CF087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R478</xm:sqref>
        </x14:conditionalFormatting>
        <x14:conditionalFormatting xmlns:xm="http://schemas.microsoft.com/office/excel/2006/main">
          <x14:cfRule type="dataBar" id="{4CD5E76D-040E-4092-ADD0-8B9EE378038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U478</xm:sqref>
        </x14:conditionalFormatting>
        <x14:conditionalFormatting xmlns:xm="http://schemas.microsoft.com/office/excel/2006/main">
          <x14:cfRule type="dataBar" id="{44F00E91-0567-4172-82D8-C276973660C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T478</xm:sqref>
        </x14:conditionalFormatting>
        <x14:conditionalFormatting xmlns:xm="http://schemas.microsoft.com/office/excel/2006/main">
          <x14:cfRule type="dataBar" id="{2D9FC5F7-40C1-4C8B-8200-90BDBA35A29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S478</xm:sqref>
        </x14:conditionalFormatting>
        <x14:conditionalFormatting xmlns:xm="http://schemas.microsoft.com/office/excel/2006/main">
          <x14:cfRule type="dataBar" id="{94E21A7E-3602-497B-841A-12A79399AD4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R478</xm:sqref>
        </x14:conditionalFormatting>
        <x14:conditionalFormatting xmlns:xm="http://schemas.microsoft.com/office/excel/2006/main">
          <x14:cfRule type="dataBar" id="{3797AF2B-33A4-4D59-AB44-0BDB7E0ACF9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S478</xm:sqref>
        </x14:conditionalFormatting>
        <x14:conditionalFormatting xmlns:xm="http://schemas.microsoft.com/office/excel/2006/main">
          <x14:cfRule type="dataBar" id="{EC608D23-BECA-4DFD-BCE8-E9FF8CED3AF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T478</xm:sqref>
        </x14:conditionalFormatting>
        <x14:conditionalFormatting xmlns:xm="http://schemas.microsoft.com/office/excel/2006/main">
          <x14:cfRule type="dataBar" id="{9F613757-FD0A-4378-94B2-E8598899270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U478</xm:sqref>
        </x14:conditionalFormatting>
        <x14:conditionalFormatting xmlns:xm="http://schemas.microsoft.com/office/excel/2006/main">
          <x14:cfRule type="dataBar" id="{1D549D76-0FCF-4B15-BA0D-08D13A59EBD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S478</xm:sqref>
        </x14:conditionalFormatting>
        <x14:conditionalFormatting xmlns:xm="http://schemas.microsoft.com/office/excel/2006/main">
          <x14:cfRule type="dataBar" id="{83368323-60CD-4B12-813D-37F227AAE2E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T478</xm:sqref>
        </x14:conditionalFormatting>
        <x14:conditionalFormatting xmlns:xm="http://schemas.microsoft.com/office/excel/2006/main">
          <x14:cfRule type="dataBar" id="{651460A6-96EE-45B4-AB3E-4F830EE53C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U478</xm:sqref>
        </x14:conditionalFormatting>
        <x14:conditionalFormatting xmlns:xm="http://schemas.microsoft.com/office/excel/2006/main">
          <x14:cfRule type="dataBar" id="{99DF20A4-8114-437B-BCD2-44DC345CA3B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R478</xm:sqref>
        </x14:conditionalFormatting>
        <x14:conditionalFormatting xmlns:xm="http://schemas.microsoft.com/office/excel/2006/main">
          <x14:cfRule type="dataBar" id="{6D60204C-99A3-4B38-8C5F-51C9E9C5710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S598:S610</xm:sqref>
        </x14:conditionalFormatting>
        <x14:conditionalFormatting xmlns:xm="http://schemas.microsoft.com/office/excel/2006/main">
          <x14:cfRule type="dataBar" id="{B7BEB1B3-7CA9-46C6-8DFB-EA323C6AB7D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T598:T610</xm:sqref>
        </x14:conditionalFormatting>
        <x14:conditionalFormatting xmlns:xm="http://schemas.microsoft.com/office/excel/2006/main">
          <x14:cfRule type="dataBar" id="{8A89F869-7C13-4DA0-9A7B-9240E7F1EC5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U598:U610</xm:sqref>
        </x14:conditionalFormatting>
        <x14:conditionalFormatting xmlns:xm="http://schemas.microsoft.com/office/excel/2006/main">
          <x14:cfRule type="dataBar" id="{081E3664-D91B-4611-8A5C-A59BB7F24B0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S611:S613</xm:sqref>
        </x14:conditionalFormatting>
        <x14:conditionalFormatting xmlns:xm="http://schemas.microsoft.com/office/excel/2006/main">
          <x14:cfRule type="dataBar" id="{AC2BD9DF-6B0D-40FE-B9F5-679E473FAEE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T611:T613</xm:sqref>
        </x14:conditionalFormatting>
        <x14:conditionalFormatting xmlns:xm="http://schemas.microsoft.com/office/excel/2006/main">
          <x14:cfRule type="dataBar" id="{A96657F6-16E0-478B-8DBF-A62E8D19260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U611:U613</xm:sqref>
        </x14:conditionalFormatting>
        <x14:conditionalFormatting xmlns:xm="http://schemas.microsoft.com/office/excel/2006/main">
          <x14:cfRule type="dataBar" id="{6CAB6BD1-D768-47CE-B6E8-8DABFEF3C41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S645:S647 S597 S630 S634:S636</xm:sqref>
        </x14:conditionalFormatting>
        <x14:conditionalFormatting xmlns:xm="http://schemas.microsoft.com/office/excel/2006/main">
          <x14:cfRule type="dataBar" id="{42D927A4-F92B-415B-B8F6-F1212935F0B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T645:T647 T597 T630 T634:T636</xm:sqref>
        </x14:conditionalFormatting>
        <x14:conditionalFormatting xmlns:xm="http://schemas.microsoft.com/office/excel/2006/main">
          <x14:cfRule type="dataBar" id="{E8E25D9E-2931-40C2-81D8-6D6C44CC32D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U645:U647 U597 U630 U634:U636</xm:sqref>
        </x14:conditionalFormatting>
        <x14:conditionalFormatting xmlns:xm="http://schemas.microsoft.com/office/excel/2006/main">
          <x14:cfRule type="dataBar" id="{9CF61A4B-8656-4AF9-9B62-9BBF72CE858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S614:S616</xm:sqref>
        </x14:conditionalFormatting>
        <x14:conditionalFormatting xmlns:xm="http://schemas.microsoft.com/office/excel/2006/main">
          <x14:cfRule type="dataBar" id="{F77223FD-7366-4C6F-9396-DE2B08B06DA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T614:T616</xm:sqref>
        </x14:conditionalFormatting>
        <x14:conditionalFormatting xmlns:xm="http://schemas.microsoft.com/office/excel/2006/main">
          <x14:cfRule type="dataBar" id="{4B036658-48A6-427F-ABF9-0A5EBA1782C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U614:U616</xm:sqref>
        </x14:conditionalFormatting>
        <x14:conditionalFormatting xmlns:xm="http://schemas.microsoft.com/office/excel/2006/main">
          <x14:cfRule type="dataBar" id="{9AC4EA08-6D1F-4C93-8B38-FE9E8118FA3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S597:S647</xm:sqref>
        </x14:conditionalFormatting>
        <x14:conditionalFormatting xmlns:xm="http://schemas.microsoft.com/office/excel/2006/main">
          <x14:cfRule type="dataBar" id="{32E41D22-F47D-4099-8CB1-62D146D040E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T597:T647</xm:sqref>
        </x14:conditionalFormatting>
        <x14:conditionalFormatting xmlns:xm="http://schemas.microsoft.com/office/excel/2006/main">
          <x14:cfRule type="dataBar" id="{A26B7338-4300-43D9-96B2-E96A6CCF7AE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U597:U647</xm:sqref>
        </x14:conditionalFormatting>
        <x14:conditionalFormatting xmlns:xm="http://schemas.microsoft.com/office/excel/2006/main">
          <x14:cfRule type="dataBar" id="{CF193338-532E-4F03-9ED5-B69ACB73F9B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S617:S622</xm:sqref>
        </x14:conditionalFormatting>
        <x14:conditionalFormatting xmlns:xm="http://schemas.microsoft.com/office/excel/2006/main">
          <x14:cfRule type="dataBar" id="{744D72CE-8D4D-4C6F-9B41-01B50B46C03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T617:T622</xm:sqref>
        </x14:conditionalFormatting>
        <x14:conditionalFormatting xmlns:xm="http://schemas.microsoft.com/office/excel/2006/main">
          <x14:cfRule type="dataBar" id="{510B51EE-4DDF-4786-9979-A6B6297C731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U617:U622</xm:sqref>
        </x14:conditionalFormatting>
        <x14:conditionalFormatting xmlns:xm="http://schemas.microsoft.com/office/excel/2006/main">
          <x14:cfRule type="dataBar" id="{44B1B268-3845-433D-B0DC-F5B5C20FB7E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S623:S628</xm:sqref>
        </x14:conditionalFormatting>
        <x14:conditionalFormatting xmlns:xm="http://schemas.microsoft.com/office/excel/2006/main">
          <x14:cfRule type="dataBar" id="{CBDF8B24-FA8D-43B9-8BC9-58A779A10DE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T623:T628</xm:sqref>
        </x14:conditionalFormatting>
        <x14:conditionalFormatting xmlns:xm="http://schemas.microsoft.com/office/excel/2006/main">
          <x14:cfRule type="dataBar" id="{390E0505-B730-4EEB-BFC1-4C068309829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U623:U628</xm:sqref>
        </x14:conditionalFormatting>
        <x14:conditionalFormatting xmlns:xm="http://schemas.microsoft.com/office/excel/2006/main">
          <x14:cfRule type="dataBar" id="{B6434698-E18B-41B6-84BF-4BC24751818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S629</xm:sqref>
        </x14:conditionalFormatting>
        <x14:conditionalFormatting xmlns:xm="http://schemas.microsoft.com/office/excel/2006/main">
          <x14:cfRule type="dataBar" id="{1D9AB383-7F75-47C8-8AD6-A009B921EC7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T629</xm:sqref>
        </x14:conditionalFormatting>
        <x14:conditionalFormatting xmlns:xm="http://schemas.microsoft.com/office/excel/2006/main">
          <x14:cfRule type="dataBar" id="{3C301434-B921-4B19-9A1F-B12B3A363DE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U629</xm:sqref>
        </x14:conditionalFormatting>
        <x14:conditionalFormatting xmlns:xm="http://schemas.microsoft.com/office/excel/2006/main">
          <x14:cfRule type="dataBar" id="{F7B60A84-2058-43AB-882C-D7F75ED87E9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T631:T633</xm:sqref>
        </x14:conditionalFormatting>
        <x14:conditionalFormatting xmlns:xm="http://schemas.microsoft.com/office/excel/2006/main">
          <x14:cfRule type="dataBar" id="{333460BC-822B-415A-AD51-EEB10B5B40B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U631:U633</xm:sqref>
        </x14:conditionalFormatting>
        <x14:conditionalFormatting xmlns:xm="http://schemas.microsoft.com/office/excel/2006/main">
          <x14:cfRule type="dataBar" id="{8B6F2980-5097-4704-9AA6-C8CDFBF34DD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T637</xm:sqref>
        </x14:conditionalFormatting>
        <x14:conditionalFormatting xmlns:xm="http://schemas.microsoft.com/office/excel/2006/main">
          <x14:cfRule type="dataBar" id="{54AEABBA-AEAA-42A4-8AC3-C9AFC79049F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U637</xm:sqref>
        </x14:conditionalFormatting>
        <x14:conditionalFormatting xmlns:xm="http://schemas.microsoft.com/office/excel/2006/main">
          <x14:cfRule type="dataBar" id="{CBA03688-BCCA-4046-A39F-D914C042F27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S639</xm:sqref>
        </x14:conditionalFormatting>
        <x14:conditionalFormatting xmlns:xm="http://schemas.microsoft.com/office/excel/2006/main">
          <x14:cfRule type="dataBar" id="{3CB12869-09B5-44F6-A8E2-C7F7023C9F2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T639</xm:sqref>
        </x14:conditionalFormatting>
        <x14:conditionalFormatting xmlns:xm="http://schemas.microsoft.com/office/excel/2006/main">
          <x14:cfRule type="dataBar" id="{1C7D5CE7-A16D-48CA-8015-E7855D1B41E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U639</xm:sqref>
        </x14:conditionalFormatting>
        <x14:conditionalFormatting xmlns:xm="http://schemas.microsoft.com/office/excel/2006/main">
          <x14:cfRule type="dataBar" id="{8CCF2748-461D-486F-83DF-E7F9D1FEAD2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S640</xm:sqref>
        </x14:conditionalFormatting>
        <x14:conditionalFormatting xmlns:xm="http://schemas.microsoft.com/office/excel/2006/main">
          <x14:cfRule type="dataBar" id="{3267A734-6928-4613-960E-37B6DADB75F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T640</xm:sqref>
        </x14:conditionalFormatting>
        <x14:conditionalFormatting xmlns:xm="http://schemas.microsoft.com/office/excel/2006/main">
          <x14:cfRule type="dataBar" id="{222C1059-6C62-40C3-AEA8-D666A182064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U640</xm:sqref>
        </x14:conditionalFormatting>
        <x14:conditionalFormatting xmlns:xm="http://schemas.microsoft.com/office/excel/2006/main">
          <x14:cfRule type="dataBar" id="{D6641D4D-E928-4E96-8021-618E88646D4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S631:S637</xm:sqref>
        </x14:conditionalFormatting>
        <x14:conditionalFormatting xmlns:xm="http://schemas.microsoft.com/office/excel/2006/main">
          <x14:cfRule type="dataBar" id="{3B414D2B-5E4E-4380-8B95-E3E58007EB8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S638</xm:sqref>
        </x14:conditionalFormatting>
        <x14:conditionalFormatting xmlns:xm="http://schemas.microsoft.com/office/excel/2006/main">
          <x14:cfRule type="dataBar" id="{CFFB5630-3E70-467C-B538-DCBCADC843C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T638</xm:sqref>
        </x14:conditionalFormatting>
        <x14:conditionalFormatting xmlns:xm="http://schemas.microsoft.com/office/excel/2006/main">
          <x14:cfRule type="dataBar" id="{1BE00233-C16D-4F2B-83DF-04322DD1F4B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U638</xm:sqref>
        </x14:conditionalFormatting>
        <x14:conditionalFormatting xmlns:xm="http://schemas.microsoft.com/office/excel/2006/main">
          <x14:cfRule type="dataBar" id="{AB21BEDA-039B-45F8-A436-D2012B4B30D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S641:S642</xm:sqref>
        </x14:conditionalFormatting>
        <x14:conditionalFormatting xmlns:xm="http://schemas.microsoft.com/office/excel/2006/main">
          <x14:cfRule type="dataBar" id="{95FFBFF6-B7F3-433B-8981-33C1876DB3E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T641:T642</xm:sqref>
        </x14:conditionalFormatting>
        <x14:conditionalFormatting xmlns:xm="http://schemas.microsoft.com/office/excel/2006/main">
          <x14:cfRule type="dataBar" id="{6257FD42-307D-4DBF-A359-06350056AB7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U641:U642</xm:sqref>
        </x14:conditionalFormatting>
        <x14:conditionalFormatting xmlns:xm="http://schemas.microsoft.com/office/excel/2006/main">
          <x14:cfRule type="dataBar" id="{24B87AA8-5527-47FC-95CC-D4DA4F46616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T643:T644</xm:sqref>
        </x14:conditionalFormatting>
        <x14:conditionalFormatting xmlns:xm="http://schemas.microsoft.com/office/excel/2006/main">
          <x14:cfRule type="dataBar" id="{4D434ED0-BCE3-4743-A980-FA3277A2143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U643:U644</xm:sqref>
        </x14:conditionalFormatting>
        <x14:conditionalFormatting xmlns:xm="http://schemas.microsoft.com/office/excel/2006/main">
          <x14:cfRule type="dataBar" id="{DADBDAF8-C7C5-48B2-A1DD-CFE0AFF86DD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S643:S644</xm:sqref>
        </x14:conditionalFormatting>
        <x14:conditionalFormatting xmlns:xm="http://schemas.microsoft.com/office/excel/2006/main">
          <x14:cfRule type="dataBar" id="{72905EE8-D22C-4EE5-B99F-AC83425DC9C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S660:S667 S655 S682:S688 S691</xm:sqref>
        </x14:conditionalFormatting>
        <x14:conditionalFormatting xmlns:xm="http://schemas.microsoft.com/office/excel/2006/main">
          <x14:cfRule type="dataBar" id="{5456BA95-3492-41BD-B267-860C188B3B5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T660:T667 T655 T682:T688 T691</xm:sqref>
        </x14:conditionalFormatting>
        <x14:conditionalFormatting xmlns:xm="http://schemas.microsoft.com/office/excel/2006/main">
          <x14:cfRule type="dataBar" id="{EA2530F6-51A6-4BDE-BAD8-7DBCC924236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U660:U667 U655 U682:U688 U691</xm:sqref>
        </x14:conditionalFormatting>
        <x14:conditionalFormatting xmlns:xm="http://schemas.microsoft.com/office/excel/2006/main">
          <x14:cfRule type="dataBar" id="{F225AB78-530E-47EC-9FF3-9FD19D226AD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S648:S649</xm:sqref>
        </x14:conditionalFormatting>
        <x14:conditionalFormatting xmlns:xm="http://schemas.microsoft.com/office/excel/2006/main">
          <x14:cfRule type="dataBar" id="{82BB167D-5A1B-4656-939A-53AD57487DC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T648:T649</xm:sqref>
        </x14:conditionalFormatting>
        <x14:conditionalFormatting xmlns:xm="http://schemas.microsoft.com/office/excel/2006/main">
          <x14:cfRule type="dataBar" id="{4A83DAC7-F475-496E-9FBD-8DBFDEF25D3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U648:U649</xm:sqref>
        </x14:conditionalFormatting>
        <x14:conditionalFormatting xmlns:xm="http://schemas.microsoft.com/office/excel/2006/main">
          <x14:cfRule type="dataBar" id="{B9802C8E-634C-449A-A3EB-24387E9A1E5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S650:S651</xm:sqref>
        </x14:conditionalFormatting>
        <x14:conditionalFormatting xmlns:xm="http://schemas.microsoft.com/office/excel/2006/main">
          <x14:cfRule type="dataBar" id="{CCDC8841-E035-4BD6-B76B-A39C406E868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T650:T651</xm:sqref>
        </x14:conditionalFormatting>
        <x14:conditionalFormatting xmlns:xm="http://schemas.microsoft.com/office/excel/2006/main">
          <x14:cfRule type="dataBar" id="{B70A6143-ABB0-4C75-812C-C0B26FA2391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U650:U651</xm:sqref>
        </x14:conditionalFormatting>
        <x14:conditionalFormatting xmlns:xm="http://schemas.microsoft.com/office/excel/2006/main">
          <x14:cfRule type="dataBar" id="{3C7B3D7D-DD8B-4FD0-8EDB-7EC3279F87A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S652:S654</xm:sqref>
        </x14:conditionalFormatting>
        <x14:conditionalFormatting xmlns:xm="http://schemas.microsoft.com/office/excel/2006/main">
          <x14:cfRule type="dataBar" id="{63B7F9FE-AE41-4427-B4AF-058C761AB3C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T652:T654</xm:sqref>
        </x14:conditionalFormatting>
        <x14:conditionalFormatting xmlns:xm="http://schemas.microsoft.com/office/excel/2006/main">
          <x14:cfRule type="dataBar" id="{FF123FBE-A68A-494B-AC88-4F32B0AE21E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U652:U654</xm:sqref>
        </x14:conditionalFormatting>
        <x14:conditionalFormatting xmlns:xm="http://schemas.microsoft.com/office/excel/2006/main">
          <x14:cfRule type="dataBar" id="{26B01ED1-5832-41CE-AF05-080CEC3656F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S656</xm:sqref>
        </x14:conditionalFormatting>
        <x14:conditionalFormatting xmlns:xm="http://schemas.microsoft.com/office/excel/2006/main">
          <x14:cfRule type="dataBar" id="{3062784D-C4C5-46FD-ABCF-08406642694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T656</xm:sqref>
        </x14:conditionalFormatting>
        <x14:conditionalFormatting xmlns:xm="http://schemas.microsoft.com/office/excel/2006/main">
          <x14:cfRule type="dataBar" id="{ACBC19A6-D042-45B3-8DB9-7E732F7B374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U656</xm:sqref>
        </x14:conditionalFormatting>
        <x14:conditionalFormatting xmlns:xm="http://schemas.microsoft.com/office/excel/2006/main">
          <x14:cfRule type="dataBar" id="{F8D1366A-40D0-48C2-877D-188F108D49D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S657:S658</xm:sqref>
        </x14:conditionalFormatting>
        <x14:conditionalFormatting xmlns:xm="http://schemas.microsoft.com/office/excel/2006/main">
          <x14:cfRule type="dataBar" id="{B7D7811E-7DEC-45A5-9802-6DA5EFFEF7C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T657:T658</xm:sqref>
        </x14:conditionalFormatting>
        <x14:conditionalFormatting xmlns:xm="http://schemas.microsoft.com/office/excel/2006/main">
          <x14:cfRule type="dataBar" id="{D919FFB0-1F75-4B36-90D5-72027D82EF1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U657:U658</xm:sqref>
        </x14:conditionalFormatting>
        <x14:conditionalFormatting xmlns:xm="http://schemas.microsoft.com/office/excel/2006/main">
          <x14:cfRule type="dataBar" id="{6F565B0B-CE6C-47E5-815C-751A2B1890F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S659</xm:sqref>
        </x14:conditionalFormatting>
        <x14:conditionalFormatting xmlns:xm="http://schemas.microsoft.com/office/excel/2006/main">
          <x14:cfRule type="dataBar" id="{43AC5F50-73A9-4F36-93D8-7FD9749174A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T659</xm:sqref>
        </x14:conditionalFormatting>
        <x14:conditionalFormatting xmlns:xm="http://schemas.microsoft.com/office/excel/2006/main">
          <x14:cfRule type="dataBar" id="{FC23EB18-BBB1-4E32-BA93-5DCD7DC7AAA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U659</xm:sqref>
        </x14:conditionalFormatting>
        <x14:conditionalFormatting xmlns:xm="http://schemas.microsoft.com/office/excel/2006/main">
          <x14:cfRule type="dataBar" id="{AF317282-F057-4D5B-A86B-EFBA4954501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S648:S672 S681:S688 S691</xm:sqref>
        </x14:conditionalFormatting>
        <x14:conditionalFormatting xmlns:xm="http://schemas.microsoft.com/office/excel/2006/main">
          <x14:cfRule type="dataBar" id="{DBCC210F-F9A5-4D70-86F1-C8F46959F67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T648:T672 T681:T688 T691</xm:sqref>
        </x14:conditionalFormatting>
        <x14:conditionalFormatting xmlns:xm="http://schemas.microsoft.com/office/excel/2006/main">
          <x14:cfRule type="dataBar" id="{E7EF5492-DC54-460C-84A2-AADE6FF9C03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U648:U672 U681:U688 U691</xm:sqref>
        </x14:conditionalFormatting>
        <x14:conditionalFormatting xmlns:xm="http://schemas.microsoft.com/office/excel/2006/main">
          <x14:cfRule type="dataBar" id="{33771252-AD51-426F-8CEB-3138D11E80C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S668:S672</xm:sqref>
        </x14:conditionalFormatting>
        <x14:conditionalFormatting xmlns:xm="http://schemas.microsoft.com/office/excel/2006/main">
          <x14:cfRule type="dataBar" id="{6E8B77B6-A886-41FC-91D9-0B9CD885F1A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T668:T672</xm:sqref>
        </x14:conditionalFormatting>
        <x14:conditionalFormatting xmlns:xm="http://schemas.microsoft.com/office/excel/2006/main">
          <x14:cfRule type="dataBar" id="{3B0526F6-E08E-48E2-B72E-82A188AC51B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U668:U672</xm:sqref>
        </x14:conditionalFormatting>
        <x14:conditionalFormatting xmlns:xm="http://schemas.microsoft.com/office/excel/2006/main">
          <x14:cfRule type="dataBar" id="{2F805409-417F-4F3F-8319-558743A76DE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S673:S678</xm:sqref>
        </x14:conditionalFormatting>
        <x14:conditionalFormatting xmlns:xm="http://schemas.microsoft.com/office/excel/2006/main">
          <x14:cfRule type="dataBar" id="{EE563C06-77DB-4A9D-8F1C-50A6D24CD2A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T673:T678</xm:sqref>
        </x14:conditionalFormatting>
        <x14:conditionalFormatting xmlns:xm="http://schemas.microsoft.com/office/excel/2006/main">
          <x14:cfRule type="dataBar" id="{653AF91D-7AA6-4D61-B8DA-9FACCFA77C8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U673:U678</xm:sqref>
        </x14:conditionalFormatting>
        <x14:conditionalFormatting xmlns:xm="http://schemas.microsoft.com/office/excel/2006/main">
          <x14:cfRule type="dataBar" id="{73E8B67C-65D9-4D1F-A5D6-25E547E1F53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S680</xm:sqref>
        </x14:conditionalFormatting>
        <x14:conditionalFormatting xmlns:xm="http://schemas.microsoft.com/office/excel/2006/main">
          <x14:cfRule type="dataBar" id="{73F10D02-09D1-464A-990F-DCBA18CC39D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T680</xm:sqref>
        </x14:conditionalFormatting>
        <x14:conditionalFormatting xmlns:xm="http://schemas.microsoft.com/office/excel/2006/main">
          <x14:cfRule type="dataBar" id="{7FF6A9ED-0D18-4FD2-9B87-29B16484D1D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U680</xm:sqref>
        </x14:conditionalFormatting>
        <x14:conditionalFormatting xmlns:xm="http://schemas.microsoft.com/office/excel/2006/main">
          <x14:cfRule type="dataBar" id="{8A43D0C0-EA33-4E74-BB11-D4FEE7894CB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S679</xm:sqref>
        </x14:conditionalFormatting>
        <x14:conditionalFormatting xmlns:xm="http://schemas.microsoft.com/office/excel/2006/main">
          <x14:cfRule type="dataBar" id="{60772B19-E07D-4F9D-918A-1A1C3D661ED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T679</xm:sqref>
        </x14:conditionalFormatting>
        <x14:conditionalFormatting xmlns:xm="http://schemas.microsoft.com/office/excel/2006/main">
          <x14:cfRule type="dataBar" id="{7BF70D0B-FCE5-43D4-8BE0-7DAFBD10A0C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U679</xm:sqref>
        </x14:conditionalFormatting>
        <x14:conditionalFormatting xmlns:xm="http://schemas.microsoft.com/office/excel/2006/main">
          <x14:cfRule type="dataBar" id="{CBDBD08A-5CE4-4E97-A584-BC9B440D236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S648:S691</xm:sqref>
        </x14:conditionalFormatting>
        <x14:conditionalFormatting xmlns:xm="http://schemas.microsoft.com/office/excel/2006/main">
          <x14:cfRule type="dataBar" id="{898B40B0-E2CC-4BCD-A5F4-90AB384B279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T648:T691</xm:sqref>
        </x14:conditionalFormatting>
        <x14:conditionalFormatting xmlns:xm="http://schemas.microsoft.com/office/excel/2006/main">
          <x14:cfRule type="dataBar" id="{50E2700C-7BC4-45D2-8899-0EB6D4B7DC7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U648:U691</xm:sqref>
        </x14:conditionalFormatting>
        <x14:conditionalFormatting xmlns:xm="http://schemas.microsoft.com/office/excel/2006/main">
          <x14:cfRule type="dataBar" id="{541326E8-4AEC-4D60-ADF8-DF98D63AF97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S681</xm:sqref>
        </x14:conditionalFormatting>
        <x14:conditionalFormatting xmlns:xm="http://schemas.microsoft.com/office/excel/2006/main">
          <x14:cfRule type="dataBar" id="{4BE2F4D9-A899-4ADE-BF09-471AE3AAA99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T681</xm:sqref>
        </x14:conditionalFormatting>
        <x14:conditionalFormatting xmlns:xm="http://schemas.microsoft.com/office/excel/2006/main">
          <x14:cfRule type="dataBar" id="{2CDF053E-B7FA-45CD-B2CE-0567B089968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U681</xm:sqref>
        </x14:conditionalFormatting>
        <x14:conditionalFormatting xmlns:xm="http://schemas.microsoft.com/office/excel/2006/main">
          <x14:cfRule type="dataBar" id="{39697B5F-75AB-4088-BF26-18BB2A353E1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S689:S690</xm:sqref>
        </x14:conditionalFormatting>
        <x14:conditionalFormatting xmlns:xm="http://schemas.microsoft.com/office/excel/2006/main">
          <x14:cfRule type="dataBar" id="{4898F82C-A745-455B-BD35-98B1B1956BE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T689:T690</xm:sqref>
        </x14:conditionalFormatting>
        <x14:conditionalFormatting xmlns:xm="http://schemas.microsoft.com/office/excel/2006/main">
          <x14:cfRule type="dataBar" id="{A7162613-F4FC-4D63-BDC3-98471BF74D6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U689:U690</xm:sqref>
        </x14:conditionalFormatting>
        <x14:conditionalFormatting xmlns:xm="http://schemas.microsoft.com/office/excel/2006/main">
          <x14:cfRule type="dataBar" id="{365BAE66-5D07-4E05-80DA-FF61E7760E3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S714</xm:sqref>
        </x14:conditionalFormatting>
        <x14:conditionalFormatting xmlns:xm="http://schemas.microsoft.com/office/excel/2006/main">
          <x14:cfRule type="dataBar" id="{2F14752A-376D-4524-B3C7-CEF0640EB49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T714</xm:sqref>
        </x14:conditionalFormatting>
        <x14:conditionalFormatting xmlns:xm="http://schemas.microsoft.com/office/excel/2006/main">
          <x14:cfRule type="dataBar" id="{C90C525C-AFA4-43ED-A190-0A6CA754FE1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U714</xm:sqref>
        </x14:conditionalFormatting>
        <x14:conditionalFormatting xmlns:xm="http://schemas.microsoft.com/office/excel/2006/main">
          <x14:cfRule type="dataBar" id="{4F8C1F11-EA53-49F4-80EF-F404707747C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S698</xm:sqref>
        </x14:conditionalFormatting>
        <x14:conditionalFormatting xmlns:xm="http://schemas.microsoft.com/office/excel/2006/main">
          <x14:cfRule type="dataBar" id="{36454229-A2E1-44F4-BE80-2BD99CB015E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T698</xm:sqref>
        </x14:conditionalFormatting>
        <x14:conditionalFormatting xmlns:xm="http://schemas.microsoft.com/office/excel/2006/main">
          <x14:cfRule type="dataBar" id="{9A23332A-5513-4B75-9C36-5DE4A203D4A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U698</xm:sqref>
        </x14:conditionalFormatting>
        <x14:conditionalFormatting xmlns:xm="http://schemas.microsoft.com/office/excel/2006/main">
          <x14:cfRule type="dataBar" id="{2766E004-B2C9-40CA-AC04-FBB1377F4DB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S705</xm:sqref>
        </x14:conditionalFormatting>
        <x14:conditionalFormatting xmlns:xm="http://schemas.microsoft.com/office/excel/2006/main">
          <x14:cfRule type="dataBar" id="{69B8FD04-BC87-4197-AC4A-FB2F9822468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T705</xm:sqref>
        </x14:conditionalFormatting>
        <x14:conditionalFormatting xmlns:xm="http://schemas.microsoft.com/office/excel/2006/main">
          <x14:cfRule type="dataBar" id="{A03F0CBB-A48C-40A8-93B6-F9E1009B695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U705</xm:sqref>
        </x14:conditionalFormatting>
        <x14:conditionalFormatting xmlns:xm="http://schemas.microsoft.com/office/excel/2006/main">
          <x14:cfRule type="dataBar" id="{4B2645BA-5FA1-4A2A-A1D1-8893F244F4E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S705 S698 S714:S715</xm:sqref>
        </x14:conditionalFormatting>
        <x14:conditionalFormatting xmlns:xm="http://schemas.microsoft.com/office/excel/2006/main">
          <x14:cfRule type="dataBar" id="{AA7BB361-CAD0-4901-A337-748BC247161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T705 T698 T714:T715</xm:sqref>
        </x14:conditionalFormatting>
        <x14:conditionalFormatting xmlns:xm="http://schemas.microsoft.com/office/excel/2006/main">
          <x14:cfRule type="dataBar" id="{8A9AE72F-3698-4D04-A2CA-2F8C322C7B2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U705 U698 U714:U715</xm:sqref>
        </x14:conditionalFormatting>
        <x14:conditionalFormatting xmlns:xm="http://schemas.microsoft.com/office/excel/2006/main">
          <x14:cfRule type="dataBar" id="{860D1221-84AC-45EE-A3CB-D9B9F8B1D05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S715</xm:sqref>
        </x14:conditionalFormatting>
        <x14:conditionalFormatting xmlns:xm="http://schemas.microsoft.com/office/excel/2006/main">
          <x14:cfRule type="dataBar" id="{2826EE72-00ED-4226-9EB6-FC3DC25295F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T715</xm:sqref>
        </x14:conditionalFormatting>
        <x14:conditionalFormatting xmlns:xm="http://schemas.microsoft.com/office/excel/2006/main">
          <x14:cfRule type="dataBar" id="{321373E5-EF47-4AD0-B5BF-C9449635E3F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U715</xm:sqref>
        </x14:conditionalFormatting>
        <x14:conditionalFormatting xmlns:xm="http://schemas.microsoft.com/office/excel/2006/main">
          <x14:cfRule type="dataBar" id="{5A259734-3DC7-45E3-848A-E4061AC9C2B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S705 S698 S714:S715</xm:sqref>
        </x14:conditionalFormatting>
        <x14:conditionalFormatting xmlns:xm="http://schemas.microsoft.com/office/excel/2006/main">
          <x14:cfRule type="dataBar" id="{B754D235-3AEE-4F76-9CC9-FA9BB3420F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T705 T698 T714:T715</xm:sqref>
        </x14:conditionalFormatting>
        <x14:conditionalFormatting xmlns:xm="http://schemas.microsoft.com/office/excel/2006/main">
          <x14:cfRule type="dataBar" id="{8BFFCB1F-0056-445B-BBD8-2D4257FA4A8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U705 U698 U714:U715</xm:sqref>
        </x14:conditionalFormatting>
        <x14:conditionalFormatting xmlns:xm="http://schemas.microsoft.com/office/excel/2006/main">
          <x14:cfRule type="dataBar" id="{BED619E4-A669-4B5A-908D-52D09B1FE1D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S703:S704</xm:sqref>
        </x14:conditionalFormatting>
        <x14:conditionalFormatting xmlns:xm="http://schemas.microsoft.com/office/excel/2006/main">
          <x14:cfRule type="dataBar" id="{6DB8D17E-B797-4C99-BFAA-FA6E3C40E58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T703:T704</xm:sqref>
        </x14:conditionalFormatting>
        <x14:conditionalFormatting xmlns:xm="http://schemas.microsoft.com/office/excel/2006/main">
          <x14:cfRule type="dataBar" id="{77FE3F35-BB58-4D31-B814-B805CBC3B9B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U703:U704</xm:sqref>
        </x14:conditionalFormatting>
        <x14:conditionalFormatting xmlns:xm="http://schemas.microsoft.com/office/excel/2006/main">
          <x14:cfRule type="dataBar" id="{28A8BF5D-465E-446A-A35F-2ED60E0B435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S703:S704</xm:sqref>
        </x14:conditionalFormatting>
        <x14:conditionalFormatting xmlns:xm="http://schemas.microsoft.com/office/excel/2006/main">
          <x14:cfRule type="dataBar" id="{91CADD89-7B54-41B3-9AA0-A17CE6B2467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T703:T704</xm:sqref>
        </x14:conditionalFormatting>
        <x14:conditionalFormatting xmlns:xm="http://schemas.microsoft.com/office/excel/2006/main">
          <x14:cfRule type="dataBar" id="{5B765B86-3808-46CA-BCCE-0F38530CE55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U703:U704</xm:sqref>
        </x14:conditionalFormatting>
        <x14:conditionalFormatting xmlns:xm="http://schemas.microsoft.com/office/excel/2006/main">
          <x14:cfRule type="dataBar" id="{83F551FB-6F2E-4A0A-AD72-43EE14551A0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S703:S704</xm:sqref>
        </x14:conditionalFormatting>
        <x14:conditionalFormatting xmlns:xm="http://schemas.microsoft.com/office/excel/2006/main">
          <x14:cfRule type="dataBar" id="{15A7B636-9DE9-40ED-B075-24D76D55E42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T703:T704</xm:sqref>
        </x14:conditionalFormatting>
        <x14:conditionalFormatting xmlns:xm="http://schemas.microsoft.com/office/excel/2006/main">
          <x14:cfRule type="dataBar" id="{1BC144B2-6580-4607-9B3D-306779F2F0A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U703:U704</xm:sqref>
        </x14:conditionalFormatting>
        <x14:conditionalFormatting xmlns:xm="http://schemas.microsoft.com/office/excel/2006/main">
          <x14:cfRule type="dataBar" id="{FFD1F967-5182-47D8-9F16-CD1D3BBF57A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S697</xm:sqref>
        </x14:conditionalFormatting>
        <x14:conditionalFormatting xmlns:xm="http://schemas.microsoft.com/office/excel/2006/main">
          <x14:cfRule type="dataBar" id="{C604C89C-C57C-49B2-BA6F-969F2C32A12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T697</xm:sqref>
        </x14:conditionalFormatting>
        <x14:conditionalFormatting xmlns:xm="http://schemas.microsoft.com/office/excel/2006/main">
          <x14:cfRule type="dataBar" id="{9F4CA710-0A1F-4B5A-A97E-CC829AB5E4E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U697</xm:sqref>
        </x14:conditionalFormatting>
        <x14:conditionalFormatting xmlns:xm="http://schemas.microsoft.com/office/excel/2006/main">
          <x14:cfRule type="dataBar" id="{A662E282-D380-48B2-A11C-DD3D0668FBB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S697</xm:sqref>
        </x14:conditionalFormatting>
        <x14:conditionalFormatting xmlns:xm="http://schemas.microsoft.com/office/excel/2006/main">
          <x14:cfRule type="dataBar" id="{CC595AC0-8417-45AF-8769-B5434F71468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T697</xm:sqref>
        </x14:conditionalFormatting>
        <x14:conditionalFormatting xmlns:xm="http://schemas.microsoft.com/office/excel/2006/main">
          <x14:cfRule type="dataBar" id="{8E1BF676-4383-479C-94CC-6453F7ED6AC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U697</xm:sqref>
        </x14:conditionalFormatting>
        <x14:conditionalFormatting xmlns:xm="http://schemas.microsoft.com/office/excel/2006/main">
          <x14:cfRule type="dataBar" id="{1F1D1E58-2B2F-42BD-AE54-DA3BDA9F2A6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S697</xm:sqref>
        </x14:conditionalFormatting>
        <x14:conditionalFormatting xmlns:xm="http://schemas.microsoft.com/office/excel/2006/main">
          <x14:cfRule type="dataBar" id="{8A747AA1-0461-431A-9004-353EF2DBD79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T697</xm:sqref>
        </x14:conditionalFormatting>
        <x14:conditionalFormatting xmlns:xm="http://schemas.microsoft.com/office/excel/2006/main">
          <x14:cfRule type="dataBar" id="{E9E7556D-EC86-4134-BAAB-28F68480FEE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U697</xm:sqref>
        </x14:conditionalFormatting>
        <x14:conditionalFormatting xmlns:xm="http://schemas.microsoft.com/office/excel/2006/main">
          <x14:cfRule type="dataBar" id="{6DF1D07B-3982-4070-944E-839EA6ED77E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S696</xm:sqref>
        </x14:conditionalFormatting>
        <x14:conditionalFormatting xmlns:xm="http://schemas.microsoft.com/office/excel/2006/main">
          <x14:cfRule type="dataBar" id="{09A78941-E478-4570-83B4-2A32A899246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T696</xm:sqref>
        </x14:conditionalFormatting>
        <x14:conditionalFormatting xmlns:xm="http://schemas.microsoft.com/office/excel/2006/main">
          <x14:cfRule type="dataBar" id="{1867C0BC-40FA-47E6-A581-4E1D1BE94AB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U696</xm:sqref>
        </x14:conditionalFormatting>
        <x14:conditionalFormatting xmlns:xm="http://schemas.microsoft.com/office/excel/2006/main">
          <x14:cfRule type="dataBar" id="{A81A95FE-0D1B-4BDC-AB21-22BBD8DFAF3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S696</xm:sqref>
        </x14:conditionalFormatting>
        <x14:conditionalFormatting xmlns:xm="http://schemas.microsoft.com/office/excel/2006/main">
          <x14:cfRule type="dataBar" id="{B0F18B67-9CF7-47C6-B17B-1D555127EBD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T696</xm:sqref>
        </x14:conditionalFormatting>
        <x14:conditionalFormatting xmlns:xm="http://schemas.microsoft.com/office/excel/2006/main">
          <x14:cfRule type="dataBar" id="{AE4BF9B7-BA2E-40E4-81DA-0EBAAD21CC7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U696</xm:sqref>
        </x14:conditionalFormatting>
        <x14:conditionalFormatting xmlns:xm="http://schemas.microsoft.com/office/excel/2006/main">
          <x14:cfRule type="dataBar" id="{99EA4676-99AB-4016-B44C-D2D8D661A12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S696</xm:sqref>
        </x14:conditionalFormatting>
        <x14:conditionalFormatting xmlns:xm="http://schemas.microsoft.com/office/excel/2006/main">
          <x14:cfRule type="dataBar" id="{9F964757-D08E-4CD2-8A34-E9C9FCE04D7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T696</xm:sqref>
        </x14:conditionalFormatting>
        <x14:conditionalFormatting xmlns:xm="http://schemas.microsoft.com/office/excel/2006/main">
          <x14:cfRule type="dataBar" id="{E4331A85-5705-4AAC-9791-3AC48C0648B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U696</xm:sqref>
        </x14:conditionalFormatting>
        <x14:conditionalFormatting xmlns:xm="http://schemas.microsoft.com/office/excel/2006/main">
          <x14:cfRule type="dataBar" id="{95FCCB8A-780C-4052-8786-76D2231D8B2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S695</xm:sqref>
        </x14:conditionalFormatting>
        <x14:conditionalFormatting xmlns:xm="http://schemas.microsoft.com/office/excel/2006/main">
          <x14:cfRule type="dataBar" id="{D0D7E065-FD0C-4A5C-A4EB-EEDB80F9D65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T695</xm:sqref>
        </x14:conditionalFormatting>
        <x14:conditionalFormatting xmlns:xm="http://schemas.microsoft.com/office/excel/2006/main">
          <x14:cfRule type="dataBar" id="{7E7F6786-D3AB-4486-87BF-74181189704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U695</xm:sqref>
        </x14:conditionalFormatting>
        <x14:conditionalFormatting xmlns:xm="http://schemas.microsoft.com/office/excel/2006/main">
          <x14:cfRule type="dataBar" id="{F848DC8D-E7B3-419E-98D1-562C0015559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S695</xm:sqref>
        </x14:conditionalFormatting>
        <x14:conditionalFormatting xmlns:xm="http://schemas.microsoft.com/office/excel/2006/main">
          <x14:cfRule type="dataBar" id="{01BB91CA-23D1-4851-BA9E-6F164B73AD6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T695</xm:sqref>
        </x14:conditionalFormatting>
        <x14:conditionalFormatting xmlns:xm="http://schemas.microsoft.com/office/excel/2006/main">
          <x14:cfRule type="dataBar" id="{594B7AB9-C5C3-45EF-99C0-E8B6E629875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U695</xm:sqref>
        </x14:conditionalFormatting>
        <x14:conditionalFormatting xmlns:xm="http://schemas.microsoft.com/office/excel/2006/main">
          <x14:cfRule type="dataBar" id="{49E62662-CA21-47E3-9F19-DF0922326DD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S695</xm:sqref>
        </x14:conditionalFormatting>
        <x14:conditionalFormatting xmlns:xm="http://schemas.microsoft.com/office/excel/2006/main">
          <x14:cfRule type="dataBar" id="{D7A08411-4284-4F4D-92CC-72E983B7B83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T695</xm:sqref>
        </x14:conditionalFormatting>
        <x14:conditionalFormatting xmlns:xm="http://schemas.microsoft.com/office/excel/2006/main">
          <x14:cfRule type="dataBar" id="{2C9D6704-4BD7-4B3C-B846-C74048468ED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U695</xm:sqref>
        </x14:conditionalFormatting>
        <x14:conditionalFormatting xmlns:xm="http://schemas.microsoft.com/office/excel/2006/main">
          <x14:cfRule type="dataBar" id="{28879605-2A32-47E7-81EB-8D09B2D6BE5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S694</xm:sqref>
        </x14:conditionalFormatting>
        <x14:conditionalFormatting xmlns:xm="http://schemas.microsoft.com/office/excel/2006/main">
          <x14:cfRule type="dataBar" id="{5F397272-9A8E-4775-AFA6-7E155FC347A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T694</xm:sqref>
        </x14:conditionalFormatting>
        <x14:conditionalFormatting xmlns:xm="http://schemas.microsoft.com/office/excel/2006/main">
          <x14:cfRule type="dataBar" id="{69E1DE83-1D55-474B-9F58-3B10A9BAF49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U694</xm:sqref>
        </x14:conditionalFormatting>
        <x14:conditionalFormatting xmlns:xm="http://schemas.microsoft.com/office/excel/2006/main">
          <x14:cfRule type="dataBar" id="{6BB7454D-C77A-4F08-BBBE-75066448436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S694</xm:sqref>
        </x14:conditionalFormatting>
        <x14:conditionalFormatting xmlns:xm="http://schemas.microsoft.com/office/excel/2006/main">
          <x14:cfRule type="dataBar" id="{2C32B752-227E-4F0A-8799-142DE538155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T694</xm:sqref>
        </x14:conditionalFormatting>
        <x14:conditionalFormatting xmlns:xm="http://schemas.microsoft.com/office/excel/2006/main">
          <x14:cfRule type="dataBar" id="{FDFBCC54-0854-48A7-989F-6102FA38415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U694</xm:sqref>
        </x14:conditionalFormatting>
        <x14:conditionalFormatting xmlns:xm="http://schemas.microsoft.com/office/excel/2006/main">
          <x14:cfRule type="dataBar" id="{2226026C-BA02-4FE8-9962-21A24413268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S694</xm:sqref>
        </x14:conditionalFormatting>
        <x14:conditionalFormatting xmlns:xm="http://schemas.microsoft.com/office/excel/2006/main">
          <x14:cfRule type="dataBar" id="{9CE2E98B-0136-45B9-94AB-D3264A499CB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T694</xm:sqref>
        </x14:conditionalFormatting>
        <x14:conditionalFormatting xmlns:xm="http://schemas.microsoft.com/office/excel/2006/main">
          <x14:cfRule type="dataBar" id="{0574E222-386C-408D-B878-C68A083A1D9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U694</xm:sqref>
        </x14:conditionalFormatting>
        <x14:conditionalFormatting xmlns:xm="http://schemas.microsoft.com/office/excel/2006/main">
          <x14:cfRule type="dataBar" id="{D418CF3B-C7AB-46A8-AFAE-41B8E7954A1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S699:S702</xm:sqref>
        </x14:conditionalFormatting>
        <x14:conditionalFormatting xmlns:xm="http://schemas.microsoft.com/office/excel/2006/main">
          <x14:cfRule type="dataBar" id="{626E2A71-7835-458A-9DAE-DD8424F96C3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T699:T702</xm:sqref>
        </x14:conditionalFormatting>
        <x14:conditionalFormatting xmlns:xm="http://schemas.microsoft.com/office/excel/2006/main">
          <x14:cfRule type="dataBar" id="{37FCF7FD-7DE9-4767-9C1E-A76DC01059C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U699:U702</xm:sqref>
        </x14:conditionalFormatting>
        <x14:conditionalFormatting xmlns:xm="http://schemas.microsoft.com/office/excel/2006/main">
          <x14:cfRule type="dataBar" id="{6618B62F-1E6B-4D1E-AEE3-C8EB8564DD2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S699:S702</xm:sqref>
        </x14:conditionalFormatting>
        <x14:conditionalFormatting xmlns:xm="http://schemas.microsoft.com/office/excel/2006/main">
          <x14:cfRule type="dataBar" id="{276D6170-1712-4556-A39A-8021AF60C60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T699:T702</xm:sqref>
        </x14:conditionalFormatting>
        <x14:conditionalFormatting xmlns:xm="http://schemas.microsoft.com/office/excel/2006/main">
          <x14:cfRule type="dataBar" id="{0DA0ADB3-DEDF-440F-8E68-33646649B33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U699:U702</xm:sqref>
        </x14:conditionalFormatting>
        <x14:conditionalFormatting xmlns:xm="http://schemas.microsoft.com/office/excel/2006/main">
          <x14:cfRule type="dataBar" id="{D7BD2684-5AF6-4F38-82D0-1F4549DBA94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S706:S707</xm:sqref>
        </x14:conditionalFormatting>
        <x14:conditionalFormatting xmlns:xm="http://schemas.microsoft.com/office/excel/2006/main">
          <x14:cfRule type="dataBar" id="{A64E08BB-6FA6-4227-9315-30B2970B5B8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T706:T707</xm:sqref>
        </x14:conditionalFormatting>
        <x14:conditionalFormatting xmlns:xm="http://schemas.microsoft.com/office/excel/2006/main">
          <x14:cfRule type="dataBar" id="{42E969BD-8F5A-49E8-AA6F-60FDA1E6864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U706:U707</xm:sqref>
        </x14:conditionalFormatting>
        <x14:conditionalFormatting xmlns:xm="http://schemas.microsoft.com/office/excel/2006/main">
          <x14:cfRule type="dataBar" id="{9C4F8F5C-7616-44A2-AA7B-BEA30783363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S706:S707</xm:sqref>
        </x14:conditionalFormatting>
        <x14:conditionalFormatting xmlns:xm="http://schemas.microsoft.com/office/excel/2006/main">
          <x14:cfRule type="dataBar" id="{9BEE24D7-0391-4C3A-9358-60106C352E0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T706:T707</xm:sqref>
        </x14:conditionalFormatting>
        <x14:conditionalFormatting xmlns:xm="http://schemas.microsoft.com/office/excel/2006/main">
          <x14:cfRule type="dataBar" id="{CB86D9D1-BD6A-4B3A-8B09-8173374A92E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U706:U707</xm:sqref>
        </x14:conditionalFormatting>
        <x14:conditionalFormatting xmlns:xm="http://schemas.microsoft.com/office/excel/2006/main">
          <x14:cfRule type="dataBar" id="{25FB2ADA-35FA-4B4D-A10B-FBB76C46F9D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S706:S707</xm:sqref>
        </x14:conditionalFormatting>
        <x14:conditionalFormatting xmlns:xm="http://schemas.microsoft.com/office/excel/2006/main">
          <x14:cfRule type="dataBar" id="{207563FA-4C44-4170-A29B-BF15719DA73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T706:T707</xm:sqref>
        </x14:conditionalFormatting>
        <x14:conditionalFormatting xmlns:xm="http://schemas.microsoft.com/office/excel/2006/main">
          <x14:cfRule type="dataBar" id="{7B40F6E2-1BBF-4266-8C29-8C0C1A85263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U706:U707</xm:sqref>
        </x14:conditionalFormatting>
        <x14:conditionalFormatting xmlns:xm="http://schemas.microsoft.com/office/excel/2006/main">
          <x14:cfRule type="dataBar" id="{462CDA0B-206C-4E6A-BD8C-BC898A87442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S708:S710</xm:sqref>
        </x14:conditionalFormatting>
        <x14:conditionalFormatting xmlns:xm="http://schemas.microsoft.com/office/excel/2006/main">
          <x14:cfRule type="dataBar" id="{268022DB-0584-4CA4-88E5-517FF665A78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T708:T710</xm:sqref>
        </x14:conditionalFormatting>
        <x14:conditionalFormatting xmlns:xm="http://schemas.microsoft.com/office/excel/2006/main">
          <x14:cfRule type="dataBar" id="{267B8B73-CFDD-4561-8247-9B61713DB7C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U708:U710</xm:sqref>
        </x14:conditionalFormatting>
        <x14:conditionalFormatting xmlns:xm="http://schemas.microsoft.com/office/excel/2006/main">
          <x14:cfRule type="dataBar" id="{1B39CC8A-6110-4FE5-AC45-7DB0EED2CCC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S708:S710</xm:sqref>
        </x14:conditionalFormatting>
        <x14:conditionalFormatting xmlns:xm="http://schemas.microsoft.com/office/excel/2006/main">
          <x14:cfRule type="dataBar" id="{A2EC5CA0-F030-40E5-B93C-D84CCE8E285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T708:T710</xm:sqref>
        </x14:conditionalFormatting>
        <x14:conditionalFormatting xmlns:xm="http://schemas.microsoft.com/office/excel/2006/main">
          <x14:cfRule type="dataBar" id="{EB9DD727-00F8-4A3D-867D-A035DF8A6EF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U708:U710</xm:sqref>
        </x14:conditionalFormatting>
        <x14:conditionalFormatting xmlns:xm="http://schemas.microsoft.com/office/excel/2006/main">
          <x14:cfRule type="dataBar" id="{55A2AA6E-FC5C-4679-AAEF-35BCB88C7B9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S711</xm:sqref>
        </x14:conditionalFormatting>
        <x14:conditionalFormatting xmlns:xm="http://schemas.microsoft.com/office/excel/2006/main">
          <x14:cfRule type="dataBar" id="{8FEB5E25-C7CD-4680-A132-C8C95ADD9FB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T711</xm:sqref>
        </x14:conditionalFormatting>
        <x14:conditionalFormatting xmlns:xm="http://schemas.microsoft.com/office/excel/2006/main">
          <x14:cfRule type="dataBar" id="{86C47F16-0E95-44F8-8A7F-26CDFA7AB02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U711</xm:sqref>
        </x14:conditionalFormatting>
        <x14:conditionalFormatting xmlns:xm="http://schemas.microsoft.com/office/excel/2006/main">
          <x14:cfRule type="dataBar" id="{2E5A888C-F97B-48C8-B83F-1DB44D16F5A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S711</xm:sqref>
        </x14:conditionalFormatting>
        <x14:conditionalFormatting xmlns:xm="http://schemas.microsoft.com/office/excel/2006/main">
          <x14:cfRule type="dataBar" id="{E08DFB4D-0C3E-42F0-B625-C877284CFB9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T711</xm:sqref>
        </x14:conditionalFormatting>
        <x14:conditionalFormatting xmlns:xm="http://schemas.microsoft.com/office/excel/2006/main">
          <x14:cfRule type="dataBar" id="{0D8B420B-B8CF-415F-BDAA-87D492CB2BD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U711</xm:sqref>
        </x14:conditionalFormatting>
        <x14:conditionalFormatting xmlns:xm="http://schemas.microsoft.com/office/excel/2006/main">
          <x14:cfRule type="dataBar" id="{AFABFE9B-5EAC-4550-AFAF-7623EC7E3F6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S711</xm:sqref>
        </x14:conditionalFormatting>
        <x14:conditionalFormatting xmlns:xm="http://schemas.microsoft.com/office/excel/2006/main">
          <x14:cfRule type="dataBar" id="{4A3B2E1F-AC55-4883-B469-DD31D33F240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T711</xm:sqref>
        </x14:conditionalFormatting>
        <x14:conditionalFormatting xmlns:xm="http://schemas.microsoft.com/office/excel/2006/main">
          <x14:cfRule type="dataBar" id="{36EB7F58-B01F-43A4-AB6C-4B9D7B5003F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U711</xm:sqref>
        </x14:conditionalFormatting>
        <x14:conditionalFormatting xmlns:xm="http://schemas.microsoft.com/office/excel/2006/main">
          <x14:cfRule type="dataBar" id="{52D13F9D-5F92-4A8E-BA9D-2BABE50573C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S712:S713</xm:sqref>
        </x14:conditionalFormatting>
        <x14:conditionalFormatting xmlns:xm="http://schemas.microsoft.com/office/excel/2006/main">
          <x14:cfRule type="dataBar" id="{B5F32144-672A-46D3-9A38-187F1772AE2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T712:T713</xm:sqref>
        </x14:conditionalFormatting>
        <x14:conditionalFormatting xmlns:xm="http://schemas.microsoft.com/office/excel/2006/main">
          <x14:cfRule type="dataBar" id="{3606F8A2-EC60-4ED9-AD0E-E90C7225B0B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U712:U713</xm:sqref>
        </x14:conditionalFormatting>
        <x14:conditionalFormatting xmlns:xm="http://schemas.microsoft.com/office/excel/2006/main">
          <x14:cfRule type="dataBar" id="{E356BE9F-F8AA-4842-847B-ECCD3448F67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S712:S713</xm:sqref>
        </x14:conditionalFormatting>
        <x14:conditionalFormatting xmlns:xm="http://schemas.microsoft.com/office/excel/2006/main">
          <x14:cfRule type="dataBar" id="{C7403A67-D337-4953-AF7A-24D0B2C895D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T712:T713</xm:sqref>
        </x14:conditionalFormatting>
        <x14:conditionalFormatting xmlns:xm="http://schemas.microsoft.com/office/excel/2006/main">
          <x14:cfRule type="dataBar" id="{E87B080E-BA3E-43E0-A2E4-8F86CAD7B1E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U712:U713</xm:sqref>
        </x14:conditionalFormatting>
        <x14:conditionalFormatting xmlns:xm="http://schemas.microsoft.com/office/excel/2006/main">
          <x14:cfRule type="dataBar" id="{0B0C7AA8-5F80-46BC-80F5-D723E163549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S712:S713</xm:sqref>
        </x14:conditionalFormatting>
        <x14:conditionalFormatting xmlns:xm="http://schemas.microsoft.com/office/excel/2006/main">
          <x14:cfRule type="dataBar" id="{C1EF734A-BB50-43FC-8047-AC1FC50DAEE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T712:T713</xm:sqref>
        </x14:conditionalFormatting>
        <x14:conditionalFormatting xmlns:xm="http://schemas.microsoft.com/office/excel/2006/main">
          <x14:cfRule type="dataBar" id="{DD244F66-550A-438A-B096-1DAE85A2E7F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U712:U713</xm:sqref>
        </x14:conditionalFormatting>
        <x14:conditionalFormatting xmlns:xm="http://schemas.microsoft.com/office/excel/2006/main">
          <x14:cfRule type="dataBar" id="{7E6EE83E-A8E9-4FC0-A479-01525830B0C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S694:S715</xm:sqref>
        </x14:conditionalFormatting>
        <x14:conditionalFormatting xmlns:xm="http://schemas.microsoft.com/office/excel/2006/main">
          <x14:cfRule type="dataBar" id="{9283A365-AA84-4315-BA9E-274467C5122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T694:T715</xm:sqref>
        </x14:conditionalFormatting>
        <x14:conditionalFormatting xmlns:xm="http://schemas.microsoft.com/office/excel/2006/main">
          <x14:cfRule type="dataBar" id="{CCAFDC53-0A06-4D5E-ACB0-D68BF217F1F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U694:U715</xm:sqref>
        </x14:conditionalFormatting>
        <x14:conditionalFormatting xmlns:xm="http://schemas.microsoft.com/office/excel/2006/main">
          <x14:cfRule type="iconSet" priority="1830" id="{73CD60C1-6166-4855-97A0-9C66C078B9A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R485:R551</xm:sqref>
        </x14:conditionalFormatting>
        <x14:conditionalFormatting xmlns:xm="http://schemas.microsoft.com/office/excel/2006/main">
          <x14:cfRule type="iconSet" priority="902" id="{E26A82A0-719D-444C-A84E-826310DEBB3B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R630</xm:sqref>
        </x14:conditionalFormatting>
        <x14:conditionalFormatting xmlns:xm="http://schemas.microsoft.com/office/excel/2006/main">
          <x14:cfRule type="iconSet" priority="894" id="{6736F444-AC12-4B07-8E41-3BF015221EC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R630</xm:sqref>
        </x14:conditionalFormatting>
        <x14:conditionalFormatting xmlns:xm="http://schemas.microsoft.com/office/excel/2006/main">
          <x14:cfRule type="iconSet" priority="881" id="{05D9ED7B-46CE-4D76-AF63-7B2CA619ED2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R647</xm:sqref>
        </x14:conditionalFormatting>
        <x14:conditionalFormatting xmlns:xm="http://schemas.microsoft.com/office/excel/2006/main">
          <x14:cfRule type="iconSet" priority="882" id="{C2522376-A597-4C5F-9525-DBEC39CBC8E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R647</xm:sqref>
        </x14:conditionalFormatting>
        <x14:conditionalFormatting xmlns:xm="http://schemas.microsoft.com/office/excel/2006/main">
          <x14:cfRule type="iconSet" priority="939" id="{AC4D00A6-060C-4F5B-81E1-CF2CBA1E193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R646</xm:sqref>
        </x14:conditionalFormatting>
        <x14:conditionalFormatting xmlns:xm="http://schemas.microsoft.com/office/excel/2006/main">
          <x14:cfRule type="iconSet" priority="878" id="{E89D3877-7812-405E-9F2D-C72A4A27AA13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R645</xm:sqref>
        </x14:conditionalFormatting>
        <x14:conditionalFormatting xmlns:xm="http://schemas.microsoft.com/office/excel/2006/main">
          <x14:cfRule type="iconSet" priority="844" id="{A9A831FD-D837-4259-B121-5CE114E0736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R598:R610</xm:sqref>
        </x14:conditionalFormatting>
        <x14:conditionalFormatting xmlns:xm="http://schemas.microsoft.com/office/excel/2006/main">
          <x14:cfRule type="iconSet" priority="840" id="{6BA27439-8E18-41C6-A9E5-DC8FB27E731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R611:R613</xm:sqref>
        </x14:conditionalFormatting>
        <x14:conditionalFormatting xmlns:xm="http://schemas.microsoft.com/office/excel/2006/main">
          <x14:cfRule type="iconSet" priority="836" id="{4E6AD18B-CD33-4EC2-8382-0D480899C09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R614:R616</xm:sqref>
        </x14:conditionalFormatting>
        <x14:conditionalFormatting xmlns:xm="http://schemas.microsoft.com/office/excel/2006/main">
          <x14:cfRule type="iconSet" priority="810" id="{F2BF8E64-2A56-45DE-BFF3-3608BA09EB7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R617:R622</xm:sqref>
        </x14:conditionalFormatting>
        <x14:conditionalFormatting xmlns:xm="http://schemas.microsoft.com/office/excel/2006/main">
          <x14:cfRule type="iconSet" priority="802" id="{0ED083D1-465D-4C84-AFD5-9A875235FDB3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R623:R628</xm:sqref>
        </x14:conditionalFormatting>
        <x14:conditionalFormatting xmlns:xm="http://schemas.microsoft.com/office/excel/2006/main">
          <x14:cfRule type="iconSet" priority="792" id="{20ED6738-F743-4F24-9551-F37B29AC16F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R629</xm:sqref>
        </x14:conditionalFormatting>
        <x14:conditionalFormatting xmlns:xm="http://schemas.microsoft.com/office/excel/2006/main">
          <x14:cfRule type="iconSet" priority="763" id="{04F668EA-EFEA-4E16-AB02-9C4730EFE95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R639</xm:sqref>
        </x14:conditionalFormatting>
        <x14:conditionalFormatting xmlns:xm="http://schemas.microsoft.com/office/excel/2006/main">
          <x14:cfRule type="iconSet" priority="755" id="{8363822E-B680-4276-8764-21B61591E05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R640</xm:sqref>
        </x14:conditionalFormatting>
        <x14:conditionalFormatting xmlns:xm="http://schemas.microsoft.com/office/excel/2006/main">
          <x14:cfRule type="iconSet" priority="954" id="{D541B7E9-792C-4220-A516-BB51690A834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R631:R637</xm:sqref>
        </x14:conditionalFormatting>
        <x14:conditionalFormatting xmlns:xm="http://schemas.microsoft.com/office/excel/2006/main">
          <x14:cfRule type="iconSet" priority="740" id="{711467D3-CF7F-4F09-8B1C-EBE2A25AB5B0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R638</xm:sqref>
        </x14:conditionalFormatting>
        <x14:conditionalFormatting xmlns:xm="http://schemas.microsoft.com/office/excel/2006/main">
          <x14:cfRule type="iconSet" priority="729" id="{D9892544-C160-4D13-8585-3ADE41CBCA70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R641:R642</xm:sqref>
        </x14:conditionalFormatting>
        <x14:conditionalFormatting xmlns:xm="http://schemas.microsoft.com/office/excel/2006/main">
          <x14:cfRule type="iconSet" priority="723" id="{AAFAACF4-F30A-4240-A21F-F9B1505AD69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R643:R644</xm:sqref>
        </x14:conditionalFormatting>
        <x14:conditionalFormatting xmlns:xm="http://schemas.microsoft.com/office/excel/2006/main">
          <x14:cfRule type="iconSet" priority="700" id="{4C4DEEA0-48A1-4EB7-8DC7-A81E44B4966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R597:R647</xm:sqref>
        </x14:conditionalFormatting>
        <x14:conditionalFormatting xmlns:xm="http://schemas.microsoft.com/office/excel/2006/main">
          <x14:cfRule type="iconSet" priority="503" id="{196DD888-53F8-4D98-AAC4-82830348280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R648:R649</xm:sqref>
        </x14:conditionalFormatting>
        <x14:conditionalFormatting xmlns:xm="http://schemas.microsoft.com/office/excel/2006/main">
          <x14:cfRule type="iconSet" priority="472" id="{A5BCB04D-3C74-441B-BFC5-7EE6DF055D5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R650:R651</xm:sqref>
        </x14:conditionalFormatting>
        <x14:conditionalFormatting xmlns:xm="http://schemas.microsoft.com/office/excel/2006/main">
          <x14:cfRule type="iconSet" priority="516" id="{CF22C207-C518-4581-8491-CE34B6CEE373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R652:R654</xm:sqref>
        </x14:conditionalFormatting>
        <x14:conditionalFormatting xmlns:xm="http://schemas.microsoft.com/office/excel/2006/main">
          <x14:cfRule type="iconSet" priority="466" id="{9E9E038C-B002-40F8-9EBB-306FFC026D4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R656</xm:sqref>
        </x14:conditionalFormatting>
        <x14:conditionalFormatting xmlns:xm="http://schemas.microsoft.com/office/excel/2006/main">
          <x14:cfRule type="iconSet" priority="449" id="{3E1C284F-C4DB-490C-9423-5E78BA6FD24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R657:R658</xm:sqref>
        </x14:conditionalFormatting>
        <x14:conditionalFormatting xmlns:xm="http://schemas.microsoft.com/office/excel/2006/main">
          <x14:cfRule type="iconSet" priority="432" id="{7433BDC9-CD0E-44DA-974B-600DFE0779A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R659</xm:sqref>
        </x14:conditionalFormatting>
        <x14:conditionalFormatting xmlns:xm="http://schemas.microsoft.com/office/excel/2006/main">
          <x14:cfRule type="iconSet" priority="521" id="{6C6375C1-C21E-4790-9777-1CC6E6750FF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R648:R672 R681:R688 R691</xm:sqref>
        </x14:conditionalFormatting>
        <x14:conditionalFormatting xmlns:xm="http://schemas.microsoft.com/office/excel/2006/main">
          <x14:cfRule type="iconSet" priority="410" id="{B932D3CF-9E31-41FA-9711-5D5062319A3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R668:R672</xm:sqref>
        </x14:conditionalFormatting>
        <x14:conditionalFormatting xmlns:xm="http://schemas.microsoft.com/office/excel/2006/main">
          <x14:cfRule type="iconSet" priority="395" id="{2BA613A1-1C7B-4537-82BC-37435E5FDD4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R673:R678</xm:sqref>
        </x14:conditionalFormatting>
        <x14:conditionalFormatting xmlns:xm="http://schemas.microsoft.com/office/excel/2006/main">
          <x14:cfRule type="iconSet" priority="383" id="{6C95F016-1A6F-4914-8B0C-539565770A2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R680</xm:sqref>
        </x14:conditionalFormatting>
        <x14:conditionalFormatting xmlns:xm="http://schemas.microsoft.com/office/excel/2006/main">
          <x14:cfRule type="iconSet" priority="373" id="{E160B5DB-30DC-4BF4-B504-9E1D9133FB93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R679</xm:sqref>
        </x14:conditionalFormatting>
        <x14:conditionalFormatting xmlns:xm="http://schemas.microsoft.com/office/excel/2006/main">
          <x14:cfRule type="iconSet" priority="356" id="{C477985A-FEAF-44FD-917A-0865A889C42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R681</xm:sqref>
        </x14:conditionalFormatting>
        <x14:conditionalFormatting xmlns:xm="http://schemas.microsoft.com/office/excel/2006/main">
          <x14:cfRule type="iconSet" priority="352" id="{2F2C22DC-651F-4CDF-A811-2478B46EF7BC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R681</xm:sqref>
        </x14:conditionalFormatting>
        <x14:conditionalFormatting xmlns:xm="http://schemas.microsoft.com/office/excel/2006/main">
          <x14:cfRule type="iconSet" priority="349" id="{24B2E563-B85E-4F25-B7AA-B80E8624851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R689:R690</xm:sqref>
        </x14:conditionalFormatting>
        <x14:conditionalFormatting xmlns:xm="http://schemas.microsoft.com/office/excel/2006/main">
          <x14:cfRule type="iconSet" priority="334" id="{FEF79A20-F218-4EA5-BDFF-FCE9C2F15B6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R698</xm:sqref>
        </x14:conditionalFormatting>
        <x14:conditionalFormatting xmlns:xm="http://schemas.microsoft.com/office/excel/2006/main">
          <x14:cfRule type="iconSet" priority="310" id="{88A75DB5-F111-426F-807D-3C365B4DC71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R705</xm:sqref>
        </x14:conditionalFormatting>
        <x14:conditionalFormatting xmlns:xm="http://schemas.microsoft.com/office/excel/2006/main">
          <x14:cfRule type="iconSet" priority="337" id="{DE33243B-4E8C-4563-9425-197287D8895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R705 R698 R714:R715</xm:sqref>
        </x14:conditionalFormatting>
        <x14:conditionalFormatting xmlns:xm="http://schemas.microsoft.com/office/excel/2006/main">
          <x14:cfRule type="iconSet" priority="286" id="{81025D6A-198F-4E7A-B13A-9770AD1089F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R715</xm:sqref>
        </x14:conditionalFormatting>
        <x14:conditionalFormatting xmlns:xm="http://schemas.microsoft.com/office/excel/2006/main">
          <x14:cfRule type="iconSet" priority="270" id="{89BFD5B5-34E7-4BB6-8D9A-32F3AB53463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R703:R704</xm:sqref>
        </x14:conditionalFormatting>
        <x14:conditionalFormatting xmlns:xm="http://schemas.microsoft.com/office/excel/2006/main">
          <x14:cfRule type="iconSet" priority="254" id="{9FA1DF2C-04F8-48D7-9394-D9F965C4D52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R703:R704</xm:sqref>
        </x14:conditionalFormatting>
        <x14:conditionalFormatting xmlns:xm="http://schemas.microsoft.com/office/excel/2006/main">
          <x14:cfRule type="iconSet" priority="250" id="{D119C12B-5ADB-419C-A4FC-EF9CA17C841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R703:R704</xm:sqref>
        </x14:conditionalFormatting>
        <x14:conditionalFormatting xmlns:xm="http://schemas.microsoft.com/office/excel/2006/main">
          <x14:cfRule type="iconSet" priority="243" id="{0130626A-042F-4792-A962-0C2D2DBBAB7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R697</xm:sqref>
        </x14:conditionalFormatting>
        <x14:conditionalFormatting xmlns:xm="http://schemas.microsoft.com/office/excel/2006/main">
          <x14:cfRule type="iconSet" priority="227" id="{E0034C51-3256-4279-9C5D-CEFACAD5584B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R697</xm:sqref>
        </x14:conditionalFormatting>
        <x14:conditionalFormatting xmlns:xm="http://schemas.microsoft.com/office/excel/2006/main">
          <x14:cfRule type="iconSet" priority="223" id="{02C1077D-B8BB-44C2-A195-732CBF8E93A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R697</xm:sqref>
        </x14:conditionalFormatting>
        <x14:conditionalFormatting xmlns:xm="http://schemas.microsoft.com/office/excel/2006/main">
          <x14:cfRule type="iconSet" priority="216" id="{7973C99D-96CC-4966-B684-FD9904EAA540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R696</xm:sqref>
        </x14:conditionalFormatting>
        <x14:conditionalFormatting xmlns:xm="http://schemas.microsoft.com/office/excel/2006/main">
          <x14:cfRule type="iconSet" priority="200" id="{678C612D-95D2-415A-98DE-D38363869E9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R696</xm:sqref>
        </x14:conditionalFormatting>
        <x14:conditionalFormatting xmlns:xm="http://schemas.microsoft.com/office/excel/2006/main">
          <x14:cfRule type="iconSet" priority="196" id="{156E61DD-AE5F-45B6-A66A-CD1F05770ADB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R696</xm:sqref>
        </x14:conditionalFormatting>
        <x14:conditionalFormatting xmlns:xm="http://schemas.microsoft.com/office/excel/2006/main">
          <x14:cfRule type="iconSet" priority="189" id="{0EF234BE-2041-498D-AD0E-9905763F6343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R695</xm:sqref>
        </x14:conditionalFormatting>
        <x14:conditionalFormatting xmlns:xm="http://schemas.microsoft.com/office/excel/2006/main">
          <x14:cfRule type="iconSet" priority="173" id="{16F20CB4-5247-4B1E-B9A3-26DA7AFED78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R695</xm:sqref>
        </x14:conditionalFormatting>
        <x14:conditionalFormatting xmlns:xm="http://schemas.microsoft.com/office/excel/2006/main">
          <x14:cfRule type="iconSet" priority="169" id="{BC429EA6-E16B-44B3-A960-2C39291A2CD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R695</xm:sqref>
        </x14:conditionalFormatting>
        <x14:conditionalFormatting xmlns:xm="http://schemas.microsoft.com/office/excel/2006/main">
          <x14:cfRule type="iconSet" priority="162" id="{334782C3-460F-47E8-BBAA-57117CBAD7B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R694</xm:sqref>
        </x14:conditionalFormatting>
        <x14:conditionalFormatting xmlns:xm="http://schemas.microsoft.com/office/excel/2006/main">
          <x14:cfRule type="iconSet" priority="146" id="{09C63667-223E-4B3D-819E-C867F26D77A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R694</xm:sqref>
        </x14:conditionalFormatting>
        <x14:conditionalFormatting xmlns:xm="http://schemas.microsoft.com/office/excel/2006/main">
          <x14:cfRule type="iconSet" priority="142" id="{5E93737A-DD52-4941-8F16-AAFB1B41A06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R694</xm:sqref>
        </x14:conditionalFormatting>
        <x14:conditionalFormatting xmlns:xm="http://schemas.microsoft.com/office/excel/2006/main">
          <x14:cfRule type="iconSet" priority="134" id="{FF743CB0-FAF8-4769-8305-6D5210CB9FC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R699:R702</xm:sqref>
        </x14:conditionalFormatting>
        <x14:conditionalFormatting xmlns:xm="http://schemas.microsoft.com/office/excel/2006/main">
          <x14:cfRule type="iconSet" priority="93" id="{9F27BF05-7769-4962-96D0-4F508DBBB533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R706:R707</xm:sqref>
        </x14:conditionalFormatting>
        <x14:conditionalFormatting xmlns:xm="http://schemas.microsoft.com/office/excel/2006/main">
          <x14:cfRule type="iconSet" priority="96" id="{5FB9E3C2-CF04-4BCB-A0F3-7D826F0A589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R706:R707</xm:sqref>
        </x14:conditionalFormatting>
        <x14:conditionalFormatting xmlns:xm="http://schemas.microsoft.com/office/excel/2006/main">
          <x14:cfRule type="iconSet" priority="62" id="{34AB1CC7-04C4-4AAD-87D3-C6D9414C223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R708:R710</xm:sqref>
        </x14:conditionalFormatting>
        <x14:conditionalFormatting xmlns:xm="http://schemas.microsoft.com/office/excel/2006/main">
          <x14:cfRule type="iconSet" priority="51" id="{CF9D6E8C-B4A3-453D-8F0F-6F29FA7B683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R708:R710</xm:sqref>
        </x14:conditionalFormatting>
        <x14:conditionalFormatting xmlns:xm="http://schemas.microsoft.com/office/excel/2006/main">
          <x14:cfRule type="iconSet" priority="47" id="{966E3CD5-4748-48EF-92A6-DC40CB4FCF2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R711</xm:sqref>
        </x14:conditionalFormatting>
        <x14:conditionalFormatting xmlns:xm="http://schemas.microsoft.com/office/excel/2006/main">
          <x14:cfRule type="iconSet" priority="37" id="{AD9CA8C2-74EB-4D5C-A833-5D31501C088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R711</xm:sqref>
        </x14:conditionalFormatting>
        <x14:conditionalFormatting xmlns:xm="http://schemas.microsoft.com/office/excel/2006/main">
          <x14:cfRule type="iconSet" priority="33" id="{F4B1582F-B7D0-44EA-8F79-6241CA035F1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R711</xm:sqref>
        </x14:conditionalFormatting>
        <x14:conditionalFormatting xmlns:xm="http://schemas.microsoft.com/office/excel/2006/main">
          <x14:cfRule type="iconSet" priority="23" id="{739A57C7-86D7-4694-8F22-D2F5C132A97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R712:R713</xm:sqref>
        </x14:conditionalFormatting>
        <x14:conditionalFormatting xmlns:xm="http://schemas.microsoft.com/office/excel/2006/main">
          <x14:cfRule type="iconSet" priority="26" id="{C1D0F3B3-C35D-4EF8-BA3F-E23D17E542C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R712:R713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DF56-5938-4BC6-819A-2C9D3F8F4A57}">
  <dimension ref="A1:AQ30"/>
  <sheetViews>
    <sheetView workbookViewId="0">
      <selection activeCell="R35" sqref="R35"/>
    </sheetView>
  </sheetViews>
  <sheetFormatPr defaultRowHeight="14.5" x14ac:dyDescent="0.35"/>
  <cols>
    <col min="1" max="1" width="10.453125" style="71" bestFit="1" customWidth="1"/>
    <col min="2" max="2" width="7.81640625" customWidth="1"/>
    <col min="4" max="5" width="14.1796875" customWidth="1"/>
    <col min="6" max="6" width="13.7265625" customWidth="1"/>
  </cols>
  <sheetData>
    <row r="1" spans="1:39" ht="15" customHeight="1" x14ac:dyDescent="0.35">
      <c r="A1" s="4">
        <v>44697</v>
      </c>
      <c r="B1" s="86">
        <v>3</v>
      </c>
      <c r="C1" s="5" t="s">
        <v>41</v>
      </c>
      <c r="D1" s="5" t="s">
        <v>45</v>
      </c>
      <c r="E1" s="5"/>
      <c r="F1" s="24" t="s">
        <v>50</v>
      </c>
      <c r="G1" s="5">
        <v>1050</v>
      </c>
      <c r="H1" s="5">
        <v>200</v>
      </c>
      <c r="I1" s="64" t="s">
        <v>43</v>
      </c>
      <c r="J1" s="29"/>
      <c r="K1" s="65"/>
      <c r="L1" s="65"/>
      <c r="M1" s="65"/>
      <c r="N1" s="29"/>
      <c r="O1" s="29"/>
      <c r="P1" s="5">
        <v>28</v>
      </c>
      <c r="Q1" s="5">
        <v>26</v>
      </c>
      <c r="R1" s="5">
        <v>8</v>
      </c>
      <c r="S1" s="29">
        <f t="shared" ref="S1:S12" si="0">R1+Q1+P1</f>
        <v>62</v>
      </c>
      <c r="T1" s="3">
        <f t="shared" ref="T1:T10" si="1">P1/Q1</f>
        <v>1.0769230769230769</v>
      </c>
      <c r="U1" s="3">
        <v>1</v>
      </c>
      <c r="V1" s="3">
        <v>0.625</v>
      </c>
      <c r="W1" s="5">
        <v>3</v>
      </c>
      <c r="X1" s="5" t="s">
        <v>52</v>
      </c>
      <c r="Z1" s="71"/>
      <c r="AB1" t="str">
        <f t="shared" ref="AB1:AB12" si="2">IF(D1="20um Schlenk", "Single", "Poly")</f>
        <v>Single</v>
      </c>
      <c r="AC1" s="5">
        <v>100</v>
      </c>
      <c r="AD1" s="78">
        <f>240.538/1056.76</f>
        <v>0.22761838071085205</v>
      </c>
      <c r="AE1" s="13">
        <v>0</v>
      </c>
      <c r="AF1" s="45" t="s">
        <v>102</v>
      </c>
      <c r="AG1" s="2" t="s">
        <v>102</v>
      </c>
      <c r="AH1" s="1"/>
      <c r="AI1" s="1"/>
      <c r="AJ1" s="55"/>
    </row>
    <row r="2" spans="1:39" ht="15" customHeight="1" x14ac:dyDescent="0.35">
      <c r="A2" s="4">
        <v>44697</v>
      </c>
      <c r="B2" s="86">
        <v>3</v>
      </c>
      <c r="C2" s="5" t="s">
        <v>41</v>
      </c>
      <c r="D2" s="5" t="s">
        <v>45</v>
      </c>
      <c r="E2" s="5"/>
      <c r="F2" s="24" t="s">
        <v>50</v>
      </c>
      <c r="G2" s="5">
        <v>1050</v>
      </c>
      <c r="H2" s="5">
        <v>200</v>
      </c>
      <c r="I2" s="64" t="s">
        <v>43</v>
      </c>
      <c r="J2" s="29"/>
      <c r="K2" s="65"/>
      <c r="L2" s="65"/>
      <c r="M2" s="65"/>
      <c r="N2" s="29"/>
      <c r="O2" s="29"/>
      <c r="P2" s="5">
        <v>28</v>
      </c>
      <c r="Q2" s="5">
        <v>26</v>
      </c>
      <c r="R2" s="5">
        <v>8</v>
      </c>
      <c r="S2" s="29">
        <f t="shared" si="0"/>
        <v>62</v>
      </c>
      <c r="T2" s="3">
        <f t="shared" si="1"/>
        <v>1.0769230769230769</v>
      </c>
      <c r="U2" s="3">
        <v>1</v>
      </c>
      <c r="V2" s="3">
        <v>0.625</v>
      </c>
      <c r="W2" s="5">
        <v>3</v>
      </c>
      <c r="X2" s="5" t="s">
        <v>52</v>
      </c>
      <c r="Z2" s="71"/>
      <c r="AB2" t="str">
        <f t="shared" si="2"/>
        <v>Single</v>
      </c>
      <c r="AC2" s="5">
        <v>100</v>
      </c>
      <c r="AD2" s="78">
        <f>407.839/1420.34</f>
        <v>0.2871418111156484</v>
      </c>
      <c r="AE2" s="13">
        <v>0</v>
      </c>
      <c r="AF2" s="45" t="s">
        <v>102</v>
      </c>
      <c r="AG2" s="2" t="s">
        <v>102</v>
      </c>
      <c r="AH2" s="1"/>
      <c r="AI2" s="1"/>
      <c r="AJ2" s="55"/>
    </row>
    <row r="3" spans="1:39" ht="15" customHeight="1" x14ac:dyDescent="0.35">
      <c r="A3" s="4">
        <v>44697</v>
      </c>
      <c r="B3" s="86">
        <v>3</v>
      </c>
      <c r="C3" s="5" t="s">
        <v>41</v>
      </c>
      <c r="D3" s="5" t="s">
        <v>46</v>
      </c>
      <c r="E3" s="5"/>
      <c r="F3" s="24" t="s">
        <v>50</v>
      </c>
      <c r="G3" s="5">
        <v>1050</v>
      </c>
      <c r="H3" s="5">
        <v>200</v>
      </c>
      <c r="I3" s="64" t="s">
        <v>43</v>
      </c>
      <c r="J3" s="29"/>
      <c r="K3" s="65"/>
      <c r="L3" s="65"/>
      <c r="M3" s="65"/>
      <c r="N3" s="29"/>
      <c r="O3" s="29"/>
      <c r="P3" s="5">
        <v>28</v>
      </c>
      <c r="Q3" s="5">
        <v>26</v>
      </c>
      <c r="R3" s="5">
        <v>8</v>
      </c>
      <c r="S3" s="29">
        <f t="shared" si="0"/>
        <v>62</v>
      </c>
      <c r="T3" s="3">
        <f t="shared" si="1"/>
        <v>1.0769230769230769</v>
      </c>
      <c r="U3" s="3">
        <v>1</v>
      </c>
      <c r="V3" s="3">
        <v>0.625</v>
      </c>
      <c r="W3" s="5">
        <v>2</v>
      </c>
      <c r="X3" s="5" t="s">
        <v>52</v>
      </c>
      <c r="Z3" s="71"/>
      <c r="AB3" t="str">
        <f t="shared" si="2"/>
        <v>Poly</v>
      </c>
      <c r="AC3" s="5">
        <v>100</v>
      </c>
      <c r="AD3" s="78">
        <f>375.204/967.626</f>
        <v>0.38775725331894761</v>
      </c>
      <c r="AE3" s="13">
        <v>1</v>
      </c>
      <c r="AF3" s="45" t="s">
        <v>103</v>
      </c>
      <c r="AG3" s="2" t="s">
        <v>102</v>
      </c>
      <c r="AH3" s="1"/>
      <c r="AI3" s="1"/>
      <c r="AJ3" s="55"/>
    </row>
    <row r="4" spans="1:39" ht="15" customHeight="1" x14ac:dyDescent="0.35">
      <c r="A4" s="4">
        <v>44697</v>
      </c>
      <c r="B4" s="86">
        <v>3</v>
      </c>
      <c r="C4" s="5" t="s">
        <v>41</v>
      </c>
      <c r="D4" s="5" t="s">
        <v>46</v>
      </c>
      <c r="E4" s="5"/>
      <c r="F4" s="24" t="s">
        <v>50</v>
      </c>
      <c r="G4" s="5">
        <v>1050</v>
      </c>
      <c r="H4" s="5">
        <v>200</v>
      </c>
      <c r="I4" s="64" t="s">
        <v>43</v>
      </c>
      <c r="J4" s="29"/>
      <c r="K4" s="65"/>
      <c r="L4" s="65"/>
      <c r="M4" s="65"/>
      <c r="N4" s="29"/>
      <c r="O4" s="29"/>
      <c r="P4" s="5">
        <v>28</v>
      </c>
      <c r="Q4" s="5">
        <v>26</v>
      </c>
      <c r="R4" s="5">
        <v>8</v>
      </c>
      <c r="S4" s="29">
        <f t="shared" si="0"/>
        <v>62</v>
      </c>
      <c r="T4" s="3">
        <f t="shared" si="1"/>
        <v>1.0769230769230769</v>
      </c>
      <c r="U4" s="3">
        <v>1</v>
      </c>
      <c r="V4" s="3">
        <v>0.625</v>
      </c>
      <c r="W4" s="5">
        <v>2</v>
      </c>
      <c r="X4" s="5" t="s">
        <v>52</v>
      </c>
      <c r="Z4" s="71"/>
      <c r="AB4" t="str">
        <f t="shared" si="2"/>
        <v>Poly</v>
      </c>
      <c r="AC4" s="5">
        <v>100</v>
      </c>
      <c r="AD4" s="96">
        <f>141.771/1160.02</f>
        <v>0.12221427216772124</v>
      </c>
      <c r="AE4" s="13">
        <v>1</v>
      </c>
      <c r="AF4" s="45" t="s">
        <v>103</v>
      </c>
      <c r="AG4" s="2" t="s">
        <v>102</v>
      </c>
      <c r="AH4" s="1"/>
      <c r="AI4" s="1"/>
      <c r="AJ4" s="55"/>
    </row>
    <row r="5" spans="1:39" ht="15" customHeight="1" x14ac:dyDescent="0.35">
      <c r="A5" s="4">
        <v>44697</v>
      </c>
      <c r="B5" s="86">
        <v>4</v>
      </c>
      <c r="C5" s="5" t="s">
        <v>48</v>
      </c>
      <c r="D5" s="5" t="s">
        <v>45</v>
      </c>
      <c r="E5" s="5"/>
      <c r="F5" s="24" t="s">
        <v>57</v>
      </c>
      <c r="G5" s="5">
        <v>1050</v>
      </c>
      <c r="H5" s="5">
        <v>200</v>
      </c>
      <c r="I5" s="64" t="s">
        <v>49</v>
      </c>
      <c r="J5" s="29"/>
      <c r="K5" s="65"/>
      <c r="L5" s="65"/>
      <c r="M5" s="65"/>
      <c r="N5" s="29"/>
      <c r="O5" s="29"/>
      <c r="P5" s="5">
        <v>84</v>
      </c>
      <c r="Q5" s="5">
        <v>48</v>
      </c>
      <c r="R5" s="5">
        <v>24</v>
      </c>
      <c r="S5" s="29">
        <f t="shared" si="0"/>
        <v>156</v>
      </c>
      <c r="T5" s="3">
        <f t="shared" si="1"/>
        <v>1.75</v>
      </c>
      <c r="U5" s="3">
        <v>1.06666666666667</v>
      </c>
      <c r="V5" s="3">
        <v>0.63829787234042556</v>
      </c>
      <c r="W5" s="5">
        <v>3</v>
      </c>
      <c r="X5" s="5" t="s">
        <v>52</v>
      </c>
      <c r="Z5" s="71"/>
      <c r="AB5" t="str">
        <f t="shared" si="2"/>
        <v>Single</v>
      </c>
      <c r="AC5" s="5">
        <v>100</v>
      </c>
      <c r="AD5" s="96">
        <f>29.1211/1124.49</f>
        <v>2.5897162269117553E-2</v>
      </c>
      <c r="AE5" s="13">
        <v>0</v>
      </c>
      <c r="AF5" s="45" t="s">
        <v>103</v>
      </c>
      <c r="AG5" s="2" t="s">
        <v>104</v>
      </c>
      <c r="AH5" s="1"/>
      <c r="AI5" s="1"/>
      <c r="AJ5" s="55"/>
    </row>
    <row r="6" spans="1:39" ht="15" customHeight="1" x14ac:dyDescent="0.35">
      <c r="A6" s="4">
        <v>44697</v>
      </c>
      <c r="B6" s="86">
        <v>4</v>
      </c>
      <c r="C6" s="5" t="s">
        <v>48</v>
      </c>
      <c r="D6" s="5" t="s">
        <v>45</v>
      </c>
      <c r="E6" s="5"/>
      <c r="F6" s="24" t="s">
        <v>57</v>
      </c>
      <c r="G6" s="5">
        <v>1050</v>
      </c>
      <c r="H6" s="5">
        <v>200</v>
      </c>
      <c r="I6" s="64" t="s">
        <v>49</v>
      </c>
      <c r="J6" s="29"/>
      <c r="K6" s="65"/>
      <c r="L6" s="65"/>
      <c r="M6" s="65"/>
      <c r="N6" s="29"/>
      <c r="O6" s="29"/>
      <c r="P6" s="5">
        <v>84</v>
      </c>
      <c r="Q6" s="5">
        <v>48</v>
      </c>
      <c r="R6" s="5">
        <v>24</v>
      </c>
      <c r="S6" s="29">
        <f t="shared" si="0"/>
        <v>156</v>
      </c>
      <c r="T6" s="3">
        <f t="shared" si="1"/>
        <v>1.75</v>
      </c>
      <c r="U6" s="3">
        <v>1.06666666666667</v>
      </c>
      <c r="V6" s="3">
        <v>0.63829787234042556</v>
      </c>
      <c r="W6" s="5">
        <v>3</v>
      </c>
      <c r="X6" s="5" t="s">
        <v>52</v>
      </c>
      <c r="Z6" s="71"/>
      <c r="AB6" t="str">
        <f t="shared" si="2"/>
        <v>Single</v>
      </c>
      <c r="AC6" s="5">
        <v>100</v>
      </c>
      <c r="AD6" s="78">
        <f>88.0988/1311.17</f>
        <v>6.7190982099956525E-2</v>
      </c>
      <c r="AE6" s="13">
        <v>0</v>
      </c>
      <c r="AF6" s="45" t="s">
        <v>104</v>
      </c>
      <c r="AG6" s="2" t="s">
        <v>104</v>
      </c>
      <c r="AH6" s="1"/>
      <c r="AI6" s="1"/>
      <c r="AJ6" s="55"/>
    </row>
    <row r="7" spans="1:39" ht="15" customHeight="1" x14ac:dyDescent="0.35">
      <c r="A7" s="4">
        <v>44697</v>
      </c>
      <c r="B7" s="86">
        <v>4</v>
      </c>
      <c r="C7" s="5" t="s">
        <v>48</v>
      </c>
      <c r="D7" s="5" t="s">
        <v>46</v>
      </c>
      <c r="E7" s="5"/>
      <c r="F7" s="24" t="s">
        <v>57</v>
      </c>
      <c r="G7" s="5">
        <v>1050</v>
      </c>
      <c r="H7" s="5">
        <v>200</v>
      </c>
      <c r="I7" s="64" t="s">
        <v>49</v>
      </c>
      <c r="J7" s="29"/>
      <c r="K7" s="65"/>
      <c r="L7" s="65"/>
      <c r="M7" s="65"/>
      <c r="N7" s="29"/>
      <c r="O7" s="29"/>
      <c r="P7" s="5">
        <v>84</v>
      </c>
      <c r="Q7" s="5">
        <v>48</v>
      </c>
      <c r="R7" s="5">
        <v>24</v>
      </c>
      <c r="S7" s="29">
        <f t="shared" si="0"/>
        <v>156</v>
      </c>
      <c r="T7" s="3">
        <f t="shared" si="1"/>
        <v>1.75</v>
      </c>
      <c r="U7" s="3">
        <v>1.06666666666667</v>
      </c>
      <c r="V7" s="3">
        <v>0.63829787234042556</v>
      </c>
      <c r="W7" s="5">
        <v>3</v>
      </c>
      <c r="X7" s="5" t="s">
        <v>52</v>
      </c>
      <c r="Z7" s="71"/>
      <c r="AB7" t="str">
        <f t="shared" si="2"/>
        <v>Poly</v>
      </c>
      <c r="AC7" s="5">
        <v>100</v>
      </c>
      <c r="AD7" s="78">
        <f>50.98/1753.15</f>
        <v>2.9079086216239336E-2</v>
      </c>
      <c r="AE7" s="13">
        <v>0</v>
      </c>
      <c r="AF7" s="45" t="s">
        <v>103</v>
      </c>
      <c r="AG7" s="2" t="s">
        <v>103</v>
      </c>
      <c r="AH7" s="1"/>
      <c r="AI7" s="1"/>
      <c r="AJ7" s="55"/>
    </row>
    <row r="8" spans="1:39" ht="15" customHeight="1" x14ac:dyDescent="0.35">
      <c r="A8" s="4">
        <v>44697</v>
      </c>
      <c r="B8" s="86">
        <v>4</v>
      </c>
      <c r="C8" s="5" t="s">
        <v>48</v>
      </c>
      <c r="D8" s="5" t="s">
        <v>46</v>
      </c>
      <c r="E8" s="5"/>
      <c r="F8" s="24" t="s">
        <v>57</v>
      </c>
      <c r="G8" s="5">
        <v>1050</v>
      </c>
      <c r="H8" s="5">
        <v>200</v>
      </c>
      <c r="I8" s="64" t="s">
        <v>49</v>
      </c>
      <c r="J8" s="29"/>
      <c r="K8" s="65"/>
      <c r="L8" s="65"/>
      <c r="M8" s="65"/>
      <c r="N8" s="29"/>
      <c r="O8" s="29"/>
      <c r="P8" s="5">
        <v>84</v>
      </c>
      <c r="Q8" s="5">
        <v>48</v>
      </c>
      <c r="R8" s="5">
        <v>24</v>
      </c>
      <c r="S8" s="29">
        <f t="shared" si="0"/>
        <v>156</v>
      </c>
      <c r="T8" s="3">
        <f t="shared" si="1"/>
        <v>1.75</v>
      </c>
      <c r="U8" s="3">
        <v>1.06666666666667</v>
      </c>
      <c r="V8" s="3">
        <v>0.63829787234042556</v>
      </c>
      <c r="W8" s="5">
        <v>3</v>
      </c>
      <c r="X8" s="5" t="s">
        <v>52</v>
      </c>
      <c r="Z8" s="71"/>
      <c r="AB8" t="str">
        <f t="shared" si="2"/>
        <v>Poly</v>
      </c>
      <c r="AC8" s="5">
        <v>100</v>
      </c>
      <c r="AD8" s="78">
        <f>23.1929/1077.66</f>
        <v>2.1521537405118498E-2</v>
      </c>
      <c r="AE8" s="13">
        <v>0</v>
      </c>
      <c r="AF8" s="45" t="s">
        <v>103</v>
      </c>
      <c r="AG8" s="2" t="s">
        <v>102</v>
      </c>
      <c r="AH8" s="1"/>
      <c r="AI8" s="1"/>
      <c r="AJ8" s="55"/>
    </row>
    <row r="9" spans="1:39" ht="15" customHeight="1" x14ac:dyDescent="0.35">
      <c r="A9" s="4">
        <v>44700</v>
      </c>
      <c r="B9" s="86">
        <v>19</v>
      </c>
      <c r="C9" s="5" t="s">
        <v>64</v>
      </c>
      <c r="D9" s="5" t="s">
        <v>45</v>
      </c>
      <c r="E9" s="5"/>
      <c r="F9" s="24" t="s">
        <v>59</v>
      </c>
      <c r="G9" s="5">
        <v>1000</v>
      </c>
      <c r="H9" s="5">
        <v>100</v>
      </c>
      <c r="I9" s="64" t="s">
        <v>49</v>
      </c>
      <c r="J9" s="29"/>
      <c r="K9" s="65"/>
      <c r="L9" s="65"/>
      <c r="M9" s="65"/>
      <c r="N9" s="29"/>
      <c r="O9" s="29"/>
      <c r="P9" s="5">
        <v>93</v>
      </c>
      <c r="Q9" s="5">
        <v>36</v>
      </c>
      <c r="R9" s="5">
        <v>24</v>
      </c>
      <c r="S9" s="29">
        <f t="shared" si="0"/>
        <v>153</v>
      </c>
      <c r="T9" s="3">
        <f t="shared" si="1"/>
        <v>2.5833333333333335</v>
      </c>
      <c r="U9" s="3">
        <v>5.4</v>
      </c>
      <c r="V9" s="3">
        <v>1.1111111111111112</v>
      </c>
      <c r="W9" s="5">
        <v>1</v>
      </c>
      <c r="X9" s="5" t="s">
        <v>52</v>
      </c>
      <c r="Z9" s="71"/>
      <c r="AB9" t="str">
        <f t="shared" si="2"/>
        <v>Single</v>
      </c>
      <c r="AC9" s="5">
        <v>100</v>
      </c>
      <c r="AD9" s="78">
        <f>(20.3907/1168.34+40.4862/1650.42+30.9435/1470.63)/3</f>
        <v>2.1008179937733875E-2</v>
      </c>
      <c r="AE9" s="13">
        <v>5</v>
      </c>
      <c r="AF9" s="45" t="s">
        <v>104</v>
      </c>
      <c r="AG9" s="2" t="s">
        <v>102</v>
      </c>
      <c r="AH9" s="1"/>
      <c r="AI9" s="1"/>
      <c r="AJ9" s="2"/>
      <c r="AK9" s="1"/>
    </row>
    <row r="10" spans="1:39" ht="15" customHeight="1" x14ac:dyDescent="0.35">
      <c r="A10" s="4">
        <v>44700</v>
      </c>
      <c r="B10" s="86">
        <v>19</v>
      </c>
      <c r="C10" s="5" t="s">
        <v>64</v>
      </c>
      <c r="D10" s="5" t="s">
        <v>46</v>
      </c>
      <c r="E10" s="5"/>
      <c r="F10" s="24" t="s">
        <v>59</v>
      </c>
      <c r="G10" s="5">
        <v>1000</v>
      </c>
      <c r="H10" s="5">
        <v>100</v>
      </c>
      <c r="I10" s="64" t="s">
        <v>49</v>
      </c>
      <c r="J10" s="29"/>
      <c r="K10" s="65"/>
      <c r="L10" s="65"/>
      <c r="M10" s="65"/>
      <c r="N10" s="29"/>
      <c r="O10" s="29"/>
      <c r="P10" s="5">
        <v>93</v>
      </c>
      <c r="Q10" s="5">
        <v>36</v>
      </c>
      <c r="R10" s="5">
        <v>24</v>
      </c>
      <c r="S10" s="29">
        <f t="shared" si="0"/>
        <v>153</v>
      </c>
      <c r="T10" s="3">
        <f t="shared" si="1"/>
        <v>2.5833333333333335</v>
      </c>
      <c r="U10" s="3">
        <v>5.4</v>
      </c>
      <c r="V10" s="3">
        <v>1.1111111111111112</v>
      </c>
      <c r="W10" s="5">
        <v>1</v>
      </c>
      <c r="X10" s="5" t="s">
        <v>52</v>
      </c>
      <c r="Z10" s="71"/>
      <c r="AB10" t="str">
        <f t="shared" si="2"/>
        <v>Poly</v>
      </c>
      <c r="AC10" s="5">
        <v>100</v>
      </c>
      <c r="AD10" s="78">
        <f>(27.065/2622.65+17.982/1959+19/1484)/3</f>
        <v>1.0767374113703716E-2</v>
      </c>
      <c r="AE10" s="13">
        <v>5</v>
      </c>
      <c r="AF10" s="45" t="s">
        <v>103</v>
      </c>
      <c r="AG10" s="2" t="s">
        <v>110</v>
      </c>
      <c r="AH10" s="1"/>
      <c r="AI10" s="1"/>
      <c r="AJ10" s="2"/>
      <c r="AK10" s="1"/>
    </row>
    <row r="11" spans="1:39" ht="15" customHeight="1" x14ac:dyDescent="0.35">
      <c r="A11" s="4">
        <v>44701</v>
      </c>
      <c r="B11" s="86">
        <v>23</v>
      </c>
      <c r="C11" s="5" t="s">
        <v>48</v>
      </c>
      <c r="D11" s="5" t="s">
        <v>45</v>
      </c>
      <c r="E11" s="5"/>
      <c r="F11" s="24" t="s">
        <v>94</v>
      </c>
      <c r="G11" s="5">
        <v>1050</v>
      </c>
      <c r="H11" s="5">
        <v>200</v>
      </c>
      <c r="I11" s="64" t="s">
        <v>49</v>
      </c>
      <c r="J11" s="29"/>
      <c r="K11" s="65"/>
      <c r="L11" s="65"/>
      <c r="M11" s="65"/>
      <c r="N11" s="29"/>
      <c r="O11" s="29"/>
      <c r="P11" s="5">
        <v>84</v>
      </c>
      <c r="Q11" s="5">
        <v>48</v>
      </c>
      <c r="R11" s="5">
        <v>24</v>
      </c>
      <c r="S11" s="29">
        <f t="shared" si="0"/>
        <v>156</v>
      </c>
      <c r="T11" s="3">
        <v>1.75</v>
      </c>
      <c r="U11" s="3">
        <v>1.07</v>
      </c>
      <c r="V11" s="3">
        <v>0.64</v>
      </c>
      <c r="W11" s="5">
        <v>5</v>
      </c>
      <c r="X11" s="5" t="s">
        <v>52</v>
      </c>
      <c r="Z11" s="71"/>
      <c r="AB11" t="str">
        <f t="shared" si="2"/>
        <v>Single</v>
      </c>
      <c r="AC11" s="5">
        <v>100</v>
      </c>
      <c r="AD11" s="78">
        <f>(52.0631/1087.39+77.9505/1020.36+51.5211/1087.66+61.3062/1023.15+52.6867/1048.55+63.8561/998.721+26.0451/1752.03)/7</f>
        <v>5.1516089610898139E-2</v>
      </c>
      <c r="AE11" s="13">
        <v>1</v>
      </c>
      <c r="AF11" s="45" t="s">
        <v>102</v>
      </c>
      <c r="AG11" s="2" t="s">
        <v>102</v>
      </c>
      <c r="AH11" s="1"/>
      <c r="AI11" s="1"/>
    </row>
    <row r="12" spans="1:39" ht="15" customHeight="1" x14ac:dyDescent="0.35">
      <c r="A12" s="4">
        <v>44701</v>
      </c>
      <c r="B12" s="87">
        <v>23</v>
      </c>
      <c r="C12" s="6" t="s">
        <v>48</v>
      </c>
      <c r="D12" s="5" t="s">
        <v>46</v>
      </c>
      <c r="E12" s="5"/>
      <c r="F12" s="24" t="s">
        <v>94</v>
      </c>
      <c r="G12" s="5">
        <v>1050</v>
      </c>
      <c r="H12" s="5">
        <v>200</v>
      </c>
      <c r="I12" s="64" t="s">
        <v>49</v>
      </c>
      <c r="J12" s="29"/>
      <c r="K12" s="65"/>
      <c r="L12" s="65"/>
      <c r="M12" s="65"/>
      <c r="N12" s="29"/>
      <c r="O12" s="29"/>
      <c r="P12" s="5">
        <v>84</v>
      </c>
      <c r="Q12" s="5">
        <v>48</v>
      </c>
      <c r="R12" s="5">
        <v>24</v>
      </c>
      <c r="S12" s="29">
        <f t="shared" si="0"/>
        <v>156</v>
      </c>
      <c r="T12" s="3">
        <v>1.75</v>
      </c>
      <c r="U12" s="3">
        <v>1.07</v>
      </c>
      <c r="V12" s="3">
        <v>0.64</v>
      </c>
      <c r="W12" s="5">
        <v>5</v>
      </c>
      <c r="X12" s="5" t="s">
        <v>52</v>
      </c>
      <c r="Z12" s="71"/>
      <c r="AB12" t="str">
        <f t="shared" si="2"/>
        <v>Poly</v>
      </c>
      <c r="AC12" s="5">
        <v>100</v>
      </c>
      <c r="AD12" s="96">
        <f>(7.5565/633.723+15.1457/850.155+7.54938/633.733+7.71842/520.431+10.4686/744.111)/5</f>
        <v>1.411023609261668E-2</v>
      </c>
      <c r="AE12" s="13">
        <v>1</v>
      </c>
      <c r="AF12" s="45" t="s">
        <v>110</v>
      </c>
      <c r="AG12" s="2" t="s">
        <v>102</v>
      </c>
      <c r="AH12" s="1"/>
      <c r="AI12" s="1"/>
    </row>
    <row r="13" spans="1:39" ht="15" customHeight="1" x14ac:dyDescent="0.35">
      <c r="A13" s="4">
        <v>44721</v>
      </c>
      <c r="B13" s="86">
        <v>21</v>
      </c>
      <c r="C13" s="5" t="s">
        <v>157</v>
      </c>
      <c r="D13" s="5" t="s">
        <v>45</v>
      </c>
      <c r="E13" s="5"/>
      <c r="F13" s="24" t="s">
        <v>57</v>
      </c>
      <c r="G13" s="5">
        <v>1050</v>
      </c>
      <c r="H13" s="5">
        <v>100</v>
      </c>
      <c r="I13" s="64"/>
      <c r="J13" s="29">
        <v>12</v>
      </c>
      <c r="K13" s="65"/>
      <c r="L13" s="65"/>
      <c r="M13" s="65"/>
      <c r="N13" s="29" t="s">
        <v>16</v>
      </c>
      <c r="O13" s="29"/>
      <c r="P13" s="5">
        <v>91</v>
      </c>
      <c r="Q13" s="5">
        <v>25</v>
      </c>
      <c r="R13" s="5">
        <v>0</v>
      </c>
      <c r="S13" s="5">
        <f t="shared" ref="S13:S14" si="3">P13+Q13+R13</f>
        <v>116</v>
      </c>
      <c r="T13" s="3">
        <f>P13/Q13</f>
        <v>3.64</v>
      </c>
      <c r="U13" s="3">
        <v>4.6500000000000004</v>
      </c>
      <c r="V13" s="3">
        <v>1.45</v>
      </c>
      <c r="W13" s="5">
        <v>5</v>
      </c>
      <c r="X13" s="5" t="s">
        <v>52</v>
      </c>
      <c r="Z13" s="71"/>
      <c r="AB13" s="5" t="s">
        <v>155</v>
      </c>
      <c r="AC13" s="5">
        <v>100</v>
      </c>
      <c r="AD13" s="96">
        <v>0.02</v>
      </c>
      <c r="AE13" s="13">
        <v>0</v>
      </c>
      <c r="AF13" s="45" t="s">
        <v>104</v>
      </c>
      <c r="AG13" s="2" t="s">
        <v>104</v>
      </c>
      <c r="AH13" s="6"/>
    </row>
    <row r="14" spans="1:39" ht="15" customHeight="1" x14ac:dyDescent="0.35">
      <c r="A14" s="4">
        <v>44721</v>
      </c>
      <c r="B14" s="86">
        <v>21</v>
      </c>
      <c r="C14" s="5" t="s">
        <v>157</v>
      </c>
      <c r="D14" s="5" t="s">
        <v>46</v>
      </c>
      <c r="E14" s="5"/>
      <c r="F14" s="24" t="s">
        <v>57</v>
      </c>
      <c r="G14" s="5">
        <v>1050</v>
      </c>
      <c r="H14" s="5">
        <v>100</v>
      </c>
      <c r="I14" s="64"/>
      <c r="J14" s="29">
        <v>12</v>
      </c>
      <c r="K14" s="65"/>
      <c r="L14" s="65"/>
      <c r="M14" s="65"/>
      <c r="N14" s="29" t="s">
        <v>16</v>
      </c>
      <c r="O14" s="29"/>
      <c r="P14" s="5">
        <v>91</v>
      </c>
      <c r="Q14" s="5">
        <v>25</v>
      </c>
      <c r="R14" s="5">
        <v>0</v>
      </c>
      <c r="S14" s="5">
        <f t="shared" si="3"/>
        <v>116</v>
      </c>
      <c r="T14" s="3">
        <f>P14/Q14</f>
        <v>3.64</v>
      </c>
      <c r="U14" s="3">
        <v>4.6500000000000004</v>
      </c>
      <c r="V14" s="3">
        <v>1.45</v>
      </c>
      <c r="W14" s="5">
        <v>5</v>
      </c>
      <c r="X14" s="5" t="s">
        <v>52</v>
      </c>
      <c r="Z14" s="71"/>
      <c r="AB14" s="5" t="s">
        <v>138</v>
      </c>
      <c r="AC14" s="5">
        <v>100</v>
      </c>
      <c r="AD14" s="78">
        <v>0.01</v>
      </c>
      <c r="AE14" s="13">
        <v>0</v>
      </c>
      <c r="AF14" s="45" t="s">
        <v>103</v>
      </c>
      <c r="AG14" s="2" t="s">
        <v>102</v>
      </c>
      <c r="AH14" s="6"/>
    </row>
    <row r="15" spans="1:39" ht="15" customHeight="1" x14ac:dyDescent="0.35">
      <c r="A15" s="4">
        <v>44734</v>
      </c>
      <c r="B15" s="86">
        <v>12</v>
      </c>
      <c r="C15" s="5" t="s">
        <v>157</v>
      </c>
      <c r="D15" s="5" t="s">
        <v>46</v>
      </c>
      <c r="E15" s="6" t="s">
        <v>167</v>
      </c>
      <c r="F15" s="24" t="s">
        <v>165</v>
      </c>
      <c r="G15" s="5">
        <v>1050</v>
      </c>
      <c r="H15" s="5">
        <v>100</v>
      </c>
      <c r="I15" s="64"/>
      <c r="J15" s="5">
        <v>12</v>
      </c>
      <c r="K15" s="67">
        <v>0.28000000000000003</v>
      </c>
      <c r="L15" s="67">
        <v>2.99</v>
      </c>
      <c r="M15" s="67">
        <v>0.06</v>
      </c>
      <c r="N15" s="5" t="s">
        <v>145</v>
      </c>
      <c r="O15" s="6">
        <v>5</v>
      </c>
      <c r="P15" s="5"/>
      <c r="Q15" s="5"/>
      <c r="R15" s="5"/>
      <c r="S15" s="5"/>
      <c r="T15" s="3"/>
      <c r="U15" s="3"/>
      <c r="V15" s="3"/>
      <c r="W15" s="5">
        <v>5</v>
      </c>
      <c r="X15" s="6" t="s">
        <v>52</v>
      </c>
      <c r="Z15" s="71"/>
      <c r="AB15" s="5" t="s">
        <v>138</v>
      </c>
      <c r="AC15" s="5">
        <v>100</v>
      </c>
      <c r="AD15" s="78">
        <v>0.02</v>
      </c>
      <c r="AE15" s="13">
        <v>3</v>
      </c>
      <c r="AF15" s="45" t="s">
        <v>104</v>
      </c>
      <c r="AG15" s="2" t="s">
        <v>102</v>
      </c>
      <c r="AH15" s="6"/>
      <c r="AI15" s="7"/>
      <c r="AJ15" s="55"/>
    </row>
    <row r="16" spans="1:39" ht="18.5" x14ac:dyDescent="0.35">
      <c r="A16" s="4">
        <v>44732</v>
      </c>
      <c r="B16" s="86">
        <v>4</v>
      </c>
      <c r="C16" s="5" t="s">
        <v>157</v>
      </c>
      <c r="D16" s="5" t="s">
        <v>45</v>
      </c>
      <c r="F16" s="24" t="s">
        <v>165</v>
      </c>
      <c r="G16" s="5">
        <v>1050</v>
      </c>
      <c r="H16" s="5">
        <v>100</v>
      </c>
      <c r="I16" s="64"/>
      <c r="J16" s="6">
        <v>12</v>
      </c>
      <c r="K16" s="67">
        <v>0.49</v>
      </c>
      <c r="L16" s="67">
        <v>3.6</v>
      </c>
      <c r="M16" s="67">
        <v>0.03</v>
      </c>
      <c r="N16" s="5" t="s">
        <v>16</v>
      </c>
      <c r="O16" s="6">
        <v>5</v>
      </c>
      <c r="P16" s="5">
        <v>91</v>
      </c>
      <c r="Q16" s="5">
        <v>25</v>
      </c>
      <c r="R16" s="5">
        <v>0</v>
      </c>
      <c r="S16" s="5">
        <f t="shared" ref="S16:S26" si="4">P16+Q16+R16</f>
        <v>116</v>
      </c>
      <c r="T16" s="3">
        <f t="shared" ref="T16:T26" si="5">P16/Q16</f>
        <v>3.64</v>
      </c>
      <c r="U16" s="3">
        <v>4.6500000000000004</v>
      </c>
      <c r="V16" s="3">
        <v>1.45</v>
      </c>
      <c r="W16" s="5">
        <v>5</v>
      </c>
      <c r="X16" t="s">
        <v>52</v>
      </c>
      <c r="AA16" s="5"/>
      <c r="AB16" s="71"/>
      <c r="AD16" s="5" t="s">
        <v>155</v>
      </c>
      <c r="AE16" s="5">
        <v>100</v>
      </c>
      <c r="AF16" s="78">
        <v>0.02</v>
      </c>
      <c r="AG16" s="13">
        <v>0</v>
      </c>
      <c r="AH16" s="45" t="s">
        <v>104</v>
      </c>
      <c r="AI16" s="2" t="s">
        <v>104</v>
      </c>
      <c r="AJ16" s="6"/>
      <c r="AK16" s="7"/>
      <c r="AL16" s="55"/>
      <c r="AM16" s="15" t="str">
        <f>IF(AND(AD16="Single", AE16&gt;99,AF16&lt;0.06,AG16&lt;5, OR(AH16="None","Low"),AI16="None"), "TYPE A", IF(AND(AD16="Poly", AE16&gt;99,AF16&lt;0.06,AG16&lt;1,AH16="None"), "TYPE B",IF(AND(AD16="Poly", AE16&gt;99,AF16&lt;0.06,AG16&gt;1,AH16="None"), "TYPE C",IF(AND(AD16="Poly", AE16&gt;99,AF16&lt;0.06,AH16="Yes"), "TYPE D", "FAIL"))))</f>
        <v>TYPE A</v>
      </c>
    </row>
    <row r="17" spans="1:43" x14ac:dyDescent="0.35">
      <c r="A17" s="11">
        <v>44755</v>
      </c>
      <c r="B17" s="86">
        <v>8</v>
      </c>
      <c r="C17" s="5" t="s">
        <v>64</v>
      </c>
      <c r="D17" s="5" t="s">
        <v>45</v>
      </c>
      <c r="E17" s="5"/>
      <c r="F17" s="24" t="s">
        <v>42</v>
      </c>
      <c r="G17" s="5">
        <v>1050</v>
      </c>
      <c r="H17" s="5">
        <v>200</v>
      </c>
      <c r="I17" s="64"/>
      <c r="J17" s="5">
        <v>10</v>
      </c>
      <c r="K17" s="67">
        <v>1.95</v>
      </c>
      <c r="L17" s="67">
        <v>5.5</v>
      </c>
      <c r="M17" s="67">
        <v>0.05</v>
      </c>
      <c r="N17" s="5" t="s">
        <v>16</v>
      </c>
      <c r="O17" s="6">
        <v>5</v>
      </c>
      <c r="P17" s="5">
        <v>88</v>
      </c>
      <c r="Q17" s="5">
        <v>36</v>
      </c>
      <c r="R17" s="5">
        <v>21</v>
      </c>
      <c r="S17" s="5">
        <f t="shared" si="4"/>
        <v>145</v>
      </c>
      <c r="T17" s="3">
        <f t="shared" si="5"/>
        <v>2.4444444444444446</v>
      </c>
      <c r="U17" s="3">
        <f>22/6</f>
        <v>3.6666666666666665</v>
      </c>
      <c r="V17" s="3">
        <v>1</v>
      </c>
      <c r="W17" s="5">
        <v>1</v>
      </c>
      <c r="X17" s="6" t="s">
        <v>52</v>
      </c>
      <c r="Z17" s="71"/>
      <c r="AB17" s="5" t="s">
        <v>155</v>
      </c>
      <c r="AC17" s="5">
        <v>100</v>
      </c>
      <c r="AD17" s="96">
        <v>0.03</v>
      </c>
      <c r="AE17" s="13">
        <v>0</v>
      </c>
      <c r="AF17" s="45" t="s">
        <v>104</v>
      </c>
      <c r="AG17" s="1" t="s">
        <v>104</v>
      </c>
      <c r="AH17" s="6"/>
      <c r="AI17" s="9"/>
      <c r="AJ17" s="2"/>
    </row>
    <row r="18" spans="1:43" x14ac:dyDescent="0.35">
      <c r="A18" s="11">
        <v>44755</v>
      </c>
      <c r="B18" s="86">
        <v>8</v>
      </c>
      <c r="C18" s="5" t="s">
        <v>64</v>
      </c>
      <c r="D18" s="5" t="s">
        <v>46</v>
      </c>
      <c r="E18" s="5"/>
      <c r="F18" s="24" t="s">
        <v>42</v>
      </c>
      <c r="G18" s="5">
        <v>1050</v>
      </c>
      <c r="H18" s="5">
        <v>200</v>
      </c>
      <c r="I18" s="64"/>
      <c r="J18" s="5">
        <v>10</v>
      </c>
      <c r="K18" s="67">
        <v>1.95</v>
      </c>
      <c r="L18" s="67">
        <v>5.5</v>
      </c>
      <c r="M18" s="67">
        <v>0.05</v>
      </c>
      <c r="N18" s="5" t="s">
        <v>16</v>
      </c>
      <c r="O18" s="6">
        <v>5</v>
      </c>
      <c r="P18" s="5">
        <v>88</v>
      </c>
      <c r="Q18" s="5">
        <v>36</v>
      </c>
      <c r="R18" s="5">
        <v>21</v>
      </c>
      <c r="S18" s="5">
        <f t="shared" si="4"/>
        <v>145</v>
      </c>
      <c r="T18" s="3">
        <f t="shared" si="5"/>
        <v>2.4444444444444446</v>
      </c>
      <c r="U18" s="3">
        <f>22/6</f>
        <v>3.6666666666666665</v>
      </c>
      <c r="V18" s="3">
        <v>1</v>
      </c>
      <c r="W18" s="5">
        <v>1</v>
      </c>
      <c r="X18" s="6" t="s">
        <v>52</v>
      </c>
      <c r="Z18" s="71"/>
      <c r="AB18" s="6" t="s">
        <v>138</v>
      </c>
      <c r="AC18" s="6">
        <v>100</v>
      </c>
      <c r="AD18" s="78">
        <v>0.01</v>
      </c>
      <c r="AE18" s="13">
        <v>3</v>
      </c>
      <c r="AF18" s="45" t="s">
        <v>103</v>
      </c>
      <c r="AG18" s="2" t="s">
        <v>102</v>
      </c>
      <c r="AH18" s="6"/>
      <c r="AI18" s="7"/>
      <c r="AJ18" s="2"/>
    </row>
    <row r="19" spans="1:43" x14ac:dyDescent="0.35">
      <c r="A19" s="11">
        <v>44755</v>
      </c>
      <c r="B19" s="86">
        <v>9</v>
      </c>
      <c r="C19" s="5" t="s">
        <v>70</v>
      </c>
      <c r="D19" s="5" t="s">
        <v>45</v>
      </c>
      <c r="E19" s="5"/>
      <c r="F19" s="24" t="s">
        <v>42</v>
      </c>
      <c r="G19" s="5">
        <v>1050</v>
      </c>
      <c r="H19" s="5">
        <v>200</v>
      </c>
      <c r="I19" s="64"/>
      <c r="J19" s="5">
        <v>12</v>
      </c>
      <c r="K19" s="67">
        <v>1.93</v>
      </c>
      <c r="L19" s="67">
        <v>5.45</v>
      </c>
      <c r="M19" s="67">
        <v>0.05</v>
      </c>
      <c r="N19" s="5" t="s">
        <v>16</v>
      </c>
      <c r="O19" s="6">
        <v>5</v>
      </c>
      <c r="P19" s="5">
        <v>120</v>
      </c>
      <c r="Q19" s="5">
        <v>36</v>
      </c>
      <c r="R19" s="5">
        <v>20</v>
      </c>
      <c r="S19" s="5">
        <f t="shared" si="4"/>
        <v>176</v>
      </c>
      <c r="T19" s="3">
        <f t="shared" si="5"/>
        <v>3.3333333333333335</v>
      </c>
      <c r="U19" s="3">
        <f>28/6</f>
        <v>4.666666666666667</v>
      </c>
      <c r="V19" s="3">
        <f>52/36</f>
        <v>1.4444444444444444</v>
      </c>
      <c r="W19" s="5">
        <v>1</v>
      </c>
      <c r="X19" s="6" t="s">
        <v>169</v>
      </c>
      <c r="Z19" s="71"/>
      <c r="AB19" s="5" t="s">
        <v>155</v>
      </c>
      <c r="AC19" s="5">
        <v>100</v>
      </c>
      <c r="AD19" s="78">
        <v>0.3</v>
      </c>
      <c r="AE19" s="13">
        <v>0</v>
      </c>
      <c r="AF19" s="45" t="s">
        <v>104</v>
      </c>
      <c r="AG19" s="2" t="s">
        <v>102</v>
      </c>
      <c r="AH19" s="6"/>
      <c r="AI19" s="7"/>
      <c r="AJ19" s="2"/>
    </row>
    <row r="20" spans="1:43" x14ac:dyDescent="0.35">
      <c r="A20" s="11">
        <v>44755</v>
      </c>
      <c r="B20" s="86">
        <v>9</v>
      </c>
      <c r="C20" s="5" t="s">
        <v>70</v>
      </c>
      <c r="D20" s="5" t="s">
        <v>46</v>
      </c>
      <c r="E20" s="5"/>
      <c r="F20" s="24" t="s">
        <v>42</v>
      </c>
      <c r="G20" s="5">
        <v>1050</v>
      </c>
      <c r="H20" s="5">
        <v>200</v>
      </c>
      <c r="I20" s="64"/>
      <c r="J20" s="5">
        <v>12</v>
      </c>
      <c r="K20" s="67">
        <v>1.93</v>
      </c>
      <c r="L20" s="67">
        <v>5.45</v>
      </c>
      <c r="M20" s="67">
        <v>0.05</v>
      </c>
      <c r="N20" s="5" t="s">
        <v>16</v>
      </c>
      <c r="O20" s="6">
        <v>5</v>
      </c>
      <c r="P20" s="5">
        <v>120</v>
      </c>
      <c r="Q20" s="5">
        <v>36</v>
      </c>
      <c r="R20" s="5">
        <v>20</v>
      </c>
      <c r="S20" s="5">
        <f t="shared" si="4"/>
        <v>176</v>
      </c>
      <c r="T20" s="3">
        <f t="shared" si="5"/>
        <v>3.3333333333333335</v>
      </c>
      <c r="U20" s="3">
        <f>28/6</f>
        <v>4.666666666666667</v>
      </c>
      <c r="V20" s="3">
        <f>52/36</f>
        <v>1.4444444444444444</v>
      </c>
      <c r="W20" s="5">
        <v>1</v>
      </c>
      <c r="X20" s="6" t="s">
        <v>169</v>
      </c>
      <c r="Z20" s="71"/>
      <c r="AB20" s="5" t="s">
        <v>138</v>
      </c>
      <c r="AC20" s="6">
        <v>100</v>
      </c>
      <c r="AD20" s="78">
        <v>0.02</v>
      </c>
      <c r="AE20" s="13">
        <v>3</v>
      </c>
      <c r="AF20" s="45" t="s">
        <v>102</v>
      </c>
      <c r="AG20" s="2" t="s">
        <v>102</v>
      </c>
      <c r="AH20" s="6"/>
      <c r="AI20" s="7"/>
      <c r="AJ20" s="2"/>
    </row>
    <row r="21" spans="1:43" s="132" customFormat="1" ht="18.5" x14ac:dyDescent="0.35">
      <c r="A21" s="124">
        <v>44777</v>
      </c>
      <c r="B21" s="125">
        <v>7</v>
      </c>
      <c r="C21" s="126" t="s">
        <v>157</v>
      </c>
      <c r="D21" s="126" t="s">
        <v>46</v>
      </c>
      <c r="E21" s="126" t="s">
        <v>122</v>
      </c>
      <c r="F21" s="127" t="s">
        <v>165</v>
      </c>
      <c r="G21" s="126">
        <v>1050</v>
      </c>
      <c r="H21" s="126">
        <v>100</v>
      </c>
      <c r="I21" s="128"/>
      <c r="J21" s="126">
        <v>12</v>
      </c>
      <c r="K21" s="129">
        <v>0.85</v>
      </c>
      <c r="L21" s="129">
        <v>3.69</v>
      </c>
      <c r="M21" s="129">
        <v>7.0000000000000007E-2</v>
      </c>
      <c r="N21" s="126" t="s">
        <v>16</v>
      </c>
      <c r="O21" s="130">
        <v>5</v>
      </c>
      <c r="P21" s="126">
        <v>91</v>
      </c>
      <c r="Q21" s="126">
        <v>25</v>
      </c>
      <c r="R21" s="126">
        <v>0</v>
      </c>
      <c r="S21" s="126">
        <f t="shared" si="4"/>
        <v>116</v>
      </c>
      <c r="T21" s="131">
        <f t="shared" si="5"/>
        <v>3.64</v>
      </c>
      <c r="U21" s="131">
        <f>18.7/4</f>
        <v>4.6749999999999998</v>
      </c>
      <c r="V21" s="131">
        <f>32/22</f>
        <v>1.4545454545454546</v>
      </c>
      <c r="W21" s="126">
        <v>6</v>
      </c>
      <c r="X21" s="126" t="s">
        <v>52</v>
      </c>
      <c r="Z21" s="133"/>
      <c r="AB21" s="126" t="s">
        <v>138</v>
      </c>
      <c r="AC21" s="126">
        <v>100</v>
      </c>
      <c r="AD21" s="134">
        <v>3.9E-2</v>
      </c>
      <c r="AE21" s="135">
        <v>1</v>
      </c>
      <c r="AF21" s="136" t="s">
        <v>104</v>
      </c>
      <c r="AG21" s="137" t="s">
        <v>102</v>
      </c>
      <c r="AH21" s="130"/>
      <c r="AI21" s="138"/>
      <c r="AJ21" s="137"/>
      <c r="AK21" s="139"/>
      <c r="AL21" s="130"/>
      <c r="AM21" s="130"/>
      <c r="AN21" s="130">
        <v>1.62</v>
      </c>
      <c r="AO21" s="132">
        <v>0.86</v>
      </c>
    </row>
    <row r="22" spans="1:43" x14ac:dyDescent="0.35">
      <c r="A22" s="4">
        <v>44803</v>
      </c>
      <c r="B22" s="5">
        <v>12</v>
      </c>
      <c r="C22" s="5" t="s">
        <v>48</v>
      </c>
      <c r="D22" s="5" t="s">
        <v>45</v>
      </c>
      <c r="E22" s="5"/>
      <c r="F22" s="5" t="s">
        <v>165</v>
      </c>
      <c r="G22" s="5">
        <v>1050</v>
      </c>
      <c r="H22" s="5">
        <v>200</v>
      </c>
      <c r="I22" s="5"/>
      <c r="J22" s="5">
        <v>10</v>
      </c>
      <c r="K22" s="69"/>
      <c r="L22" s="69">
        <v>2.42</v>
      </c>
      <c r="M22" s="69"/>
      <c r="N22" s="5" t="s">
        <v>16</v>
      </c>
      <c r="O22" s="5">
        <v>5</v>
      </c>
      <c r="P22" s="5">
        <v>84</v>
      </c>
      <c r="Q22" s="5">
        <v>48</v>
      </c>
      <c r="R22" s="5">
        <v>24</v>
      </c>
      <c r="S22" s="5">
        <f t="shared" si="4"/>
        <v>156</v>
      </c>
      <c r="T22" s="3">
        <f t="shared" si="5"/>
        <v>1.75</v>
      </c>
      <c r="U22" s="3">
        <f>16.8/18</f>
        <v>0.93333333333333335</v>
      </c>
      <c r="V22" s="3">
        <f>28.5/45</f>
        <v>0.6333333333333333</v>
      </c>
      <c r="W22" s="5">
        <v>10</v>
      </c>
      <c r="X22" s="5" t="s">
        <v>52</v>
      </c>
      <c r="Z22" s="4">
        <v>44803</v>
      </c>
      <c r="AA22" s="5"/>
      <c r="AB22" s="5" t="str">
        <f>IF(D22="20um Schlenk", "Single", "Poly")</f>
        <v>Single</v>
      </c>
      <c r="AC22" s="5">
        <v>100</v>
      </c>
      <c r="AD22" s="3">
        <f>(0.019+0.108)/2</f>
        <v>6.3500000000000001E-2</v>
      </c>
      <c r="AE22" s="5">
        <v>2</v>
      </c>
      <c r="AF22" s="5" t="s">
        <v>104</v>
      </c>
      <c r="AG22" s="5" t="s">
        <v>102</v>
      </c>
      <c r="AH22" s="5"/>
      <c r="AI22" s="5" t="str">
        <f>IF(ISBLANK(AH22),"",ABS(AH22-AD22))</f>
        <v/>
      </c>
      <c r="AJ22" s="5"/>
      <c r="AK22" s="5"/>
      <c r="AL22" s="5"/>
      <c r="AM22" s="5"/>
      <c r="AN22" s="5">
        <v>9.5</v>
      </c>
      <c r="AO22" s="5">
        <f>IF(ISBLANK(AN22),"",ABS(AN22-AE22))</f>
        <v>7.5</v>
      </c>
      <c r="AP22" s="5" t="s">
        <v>186</v>
      </c>
      <c r="AQ22" s="67"/>
    </row>
    <row r="23" spans="1:43" x14ac:dyDescent="0.35">
      <c r="A23" s="4">
        <v>44831</v>
      </c>
      <c r="B23" s="5">
        <v>6</v>
      </c>
      <c r="C23" s="5" t="s">
        <v>157</v>
      </c>
      <c r="D23" s="5" t="s">
        <v>46</v>
      </c>
      <c r="E23" s="29" t="s">
        <v>209</v>
      </c>
      <c r="F23" s="5" t="s">
        <v>165</v>
      </c>
      <c r="G23" s="5">
        <v>1050</v>
      </c>
      <c r="H23" s="5">
        <v>100</v>
      </c>
      <c r="I23" s="5" t="s">
        <v>208</v>
      </c>
      <c r="J23" s="5">
        <v>12</v>
      </c>
      <c r="K23" s="67"/>
      <c r="L23" s="6">
        <v>2</v>
      </c>
      <c r="M23" s="67"/>
      <c r="N23" s="5" t="s">
        <v>16</v>
      </c>
      <c r="O23" s="5">
        <v>5</v>
      </c>
      <c r="P23" s="5">
        <v>91</v>
      </c>
      <c r="Q23" s="5">
        <v>25</v>
      </c>
      <c r="R23" s="5">
        <v>0</v>
      </c>
      <c r="S23" s="3">
        <f t="shared" si="4"/>
        <v>116</v>
      </c>
      <c r="T23" s="3">
        <f t="shared" si="5"/>
        <v>3.64</v>
      </c>
      <c r="U23" s="3">
        <f>18.7/4</f>
        <v>4.6749999999999998</v>
      </c>
      <c r="V23" s="3">
        <f>32/22</f>
        <v>1.4545454545454546</v>
      </c>
      <c r="W23" s="5">
        <v>10</v>
      </c>
      <c r="X23" s="5" t="s">
        <v>52</v>
      </c>
      <c r="Z23" s="71">
        <v>44831</v>
      </c>
      <c r="AB23" s="5" t="str">
        <f>IF(D23="20um Schlenk", "Single", "Poly")</f>
        <v>Poly</v>
      </c>
      <c r="AC23" s="5">
        <v>100</v>
      </c>
      <c r="AD23" s="59">
        <f>AVERAGE(0.03,0.03,0.02)</f>
        <v>2.6666666666666668E-2</v>
      </c>
      <c r="AE23" s="29">
        <v>1</v>
      </c>
      <c r="AF23" s="29" t="s">
        <v>104</v>
      </c>
      <c r="AG23" s="29" t="s">
        <v>102</v>
      </c>
    </row>
    <row r="24" spans="1:43" x14ac:dyDescent="0.35">
      <c r="A24" s="71">
        <v>44832</v>
      </c>
      <c r="B24" s="5">
        <v>16</v>
      </c>
      <c r="C24" s="5" t="s">
        <v>157</v>
      </c>
      <c r="D24" s="5" t="s">
        <v>46</v>
      </c>
      <c r="E24" s="29" t="s">
        <v>209</v>
      </c>
      <c r="F24" s="5" t="s">
        <v>165</v>
      </c>
      <c r="G24" s="5">
        <v>1050</v>
      </c>
      <c r="H24" s="5">
        <v>100</v>
      </c>
      <c r="I24" s="5" t="s">
        <v>220</v>
      </c>
      <c r="J24" s="5">
        <v>12</v>
      </c>
      <c r="K24" s="67"/>
      <c r="L24" s="6">
        <v>2.8</v>
      </c>
      <c r="M24" s="67"/>
      <c r="N24" s="5" t="s">
        <v>16</v>
      </c>
      <c r="O24" s="5">
        <v>5</v>
      </c>
      <c r="P24" s="5">
        <v>91</v>
      </c>
      <c r="Q24" s="5">
        <v>25</v>
      </c>
      <c r="R24" s="5">
        <v>0</v>
      </c>
      <c r="S24" s="3">
        <f t="shared" si="4"/>
        <v>116</v>
      </c>
      <c r="T24" s="3">
        <f t="shared" si="5"/>
        <v>3.64</v>
      </c>
      <c r="U24" s="3">
        <f>18.7/4</f>
        <v>4.6749999999999998</v>
      </c>
      <c r="V24" s="3">
        <f>32/22</f>
        <v>1.4545454545454546</v>
      </c>
      <c r="W24" s="5">
        <v>2</v>
      </c>
      <c r="X24" s="5" t="s">
        <v>52</v>
      </c>
      <c r="Z24" s="71">
        <v>44832</v>
      </c>
      <c r="AB24" s="5" t="str">
        <f>IF(D24="20um Schlenk", "Single", "Poly")</f>
        <v>Poly</v>
      </c>
      <c r="AC24" s="5">
        <v>100</v>
      </c>
      <c r="AD24" s="59">
        <v>0.03</v>
      </c>
      <c r="AE24" s="29">
        <v>1</v>
      </c>
      <c r="AF24" s="29" t="s">
        <v>102</v>
      </c>
      <c r="AG24" s="29" t="s">
        <v>104</v>
      </c>
    </row>
    <row r="25" spans="1:43" x14ac:dyDescent="0.35">
      <c r="A25" s="71">
        <v>44833</v>
      </c>
      <c r="B25" s="5">
        <v>21</v>
      </c>
      <c r="C25" s="5" t="s">
        <v>157</v>
      </c>
      <c r="D25" s="5" t="s">
        <v>46</v>
      </c>
      <c r="E25" s="29" t="s">
        <v>209</v>
      </c>
      <c r="F25" s="5" t="s">
        <v>165</v>
      </c>
      <c r="G25" s="5">
        <v>1050</v>
      </c>
      <c r="H25" s="5">
        <v>100</v>
      </c>
      <c r="I25" s="5" t="s">
        <v>208</v>
      </c>
      <c r="J25" s="5">
        <v>12</v>
      </c>
      <c r="K25" s="67"/>
      <c r="L25" s="6">
        <v>2.35</v>
      </c>
      <c r="M25" s="67"/>
      <c r="N25" s="5" t="s">
        <v>16</v>
      </c>
      <c r="O25" s="5">
        <v>3</v>
      </c>
      <c r="P25" s="5">
        <v>91</v>
      </c>
      <c r="Q25" s="5">
        <v>25</v>
      </c>
      <c r="R25" s="5">
        <v>0</v>
      </c>
      <c r="S25" s="3">
        <f t="shared" si="4"/>
        <v>116</v>
      </c>
      <c r="T25" s="3">
        <f t="shared" si="5"/>
        <v>3.64</v>
      </c>
      <c r="U25" s="3">
        <f>18.7/4</f>
        <v>4.6749999999999998</v>
      </c>
      <c r="V25" s="3">
        <f>32/22</f>
        <v>1.4545454545454546</v>
      </c>
      <c r="W25" s="5">
        <v>8</v>
      </c>
      <c r="X25" s="5" t="s">
        <v>52</v>
      </c>
      <c r="Z25" s="71">
        <v>44833</v>
      </c>
      <c r="AB25" s="5" t="str">
        <f>IF(D25="20um Schlenk", "Single", "Poly")</f>
        <v>Poly</v>
      </c>
      <c r="AC25" s="5">
        <v>100</v>
      </c>
      <c r="AD25" s="59">
        <v>0.03</v>
      </c>
      <c r="AE25" s="29">
        <v>0</v>
      </c>
      <c r="AF25" s="29" t="s">
        <v>104</v>
      </c>
      <c r="AG25" s="29" t="s">
        <v>102</v>
      </c>
    </row>
    <row r="26" spans="1:43" x14ac:dyDescent="0.35">
      <c r="A26" s="4">
        <v>44831</v>
      </c>
      <c r="B26" s="5">
        <v>7</v>
      </c>
      <c r="C26" s="5" t="s">
        <v>48</v>
      </c>
      <c r="D26" s="5" t="s">
        <v>45</v>
      </c>
      <c r="E26" s="29" t="s">
        <v>216</v>
      </c>
      <c r="F26" s="5" t="s">
        <v>42</v>
      </c>
      <c r="G26" s="5">
        <v>1050</v>
      </c>
      <c r="H26" s="5">
        <v>200</v>
      </c>
      <c r="I26" s="5"/>
      <c r="J26" s="5">
        <v>12</v>
      </c>
      <c r="K26" s="69"/>
      <c r="L26" s="6"/>
      <c r="M26" s="69"/>
      <c r="N26" s="5" t="s">
        <v>16</v>
      </c>
      <c r="O26" s="6">
        <v>5</v>
      </c>
      <c r="P26" s="5">
        <v>84</v>
      </c>
      <c r="Q26" s="5">
        <v>48</v>
      </c>
      <c r="R26" s="5">
        <v>24</v>
      </c>
      <c r="S26" s="3">
        <f t="shared" si="4"/>
        <v>156</v>
      </c>
      <c r="T26" s="3">
        <f t="shared" si="5"/>
        <v>1.75</v>
      </c>
      <c r="U26" s="3">
        <f>16.8/18</f>
        <v>0.93333333333333335</v>
      </c>
      <c r="V26" s="3">
        <f>28.5/45</f>
        <v>0.6333333333333333</v>
      </c>
      <c r="W26" s="5">
        <v>3</v>
      </c>
      <c r="X26" s="5" t="s">
        <v>52</v>
      </c>
      <c r="Z26" s="71">
        <v>44831</v>
      </c>
      <c r="AB26" s="5" t="str">
        <f>IF(D26="20um Schlenk", "Single", "Poly")</f>
        <v>Single</v>
      </c>
      <c r="AC26" s="5">
        <v>100</v>
      </c>
      <c r="AD26" s="59">
        <v>0.03</v>
      </c>
      <c r="AE26" s="29">
        <v>0</v>
      </c>
      <c r="AF26" s="29" t="s">
        <v>104</v>
      </c>
      <c r="AG26" s="29" t="s">
        <v>104</v>
      </c>
    </row>
    <row r="27" spans="1:43" x14ac:dyDescent="0.35">
      <c r="A27" s="4">
        <v>44851</v>
      </c>
      <c r="B27" s="5">
        <v>6</v>
      </c>
      <c r="C27" s="5" t="s">
        <v>157</v>
      </c>
      <c r="D27" s="5" t="s">
        <v>46</v>
      </c>
      <c r="E27" s="29" t="s">
        <v>209</v>
      </c>
      <c r="F27" s="5" t="s">
        <v>165</v>
      </c>
      <c r="G27" s="5">
        <v>1050</v>
      </c>
      <c r="H27" s="5">
        <v>100</v>
      </c>
      <c r="I27" s="5"/>
      <c r="J27" s="5">
        <v>12</v>
      </c>
      <c r="K27" s="67"/>
      <c r="L27" s="6">
        <v>6.5</v>
      </c>
      <c r="M27" s="67"/>
      <c r="N27" s="5" t="s">
        <v>16</v>
      </c>
      <c r="O27" s="5">
        <v>5</v>
      </c>
      <c r="P27" s="5">
        <v>91</v>
      </c>
      <c r="Q27" s="5">
        <v>25</v>
      </c>
      <c r="R27" s="5">
        <v>0</v>
      </c>
      <c r="S27" s="3">
        <v>116</v>
      </c>
      <c r="T27" s="3">
        <v>3.64</v>
      </c>
      <c r="U27" s="3">
        <v>4.68</v>
      </c>
      <c r="V27" s="3">
        <v>1.45</v>
      </c>
      <c r="W27" s="5">
        <v>10</v>
      </c>
      <c r="X27" s="5" t="s">
        <v>52</v>
      </c>
      <c r="Z27" s="4">
        <v>44848</v>
      </c>
      <c r="AB27" s="5" t="s">
        <v>138</v>
      </c>
      <c r="AC27" s="5">
        <v>100</v>
      </c>
      <c r="AD27" s="59">
        <v>0.04</v>
      </c>
      <c r="AE27" s="29">
        <v>0</v>
      </c>
      <c r="AF27" s="29" t="s">
        <v>104</v>
      </c>
      <c r="AG27" s="29" t="s">
        <v>104</v>
      </c>
    </row>
    <row r="28" spans="1:43" x14ac:dyDescent="0.35">
      <c r="A28" s="77">
        <v>44852</v>
      </c>
      <c r="B28" s="83">
        <v>9</v>
      </c>
      <c r="C28" s="29" t="s">
        <v>157</v>
      </c>
      <c r="D28" s="29" t="s">
        <v>46</v>
      </c>
      <c r="E28" s="29" t="s">
        <v>209</v>
      </c>
      <c r="F28" s="47" t="s">
        <v>165</v>
      </c>
      <c r="G28" s="29">
        <v>1050</v>
      </c>
      <c r="H28" s="29">
        <v>100</v>
      </c>
      <c r="I28" s="64"/>
      <c r="J28" s="29">
        <v>12</v>
      </c>
      <c r="K28" s="65"/>
      <c r="L28" s="65">
        <v>5.59</v>
      </c>
      <c r="M28" s="65"/>
      <c r="N28" s="29" t="s">
        <v>16</v>
      </c>
      <c r="O28" s="29">
        <v>5</v>
      </c>
      <c r="P28" s="29">
        <v>91</v>
      </c>
      <c r="Q28" s="29">
        <v>25</v>
      </c>
      <c r="R28" s="29">
        <v>0</v>
      </c>
      <c r="S28" s="29">
        <v>116</v>
      </c>
      <c r="T28" s="59">
        <v>3.64</v>
      </c>
      <c r="U28" s="59">
        <v>4.68</v>
      </c>
      <c r="V28" s="59">
        <v>1.45</v>
      </c>
      <c r="W28" s="29">
        <v>1</v>
      </c>
      <c r="X28" s="29" t="s">
        <v>52</v>
      </c>
      <c r="Z28" s="71">
        <v>44848</v>
      </c>
      <c r="AB28" t="s">
        <v>138</v>
      </c>
      <c r="AC28" s="29">
        <v>100</v>
      </c>
      <c r="AD28" s="93">
        <v>0.03</v>
      </c>
      <c r="AE28" s="29">
        <v>0</v>
      </c>
      <c r="AF28" t="s">
        <v>104</v>
      </c>
      <c r="AG28" s="55" t="s">
        <v>104</v>
      </c>
      <c r="AI28" s="29"/>
      <c r="AJ28" s="29"/>
      <c r="AK28" s="29"/>
      <c r="AL28" s="29"/>
      <c r="AM28" s="29"/>
    </row>
    <row r="29" spans="1:43" x14ac:dyDescent="0.35">
      <c r="A29" s="4">
        <v>44873</v>
      </c>
      <c r="B29" s="5">
        <v>11</v>
      </c>
      <c r="C29" s="5" t="s">
        <v>211</v>
      </c>
      <c r="D29" s="5" t="s">
        <v>45</v>
      </c>
      <c r="E29" s="29" t="s">
        <v>168</v>
      </c>
      <c r="F29" s="5" t="s">
        <v>165</v>
      </c>
      <c r="G29" s="5">
        <v>1050</v>
      </c>
      <c r="H29" s="5">
        <v>100</v>
      </c>
      <c r="I29" s="5"/>
      <c r="J29" s="5">
        <v>12</v>
      </c>
      <c r="K29" s="69"/>
      <c r="L29" s="6">
        <v>4.5999999999999996</v>
      </c>
      <c r="M29" s="69"/>
      <c r="N29" s="5" t="s">
        <v>16</v>
      </c>
      <c r="O29" s="6">
        <v>1</v>
      </c>
      <c r="P29" s="5">
        <v>120</v>
      </c>
      <c r="Q29" s="5">
        <v>15.2</v>
      </c>
      <c r="R29" s="5">
        <v>20</v>
      </c>
      <c r="S29" s="3">
        <f>P29+Q29+R29</f>
        <v>155.19999999999999</v>
      </c>
      <c r="T29" s="59">
        <f>P29/Q29</f>
        <v>7.8947368421052637</v>
      </c>
      <c r="U29" s="59">
        <v>17.5</v>
      </c>
      <c r="V29" s="59">
        <v>4.1100000000000003</v>
      </c>
      <c r="W29" s="5">
        <v>10</v>
      </c>
      <c r="X29" s="5" t="s">
        <v>52</v>
      </c>
      <c r="Z29" s="4"/>
      <c r="AB29" s="5" t="str">
        <f>IF(D29="20um Schlenk", "Single", "Poly")</f>
        <v>Single</v>
      </c>
      <c r="AC29" s="5">
        <v>100</v>
      </c>
      <c r="AD29" s="59">
        <v>0.03</v>
      </c>
      <c r="AE29" s="29">
        <v>1</v>
      </c>
      <c r="AF29" s="29" t="s">
        <v>104</v>
      </c>
      <c r="AG29" s="29" t="s">
        <v>102</v>
      </c>
    </row>
    <row r="30" spans="1:43" x14ac:dyDescent="0.35">
      <c r="A30" s="77">
        <v>44875</v>
      </c>
      <c r="B30" s="5">
        <v>18</v>
      </c>
      <c r="C30" s="5" t="s">
        <v>157</v>
      </c>
      <c r="D30" s="5" t="s">
        <v>46</v>
      </c>
      <c r="E30" s="29" t="s">
        <v>185</v>
      </c>
      <c r="F30" s="5" t="s">
        <v>165</v>
      </c>
      <c r="G30" s="5">
        <v>1050</v>
      </c>
      <c r="H30" s="5">
        <v>100</v>
      </c>
      <c r="I30" s="5"/>
      <c r="J30" s="5">
        <v>12</v>
      </c>
      <c r="K30" s="67"/>
      <c r="L30" s="6">
        <v>2.48</v>
      </c>
      <c r="M30" s="67"/>
      <c r="N30" s="5" t="s">
        <v>16</v>
      </c>
      <c r="O30" s="6">
        <v>1</v>
      </c>
      <c r="P30" s="5">
        <v>91</v>
      </c>
      <c r="Q30" s="5">
        <v>25</v>
      </c>
      <c r="R30" s="5">
        <v>0</v>
      </c>
      <c r="S30" s="3">
        <f>P30+Q30+R30</f>
        <v>116</v>
      </c>
      <c r="T30" s="3">
        <f>P30/Q30</f>
        <v>3.64</v>
      </c>
      <c r="U30" s="3">
        <f>18.7/4</f>
        <v>4.6749999999999998</v>
      </c>
      <c r="V30" s="3">
        <f>32/22</f>
        <v>1.4545454545454546</v>
      </c>
      <c r="W30" s="5">
        <v>10</v>
      </c>
      <c r="X30" s="5" t="s">
        <v>52</v>
      </c>
      <c r="Z30" s="4">
        <v>44872</v>
      </c>
      <c r="AB30" s="5" t="str">
        <f>IF(D30="20um Schlenk", "Single", "Poly")</f>
        <v>Poly</v>
      </c>
      <c r="AC30" s="5">
        <v>100</v>
      </c>
      <c r="AD30" s="59"/>
      <c r="AE30" s="29">
        <v>1</v>
      </c>
      <c r="AF30" s="29" t="s">
        <v>104</v>
      </c>
      <c r="AG30" s="29" t="s">
        <v>102</v>
      </c>
    </row>
  </sheetData>
  <sortState xmlns:xlrd2="http://schemas.microsoft.com/office/spreadsheetml/2017/richdata2" ref="A1:B1">
    <sortCondition ref="A1"/>
  </sortState>
  <conditionalFormatting sqref="AC1:AC8 D1:E14 D17:E20 AA16 D16">
    <cfRule type="containsText" dxfId="254" priority="588" operator="containsText" text="Sh">
      <formula>NOT(ISERROR(SEARCH("Sh",D1)))</formula>
    </cfRule>
    <cfRule type="cellIs" dxfId="253" priority="589" operator="equal">
      <formula>"Sh"</formula>
    </cfRule>
  </conditionalFormatting>
  <conditionalFormatting sqref="AC1:AC8">
    <cfRule type="iconSet" priority="585">
      <iconSet>
        <cfvo type="percent" val="0"/>
        <cfvo type="percent" val="90" gte="0"/>
        <cfvo type="percent" val="100"/>
      </iconSet>
    </cfRule>
  </conditionalFormatting>
  <conditionalFormatting sqref="H1:H8">
    <cfRule type="iconSet" priority="590">
      <iconSet iconSet="3Flags">
        <cfvo type="percent" val="0"/>
        <cfvo type="percent" val="33"/>
        <cfvo type="percent" val="67"/>
      </iconSet>
    </cfRule>
  </conditionalFormatting>
  <conditionalFormatting sqref="G1:G8">
    <cfRule type="iconSet" priority="591">
      <iconSet iconSet="3Signs">
        <cfvo type="percent" val="0"/>
        <cfvo type="percent" val="33"/>
        <cfvo type="percent" val="67"/>
      </iconSet>
    </cfRule>
  </conditionalFormatting>
  <conditionalFormatting sqref="F1:F8">
    <cfRule type="containsText" dxfId="252" priority="583" operator="containsText" text="Roll-to-Roll">
      <formula>NOT(ISERROR(SEARCH("Roll-to-Roll",F1)))</formula>
    </cfRule>
    <cfRule type="containsText" dxfId="251" priority="584" operator="containsText" text="Production">
      <formula>NOT(ISERROR(SEARCH("Production",F1)))</formula>
    </cfRule>
  </conditionalFormatting>
  <conditionalFormatting sqref="G1:G8">
    <cfRule type="iconSet" priority="582">
      <iconSet>
        <cfvo type="percent" val="0"/>
        <cfvo type="percent" val="33"/>
        <cfvo type="percent" val="67"/>
      </iconSet>
    </cfRule>
  </conditionalFormatting>
  <conditionalFormatting sqref="H1:H8">
    <cfRule type="iconSet" priority="580">
      <iconSet iconSet="3Flags">
        <cfvo type="percent" val="0"/>
        <cfvo type="percent" val="33"/>
        <cfvo type="percent" val="67"/>
      </iconSet>
    </cfRule>
    <cfRule type="iconSet" priority="581">
      <iconSet iconSet="3Flags" reverse="1">
        <cfvo type="percent" val="0"/>
        <cfvo type="percent" val="33"/>
        <cfvo type="percent" val="67"/>
      </iconSet>
    </cfRule>
  </conditionalFormatting>
  <conditionalFormatting sqref="AC1:AC8">
    <cfRule type="iconSet" priority="579">
      <iconSet>
        <cfvo type="percent" val="0"/>
        <cfvo type="percent" val="33"/>
        <cfvo type="percent" val="67"/>
      </iconSet>
    </cfRule>
  </conditionalFormatting>
  <conditionalFormatting sqref="S1:S8">
    <cfRule type="dataBar" priority="56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{DD5CF37F-BCCC-4F24-B324-52E1265B89F1}</x14:id>
        </ext>
      </extLst>
    </cfRule>
  </conditionalFormatting>
  <conditionalFormatting sqref="T1:T8">
    <cfRule type="dataBar" priority="56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{E55A450E-59C7-4AE7-8BA5-F9D0D8DD4A6B}</x14:id>
        </ext>
      </extLst>
    </cfRule>
  </conditionalFormatting>
  <conditionalFormatting sqref="U1:U8">
    <cfRule type="dataBar" priority="56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{384D9A12-0368-461A-BE93-9D3E38EB3F87}</x14:id>
        </ext>
      </extLst>
    </cfRule>
  </conditionalFormatting>
  <conditionalFormatting sqref="V1:V8">
    <cfRule type="dataBar" priority="5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{7E3EEBB5-3EFA-4BF1-A0A9-1ABB6F7EBC04}</x14:id>
        </ext>
      </extLst>
    </cfRule>
  </conditionalFormatting>
  <conditionalFormatting sqref="AF1:AF8">
    <cfRule type="containsText" dxfId="250" priority="575" stopIfTrue="1" operator="containsText" text="No">
      <formula>NOT(ISERROR(SEARCH("No",AF1)))</formula>
    </cfRule>
    <cfRule type="containsText" dxfId="249" priority="576" stopIfTrue="1" operator="containsText" text="High">
      <formula>NOT(ISERROR(SEARCH("High",AF1)))</formula>
    </cfRule>
    <cfRule type="containsText" dxfId="248" priority="577" stopIfTrue="1" operator="containsText" text="Medium">
      <formula>NOT(ISERROR(SEARCH("Medium",AF1)))</formula>
    </cfRule>
    <cfRule type="containsText" dxfId="247" priority="578" operator="containsText" text="Low">
      <formula>NOT(ISERROR(SEARCH("Low",AF1)))</formula>
    </cfRule>
  </conditionalFormatting>
  <conditionalFormatting sqref="AG1:AG8">
    <cfRule type="containsText" dxfId="246" priority="571" operator="containsText" text="High">
      <formula>NOT(ISERROR(SEARCH("High",AG1)))</formula>
    </cfRule>
    <cfRule type="containsText" dxfId="245" priority="572" operator="containsText" text="Medium">
      <formula>NOT(ISERROR(SEARCH("Medium",AG1)))</formula>
    </cfRule>
    <cfRule type="containsText" dxfId="244" priority="573" operator="containsText" text="Low">
      <formula>NOT(ISERROR(SEARCH("Low",AG1)))</formula>
    </cfRule>
    <cfRule type="containsText" dxfId="243" priority="574" operator="containsText" text="No">
      <formula>NOT(ISERROR(SEARCH("No",AG1)))</formula>
    </cfRule>
  </conditionalFormatting>
  <conditionalFormatting sqref="P1:P8">
    <cfRule type="dataBar" priority="5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{C678E0A8-D8F3-46E7-9A5C-37921D32E62C}</x14:id>
        </ext>
      </extLst>
    </cfRule>
  </conditionalFormatting>
  <conditionalFormatting sqref="Q1:Q8">
    <cfRule type="dataBar" priority="56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{C22029E8-5052-4C06-B784-88A7900ABA38}</x14:id>
        </ext>
      </extLst>
    </cfRule>
  </conditionalFormatting>
  <conditionalFormatting sqref="R1:R8">
    <cfRule type="dataBar" priority="56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{1A00BDD6-C382-48B1-9706-9EC7DBAB5523}</x14:id>
        </ext>
      </extLst>
    </cfRule>
  </conditionalFormatting>
  <conditionalFormatting sqref="AD1:AD8">
    <cfRule type="colorScale" priority="56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63">
      <colorScale>
        <cfvo type="min"/>
        <cfvo type="max"/>
        <color rgb="FFFF7128"/>
        <color rgb="FFFFEF9C"/>
      </colorScale>
    </cfRule>
  </conditionalFormatting>
  <conditionalFormatting sqref="AE1:AE8">
    <cfRule type="colorScale" priority="561">
      <colorScale>
        <cfvo type="min"/>
        <cfvo type="max"/>
        <color rgb="FFFCFCFF"/>
        <color rgb="FFF8696B"/>
      </colorScale>
    </cfRule>
  </conditionalFormatting>
  <conditionalFormatting sqref="AC9:AC10">
    <cfRule type="containsText" dxfId="242" priority="557" operator="containsText" text="Sh">
      <formula>NOT(ISERROR(SEARCH("Sh",AC9)))</formula>
    </cfRule>
    <cfRule type="cellIs" dxfId="241" priority="558" operator="equal">
      <formula>"Sh"</formula>
    </cfRule>
  </conditionalFormatting>
  <conditionalFormatting sqref="AC9:AC10">
    <cfRule type="iconSet" priority="550">
      <iconSet>
        <cfvo type="percent" val="0"/>
        <cfvo type="percent" val="90" gte="0"/>
        <cfvo type="percent" val="100"/>
      </iconSet>
    </cfRule>
  </conditionalFormatting>
  <conditionalFormatting sqref="H9:H10">
    <cfRule type="iconSet" priority="559">
      <iconSet iconSet="3Flags">
        <cfvo type="percent" val="0"/>
        <cfvo type="percent" val="33"/>
        <cfvo type="percent" val="67"/>
      </iconSet>
    </cfRule>
  </conditionalFormatting>
  <conditionalFormatting sqref="G9:G10">
    <cfRule type="iconSet" priority="560">
      <iconSet iconSet="3Signs">
        <cfvo type="percent" val="0"/>
        <cfvo type="percent" val="33"/>
        <cfvo type="percent" val="67"/>
      </iconSet>
    </cfRule>
  </conditionalFormatting>
  <conditionalFormatting sqref="F9:F10">
    <cfRule type="containsText" dxfId="240" priority="548" operator="containsText" text="Roll-to-Roll">
      <formula>NOT(ISERROR(SEARCH("Roll-to-Roll",F9)))</formula>
    </cfRule>
    <cfRule type="containsText" dxfId="239" priority="549" operator="containsText" text="Production">
      <formula>NOT(ISERROR(SEARCH("Production",F9)))</formula>
    </cfRule>
  </conditionalFormatting>
  <conditionalFormatting sqref="G9:G10">
    <cfRule type="iconSet" priority="547">
      <iconSet>
        <cfvo type="percent" val="0"/>
        <cfvo type="percent" val="33"/>
        <cfvo type="percent" val="67"/>
      </iconSet>
    </cfRule>
  </conditionalFormatting>
  <conditionalFormatting sqref="H9:H10">
    <cfRule type="iconSet" priority="545">
      <iconSet iconSet="3Flags">
        <cfvo type="percent" val="0"/>
        <cfvo type="percent" val="33"/>
        <cfvo type="percent" val="67"/>
      </iconSet>
    </cfRule>
    <cfRule type="iconSet" priority="546">
      <iconSet iconSet="3Flags" reverse="1">
        <cfvo type="percent" val="0"/>
        <cfvo type="percent" val="33"/>
        <cfvo type="percent" val="67"/>
      </iconSet>
    </cfRule>
  </conditionalFormatting>
  <conditionalFormatting sqref="AC9:AC10">
    <cfRule type="iconSet" priority="544">
      <iconSet>
        <cfvo type="percent" val="0"/>
        <cfvo type="percent" val="33"/>
        <cfvo type="percent" val="67"/>
      </iconSet>
    </cfRule>
  </conditionalFormatting>
  <conditionalFormatting sqref="S9:S10">
    <cfRule type="dataBar" priority="53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{62BCEF77-7E15-4EA0-AAC6-2EE336CDB329}</x14:id>
        </ext>
      </extLst>
    </cfRule>
  </conditionalFormatting>
  <conditionalFormatting sqref="T9:T10">
    <cfRule type="dataBar" priority="53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{130499C2-5648-404A-9222-83F309DB04EB}</x14:id>
        </ext>
      </extLst>
    </cfRule>
  </conditionalFormatting>
  <conditionalFormatting sqref="U9:U10">
    <cfRule type="dataBar" priority="53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{5315C655-DFE9-421D-8B29-A09CE76F5039}</x14:id>
        </ext>
      </extLst>
    </cfRule>
  </conditionalFormatting>
  <conditionalFormatting sqref="V9:V10">
    <cfRule type="dataBar" priority="5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{8F204037-BE78-48EE-BE80-912CA2D730B5}</x14:id>
        </ext>
      </extLst>
    </cfRule>
  </conditionalFormatting>
  <conditionalFormatting sqref="AF9:AF10">
    <cfRule type="containsText" dxfId="238" priority="540" stopIfTrue="1" operator="containsText" text="No">
      <formula>NOT(ISERROR(SEARCH("No",AF9)))</formula>
    </cfRule>
    <cfRule type="containsText" dxfId="237" priority="541" stopIfTrue="1" operator="containsText" text="High">
      <formula>NOT(ISERROR(SEARCH("High",AF9)))</formula>
    </cfRule>
    <cfRule type="containsText" dxfId="236" priority="542" stopIfTrue="1" operator="containsText" text="Medium">
      <formula>NOT(ISERROR(SEARCH("Medium",AF9)))</formula>
    </cfRule>
    <cfRule type="containsText" dxfId="235" priority="543" operator="containsText" text="Low">
      <formula>NOT(ISERROR(SEARCH("Low",AF9)))</formula>
    </cfRule>
  </conditionalFormatting>
  <conditionalFormatting sqref="AG9:AG10">
    <cfRule type="containsText" dxfId="234" priority="536" operator="containsText" text="High">
      <formula>NOT(ISERROR(SEARCH("High",AG9)))</formula>
    </cfRule>
    <cfRule type="containsText" dxfId="233" priority="537" operator="containsText" text="Medium">
      <formula>NOT(ISERROR(SEARCH("Medium",AG9)))</formula>
    </cfRule>
    <cfRule type="containsText" dxfId="232" priority="538" operator="containsText" text="Low">
      <formula>NOT(ISERROR(SEARCH("Low",AG9)))</formula>
    </cfRule>
    <cfRule type="containsText" dxfId="231" priority="539" operator="containsText" text="No">
      <formula>NOT(ISERROR(SEARCH("No",AG9)))</formula>
    </cfRule>
  </conditionalFormatting>
  <conditionalFormatting sqref="P9:P10">
    <cfRule type="dataBar" priority="5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{112EA1DF-370C-425D-9646-C35C683BAE45}</x14:id>
        </ext>
      </extLst>
    </cfRule>
  </conditionalFormatting>
  <conditionalFormatting sqref="Q9:Q10">
    <cfRule type="dataBar" priority="53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{5614D111-AFD4-4B0E-BDDD-1AF34D98ACAA}</x14:id>
        </ext>
      </extLst>
    </cfRule>
  </conditionalFormatting>
  <conditionalFormatting sqref="R9:R10">
    <cfRule type="dataBar" priority="5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{1274EDBE-68C2-4AA0-84A7-C67D6F5FB07C}</x14:id>
        </ext>
      </extLst>
    </cfRule>
  </conditionalFormatting>
  <conditionalFormatting sqref="AD9:AD10">
    <cfRule type="colorScale" priority="5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28">
      <colorScale>
        <cfvo type="min"/>
        <cfvo type="max"/>
        <color rgb="FFFF7128"/>
        <color rgb="FFFFEF9C"/>
      </colorScale>
    </cfRule>
  </conditionalFormatting>
  <conditionalFormatting sqref="AE9:AE10">
    <cfRule type="colorScale" priority="526">
      <colorScale>
        <cfvo type="min"/>
        <cfvo type="max"/>
        <color rgb="FFFCFCFF"/>
        <color rgb="FFF8696B"/>
      </colorScale>
    </cfRule>
  </conditionalFormatting>
  <conditionalFormatting sqref="AC11:AC12">
    <cfRule type="containsText" dxfId="230" priority="522" operator="containsText" text="Sh">
      <formula>NOT(ISERROR(SEARCH("Sh",AC11)))</formula>
    </cfRule>
    <cfRule type="cellIs" dxfId="229" priority="523" operator="equal">
      <formula>"Sh"</formula>
    </cfRule>
  </conditionalFormatting>
  <conditionalFormatting sqref="AC11:AC12">
    <cfRule type="iconSet" priority="515">
      <iconSet>
        <cfvo type="percent" val="0"/>
        <cfvo type="percent" val="90" gte="0"/>
        <cfvo type="percent" val="100"/>
      </iconSet>
    </cfRule>
  </conditionalFormatting>
  <conditionalFormatting sqref="H11:H12">
    <cfRule type="iconSet" priority="524">
      <iconSet iconSet="3Flags">
        <cfvo type="percent" val="0"/>
        <cfvo type="percent" val="33"/>
        <cfvo type="percent" val="67"/>
      </iconSet>
    </cfRule>
  </conditionalFormatting>
  <conditionalFormatting sqref="G11:G12">
    <cfRule type="iconSet" priority="525">
      <iconSet iconSet="3Signs">
        <cfvo type="percent" val="0"/>
        <cfvo type="percent" val="33"/>
        <cfvo type="percent" val="67"/>
      </iconSet>
    </cfRule>
  </conditionalFormatting>
  <conditionalFormatting sqref="F11:F12">
    <cfRule type="containsText" dxfId="228" priority="513" operator="containsText" text="Roll-to-Roll">
      <formula>NOT(ISERROR(SEARCH("Roll-to-Roll",F11)))</formula>
    </cfRule>
    <cfRule type="containsText" dxfId="227" priority="514" operator="containsText" text="Production">
      <formula>NOT(ISERROR(SEARCH("Production",F11)))</formula>
    </cfRule>
  </conditionalFormatting>
  <conditionalFormatting sqref="G11:G12">
    <cfRule type="iconSet" priority="512">
      <iconSet>
        <cfvo type="percent" val="0"/>
        <cfvo type="percent" val="33"/>
        <cfvo type="percent" val="67"/>
      </iconSet>
    </cfRule>
  </conditionalFormatting>
  <conditionalFormatting sqref="H11:H12">
    <cfRule type="iconSet" priority="510">
      <iconSet iconSet="3Flags">
        <cfvo type="percent" val="0"/>
        <cfvo type="percent" val="33"/>
        <cfvo type="percent" val="67"/>
      </iconSet>
    </cfRule>
    <cfRule type="iconSet" priority="511">
      <iconSet iconSet="3Flags" reverse="1">
        <cfvo type="percent" val="0"/>
        <cfvo type="percent" val="33"/>
        <cfvo type="percent" val="67"/>
      </iconSet>
    </cfRule>
  </conditionalFormatting>
  <conditionalFormatting sqref="AC11:AC12">
    <cfRule type="iconSet" priority="509">
      <iconSet>
        <cfvo type="percent" val="0"/>
        <cfvo type="percent" val="33"/>
        <cfvo type="percent" val="67"/>
      </iconSet>
    </cfRule>
  </conditionalFormatting>
  <conditionalFormatting sqref="S11:S12">
    <cfRule type="dataBar" priority="49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{F2ED21AC-000C-4FEC-B399-26C6128BF065}</x14:id>
        </ext>
      </extLst>
    </cfRule>
  </conditionalFormatting>
  <conditionalFormatting sqref="T11:T12">
    <cfRule type="dataBar" priority="49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{97B0F515-F318-4675-AF6E-64500C72CC45}</x14:id>
        </ext>
      </extLst>
    </cfRule>
  </conditionalFormatting>
  <conditionalFormatting sqref="U11:U12">
    <cfRule type="dataBar" priority="49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{C51A3ED5-F18D-4088-B2F3-8AACAEADE8CB}</x14:id>
        </ext>
      </extLst>
    </cfRule>
  </conditionalFormatting>
  <conditionalFormatting sqref="V11:V12">
    <cfRule type="dataBar" priority="4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{97220D7A-F324-4C6D-B2F0-F89452B41DE2}</x14:id>
        </ext>
      </extLst>
    </cfRule>
  </conditionalFormatting>
  <conditionalFormatting sqref="AF11:AF12">
    <cfRule type="containsText" dxfId="226" priority="505" stopIfTrue="1" operator="containsText" text="No">
      <formula>NOT(ISERROR(SEARCH("No",AF11)))</formula>
    </cfRule>
    <cfRule type="containsText" dxfId="225" priority="506" stopIfTrue="1" operator="containsText" text="High">
      <formula>NOT(ISERROR(SEARCH("High",AF11)))</formula>
    </cfRule>
    <cfRule type="containsText" dxfId="224" priority="507" stopIfTrue="1" operator="containsText" text="Medium">
      <formula>NOT(ISERROR(SEARCH("Medium",AF11)))</formula>
    </cfRule>
    <cfRule type="containsText" dxfId="223" priority="508" operator="containsText" text="Low">
      <formula>NOT(ISERROR(SEARCH("Low",AF11)))</formula>
    </cfRule>
  </conditionalFormatting>
  <conditionalFormatting sqref="AG11:AG12">
    <cfRule type="containsText" dxfId="222" priority="501" operator="containsText" text="High">
      <formula>NOT(ISERROR(SEARCH("High",AG11)))</formula>
    </cfRule>
    <cfRule type="containsText" dxfId="221" priority="502" operator="containsText" text="Medium">
      <formula>NOT(ISERROR(SEARCH("Medium",AG11)))</formula>
    </cfRule>
    <cfRule type="containsText" dxfId="220" priority="503" operator="containsText" text="Low">
      <formula>NOT(ISERROR(SEARCH("Low",AG11)))</formula>
    </cfRule>
    <cfRule type="containsText" dxfId="219" priority="504" operator="containsText" text="No">
      <formula>NOT(ISERROR(SEARCH("No",AG11)))</formula>
    </cfRule>
  </conditionalFormatting>
  <conditionalFormatting sqref="P11:P12">
    <cfRule type="dataBar" priority="5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{57E9ADAA-92F8-4E66-B61F-70EF411F3B9C}</x14:id>
        </ext>
      </extLst>
    </cfRule>
  </conditionalFormatting>
  <conditionalFormatting sqref="Q11:Q12">
    <cfRule type="dataBar" priority="49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{53B6084E-EA10-4258-BB5E-025CE4E826AB}</x14:id>
        </ext>
      </extLst>
    </cfRule>
  </conditionalFormatting>
  <conditionalFormatting sqref="R11:R12">
    <cfRule type="dataBar" priority="49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{FE425106-68C9-44DA-A84C-12BAEB559F48}</x14:id>
        </ext>
      </extLst>
    </cfRule>
  </conditionalFormatting>
  <conditionalFormatting sqref="AD11:AD12">
    <cfRule type="colorScale" priority="49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93">
      <colorScale>
        <cfvo type="min"/>
        <cfvo type="max"/>
        <color rgb="FFFF7128"/>
        <color rgb="FFFFEF9C"/>
      </colorScale>
    </cfRule>
  </conditionalFormatting>
  <conditionalFormatting sqref="AE11:AE12">
    <cfRule type="colorScale" priority="491">
      <colorScale>
        <cfvo type="min"/>
        <cfvo type="max"/>
        <color rgb="FFFCFCFF"/>
        <color rgb="FFF8696B"/>
      </colorScale>
    </cfRule>
  </conditionalFormatting>
  <conditionalFormatting sqref="AB13:AB14">
    <cfRule type="containsText" dxfId="218" priority="489" operator="containsText" text="Sh">
      <formula>NOT(ISERROR(SEARCH("Sh",AB13)))</formula>
    </cfRule>
    <cfRule type="cellIs" dxfId="217" priority="490" operator="equal">
      <formula>"Sh"</formula>
    </cfRule>
  </conditionalFormatting>
  <conditionalFormatting sqref="AC13">
    <cfRule type="containsText" dxfId="216" priority="487" operator="containsText" text="Sh">
      <formula>NOT(ISERROR(SEARCH("Sh",AC13)))</formula>
    </cfRule>
    <cfRule type="cellIs" dxfId="215" priority="488" operator="equal">
      <formula>"Sh"</formula>
    </cfRule>
  </conditionalFormatting>
  <conditionalFormatting sqref="AC13">
    <cfRule type="iconSet" priority="484">
      <iconSet>
        <cfvo type="percent" val="0"/>
        <cfvo type="percent" val="90" gte="0"/>
        <cfvo type="percent" val="100"/>
      </iconSet>
    </cfRule>
  </conditionalFormatting>
  <conditionalFormatting sqref="G13">
    <cfRule type="iconSet" priority="483">
      <iconSet iconSet="3Signs">
        <cfvo type="percent" val="0"/>
        <cfvo type="percent" val="33"/>
        <cfvo type="percent" val="67"/>
      </iconSet>
    </cfRule>
  </conditionalFormatting>
  <conditionalFormatting sqref="AC14">
    <cfRule type="containsText" dxfId="214" priority="481" operator="containsText" text="Sh">
      <formula>NOT(ISERROR(SEARCH("Sh",AC14)))</formula>
    </cfRule>
    <cfRule type="cellIs" dxfId="213" priority="482" operator="equal">
      <formula>"Sh"</formula>
    </cfRule>
  </conditionalFormatting>
  <conditionalFormatting sqref="AC14">
    <cfRule type="iconSet" priority="478">
      <iconSet>
        <cfvo type="percent" val="0"/>
        <cfvo type="percent" val="90" gte="0"/>
        <cfvo type="percent" val="100"/>
      </iconSet>
    </cfRule>
  </conditionalFormatting>
  <conditionalFormatting sqref="G14">
    <cfRule type="iconSet" priority="477">
      <iconSet iconSet="3Signs">
        <cfvo type="percent" val="0"/>
        <cfvo type="percent" val="33"/>
        <cfvo type="percent" val="67"/>
      </iconSet>
    </cfRule>
  </conditionalFormatting>
  <conditionalFormatting sqref="H13:H14">
    <cfRule type="iconSet" priority="472">
      <iconSet iconSet="3Flags">
        <cfvo type="percent" val="0"/>
        <cfvo type="percent" val="33"/>
        <cfvo type="percent" val="67"/>
      </iconSet>
    </cfRule>
  </conditionalFormatting>
  <conditionalFormatting sqref="F13:F14">
    <cfRule type="containsText" dxfId="212" priority="470" operator="containsText" text="Roll-to-Roll">
      <formula>NOT(ISERROR(SEARCH("Roll-to-Roll",F13)))</formula>
    </cfRule>
    <cfRule type="containsText" dxfId="211" priority="471" operator="containsText" text="Production">
      <formula>NOT(ISERROR(SEARCH("Production",F13)))</formula>
    </cfRule>
  </conditionalFormatting>
  <conditionalFormatting sqref="G13:G14">
    <cfRule type="iconSet" priority="469">
      <iconSet>
        <cfvo type="percent" val="0"/>
        <cfvo type="percent" val="33"/>
        <cfvo type="percent" val="67"/>
      </iconSet>
    </cfRule>
  </conditionalFormatting>
  <conditionalFormatting sqref="H13:H14">
    <cfRule type="iconSet" priority="467">
      <iconSet iconSet="3Flags">
        <cfvo type="percent" val="0"/>
        <cfvo type="percent" val="33"/>
        <cfvo type="percent" val="67"/>
      </iconSet>
    </cfRule>
    <cfRule type="iconSet" priority="468">
      <iconSet iconSet="3Flags" reverse="1">
        <cfvo type="percent" val="0"/>
        <cfvo type="percent" val="33"/>
        <cfvo type="percent" val="67"/>
      </iconSet>
    </cfRule>
  </conditionalFormatting>
  <conditionalFormatting sqref="AC13:AC14">
    <cfRule type="iconSet" priority="466">
      <iconSet>
        <cfvo type="percent" val="0"/>
        <cfvo type="percent" val="33"/>
        <cfvo type="percent" val="67"/>
      </iconSet>
    </cfRule>
  </conditionalFormatting>
  <conditionalFormatting sqref="S13:S14">
    <cfRule type="dataBar" priority="45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{CFAB44B3-507C-4466-AD4E-AD3300A80C8F}</x14:id>
        </ext>
      </extLst>
    </cfRule>
  </conditionalFormatting>
  <conditionalFormatting sqref="T13:T14">
    <cfRule type="dataBar" priority="45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{3C73E8F5-FF40-48A0-A415-FF34110ACD2D}</x14:id>
        </ext>
      </extLst>
    </cfRule>
  </conditionalFormatting>
  <conditionalFormatting sqref="U13:U14">
    <cfRule type="dataBar" priority="45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{47577D63-B201-46F7-B421-54CA2D34B94E}</x14:id>
        </ext>
      </extLst>
    </cfRule>
  </conditionalFormatting>
  <conditionalFormatting sqref="V13:V14">
    <cfRule type="dataBar" priority="4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{BF6A33E9-1FCC-4AE2-9C69-9F2B248603CC}</x14:id>
        </ext>
      </extLst>
    </cfRule>
  </conditionalFormatting>
  <conditionalFormatting sqref="AF13:AF14">
    <cfRule type="containsText" dxfId="210" priority="462" stopIfTrue="1" operator="containsText" text="No">
      <formula>NOT(ISERROR(SEARCH("No",AF13)))</formula>
    </cfRule>
    <cfRule type="containsText" dxfId="209" priority="463" stopIfTrue="1" operator="containsText" text="High">
      <formula>NOT(ISERROR(SEARCH("High",AF13)))</formula>
    </cfRule>
    <cfRule type="containsText" dxfId="208" priority="464" stopIfTrue="1" operator="containsText" text="Medium">
      <formula>NOT(ISERROR(SEARCH("Medium",AF13)))</formula>
    </cfRule>
    <cfRule type="containsText" dxfId="207" priority="465" operator="containsText" text="Low">
      <formula>NOT(ISERROR(SEARCH("Low",AF13)))</formula>
    </cfRule>
  </conditionalFormatting>
  <conditionalFormatting sqref="AG13:AG14">
    <cfRule type="containsText" dxfId="206" priority="458" operator="containsText" text="High">
      <formula>NOT(ISERROR(SEARCH("High",AG13)))</formula>
    </cfRule>
    <cfRule type="containsText" dxfId="205" priority="459" operator="containsText" text="Medium">
      <formula>NOT(ISERROR(SEARCH("Medium",AG13)))</formula>
    </cfRule>
    <cfRule type="containsText" dxfId="204" priority="460" operator="containsText" text="Low">
      <formula>NOT(ISERROR(SEARCH("Low",AG13)))</formula>
    </cfRule>
    <cfRule type="containsText" dxfId="203" priority="461" operator="containsText" text="No">
      <formula>NOT(ISERROR(SEARCH("No",AG13)))</formula>
    </cfRule>
  </conditionalFormatting>
  <conditionalFormatting sqref="P13:P14">
    <cfRule type="dataBar" priority="4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{E1144544-1651-4473-9BDE-B3D0603F46C0}</x14:id>
        </ext>
      </extLst>
    </cfRule>
  </conditionalFormatting>
  <conditionalFormatting sqref="Q13:Q14">
    <cfRule type="dataBar" priority="45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{CE158FD2-1EDC-4EBF-847D-3F9D8263D194}</x14:id>
        </ext>
      </extLst>
    </cfRule>
  </conditionalFormatting>
  <conditionalFormatting sqref="R13:R14">
    <cfRule type="dataBar" priority="45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{E4E25ED1-6D71-4319-89AE-CBB018180F91}</x14:id>
        </ext>
      </extLst>
    </cfRule>
  </conditionalFormatting>
  <conditionalFormatting sqref="AD13:AD14">
    <cfRule type="colorScale" priority="44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50">
      <colorScale>
        <cfvo type="min"/>
        <cfvo type="max"/>
        <color rgb="FFFF7128"/>
        <color rgb="FFFFEF9C"/>
      </colorScale>
    </cfRule>
  </conditionalFormatting>
  <conditionalFormatting sqref="AE13:AE14">
    <cfRule type="colorScale" priority="448">
      <colorScale>
        <cfvo type="min"/>
        <cfvo type="max"/>
        <color rgb="FFFCFCFF"/>
        <color rgb="FFF8696B"/>
      </colorScale>
    </cfRule>
  </conditionalFormatting>
  <conditionalFormatting sqref="AB15">
    <cfRule type="containsText" dxfId="202" priority="433" operator="containsText" text="Sh">
      <formula>NOT(ISERROR(SEARCH("Sh",AB15)))</formula>
    </cfRule>
    <cfRule type="cellIs" dxfId="201" priority="434" operator="equal">
      <formula>"Sh"</formula>
    </cfRule>
  </conditionalFormatting>
  <conditionalFormatting sqref="AC15">
    <cfRule type="containsText" dxfId="200" priority="431" operator="containsText" text="Sh">
      <formula>NOT(ISERROR(SEARCH("Sh",AC15)))</formula>
    </cfRule>
    <cfRule type="cellIs" dxfId="199" priority="432" operator="equal">
      <formula>"Sh"</formula>
    </cfRule>
  </conditionalFormatting>
  <conditionalFormatting sqref="G15">
    <cfRule type="iconSet" priority="437">
      <iconSet iconSet="3Signs">
        <cfvo type="percent" val="0"/>
        <cfvo type="percent" val="33"/>
        <cfvo type="percent" val="67"/>
      </iconSet>
    </cfRule>
  </conditionalFormatting>
  <conditionalFormatting sqref="H15">
    <cfRule type="iconSet" priority="438">
      <iconSet iconSet="3Flags">
        <cfvo type="percent" val="0"/>
        <cfvo type="percent" val="33"/>
        <cfvo type="percent" val="67"/>
      </iconSet>
    </cfRule>
  </conditionalFormatting>
  <conditionalFormatting sqref="K15:M15">
    <cfRule type="iconSet" priority="439">
      <iconSet iconSet="3Flags">
        <cfvo type="percent" val="0"/>
        <cfvo type="percent" val="33"/>
        <cfvo type="percent" val="67"/>
      </iconSet>
    </cfRule>
  </conditionalFormatting>
  <conditionalFormatting sqref="AC15">
    <cfRule type="iconSet" priority="440">
      <iconSet>
        <cfvo type="percent" val="0"/>
        <cfvo type="percent" val="90" gte="0"/>
        <cfvo type="percent" val="100"/>
      </iconSet>
    </cfRule>
  </conditionalFormatting>
  <conditionalFormatting sqref="K15">
    <cfRule type="iconSet" priority="441">
      <iconSet iconSet="3Flags" reverse="1">
        <cfvo type="percent" val="0"/>
        <cfvo type="percent" val="33"/>
        <cfvo type="percent" val="67"/>
      </iconSet>
    </cfRule>
    <cfRule type="iconSet" priority="442">
      <iconSet iconSet="3Flags">
        <cfvo type="percent" val="0"/>
        <cfvo type="percent" val="33"/>
        <cfvo type="percent" val="67"/>
      </iconSet>
    </cfRule>
  </conditionalFormatting>
  <conditionalFormatting sqref="L15:M15">
    <cfRule type="iconSet" priority="443">
      <iconSet iconSet="3Flags">
        <cfvo type="percent" val="0"/>
        <cfvo type="percent" val="33"/>
        <cfvo type="percent" val="67"/>
      </iconSet>
    </cfRule>
  </conditionalFormatting>
  <conditionalFormatting sqref="L15">
    <cfRule type="iconSet" priority="444">
      <iconSet iconSet="3Flags" reverse="1">
        <cfvo type="percent" val="0"/>
        <cfvo type="percent" val="33"/>
        <cfvo type="percent" val="67"/>
      </iconSet>
    </cfRule>
    <cfRule type="iconSet" priority="445">
      <iconSet iconSet="3Flags">
        <cfvo type="percent" val="0"/>
        <cfvo type="percent" val="33"/>
        <cfvo type="percent" val="67"/>
      </iconSet>
    </cfRule>
  </conditionalFormatting>
  <conditionalFormatting sqref="M15">
    <cfRule type="iconSet" priority="446">
      <iconSet iconSet="3Flags" reverse="1">
        <cfvo type="percent" val="0"/>
        <cfvo type="percent" val="33"/>
        <cfvo type="percent" val="67"/>
      </iconSet>
    </cfRule>
    <cfRule type="iconSet" priority="447">
      <iconSet iconSet="3Flags">
        <cfvo type="percent" val="0"/>
        <cfvo type="percent" val="33"/>
        <cfvo type="percent" val="67"/>
      </iconSet>
    </cfRule>
  </conditionalFormatting>
  <conditionalFormatting sqref="F15">
    <cfRule type="containsText" dxfId="198" priority="429" operator="containsText" text="Roll-to-Roll">
      <formula>NOT(ISERROR(SEARCH("Roll-to-Roll",F15)))</formula>
    </cfRule>
    <cfRule type="containsText" dxfId="197" priority="430" operator="containsText" text="Production">
      <formula>NOT(ISERROR(SEARCH("Production",F15)))</formula>
    </cfRule>
  </conditionalFormatting>
  <conditionalFormatting sqref="G15">
    <cfRule type="iconSet" priority="428">
      <iconSet>
        <cfvo type="percent" val="0"/>
        <cfvo type="percent" val="33"/>
        <cfvo type="percent" val="67"/>
      </iconSet>
    </cfRule>
  </conditionalFormatting>
  <conditionalFormatting sqref="H15">
    <cfRule type="iconSet" priority="426">
      <iconSet iconSet="3Flags">
        <cfvo type="percent" val="0"/>
        <cfvo type="percent" val="33"/>
        <cfvo type="percent" val="67"/>
      </iconSet>
    </cfRule>
    <cfRule type="iconSet" priority="427">
      <iconSet iconSet="3Flags" reverse="1">
        <cfvo type="percent" val="0"/>
        <cfvo type="percent" val="33"/>
        <cfvo type="percent" val="67"/>
      </iconSet>
    </cfRule>
  </conditionalFormatting>
  <conditionalFormatting sqref="AC15">
    <cfRule type="iconSet" priority="425">
      <iconSet>
        <cfvo type="percent" val="0"/>
        <cfvo type="percent" val="33"/>
        <cfvo type="percent" val="67"/>
      </iconSet>
    </cfRule>
  </conditionalFormatting>
  <conditionalFormatting sqref="S15">
    <cfRule type="dataBar" priority="41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{D7CE537C-D5F2-4897-9554-502C937E9FC5}</x14:id>
        </ext>
      </extLst>
    </cfRule>
  </conditionalFormatting>
  <conditionalFormatting sqref="T15">
    <cfRule type="dataBar" priority="4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{E90FA87E-FA3B-4684-AA7A-F81FA36D77FC}</x14:id>
        </ext>
      </extLst>
    </cfRule>
  </conditionalFormatting>
  <conditionalFormatting sqref="U15">
    <cfRule type="dataBar" priority="4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{DC5D3770-D21B-4DC4-AAF9-C0E6E8EBCDF8}</x14:id>
        </ext>
      </extLst>
    </cfRule>
  </conditionalFormatting>
  <conditionalFormatting sqref="V15">
    <cfRule type="dataBar" priority="4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{44781A23-EC46-424C-A516-FFE35A10A0C2}</x14:id>
        </ext>
      </extLst>
    </cfRule>
  </conditionalFormatting>
  <conditionalFormatting sqref="AF15">
    <cfRule type="containsText" dxfId="196" priority="421" stopIfTrue="1" operator="containsText" text="No">
      <formula>NOT(ISERROR(SEARCH("No",AF15)))</formula>
    </cfRule>
    <cfRule type="containsText" dxfId="195" priority="422" stopIfTrue="1" operator="containsText" text="High">
      <formula>NOT(ISERROR(SEARCH("High",AF15)))</formula>
    </cfRule>
    <cfRule type="containsText" dxfId="194" priority="423" stopIfTrue="1" operator="containsText" text="Medium">
      <formula>NOT(ISERROR(SEARCH("Medium",AF15)))</formula>
    </cfRule>
    <cfRule type="containsText" dxfId="193" priority="424" operator="containsText" text="Low">
      <formula>NOT(ISERROR(SEARCH("Low",AF15)))</formula>
    </cfRule>
  </conditionalFormatting>
  <conditionalFormatting sqref="AG15">
    <cfRule type="containsText" dxfId="192" priority="417" operator="containsText" text="High">
      <formula>NOT(ISERROR(SEARCH("High",AG15)))</formula>
    </cfRule>
    <cfRule type="containsText" dxfId="191" priority="418" operator="containsText" text="Medium">
      <formula>NOT(ISERROR(SEARCH("Medium",AG15)))</formula>
    </cfRule>
    <cfRule type="containsText" dxfId="190" priority="419" operator="containsText" text="Low">
      <formula>NOT(ISERROR(SEARCH("Low",AG15)))</formula>
    </cfRule>
    <cfRule type="containsText" dxfId="189" priority="420" operator="containsText" text="No">
      <formula>NOT(ISERROR(SEARCH("No",AG15)))</formula>
    </cfRule>
  </conditionalFormatting>
  <conditionalFormatting sqref="P15">
    <cfRule type="dataBar" priority="4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{2E2DAB0B-4A18-40AC-87B6-EFDE30F43FFE}</x14:id>
        </ext>
      </extLst>
    </cfRule>
  </conditionalFormatting>
  <conditionalFormatting sqref="Q15">
    <cfRule type="dataBar" priority="4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{B0813F0D-E8D0-4F07-BB11-69C1A72ED86F}</x14:id>
        </ext>
      </extLst>
    </cfRule>
  </conditionalFormatting>
  <conditionalFormatting sqref="R15">
    <cfRule type="dataBar" priority="4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{A7EE13F2-6591-41A2-A827-48AEDC94E664}</x14:id>
        </ext>
      </extLst>
    </cfRule>
  </conditionalFormatting>
  <conditionalFormatting sqref="AD15">
    <cfRule type="colorScale" priority="40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09">
      <colorScale>
        <cfvo type="min"/>
        <cfvo type="max"/>
        <color rgb="FFFF7128"/>
        <color rgb="FFFFEF9C"/>
      </colorScale>
    </cfRule>
  </conditionalFormatting>
  <conditionalFormatting sqref="AE15">
    <cfRule type="colorScale" priority="407">
      <colorScale>
        <cfvo type="min"/>
        <cfvo type="max"/>
        <color rgb="FFFCFCFF"/>
        <color rgb="FFF8696B"/>
      </colorScale>
    </cfRule>
  </conditionalFormatting>
  <conditionalFormatting sqref="D15">
    <cfRule type="containsText" dxfId="188" priority="405" operator="containsText" text="Sh">
      <formula>NOT(ISERROR(SEARCH("Sh",D15)))</formula>
    </cfRule>
    <cfRule type="cellIs" dxfId="187" priority="406" operator="equal">
      <formula>"Sh"</formula>
    </cfRule>
  </conditionalFormatting>
  <conditionalFormatting sqref="AC17 AC19">
    <cfRule type="containsText" dxfId="186" priority="344" operator="containsText" text="Sh">
      <formula>NOT(ISERROR(SEARCH("Sh",AC17)))</formula>
    </cfRule>
    <cfRule type="cellIs" dxfId="185" priority="345" operator="equal">
      <formula>"Sh"</formula>
    </cfRule>
  </conditionalFormatting>
  <conditionalFormatting sqref="I17:I20">
    <cfRule type="containsText" dxfId="184" priority="342" operator="containsText" text="Production">
      <formula>NOT(ISERROR(SEARCH("Production",I17)))</formula>
    </cfRule>
    <cfRule type="containsText" dxfId="183" priority="343" operator="containsText" text="Roll">
      <formula>NOT(ISERROR(SEARCH("Roll",I17)))</formula>
    </cfRule>
  </conditionalFormatting>
  <conditionalFormatting sqref="AC17 AC19">
    <cfRule type="iconSet" priority="341">
      <iconSet>
        <cfvo type="percent" val="0"/>
        <cfvo type="percent" val="90" gte="0"/>
        <cfvo type="percent" val="100"/>
      </iconSet>
    </cfRule>
  </conditionalFormatting>
  <conditionalFormatting sqref="L17:M17">
    <cfRule type="iconSet" priority="340">
      <iconSet iconSet="3Flags">
        <cfvo type="percent" val="0"/>
        <cfvo type="percent" val="33"/>
        <cfvo type="percent" val="67"/>
      </iconSet>
    </cfRule>
  </conditionalFormatting>
  <conditionalFormatting sqref="H17:H20">
    <cfRule type="iconSet" priority="339">
      <iconSet iconSet="3Flags">
        <cfvo type="percent" val="0"/>
        <cfvo type="percent" val="33"/>
        <cfvo type="percent" val="67"/>
      </iconSet>
    </cfRule>
  </conditionalFormatting>
  <conditionalFormatting sqref="H17 H19:H20">
    <cfRule type="iconSet" priority="338">
      <iconSet iconSet="3Flags">
        <cfvo type="percent" val="0"/>
        <cfvo type="percent" val="33"/>
        <cfvo type="percent" val="67"/>
      </iconSet>
    </cfRule>
  </conditionalFormatting>
  <conditionalFormatting sqref="AB20">
    <cfRule type="containsText" dxfId="182" priority="336" operator="containsText" text="Sh">
      <formula>NOT(ISERROR(SEARCH("Sh",AB20)))</formula>
    </cfRule>
    <cfRule type="cellIs" dxfId="181" priority="337" operator="equal">
      <formula>"Sh"</formula>
    </cfRule>
  </conditionalFormatting>
  <conditionalFormatting sqref="H17">
    <cfRule type="iconSet" priority="346">
      <iconSet iconSet="3Flags">
        <cfvo type="percent" val="0"/>
        <cfvo type="percent" val="33"/>
        <cfvo type="percent" val="67"/>
      </iconSet>
    </cfRule>
  </conditionalFormatting>
  <conditionalFormatting sqref="G17:G20">
    <cfRule type="iconSet" priority="347">
      <iconSet iconSet="3Signs">
        <cfvo type="percent" val="0"/>
        <cfvo type="percent" val="33"/>
        <cfvo type="percent" val="67"/>
      </iconSet>
    </cfRule>
  </conditionalFormatting>
  <conditionalFormatting sqref="L19:M19">
    <cfRule type="iconSet" priority="335">
      <iconSet iconSet="3Flags">
        <cfvo type="percent" val="0"/>
        <cfvo type="percent" val="33"/>
        <cfvo type="percent" val="67"/>
      </iconSet>
    </cfRule>
  </conditionalFormatting>
  <conditionalFormatting sqref="K17:K20">
    <cfRule type="iconSet" priority="348">
      <iconSet iconSet="3Flags">
        <cfvo type="percent" val="0"/>
        <cfvo type="percent" val="33"/>
        <cfvo type="percent" val="67"/>
      </iconSet>
    </cfRule>
  </conditionalFormatting>
  <conditionalFormatting sqref="K17:K20">
    <cfRule type="iconSet" priority="349">
      <iconSet iconSet="3Flags" reverse="1">
        <cfvo type="percent" val="0"/>
        <cfvo type="percent" val="33"/>
        <cfvo type="percent" val="67"/>
      </iconSet>
    </cfRule>
    <cfRule type="iconSet" priority="350">
      <iconSet iconSet="3Flags" reverse="1">
        <cfvo type="percent" val="0"/>
        <cfvo type="percent" val="33"/>
        <cfvo type="percent" val="67"/>
      </iconSet>
    </cfRule>
    <cfRule type="iconSet" priority="351">
      <iconSet iconSet="3Flags">
        <cfvo type="percent" val="0"/>
        <cfvo type="percent" val="33"/>
        <cfvo type="percent" val="67"/>
      </iconSet>
    </cfRule>
  </conditionalFormatting>
  <conditionalFormatting sqref="L19:M19 L17:M17">
    <cfRule type="iconSet" priority="352">
      <iconSet iconSet="3Flags">
        <cfvo type="percent" val="0"/>
        <cfvo type="percent" val="33"/>
        <cfvo type="percent" val="67"/>
      </iconSet>
    </cfRule>
  </conditionalFormatting>
  <conditionalFormatting sqref="L17:L20">
    <cfRule type="iconSet" priority="353">
      <iconSet iconSet="3Flags" reverse="1">
        <cfvo type="percent" val="0"/>
        <cfvo type="percent" val="33"/>
        <cfvo type="percent" val="67"/>
      </iconSet>
    </cfRule>
    <cfRule type="iconSet" priority="354">
      <iconSet iconSet="3Flags" reverse="1">
        <cfvo type="percent" val="0"/>
        <cfvo type="percent" val="33"/>
        <cfvo type="percent" val="67"/>
      </iconSet>
    </cfRule>
    <cfRule type="iconSet" priority="355">
      <iconSet iconSet="3Flags">
        <cfvo type="percent" val="0"/>
        <cfvo type="percent" val="33"/>
        <cfvo type="percent" val="67"/>
      </iconSet>
    </cfRule>
  </conditionalFormatting>
  <conditionalFormatting sqref="M17:M20">
    <cfRule type="iconSet" priority="356">
      <iconSet iconSet="3Flags" reverse="1">
        <cfvo type="percent" val="0"/>
        <cfvo type="percent" val="33"/>
        <cfvo type="percent" val="67"/>
      </iconSet>
    </cfRule>
    <cfRule type="iconSet" priority="357">
      <iconSet iconSet="3Flags" reverse="1">
        <cfvo type="percent" val="0"/>
        <cfvo type="percent" val="33"/>
        <cfvo type="percent" val="67"/>
      </iconSet>
    </cfRule>
    <cfRule type="iconSet" priority="358">
      <iconSet iconSet="3Flags">
        <cfvo type="percent" val="0"/>
        <cfvo type="percent" val="33"/>
        <cfvo type="percent" val="67"/>
      </iconSet>
    </cfRule>
  </conditionalFormatting>
  <conditionalFormatting sqref="L20:M20">
    <cfRule type="iconSet" priority="333">
      <iconSet iconSet="3Flags">
        <cfvo type="percent" val="0"/>
        <cfvo type="percent" val="33"/>
        <cfvo type="percent" val="67"/>
      </iconSet>
    </cfRule>
  </conditionalFormatting>
  <conditionalFormatting sqref="L20:M20">
    <cfRule type="iconSet" priority="334">
      <iconSet iconSet="3Flags">
        <cfvo type="percent" val="0"/>
        <cfvo type="percent" val="33"/>
        <cfvo type="percent" val="67"/>
      </iconSet>
    </cfRule>
  </conditionalFormatting>
  <conditionalFormatting sqref="L18:M18">
    <cfRule type="iconSet" priority="331">
      <iconSet iconSet="3Flags">
        <cfvo type="percent" val="0"/>
        <cfvo type="percent" val="33"/>
        <cfvo type="percent" val="67"/>
      </iconSet>
    </cfRule>
  </conditionalFormatting>
  <conditionalFormatting sqref="L18:M18">
    <cfRule type="iconSet" priority="332">
      <iconSet iconSet="3Flags">
        <cfvo type="percent" val="0"/>
        <cfvo type="percent" val="33"/>
        <cfvo type="percent" val="67"/>
      </iconSet>
    </cfRule>
  </conditionalFormatting>
  <conditionalFormatting sqref="AB17">
    <cfRule type="containsText" dxfId="180" priority="329" operator="containsText" text="Sh">
      <formula>NOT(ISERROR(SEARCH("Sh",AB17)))</formula>
    </cfRule>
    <cfRule type="cellIs" dxfId="179" priority="330" operator="equal">
      <formula>"Sh"</formula>
    </cfRule>
  </conditionalFormatting>
  <conditionalFormatting sqref="AB19">
    <cfRule type="containsText" dxfId="178" priority="327" operator="containsText" text="Sh">
      <formula>NOT(ISERROR(SEARCH("Sh",AB19)))</formula>
    </cfRule>
    <cfRule type="cellIs" dxfId="177" priority="328" operator="equal">
      <formula>"Sh"</formula>
    </cfRule>
  </conditionalFormatting>
  <conditionalFormatting sqref="K17:K20">
    <cfRule type="iconSet" priority="359">
      <iconSet iconSet="3Flags" reverse="1">
        <cfvo type="percent" val="0"/>
        <cfvo type="percent" val="33"/>
        <cfvo type="percent" val="67"/>
      </iconSet>
    </cfRule>
  </conditionalFormatting>
  <conditionalFormatting sqref="L17:L20">
    <cfRule type="iconSet" priority="360">
      <iconSet iconSet="3Flags" reverse="1">
        <cfvo type="percent" val="0"/>
        <cfvo type="percent" val="33"/>
        <cfvo type="percent" val="67"/>
      </iconSet>
    </cfRule>
  </conditionalFormatting>
  <conditionalFormatting sqref="M17:M20">
    <cfRule type="iconSet" priority="361">
      <iconSet iconSet="3Flags" reverse="1">
        <cfvo type="percent" val="0"/>
        <cfvo type="percent" val="33"/>
        <cfvo type="percent" val="67"/>
      </iconSet>
    </cfRule>
  </conditionalFormatting>
  <conditionalFormatting sqref="F17:F20">
    <cfRule type="containsText" dxfId="176" priority="325" operator="containsText" text="Roll-to-Roll">
      <formula>NOT(ISERROR(SEARCH("Roll-to-Roll",F17)))</formula>
    </cfRule>
    <cfRule type="containsText" dxfId="175" priority="326" operator="containsText" text="Production">
      <formula>NOT(ISERROR(SEARCH("Production",F17)))</formula>
    </cfRule>
  </conditionalFormatting>
  <conditionalFormatting sqref="G17:G20">
    <cfRule type="iconSet" priority="324">
      <iconSet>
        <cfvo type="percent" val="0"/>
        <cfvo type="percent" val="33"/>
        <cfvo type="percent" val="67"/>
      </iconSet>
    </cfRule>
  </conditionalFormatting>
  <conditionalFormatting sqref="H17:H20">
    <cfRule type="iconSet" priority="322">
      <iconSet iconSet="3Flags">
        <cfvo type="percent" val="0"/>
        <cfvo type="percent" val="33"/>
        <cfvo type="percent" val="67"/>
      </iconSet>
    </cfRule>
    <cfRule type="iconSet" priority="323">
      <iconSet iconSet="3Flags" reverse="1">
        <cfvo type="percent" val="0"/>
        <cfvo type="percent" val="33"/>
        <cfvo type="percent" val="67"/>
      </iconSet>
    </cfRule>
  </conditionalFormatting>
  <conditionalFormatting sqref="AC17:AC20">
    <cfRule type="iconSet" priority="321">
      <iconSet>
        <cfvo type="percent" val="0"/>
        <cfvo type="percent" val="33"/>
        <cfvo type="percent" val="67"/>
      </iconSet>
    </cfRule>
  </conditionalFormatting>
  <conditionalFormatting sqref="S17:S20">
    <cfRule type="dataBar" priority="30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{045E3C89-D6F3-4FAC-A67B-0F38BAD56C0B}</x14:id>
        </ext>
      </extLst>
    </cfRule>
  </conditionalFormatting>
  <conditionalFormatting sqref="T17:T20">
    <cfRule type="dataBar" priority="30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{9B89E364-C9E8-45CB-9763-B6B354F0E5C5}</x14:id>
        </ext>
      </extLst>
    </cfRule>
  </conditionalFormatting>
  <conditionalFormatting sqref="U17:U20">
    <cfRule type="dataBar" priority="30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{A1BAD36C-FC8A-4AAE-B2CB-774537307892}</x14:id>
        </ext>
      </extLst>
    </cfRule>
  </conditionalFormatting>
  <conditionalFormatting sqref="V17:V20">
    <cfRule type="dataBar" priority="3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{D1D5CEFB-B767-406E-90A6-2A6C0F6C8A48}</x14:id>
        </ext>
      </extLst>
    </cfRule>
  </conditionalFormatting>
  <conditionalFormatting sqref="AF17:AF20">
    <cfRule type="containsText" dxfId="174" priority="317" stopIfTrue="1" operator="containsText" text="No">
      <formula>NOT(ISERROR(SEARCH("No",AF17)))</formula>
    </cfRule>
    <cfRule type="containsText" dxfId="173" priority="318" stopIfTrue="1" operator="containsText" text="High">
      <formula>NOT(ISERROR(SEARCH("High",AF17)))</formula>
    </cfRule>
    <cfRule type="containsText" dxfId="172" priority="319" stopIfTrue="1" operator="containsText" text="Medium">
      <formula>NOT(ISERROR(SEARCH("Medium",AF17)))</formula>
    </cfRule>
    <cfRule type="containsText" dxfId="171" priority="320" operator="containsText" text="Low">
      <formula>NOT(ISERROR(SEARCH("Low",AF17)))</formula>
    </cfRule>
  </conditionalFormatting>
  <conditionalFormatting sqref="AG17:AG20">
    <cfRule type="containsText" dxfId="170" priority="313" operator="containsText" text="High">
      <formula>NOT(ISERROR(SEARCH("High",AG17)))</formula>
    </cfRule>
    <cfRule type="containsText" dxfId="169" priority="314" operator="containsText" text="Medium">
      <formula>NOT(ISERROR(SEARCH("Medium",AG17)))</formula>
    </cfRule>
    <cfRule type="containsText" dxfId="168" priority="315" operator="containsText" text="Low">
      <formula>NOT(ISERROR(SEARCH("Low",AG17)))</formula>
    </cfRule>
    <cfRule type="containsText" dxfId="167" priority="316" operator="containsText" text="No">
      <formula>NOT(ISERROR(SEARCH("No",AG17)))</formula>
    </cfRule>
  </conditionalFormatting>
  <conditionalFormatting sqref="P17:P20">
    <cfRule type="dataBar" priority="3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{1B7D8367-AA6C-43DD-A9C8-DCB6F7A4E567}</x14:id>
        </ext>
      </extLst>
    </cfRule>
  </conditionalFormatting>
  <conditionalFormatting sqref="Q17:Q20">
    <cfRule type="dataBar" priority="3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{FC51848F-1803-4C59-9614-6818DBF57A30}</x14:id>
        </ext>
      </extLst>
    </cfRule>
  </conditionalFormatting>
  <conditionalFormatting sqref="R17:R20">
    <cfRule type="dataBar" priority="3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{967B8C2D-41DF-45D8-971F-2E9F8F765AFB}</x14:id>
        </ext>
      </extLst>
    </cfRule>
  </conditionalFormatting>
  <conditionalFormatting sqref="AD17:AD20">
    <cfRule type="colorScale" priority="30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05">
      <colorScale>
        <cfvo type="min"/>
        <cfvo type="max"/>
        <color rgb="FFFF7128"/>
        <color rgb="FFFFEF9C"/>
      </colorScale>
    </cfRule>
  </conditionalFormatting>
  <conditionalFormatting sqref="AE17:AE20">
    <cfRule type="colorScale" priority="303">
      <colorScale>
        <cfvo type="min"/>
        <cfvo type="max"/>
        <color rgb="FFFCFCFF"/>
        <color rgb="FFF8696B"/>
      </colorScale>
    </cfRule>
  </conditionalFormatting>
  <conditionalFormatting sqref="AC21">
    <cfRule type="containsText" dxfId="166" priority="280" operator="containsText" text="Sh">
      <formula>NOT(ISERROR(SEARCH("Sh",AC21)))</formula>
    </cfRule>
    <cfRule type="cellIs" dxfId="165" priority="281" operator="equal">
      <formula>"Sh"</formula>
    </cfRule>
  </conditionalFormatting>
  <conditionalFormatting sqref="I21">
    <cfRule type="containsText" dxfId="164" priority="278" operator="containsText" text="Production">
      <formula>NOT(ISERROR(SEARCH("Production",I21)))</formula>
    </cfRule>
    <cfRule type="containsText" dxfId="163" priority="279" operator="containsText" text="Roll">
      <formula>NOT(ISERROR(SEARCH("Roll",I21)))</formula>
    </cfRule>
  </conditionalFormatting>
  <conditionalFormatting sqref="AB21">
    <cfRule type="containsText" dxfId="162" priority="276" operator="containsText" text="Sh">
      <formula>NOT(ISERROR(SEARCH("Sh",AB21)))</formula>
    </cfRule>
    <cfRule type="cellIs" dxfId="161" priority="277" operator="equal">
      <formula>"Sh"</formula>
    </cfRule>
  </conditionalFormatting>
  <conditionalFormatting sqref="G21">
    <cfRule type="iconSet" priority="275">
      <iconSet iconSet="3Signs">
        <cfvo type="percent" val="0"/>
        <cfvo type="percent" val="33"/>
        <cfvo type="percent" val="67"/>
      </iconSet>
    </cfRule>
  </conditionalFormatting>
  <conditionalFormatting sqref="K21:M21">
    <cfRule type="iconSet" priority="274">
      <iconSet iconSet="3Flags">
        <cfvo type="percent" val="0"/>
        <cfvo type="percent" val="33"/>
        <cfvo type="percent" val="67"/>
      </iconSet>
    </cfRule>
  </conditionalFormatting>
  <conditionalFormatting sqref="L21:M21">
    <cfRule type="iconSet" priority="282">
      <iconSet iconSet="3Flags">
        <cfvo type="percent" val="0"/>
        <cfvo type="percent" val="33"/>
        <cfvo type="percent" val="67"/>
      </iconSet>
    </cfRule>
  </conditionalFormatting>
  <conditionalFormatting sqref="K21">
    <cfRule type="iconSet" priority="283">
      <iconSet iconSet="3Flags" reverse="1">
        <cfvo type="percent" val="0"/>
        <cfvo type="percent" val="33"/>
        <cfvo type="percent" val="67"/>
      </iconSet>
    </cfRule>
    <cfRule type="iconSet" priority="284">
      <iconSet iconSet="3Flags">
        <cfvo type="percent" val="0"/>
        <cfvo type="percent" val="33"/>
        <cfvo type="percent" val="67"/>
      </iconSet>
    </cfRule>
    <cfRule type="iconSet" priority="285">
      <iconSet iconSet="3Flags" reverse="1">
        <cfvo type="percent" val="0"/>
        <cfvo type="percent" val="33"/>
        <cfvo type="percent" val="67"/>
      </iconSet>
    </cfRule>
  </conditionalFormatting>
  <conditionalFormatting sqref="L21">
    <cfRule type="iconSet" priority="286">
      <iconSet iconSet="3Flags" reverse="1">
        <cfvo type="percent" val="0"/>
        <cfvo type="percent" val="33"/>
        <cfvo type="percent" val="67"/>
      </iconSet>
    </cfRule>
    <cfRule type="iconSet" priority="287">
      <iconSet iconSet="3Flags" reverse="1">
        <cfvo type="percent" val="0"/>
        <cfvo type="percent" val="33"/>
        <cfvo type="percent" val="67"/>
      </iconSet>
    </cfRule>
  </conditionalFormatting>
  <conditionalFormatting sqref="M21">
    <cfRule type="iconSet" priority="288">
      <iconSet iconSet="3Flags">
        <cfvo type="percent" val="0"/>
        <cfvo type="percent" val="33"/>
        <cfvo type="percent" val="67"/>
      </iconSet>
    </cfRule>
    <cfRule type="iconSet" priority="289">
      <iconSet iconSet="3Flags" reverse="1">
        <cfvo type="percent" val="0"/>
        <cfvo type="percent" val="33"/>
        <cfvo type="percent" val="67"/>
      </iconSet>
    </cfRule>
    <cfRule type="iconSet" priority="290">
      <iconSet iconSet="3Flags" reverse="1">
        <cfvo type="percent" val="0"/>
        <cfvo type="percent" val="33"/>
        <cfvo type="percent" val="67"/>
      </iconSet>
    </cfRule>
    <cfRule type="iconSet" priority="291">
      <iconSet iconSet="3Flags" reverse="1">
        <cfvo type="percent" val="0"/>
        <cfvo type="percent" val="33"/>
        <cfvo type="percent" val="67"/>
      </iconSet>
    </cfRule>
  </conditionalFormatting>
  <conditionalFormatting sqref="AC21">
    <cfRule type="iconSet" priority="292">
      <iconSet>
        <cfvo type="percent" val="0"/>
        <cfvo type="percent" val="90" gte="0"/>
        <cfvo type="percent" val="100"/>
      </iconSet>
    </cfRule>
  </conditionalFormatting>
  <conditionalFormatting sqref="H21">
    <cfRule type="iconSet" priority="293">
      <iconSet iconSet="3Flags">
        <cfvo type="percent" val="0"/>
        <cfvo type="percent" val="33"/>
        <cfvo type="percent" val="67"/>
      </iconSet>
    </cfRule>
  </conditionalFormatting>
  <conditionalFormatting sqref="K21">
    <cfRule type="iconSet" priority="294">
      <iconSet iconSet="3Flags" reverse="1">
        <cfvo type="percent" val="0"/>
        <cfvo type="percent" val="33"/>
        <cfvo type="percent" val="67"/>
      </iconSet>
    </cfRule>
    <cfRule type="iconSet" priority="295">
      <iconSet iconSet="3Flags" reverse="1">
        <cfvo type="percent" val="0"/>
        <cfvo type="percent" val="33"/>
        <cfvo type="percent" val="67"/>
      </iconSet>
    </cfRule>
    <cfRule type="iconSet" priority="296">
      <iconSet iconSet="3Flags">
        <cfvo type="percent" val="0"/>
        <cfvo type="percent" val="33"/>
        <cfvo type="percent" val="67"/>
      </iconSet>
    </cfRule>
  </conditionalFormatting>
  <conditionalFormatting sqref="L21">
    <cfRule type="iconSet" priority="297">
      <iconSet iconSet="3Flags" reverse="1">
        <cfvo type="percent" val="0"/>
        <cfvo type="percent" val="33"/>
        <cfvo type="percent" val="67"/>
      </iconSet>
    </cfRule>
    <cfRule type="iconSet" priority="298">
      <iconSet iconSet="3Flags" reverse="1">
        <cfvo type="percent" val="0"/>
        <cfvo type="percent" val="33"/>
        <cfvo type="percent" val="67"/>
      </iconSet>
    </cfRule>
    <cfRule type="iconSet" priority="299">
      <iconSet iconSet="3Flags">
        <cfvo type="percent" val="0"/>
        <cfvo type="percent" val="33"/>
        <cfvo type="percent" val="67"/>
      </iconSet>
    </cfRule>
  </conditionalFormatting>
  <conditionalFormatting sqref="M21">
    <cfRule type="iconSet" priority="300">
      <iconSet iconSet="3Flags" reverse="1">
        <cfvo type="percent" val="0"/>
        <cfvo type="percent" val="33"/>
        <cfvo type="percent" val="67"/>
      </iconSet>
    </cfRule>
    <cfRule type="iconSet" priority="301">
      <iconSet iconSet="3Flags" reverse="1">
        <cfvo type="percent" val="0"/>
        <cfvo type="percent" val="33"/>
        <cfvo type="percent" val="67"/>
      </iconSet>
    </cfRule>
    <cfRule type="iconSet" priority="302">
      <iconSet iconSet="3Flags">
        <cfvo type="percent" val="0"/>
        <cfvo type="percent" val="33"/>
        <cfvo type="percent" val="67"/>
      </iconSet>
    </cfRule>
  </conditionalFormatting>
  <conditionalFormatting sqref="F21">
    <cfRule type="containsText" dxfId="160" priority="272" operator="containsText" text="Roll-to-Roll">
      <formula>NOT(ISERROR(SEARCH("Roll-to-Roll",F21)))</formula>
    </cfRule>
    <cfRule type="containsText" dxfId="159" priority="273" operator="containsText" text="Production">
      <formula>NOT(ISERROR(SEARCH("Production",F21)))</formula>
    </cfRule>
  </conditionalFormatting>
  <conditionalFormatting sqref="G21">
    <cfRule type="iconSet" priority="271">
      <iconSet>
        <cfvo type="percent" val="0"/>
        <cfvo type="percent" val="33"/>
        <cfvo type="percent" val="67"/>
      </iconSet>
    </cfRule>
  </conditionalFormatting>
  <conditionalFormatting sqref="H21">
    <cfRule type="iconSet" priority="269">
      <iconSet iconSet="3Flags">
        <cfvo type="percent" val="0"/>
        <cfvo type="percent" val="33"/>
        <cfvo type="percent" val="67"/>
      </iconSet>
    </cfRule>
    <cfRule type="iconSet" priority="270">
      <iconSet iconSet="3Flags" reverse="1">
        <cfvo type="percent" val="0"/>
        <cfvo type="percent" val="33"/>
        <cfvo type="percent" val="67"/>
      </iconSet>
    </cfRule>
  </conditionalFormatting>
  <conditionalFormatting sqref="AC21">
    <cfRule type="iconSet" priority="268">
      <iconSet>
        <cfvo type="percent" val="0"/>
        <cfvo type="percent" val="33"/>
        <cfvo type="percent" val="67"/>
      </iconSet>
    </cfRule>
  </conditionalFormatting>
  <conditionalFormatting sqref="S21">
    <cfRule type="dataBar" priority="25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{3EE7F5C1-5A2A-443D-8E8A-1FCDF5FF20D6}</x14:id>
        </ext>
      </extLst>
    </cfRule>
  </conditionalFormatting>
  <conditionalFormatting sqref="T21">
    <cfRule type="dataBar" priority="25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{416E0CFA-9520-468B-B60D-8A5757CE4B89}</x14:id>
        </ext>
      </extLst>
    </cfRule>
  </conditionalFormatting>
  <conditionalFormatting sqref="U21">
    <cfRule type="dataBar" priority="25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{D61382A3-20D3-488F-BB94-DD87A20D7CF9}</x14:id>
        </ext>
      </extLst>
    </cfRule>
  </conditionalFormatting>
  <conditionalFormatting sqref="V21">
    <cfRule type="dataBar" priority="2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{395526B5-878E-42CA-BCC2-0B2467BA8C5E}</x14:id>
        </ext>
      </extLst>
    </cfRule>
  </conditionalFormatting>
  <conditionalFormatting sqref="AF21">
    <cfRule type="containsText" dxfId="158" priority="264" stopIfTrue="1" operator="containsText" text="No">
      <formula>NOT(ISERROR(SEARCH("No",AF21)))</formula>
    </cfRule>
    <cfRule type="containsText" dxfId="157" priority="265" stopIfTrue="1" operator="containsText" text="High">
      <formula>NOT(ISERROR(SEARCH("High",AF21)))</formula>
    </cfRule>
    <cfRule type="containsText" dxfId="156" priority="266" stopIfTrue="1" operator="containsText" text="Medium">
      <formula>NOT(ISERROR(SEARCH("Medium",AF21)))</formula>
    </cfRule>
    <cfRule type="containsText" dxfId="155" priority="267" operator="containsText" text="Low">
      <formula>NOT(ISERROR(SEARCH("Low",AF21)))</formula>
    </cfRule>
  </conditionalFormatting>
  <conditionalFormatting sqref="AG21">
    <cfRule type="containsText" dxfId="154" priority="260" operator="containsText" text="High">
      <formula>NOT(ISERROR(SEARCH("High",AG21)))</formula>
    </cfRule>
    <cfRule type="containsText" dxfId="153" priority="261" operator="containsText" text="Medium">
      <formula>NOT(ISERROR(SEARCH("Medium",AG21)))</formula>
    </cfRule>
    <cfRule type="containsText" dxfId="152" priority="262" operator="containsText" text="Low">
      <formula>NOT(ISERROR(SEARCH("Low",AG21)))</formula>
    </cfRule>
    <cfRule type="containsText" dxfId="151" priority="263" operator="containsText" text="No">
      <formula>NOT(ISERROR(SEARCH("No",AG21)))</formula>
    </cfRule>
  </conditionalFormatting>
  <conditionalFormatting sqref="P21">
    <cfRule type="dataBar" priority="2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{78E7675D-FE8D-4B5A-B299-1C564E55DF60}</x14:id>
        </ext>
      </extLst>
    </cfRule>
  </conditionalFormatting>
  <conditionalFormatting sqref="Q21">
    <cfRule type="dataBar" priority="25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{9C8F4C9B-7ADA-4ABF-8172-8F79FAE5697D}</x14:id>
        </ext>
      </extLst>
    </cfRule>
  </conditionalFormatting>
  <conditionalFormatting sqref="R21">
    <cfRule type="dataBar" priority="2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{423C2CC0-24AF-40C4-9E78-676D1C5E6A84}</x14:id>
        </ext>
      </extLst>
    </cfRule>
  </conditionalFormatting>
  <conditionalFormatting sqref="AD21">
    <cfRule type="colorScale" priority="25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2">
      <colorScale>
        <cfvo type="min"/>
        <cfvo type="max"/>
        <color rgb="FFFF7128"/>
        <color rgb="FFFFEF9C"/>
      </colorScale>
    </cfRule>
  </conditionalFormatting>
  <conditionalFormatting sqref="AE21">
    <cfRule type="colorScale" priority="250">
      <colorScale>
        <cfvo type="min"/>
        <cfvo type="max"/>
        <color rgb="FFFCFCFF"/>
        <color rgb="FFF8696B"/>
      </colorScale>
    </cfRule>
  </conditionalFormatting>
  <conditionalFormatting sqref="D21">
    <cfRule type="containsText" dxfId="150" priority="248" operator="containsText" text="Sh">
      <formula>NOT(ISERROR(SEARCH("Sh",D21)))</formula>
    </cfRule>
    <cfRule type="cellIs" dxfId="149" priority="249" operator="equal">
      <formula>"Sh"</formula>
    </cfRule>
  </conditionalFormatting>
  <conditionalFormatting sqref="E21">
    <cfRule type="containsText" dxfId="148" priority="246" operator="containsText" text="Sh">
      <formula>NOT(ISERROR(SEARCH("Sh",E21)))</formula>
    </cfRule>
    <cfRule type="cellIs" dxfId="147" priority="247" operator="equal">
      <formula>"Sh"</formula>
    </cfRule>
  </conditionalFormatting>
  <conditionalFormatting sqref="AC22">
    <cfRule type="containsText" dxfId="146" priority="241" operator="containsText" text="Sh">
      <formula>NOT(ISERROR(SEARCH("Sh",AC22)))</formula>
    </cfRule>
    <cfRule type="cellIs" dxfId="145" priority="242" operator="equal">
      <formula>"Sh"</formula>
    </cfRule>
  </conditionalFormatting>
  <conditionalFormatting sqref="AC22">
    <cfRule type="containsText" dxfId="144" priority="237" operator="containsText" text="Sh">
      <formula>NOT(ISERROR(SEARCH("Sh",AC22)))</formula>
    </cfRule>
    <cfRule type="cellIs" dxfId="143" priority="238" operator="equal">
      <formula>"Sh"</formula>
    </cfRule>
  </conditionalFormatting>
  <conditionalFormatting sqref="I22">
    <cfRule type="containsText" dxfId="142" priority="235" operator="containsText" text="Production">
      <formula>NOT(ISERROR(SEARCH("Production",I22)))</formula>
    </cfRule>
    <cfRule type="containsText" dxfId="141" priority="236" operator="containsText" text="Roll">
      <formula>NOT(ISERROR(SEARCH("Roll",I22)))</formula>
    </cfRule>
  </conditionalFormatting>
  <conditionalFormatting sqref="H22">
    <cfRule type="iconSet" priority="243">
      <iconSet iconSet="3Flags">
        <cfvo type="percent" val="0"/>
        <cfvo type="percent" val="33"/>
        <cfvo type="percent" val="67"/>
      </iconSet>
    </cfRule>
  </conditionalFormatting>
  <conditionalFormatting sqref="AC22">
    <cfRule type="iconSet" priority="244">
      <iconSet>
        <cfvo type="percent" val="0"/>
        <cfvo type="percent" val="90" gte="0"/>
        <cfvo type="percent" val="100"/>
      </iconSet>
    </cfRule>
  </conditionalFormatting>
  <conditionalFormatting sqref="AC22">
    <cfRule type="iconSet" priority="234">
      <iconSet>
        <cfvo type="percent" val="0"/>
        <cfvo type="percent" val="33"/>
        <cfvo type="percent" val="67"/>
      </iconSet>
    </cfRule>
  </conditionalFormatting>
  <conditionalFormatting sqref="K22">
    <cfRule type="iconSet" priority="233">
      <iconSet iconSet="3Flags" reverse="1">
        <cfvo type="percent" val="0"/>
        <cfvo type="percent" val="33"/>
        <cfvo type="percent" val="67"/>
      </iconSet>
    </cfRule>
  </conditionalFormatting>
  <conditionalFormatting sqref="M22">
    <cfRule type="iconSet" priority="231">
      <iconSet iconSet="3Flags" reverse="1">
        <cfvo type="percent" val="0"/>
        <cfvo type="percent" val="33"/>
        <cfvo type="percent" val="67"/>
      </iconSet>
    </cfRule>
    <cfRule type="iconSet" priority="232">
      <iconSet iconSet="3Flags">
        <cfvo type="percent" val="0"/>
        <cfvo type="percent" val="33"/>
        <cfvo type="percent" val="67"/>
      </iconSet>
    </cfRule>
  </conditionalFormatting>
  <conditionalFormatting sqref="AC22">
    <cfRule type="iconSet" priority="245">
      <iconSet>
        <cfvo type="percent" val="0"/>
        <cfvo type="percent" val="90" gte="0"/>
        <cfvo type="percent" val="100"/>
      </iconSet>
    </cfRule>
  </conditionalFormatting>
  <conditionalFormatting sqref="AD22">
    <cfRule type="colorScale" priority="230">
      <colorScale>
        <cfvo type="min"/>
        <cfvo type="max"/>
        <color rgb="FF63BE7B"/>
        <color rgb="FFFFEF9C"/>
      </colorScale>
    </cfRule>
  </conditionalFormatting>
  <conditionalFormatting sqref="H22">
    <cfRule type="iconSet" priority="213">
      <iconSet iconSet="3Flags">
        <cfvo type="percent" val="0"/>
        <cfvo type="percent" val="33"/>
        <cfvo type="percent" val="67"/>
      </iconSet>
    </cfRule>
  </conditionalFormatting>
  <conditionalFormatting sqref="S22">
    <cfRule type="dataBar" priority="2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{7DB185D1-E770-4C37-B39E-605B1D5C591E}</x14:id>
        </ext>
      </extLst>
    </cfRule>
  </conditionalFormatting>
  <conditionalFormatting sqref="S22">
    <cfRule type="dataBar" priority="2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{422435A4-8DA5-42D5-BB4E-930EA739A084}</x14:id>
        </ext>
      </extLst>
    </cfRule>
  </conditionalFormatting>
  <conditionalFormatting sqref="U22">
    <cfRule type="dataBar" priority="2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{8BF21709-6916-41AF-9A31-3E4061FBA6A3}</x14:id>
        </ext>
      </extLst>
    </cfRule>
  </conditionalFormatting>
  <conditionalFormatting sqref="S22">
    <cfRule type="dataBar" priority="2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{E225E697-1510-4680-A9B6-7FFB3417E5B6}</x14:id>
        </ext>
      </extLst>
    </cfRule>
  </conditionalFormatting>
  <conditionalFormatting sqref="V22">
    <cfRule type="dataBar" priority="2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{DBB5052D-D8BD-433F-A481-62EEC25470A4}</x14:id>
        </ext>
      </extLst>
    </cfRule>
  </conditionalFormatting>
  <conditionalFormatting sqref="U22">
    <cfRule type="dataBar" priority="2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{F67DF05F-42AA-4A00-A544-74E777F6272F}</x14:id>
        </ext>
      </extLst>
    </cfRule>
  </conditionalFormatting>
  <conditionalFormatting sqref="T22">
    <cfRule type="dataBar" priority="2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{D8946E51-2566-4E61-A8B0-8D3C976D65CE}</x14:id>
        </ext>
      </extLst>
    </cfRule>
  </conditionalFormatting>
  <conditionalFormatting sqref="S22">
    <cfRule type="dataBar" priority="22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{2C8E42F4-6631-4B2E-9CAD-CD262DB1141F}</x14:id>
        </ext>
      </extLst>
    </cfRule>
  </conditionalFormatting>
  <conditionalFormatting sqref="T22">
    <cfRule type="dataBar" priority="2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{5F6BA54B-7A94-4B80-BA9B-3B739555DDDB}</x14:id>
        </ext>
      </extLst>
    </cfRule>
  </conditionalFormatting>
  <conditionalFormatting sqref="U22">
    <cfRule type="dataBar" priority="2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{9FFD719D-F43E-4213-AD2C-82332ACF54E8}</x14:id>
        </ext>
      </extLst>
    </cfRule>
  </conditionalFormatting>
  <conditionalFormatting sqref="V22">
    <cfRule type="dataBar" priority="2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{E965088E-1F8E-45D5-A06F-76C21E73920D}</x14:id>
        </ext>
      </extLst>
    </cfRule>
  </conditionalFormatting>
  <conditionalFormatting sqref="T22">
    <cfRule type="dataBar" priority="2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{EAD0F5E6-F6D8-4505-8FDF-E13962BD948A}</x14:id>
        </ext>
      </extLst>
    </cfRule>
  </conditionalFormatting>
  <conditionalFormatting sqref="U22">
    <cfRule type="dataBar" priority="2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{10CC6199-B783-4BDD-8776-0BAA9D764FF0}</x14:id>
        </ext>
      </extLst>
    </cfRule>
  </conditionalFormatting>
  <conditionalFormatting sqref="V22">
    <cfRule type="dataBar" priority="2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{81CD5E99-D64E-4D34-BF60-F8874C4C5B51}</x14:id>
        </ext>
      </extLst>
    </cfRule>
  </conditionalFormatting>
  <conditionalFormatting sqref="S22">
    <cfRule type="dataBar" priority="2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{DB4BD176-F719-4B95-A329-D77B5FEF7352}</x14:id>
        </ext>
      </extLst>
    </cfRule>
  </conditionalFormatting>
  <conditionalFormatting sqref="L22">
    <cfRule type="iconSet" priority="214">
      <iconSet iconSet="3Flags" reverse="1">
        <cfvo type="percent" val="0"/>
        <cfvo type="percent" val="33"/>
        <cfvo type="percent" val="67"/>
      </iconSet>
    </cfRule>
  </conditionalFormatting>
  <conditionalFormatting sqref="AB22">
    <cfRule type="containsText" dxfId="140" priority="211" operator="containsText" text="Sh">
      <formula>NOT(ISERROR(SEARCH("Sh",AB22)))</formula>
    </cfRule>
    <cfRule type="cellIs" dxfId="139" priority="212" operator="equal">
      <formula>"Sh"</formula>
    </cfRule>
  </conditionalFormatting>
  <conditionalFormatting sqref="F22">
    <cfRule type="containsText" dxfId="138" priority="209" operator="containsText" text="Roll-To-Roll">
      <formula>NOT(ISERROR(SEARCH("Roll-To-Roll",F22)))</formula>
    </cfRule>
    <cfRule type="containsText" dxfId="137" priority="210" operator="containsText" text="Production">
      <formula>NOT(ISERROR(SEARCH("Production",F22)))</formula>
    </cfRule>
  </conditionalFormatting>
  <conditionalFormatting sqref="S22">
    <cfRule type="dataBar" priority="20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{706110C6-50D4-4CC1-8E91-52ED0B2D9FB5}</x14:id>
        </ext>
      </extLst>
    </cfRule>
  </conditionalFormatting>
  <conditionalFormatting sqref="T22">
    <cfRule type="dataBar" priority="20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{855CAB76-92D9-4BC8-B678-378B032A27F4}</x14:id>
        </ext>
      </extLst>
    </cfRule>
  </conditionalFormatting>
  <conditionalFormatting sqref="U22">
    <cfRule type="dataBar" priority="20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{15B14072-4425-4E1D-9335-97690A521B41}</x14:id>
        </ext>
      </extLst>
    </cfRule>
  </conditionalFormatting>
  <conditionalFormatting sqref="V22">
    <cfRule type="dataBar" priority="2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{C8BCB8BF-FC2F-4A16-AD20-44BEAF7111AF}</x14:id>
        </ext>
      </extLst>
    </cfRule>
  </conditionalFormatting>
  <conditionalFormatting sqref="G22">
    <cfRule type="iconSet" priority="204">
      <iconSet iconSet="3Signs">
        <cfvo type="percent" val="0"/>
        <cfvo type="percent" val="33"/>
        <cfvo type="percent" val="67"/>
      </iconSet>
    </cfRule>
  </conditionalFormatting>
  <conditionalFormatting sqref="AI22">
    <cfRule type="colorScale" priority="2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22">
    <cfRule type="colorScale" priority="2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22">
    <cfRule type="colorScale" priority="2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3:AC23">
    <cfRule type="containsText" dxfId="136" priority="197" operator="containsText" text="Sh">
      <formula>NOT(ISERROR(SEARCH("Sh",AB23)))</formula>
    </cfRule>
    <cfRule type="cellIs" dxfId="135" priority="198" operator="equal">
      <formula>"Sh"</formula>
    </cfRule>
  </conditionalFormatting>
  <conditionalFormatting sqref="F23">
    <cfRule type="containsText" dxfId="134" priority="195" operator="containsText" text="Roll-To-Roll">
      <formula>NOT(ISERROR(SEARCH("Roll-To-Roll",F23)))</formula>
    </cfRule>
    <cfRule type="containsText" dxfId="133" priority="196" operator="containsText" text="Production">
      <formula>NOT(ISERROR(SEARCH("Production",F23)))</formula>
    </cfRule>
  </conditionalFormatting>
  <conditionalFormatting sqref="K23">
    <cfRule type="iconSet" priority="194">
      <iconSet iconSet="3Flags" reverse="1">
        <cfvo type="percent" val="0"/>
        <cfvo type="percent" val="33"/>
        <cfvo type="percent" val="67"/>
      </iconSet>
    </cfRule>
  </conditionalFormatting>
  <conditionalFormatting sqref="M23">
    <cfRule type="iconSet" priority="192">
      <iconSet iconSet="3Flags" reverse="1">
        <cfvo type="percent" val="0"/>
        <cfvo type="percent" val="33"/>
        <cfvo type="percent" val="67"/>
      </iconSet>
    </cfRule>
    <cfRule type="iconSet" priority="193">
      <iconSet iconSet="3Flags">
        <cfvo type="percent" val="0"/>
        <cfvo type="percent" val="33"/>
        <cfvo type="percent" val="67"/>
      </iconSet>
    </cfRule>
  </conditionalFormatting>
  <conditionalFormatting sqref="L23">
    <cfRule type="iconSet" priority="191">
      <iconSet iconSet="3Flags" reverse="1">
        <cfvo type="percent" val="0"/>
        <cfvo type="percent" val="33"/>
        <cfvo type="percent" val="67"/>
      </iconSet>
    </cfRule>
  </conditionalFormatting>
  <conditionalFormatting sqref="G23">
    <cfRule type="iconSet" priority="190">
      <iconSet iconSet="3Signs">
        <cfvo type="percent" val="0"/>
        <cfvo type="percent" val="33"/>
        <cfvo type="percent" val="67"/>
      </iconSet>
    </cfRule>
  </conditionalFormatting>
  <conditionalFormatting sqref="AC23">
    <cfRule type="iconSet" priority="199">
      <iconSet>
        <cfvo type="percent" val="0"/>
        <cfvo type="percent" val="33"/>
        <cfvo type="percent" val="67"/>
      </iconSet>
    </cfRule>
  </conditionalFormatting>
  <conditionalFormatting sqref="AC23">
    <cfRule type="iconSet" priority="200">
      <iconSet>
        <cfvo type="percent" val="0"/>
        <cfvo type="percent" val="90" gte="0"/>
        <cfvo type="percent" val="100"/>
      </iconSet>
    </cfRule>
  </conditionalFormatting>
  <conditionalFormatting sqref="L23">
    <cfRule type="iconSet" priority="189">
      <iconSet iconSet="3Flags">
        <cfvo type="percent" val="0"/>
        <cfvo type="percent" val="33"/>
        <cfvo type="percent" val="67"/>
      </iconSet>
    </cfRule>
  </conditionalFormatting>
  <conditionalFormatting sqref="AD23">
    <cfRule type="colorScale" priority="18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23">
    <cfRule type="iconSet" priority="186">
      <iconSet iconSet="3Flags">
        <cfvo type="percent" val="0"/>
        <cfvo type="percent" val="33"/>
        <cfvo type="percent" val="67"/>
      </iconSet>
    </cfRule>
  </conditionalFormatting>
  <conditionalFormatting sqref="AB24:AC24">
    <cfRule type="containsText" dxfId="132" priority="182" operator="containsText" text="Sh">
      <formula>NOT(ISERROR(SEARCH("Sh",AB24)))</formula>
    </cfRule>
    <cfRule type="cellIs" dxfId="131" priority="183" operator="equal">
      <formula>"Sh"</formula>
    </cfRule>
  </conditionalFormatting>
  <conditionalFormatting sqref="F24">
    <cfRule type="containsText" dxfId="130" priority="180" operator="containsText" text="Roll-To-Roll">
      <formula>NOT(ISERROR(SEARCH("Roll-To-Roll",F24)))</formula>
    </cfRule>
    <cfRule type="containsText" dxfId="129" priority="181" operator="containsText" text="Production">
      <formula>NOT(ISERROR(SEARCH("Production",F24)))</formula>
    </cfRule>
  </conditionalFormatting>
  <conditionalFormatting sqref="K24">
    <cfRule type="iconSet" priority="179">
      <iconSet iconSet="3Flags" reverse="1">
        <cfvo type="percent" val="0"/>
        <cfvo type="percent" val="33"/>
        <cfvo type="percent" val="67"/>
      </iconSet>
    </cfRule>
  </conditionalFormatting>
  <conditionalFormatting sqref="M24">
    <cfRule type="iconSet" priority="177">
      <iconSet iconSet="3Flags" reverse="1">
        <cfvo type="percent" val="0"/>
        <cfvo type="percent" val="33"/>
        <cfvo type="percent" val="67"/>
      </iconSet>
    </cfRule>
    <cfRule type="iconSet" priority="178">
      <iconSet iconSet="3Flags">
        <cfvo type="percent" val="0"/>
        <cfvo type="percent" val="33"/>
        <cfvo type="percent" val="67"/>
      </iconSet>
    </cfRule>
  </conditionalFormatting>
  <conditionalFormatting sqref="L24">
    <cfRule type="iconSet" priority="176">
      <iconSet iconSet="3Flags" reverse="1">
        <cfvo type="percent" val="0"/>
        <cfvo type="percent" val="33"/>
        <cfvo type="percent" val="67"/>
      </iconSet>
    </cfRule>
  </conditionalFormatting>
  <conditionalFormatting sqref="G24">
    <cfRule type="iconSet" priority="175">
      <iconSet iconSet="3Signs">
        <cfvo type="percent" val="0"/>
        <cfvo type="percent" val="33"/>
        <cfvo type="percent" val="67"/>
      </iconSet>
    </cfRule>
  </conditionalFormatting>
  <conditionalFormatting sqref="AC24">
    <cfRule type="iconSet" priority="184">
      <iconSet>
        <cfvo type="percent" val="0"/>
        <cfvo type="percent" val="33"/>
        <cfvo type="percent" val="67"/>
      </iconSet>
    </cfRule>
  </conditionalFormatting>
  <conditionalFormatting sqref="AC24">
    <cfRule type="iconSet" priority="185">
      <iconSet>
        <cfvo type="percent" val="0"/>
        <cfvo type="percent" val="90" gte="0"/>
        <cfvo type="percent" val="100"/>
      </iconSet>
    </cfRule>
  </conditionalFormatting>
  <conditionalFormatting sqref="L24">
    <cfRule type="iconSet" priority="174">
      <iconSet iconSet="3Flags">
        <cfvo type="percent" val="0"/>
        <cfvo type="percent" val="33"/>
        <cfvo type="percent" val="67"/>
      </iconSet>
    </cfRule>
  </conditionalFormatting>
  <conditionalFormatting sqref="AD24">
    <cfRule type="colorScale" priority="17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24">
    <cfRule type="iconSet" priority="171">
      <iconSet iconSet="3Flags">
        <cfvo type="percent" val="0"/>
        <cfvo type="percent" val="33"/>
        <cfvo type="percent" val="67"/>
      </iconSet>
    </cfRule>
  </conditionalFormatting>
  <conditionalFormatting sqref="AB25:AC25">
    <cfRule type="containsText" dxfId="128" priority="167" operator="containsText" text="Sh">
      <formula>NOT(ISERROR(SEARCH("Sh",AB25)))</formula>
    </cfRule>
    <cfRule type="cellIs" dxfId="127" priority="168" operator="equal">
      <formula>"Sh"</formula>
    </cfRule>
  </conditionalFormatting>
  <conditionalFormatting sqref="K25">
    <cfRule type="iconSet" priority="166">
      <iconSet iconSet="3Flags" reverse="1">
        <cfvo type="percent" val="0"/>
        <cfvo type="percent" val="33"/>
        <cfvo type="percent" val="67"/>
      </iconSet>
    </cfRule>
  </conditionalFormatting>
  <conditionalFormatting sqref="M25">
    <cfRule type="iconSet" priority="164">
      <iconSet iconSet="3Flags" reverse="1">
        <cfvo type="percent" val="0"/>
        <cfvo type="percent" val="33"/>
        <cfvo type="percent" val="67"/>
      </iconSet>
    </cfRule>
    <cfRule type="iconSet" priority="165">
      <iconSet iconSet="3Flags">
        <cfvo type="percent" val="0"/>
        <cfvo type="percent" val="33"/>
        <cfvo type="percent" val="67"/>
      </iconSet>
    </cfRule>
  </conditionalFormatting>
  <conditionalFormatting sqref="L25">
    <cfRule type="iconSet" priority="163">
      <iconSet iconSet="3Flags" reverse="1">
        <cfvo type="percent" val="0"/>
        <cfvo type="percent" val="33"/>
        <cfvo type="percent" val="67"/>
      </iconSet>
    </cfRule>
  </conditionalFormatting>
  <conditionalFormatting sqref="G25">
    <cfRule type="iconSet" priority="162">
      <iconSet iconSet="3Signs">
        <cfvo type="percent" val="0"/>
        <cfvo type="percent" val="33"/>
        <cfvo type="percent" val="67"/>
      </iconSet>
    </cfRule>
  </conditionalFormatting>
  <conditionalFormatting sqref="AC25">
    <cfRule type="iconSet" priority="169">
      <iconSet>
        <cfvo type="percent" val="0"/>
        <cfvo type="percent" val="33"/>
        <cfvo type="percent" val="67"/>
      </iconSet>
    </cfRule>
  </conditionalFormatting>
  <conditionalFormatting sqref="AC25">
    <cfRule type="iconSet" priority="170">
      <iconSet>
        <cfvo type="percent" val="0"/>
        <cfvo type="percent" val="90" gte="0"/>
        <cfvo type="percent" val="100"/>
      </iconSet>
    </cfRule>
  </conditionalFormatting>
  <conditionalFormatting sqref="F25">
    <cfRule type="containsText" dxfId="126" priority="160" operator="containsText" text="Roll-To-Roll">
      <formula>NOT(ISERROR(SEARCH("Roll-To-Roll",F25)))</formula>
    </cfRule>
    <cfRule type="containsText" dxfId="125" priority="161" operator="containsText" text="Production">
      <formula>NOT(ISERROR(SEARCH("Production",F25)))</formula>
    </cfRule>
  </conditionalFormatting>
  <conditionalFormatting sqref="L25">
    <cfRule type="iconSet" priority="159">
      <iconSet iconSet="3Flags">
        <cfvo type="percent" val="0"/>
        <cfvo type="percent" val="33"/>
        <cfvo type="percent" val="67"/>
      </iconSet>
    </cfRule>
  </conditionalFormatting>
  <conditionalFormatting sqref="AD25">
    <cfRule type="colorScale" priority="15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25">
    <cfRule type="iconSet" priority="156">
      <iconSet iconSet="3Flags">
        <cfvo type="percent" val="0"/>
        <cfvo type="percent" val="33"/>
        <cfvo type="percent" val="67"/>
      </iconSet>
    </cfRule>
  </conditionalFormatting>
  <conditionalFormatting sqref="AB26:AC26">
    <cfRule type="containsText" dxfId="124" priority="152" operator="containsText" text="Sh">
      <formula>NOT(ISERROR(SEARCH("Sh",AB26)))</formula>
    </cfRule>
    <cfRule type="cellIs" dxfId="123" priority="153" operator="equal">
      <formula>"Sh"</formula>
    </cfRule>
  </conditionalFormatting>
  <conditionalFormatting sqref="I26">
    <cfRule type="containsText" dxfId="122" priority="150" operator="containsText" text="Production">
      <formula>NOT(ISERROR(SEARCH("Production",I26)))</formula>
    </cfRule>
    <cfRule type="containsText" dxfId="121" priority="151" operator="containsText" text="Roll">
      <formula>NOT(ISERROR(SEARCH("Roll",I26)))</formula>
    </cfRule>
  </conditionalFormatting>
  <conditionalFormatting sqref="K26">
    <cfRule type="iconSet" priority="149">
      <iconSet iconSet="3Flags" reverse="1">
        <cfvo type="percent" val="0"/>
        <cfvo type="percent" val="33"/>
        <cfvo type="percent" val="67"/>
      </iconSet>
    </cfRule>
  </conditionalFormatting>
  <conditionalFormatting sqref="M26">
    <cfRule type="iconSet" priority="147">
      <iconSet iconSet="3Flags" reverse="1">
        <cfvo type="percent" val="0"/>
        <cfvo type="percent" val="33"/>
        <cfvo type="percent" val="67"/>
      </iconSet>
    </cfRule>
    <cfRule type="iconSet" priority="148">
      <iconSet iconSet="3Flags">
        <cfvo type="percent" val="0"/>
        <cfvo type="percent" val="33"/>
        <cfvo type="percent" val="67"/>
      </iconSet>
    </cfRule>
  </conditionalFormatting>
  <conditionalFormatting sqref="L26">
    <cfRule type="iconSet" priority="146">
      <iconSet iconSet="3Flags" reverse="1">
        <cfvo type="percent" val="0"/>
        <cfvo type="percent" val="33"/>
        <cfvo type="percent" val="67"/>
      </iconSet>
    </cfRule>
  </conditionalFormatting>
  <conditionalFormatting sqref="F26">
    <cfRule type="containsText" dxfId="120" priority="144" operator="containsText" text="Roll-To-Roll">
      <formula>NOT(ISERROR(SEARCH("Roll-To-Roll",F26)))</formula>
    </cfRule>
    <cfRule type="containsText" dxfId="119" priority="145" operator="containsText" text="Production">
      <formula>NOT(ISERROR(SEARCH("Production",F26)))</formula>
    </cfRule>
  </conditionalFormatting>
  <conditionalFormatting sqref="G26">
    <cfRule type="iconSet" priority="143">
      <iconSet iconSet="3Signs">
        <cfvo type="percent" val="0"/>
        <cfvo type="percent" val="33"/>
        <cfvo type="percent" val="67"/>
      </iconSet>
    </cfRule>
  </conditionalFormatting>
  <conditionalFormatting sqref="D26">
    <cfRule type="containsText" dxfId="118" priority="141" operator="containsText" text="Sh">
      <formula>NOT(ISERROR(SEARCH("Sh",D26)))</formula>
    </cfRule>
    <cfRule type="cellIs" dxfId="117" priority="142" operator="equal">
      <formula>"Sh"</formula>
    </cfRule>
  </conditionalFormatting>
  <conditionalFormatting sqref="AC26">
    <cfRule type="iconSet" priority="154">
      <iconSet>
        <cfvo type="percent" val="0"/>
        <cfvo type="percent" val="33"/>
        <cfvo type="percent" val="67"/>
      </iconSet>
    </cfRule>
  </conditionalFormatting>
  <conditionalFormatting sqref="AC26">
    <cfRule type="iconSet" priority="155">
      <iconSet>
        <cfvo type="percent" val="0"/>
        <cfvo type="percent" val="90" gte="0"/>
        <cfvo type="percent" val="100"/>
      </iconSet>
    </cfRule>
  </conditionalFormatting>
  <conditionalFormatting sqref="L26">
    <cfRule type="iconSet" priority="140">
      <iconSet iconSet="3Flags">
        <cfvo type="percent" val="0"/>
        <cfvo type="percent" val="33"/>
        <cfvo type="percent" val="67"/>
      </iconSet>
    </cfRule>
  </conditionalFormatting>
  <conditionalFormatting sqref="AD26">
    <cfRule type="colorScale" priority="13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26">
    <cfRule type="iconSet" priority="137">
      <iconSet iconSet="3Flags">
        <cfvo type="percent" val="0"/>
        <cfvo type="percent" val="33"/>
        <cfvo type="percent" val="67"/>
      </iconSet>
    </cfRule>
  </conditionalFormatting>
  <conditionalFormatting sqref="AC27">
    <cfRule type="containsText" dxfId="116" priority="132" operator="containsText" text="Sh">
      <formula>NOT(ISERROR(SEARCH("Sh",AC27)))</formula>
    </cfRule>
    <cfRule type="cellIs" dxfId="115" priority="133" operator="equal">
      <formula>"Sh"</formula>
    </cfRule>
  </conditionalFormatting>
  <conditionalFormatting sqref="F27">
    <cfRule type="containsText" dxfId="114" priority="130" operator="containsText" text="Roll-To-Roll">
      <formula>NOT(ISERROR(SEARCH("Roll-To-Roll",F27)))</formula>
    </cfRule>
    <cfRule type="containsText" dxfId="113" priority="131" operator="containsText" text="Production">
      <formula>NOT(ISERROR(SEARCH("Production",F27)))</formula>
    </cfRule>
  </conditionalFormatting>
  <conditionalFormatting sqref="Z27">
    <cfRule type="containsText" dxfId="112" priority="128" operator="containsText" text="Sh">
      <formula>NOT(ISERROR(SEARCH("Sh",Z27)))</formula>
    </cfRule>
    <cfRule type="cellIs" dxfId="111" priority="129" operator="equal">
      <formula>"Sh"</formula>
    </cfRule>
  </conditionalFormatting>
  <conditionalFormatting sqref="H27">
    <cfRule type="iconSet" priority="134">
      <iconSet iconSet="3Flags">
        <cfvo type="percent" val="0"/>
        <cfvo type="percent" val="33"/>
        <cfvo type="percent" val="67"/>
      </iconSet>
    </cfRule>
  </conditionalFormatting>
  <conditionalFormatting sqref="AC27">
    <cfRule type="iconSet" priority="135">
      <iconSet>
        <cfvo type="percent" val="0"/>
        <cfvo type="percent" val="33"/>
        <cfvo type="percent" val="67"/>
      </iconSet>
    </cfRule>
  </conditionalFormatting>
  <conditionalFormatting sqref="AC27">
    <cfRule type="iconSet" priority="136">
      <iconSet>
        <cfvo type="percent" val="0"/>
        <cfvo type="percent" val="90" gte="0"/>
        <cfvo type="percent" val="100"/>
      </iconSet>
    </cfRule>
  </conditionalFormatting>
  <conditionalFormatting sqref="L27">
    <cfRule type="iconSet" priority="127">
      <iconSet iconSet="3Flags" reverse="1">
        <cfvo type="percent" val="0"/>
        <cfvo type="percent" val="33"/>
        <cfvo type="percent" val="67"/>
      </iconSet>
    </cfRule>
  </conditionalFormatting>
  <conditionalFormatting sqref="K27">
    <cfRule type="iconSet" priority="126">
      <iconSet iconSet="3Flags" reverse="1">
        <cfvo type="percent" val="0"/>
        <cfvo type="percent" val="33"/>
        <cfvo type="percent" val="67"/>
      </iconSet>
    </cfRule>
  </conditionalFormatting>
  <conditionalFormatting sqref="M27">
    <cfRule type="iconSet" priority="124">
      <iconSet iconSet="3Flags" reverse="1">
        <cfvo type="percent" val="0"/>
        <cfvo type="percent" val="33"/>
        <cfvo type="percent" val="67"/>
      </iconSet>
    </cfRule>
    <cfRule type="iconSet" priority="125">
      <iconSet iconSet="3Flags">
        <cfvo type="percent" val="0"/>
        <cfvo type="percent" val="33"/>
        <cfvo type="percent" val="67"/>
      </iconSet>
    </cfRule>
  </conditionalFormatting>
  <conditionalFormatting sqref="G27">
    <cfRule type="iconSet" priority="123">
      <iconSet iconSet="3Signs">
        <cfvo type="percent" val="0"/>
        <cfvo type="percent" val="33"/>
        <cfvo type="percent" val="67"/>
      </iconSet>
    </cfRule>
  </conditionalFormatting>
  <conditionalFormatting sqref="AB27">
    <cfRule type="containsText" dxfId="110" priority="121" operator="containsText" text="Sh">
      <formula>NOT(ISERROR(SEARCH("Sh",AB27)))</formula>
    </cfRule>
    <cfRule type="cellIs" dxfId="109" priority="122" operator="equal">
      <formula>"Sh"</formula>
    </cfRule>
  </conditionalFormatting>
  <conditionalFormatting sqref="AD27"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8">
    <cfRule type="containsText" dxfId="108" priority="118" operator="containsText" text="Roll-to-Roll">
      <formula>NOT(ISERROR(SEARCH("Roll-to-Roll",F28)))</formula>
    </cfRule>
    <cfRule type="containsText" dxfId="107" priority="119" operator="containsText" text="Production">
      <formula>NOT(ISERROR(SEARCH("Production",F28)))</formula>
    </cfRule>
  </conditionalFormatting>
  <conditionalFormatting sqref="G28">
    <cfRule type="iconSet" priority="117">
      <iconSet>
        <cfvo type="percent" val="0"/>
        <cfvo type="percent" val="33"/>
        <cfvo type="percent" val="67"/>
      </iconSet>
    </cfRule>
  </conditionalFormatting>
  <conditionalFormatting sqref="H28">
    <cfRule type="iconSet" priority="115">
      <iconSet iconSet="3Flags">
        <cfvo type="percent" val="0"/>
        <cfvo type="percent" val="33"/>
        <cfvo type="percent" val="67"/>
      </iconSet>
    </cfRule>
    <cfRule type="iconSet" priority="116">
      <iconSet iconSet="3Flags" reverse="1">
        <cfvo type="percent" val="0"/>
        <cfvo type="percent" val="33"/>
        <cfvo type="percent" val="67"/>
      </iconSet>
    </cfRule>
  </conditionalFormatting>
  <conditionalFormatting sqref="AC28">
    <cfRule type="iconSet" priority="114">
      <iconSet>
        <cfvo type="percent" val="0"/>
        <cfvo type="percent" val="33"/>
        <cfvo type="percent" val="67"/>
      </iconSet>
    </cfRule>
  </conditionalFormatting>
  <conditionalFormatting sqref="AF28">
    <cfRule type="containsText" dxfId="106" priority="110" stopIfTrue="1" operator="containsText" text="No">
      <formula>NOT(ISERROR(SEARCH("No",AF28)))</formula>
    </cfRule>
    <cfRule type="containsText" dxfId="105" priority="111" stopIfTrue="1" operator="containsText" text="High">
      <formula>NOT(ISERROR(SEARCH("High",AF28)))</formula>
    </cfRule>
    <cfRule type="containsText" dxfId="104" priority="112" stopIfTrue="1" operator="containsText" text="Medium">
      <formula>NOT(ISERROR(SEARCH("Medium",AF28)))</formula>
    </cfRule>
    <cfRule type="containsText" dxfId="103" priority="113" operator="containsText" text="Low">
      <formula>NOT(ISERROR(SEARCH("Low",AF28)))</formula>
    </cfRule>
  </conditionalFormatting>
  <conditionalFormatting sqref="AG28">
    <cfRule type="containsText" dxfId="102" priority="106" operator="containsText" text="High">
      <formula>NOT(ISERROR(SEARCH("High",AG28)))</formula>
    </cfRule>
    <cfRule type="containsText" dxfId="101" priority="107" operator="containsText" text="Medium">
      <formula>NOT(ISERROR(SEARCH("Medium",AG28)))</formula>
    </cfRule>
    <cfRule type="containsText" dxfId="100" priority="108" operator="containsText" text="Low">
      <formula>NOT(ISERROR(SEARCH("Low",AG28)))</formula>
    </cfRule>
    <cfRule type="containsText" dxfId="99" priority="109" operator="containsText" text="No">
      <formula>NOT(ISERROR(SEARCH("No",AG28)))</formula>
    </cfRule>
  </conditionalFormatting>
  <conditionalFormatting sqref="AD28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5">
      <colorScale>
        <cfvo type="min"/>
        <cfvo type="max"/>
        <color rgb="FFFF7128"/>
        <color rgb="FFFFEF9C"/>
      </colorScale>
    </cfRule>
  </conditionalFormatting>
  <conditionalFormatting sqref="AE28">
    <cfRule type="colorScale" priority="103">
      <colorScale>
        <cfvo type="min"/>
        <cfvo type="max"/>
        <color rgb="FFFCFCFF"/>
        <color rgb="FFF8696B"/>
      </colorScale>
    </cfRule>
  </conditionalFormatting>
  <conditionalFormatting sqref="AB29:AC29">
    <cfRule type="containsText" dxfId="98" priority="97" operator="containsText" text="Sh">
      <formula>NOT(ISERROR(SEARCH("Sh",AB29)))</formula>
    </cfRule>
    <cfRule type="cellIs" dxfId="97" priority="98" operator="equal">
      <formula>"Sh"</formula>
    </cfRule>
  </conditionalFormatting>
  <conditionalFormatting sqref="F29">
    <cfRule type="containsText" dxfId="96" priority="95" operator="containsText" text="Roll-To-Roll">
      <formula>NOT(ISERROR(SEARCH("Roll-To-Roll",F29)))</formula>
    </cfRule>
    <cfRule type="containsText" dxfId="95" priority="96" operator="containsText" text="Production">
      <formula>NOT(ISERROR(SEARCH("Production",F29)))</formula>
    </cfRule>
  </conditionalFormatting>
  <conditionalFormatting sqref="H29">
    <cfRule type="iconSet" priority="99">
      <iconSet iconSet="3Flags">
        <cfvo type="percent" val="0"/>
        <cfvo type="percent" val="33"/>
        <cfvo type="percent" val="67"/>
      </iconSet>
    </cfRule>
  </conditionalFormatting>
  <conditionalFormatting sqref="Z29">
    <cfRule type="containsText" dxfId="94" priority="93" operator="containsText" text="Sh">
      <formula>NOT(ISERROR(SEARCH("Sh",Z29)))</formula>
    </cfRule>
    <cfRule type="cellIs" dxfId="93" priority="94" operator="equal">
      <formula>"Sh"</formula>
    </cfRule>
  </conditionalFormatting>
  <conditionalFormatting sqref="H29">
    <cfRule type="iconSet" priority="100">
      <iconSet iconSet="3Flags">
        <cfvo type="percent" val="0"/>
        <cfvo type="percent" val="33"/>
        <cfvo type="percent" val="67"/>
      </iconSet>
    </cfRule>
  </conditionalFormatting>
  <conditionalFormatting sqref="H29">
    <cfRule type="iconSet" priority="80">
      <iconSet iconSet="3Flags">
        <cfvo type="percent" val="0"/>
        <cfvo type="percent" val="33"/>
        <cfvo type="percent" val="67"/>
      </iconSet>
    </cfRule>
  </conditionalFormatting>
  <conditionalFormatting sqref="T29">
    <cfRule type="dataBar" priority="7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{2779E0F8-14E0-40E6-AA2E-0B7A050369B1}</x14:id>
        </ext>
      </extLst>
    </cfRule>
  </conditionalFormatting>
  <conditionalFormatting sqref="U29">
    <cfRule type="dataBar" priority="7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{BD484DF4-1A02-4BAF-B38C-49F97579D6E8}</x14:id>
        </ext>
      </extLst>
    </cfRule>
  </conditionalFormatting>
  <conditionalFormatting sqref="V29">
    <cfRule type="dataBar" priority="7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{5C116228-54C4-415A-8D06-2AFDCE169CEF}</x14:id>
        </ext>
      </extLst>
    </cfRule>
  </conditionalFormatting>
  <conditionalFormatting sqref="I29">
    <cfRule type="containsText" dxfId="92" priority="91" operator="containsText" text="Production">
      <formula>NOT(ISERROR(SEARCH("Production",I29)))</formula>
    </cfRule>
    <cfRule type="containsText" dxfId="91" priority="92" operator="containsText" text="Roll">
      <formula>NOT(ISERROR(SEARCH("Roll",I29)))</formula>
    </cfRule>
  </conditionalFormatting>
  <conditionalFormatting sqref="K29">
    <cfRule type="iconSet" priority="90">
      <iconSet iconSet="3Flags" reverse="1">
        <cfvo type="percent" val="0"/>
        <cfvo type="percent" val="33"/>
        <cfvo type="percent" val="67"/>
      </iconSet>
    </cfRule>
  </conditionalFormatting>
  <conditionalFormatting sqref="M29">
    <cfRule type="iconSet" priority="88">
      <iconSet iconSet="3Flags" reverse="1">
        <cfvo type="percent" val="0"/>
        <cfvo type="percent" val="33"/>
        <cfvo type="percent" val="67"/>
      </iconSet>
    </cfRule>
    <cfRule type="iconSet" priority="89">
      <iconSet iconSet="3Flags">
        <cfvo type="percent" val="0"/>
        <cfvo type="percent" val="33"/>
        <cfvo type="percent" val="67"/>
      </iconSet>
    </cfRule>
  </conditionalFormatting>
  <conditionalFormatting sqref="G29">
    <cfRule type="iconSet" priority="87">
      <iconSet iconSet="3Signs">
        <cfvo type="percent" val="0"/>
        <cfvo type="percent" val="33"/>
        <cfvo type="percent" val="67"/>
      </iconSet>
    </cfRule>
  </conditionalFormatting>
  <conditionalFormatting sqref="T29">
    <cfRule type="dataBar" priority="8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{09A7E3A1-B9C1-405E-9288-798748CCDEAC}</x14:id>
        </ext>
      </extLst>
    </cfRule>
  </conditionalFormatting>
  <conditionalFormatting sqref="U29">
    <cfRule type="dataBar" priority="8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{5580D5C7-2725-42D1-8AB4-96C3E314DECF}</x14:id>
        </ext>
      </extLst>
    </cfRule>
  </conditionalFormatting>
  <conditionalFormatting sqref="V29">
    <cfRule type="dataBar" priority="8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{3C4FE1BC-DB87-490B-872E-9A146AFBCF6E}</x14:id>
        </ext>
      </extLst>
    </cfRule>
  </conditionalFormatting>
  <conditionalFormatting sqref="D29">
    <cfRule type="containsText" dxfId="90" priority="81" operator="containsText" text="Sh">
      <formula>NOT(ISERROR(SEARCH("Sh",D29)))</formula>
    </cfRule>
    <cfRule type="cellIs" dxfId="89" priority="82" operator="equal">
      <formula>"Sh"</formula>
    </cfRule>
  </conditionalFormatting>
  <conditionalFormatting sqref="AC29">
    <cfRule type="iconSet" priority="101">
      <iconSet>
        <cfvo type="percent" val="0"/>
        <cfvo type="percent" val="33"/>
        <cfvo type="percent" val="67"/>
      </iconSet>
    </cfRule>
  </conditionalFormatting>
  <conditionalFormatting sqref="AC29">
    <cfRule type="iconSet" priority="102">
      <iconSet>
        <cfvo type="percent" val="0"/>
        <cfvo type="percent" val="90" gte="0"/>
        <cfvo type="percent" val="100"/>
      </iconSet>
    </cfRule>
  </conditionalFormatting>
  <conditionalFormatting sqref="G29">
    <cfRule type="iconSet" priority="79">
      <iconSet>
        <cfvo type="percent" val="0"/>
        <cfvo type="percent" val="33"/>
        <cfvo type="percent" val="67"/>
      </iconSet>
    </cfRule>
  </conditionalFormatting>
  <conditionalFormatting sqref="AD29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9">
    <cfRule type="iconSet" priority="73">
      <iconSet iconSet="3Flags" reverse="1">
        <cfvo type="percent" val="0"/>
        <cfvo type="percent" val="33"/>
        <cfvo type="percent" val="67"/>
      </iconSet>
    </cfRule>
  </conditionalFormatting>
  <conditionalFormatting sqref="AB30:AC30">
    <cfRule type="containsText" dxfId="88" priority="68" operator="containsText" text="Sh">
      <formula>NOT(ISERROR(SEARCH("Sh",AB30)))</formula>
    </cfRule>
    <cfRule type="cellIs" dxfId="87" priority="69" operator="equal">
      <formula>"Sh"</formula>
    </cfRule>
  </conditionalFormatting>
  <conditionalFormatting sqref="F30">
    <cfRule type="containsText" dxfId="86" priority="66" operator="containsText" text="Roll-To-Roll">
      <formula>NOT(ISERROR(SEARCH("Roll-To-Roll",F30)))</formula>
    </cfRule>
    <cfRule type="containsText" dxfId="85" priority="67" operator="containsText" text="Production">
      <formula>NOT(ISERROR(SEARCH("Production",F30)))</formula>
    </cfRule>
  </conditionalFormatting>
  <conditionalFormatting sqref="H30">
    <cfRule type="iconSet" priority="70">
      <iconSet iconSet="3Flags">
        <cfvo type="percent" val="0"/>
        <cfvo type="percent" val="33"/>
        <cfvo type="percent" val="67"/>
      </iconSet>
    </cfRule>
  </conditionalFormatting>
  <conditionalFormatting sqref="H30">
    <cfRule type="iconSet" priority="52">
      <iconSet iconSet="3Flags">
        <cfvo type="percent" val="0"/>
        <cfvo type="percent" val="33"/>
        <cfvo type="percent" val="67"/>
      </iconSet>
    </cfRule>
  </conditionalFormatting>
  <conditionalFormatting sqref="T30">
    <cfRule type="dataBar" priority="4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{72F0C069-9CA2-472E-9FB9-6DFF56D1A552}</x14:id>
        </ext>
      </extLst>
    </cfRule>
  </conditionalFormatting>
  <conditionalFormatting sqref="U30">
    <cfRule type="dataBar" priority="4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{3DB91DD6-4A3B-4D10-A512-0AA50B5641AF}</x14:id>
        </ext>
      </extLst>
    </cfRule>
  </conditionalFormatting>
  <conditionalFormatting sqref="V30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{19FAF7C2-5DF4-4F55-8364-407DD5206489}</x14:id>
        </ext>
      </extLst>
    </cfRule>
  </conditionalFormatting>
  <conditionalFormatting sqref="AC30">
    <cfRule type="iconSet" priority="71">
      <iconSet>
        <cfvo type="percent" val="0"/>
        <cfvo type="percent" val="33"/>
        <cfvo type="percent" val="67"/>
      </iconSet>
    </cfRule>
  </conditionalFormatting>
  <conditionalFormatting sqref="AC30">
    <cfRule type="iconSet" priority="72">
      <iconSet>
        <cfvo type="percent" val="0"/>
        <cfvo type="percent" val="90" gte="0"/>
        <cfvo type="percent" val="100"/>
      </iconSet>
    </cfRule>
  </conditionalFormatting>
  <conditionalFormatting sqref="D30">
    <cfRule type="containsText" dxfId="84" priority="64" operator="containsText" text="Sh">
      <formula>NOT(ISERROR(SEARCH("Sh",D30)))</formula>
    </cfRule>
    <cfRule type="cellIs" dxfId="83" priority="65" operator="equal">
      <formula>"Sh"</formula>
    </cfRule>
  </conditionalFormatting>
  <conditionalFormatting sqref="Z30">
    <cfRule type="containsText" dxfId="82" priority="61" operator="containsText" text="Sh">
      <formula>NOT(ISERROR(SEARCH("Sh",Z30)))</formula>
    </cfRule>
    <cfRule type="cellIs" dxfId="81" priority="62" operator="equal">
      <formula>"Sh"</formula>
    </cfRule>
  </conditionalFormatting>
  <conditionalFormatting sqref="H30">
    <cfRule type="iconSet" priority="63">
      <iconSet iconSet="3Flags">
        <cfvo type="percent" val="0"/>
        <cfvo type="percent" val="33"/>
        <cfvo type="percent" val="67"/>
      </iconSet>
    </cfRule>
  </conditionalFormatting>
  <conditionalFormatting sqref="K30">
    <cfRule type="iconSet" priority="60">
      <iconSet iconSet="3Flags" reverse="1">
        <cfvo type="percent" val="0"/>
        <cfvo type="percent" val="33"/>
        <cfvo type="percent" val="67"/>
      </iconSet>
    </cfRule>
  </conditionalFormatting>
  <conditionalFormatting sqref="M30">
    <cfRule type="iconSet" priority="58">
      <iconSet iconSet="3Flags" reverse="1">
        <cfvo type="percent" val="0"/>
        <cfvo type="percent" val="33"/>
        <cfvo type="percent" val="67"/>
      </iconSet>
    </cfRule>
    <cfRule type="iconSet" priority="59">
      <iconSet iconSet="3Flags">
        <cfvo type="percent" val="0"/>
        <cfvo type="percent" val="33"/>
        <cfvo type="percent" val="67"/>
      </iconSet>
    </cfRule>
  </conditionalFormatting>
  <conditionalFormatting sqref="G30">
    <cfRule type="iconSet" priority="57">
      <iconSet iconSet="3Signs">
        <cfvo type="percent" val="0"/>
        <cfvo type="percent" val="33"/>
        <cfvo type="percent" val="67"/>
      </iconSet>
    </cfRule>
  </conditionalFormatting>
  <conditionalFormatting sqref="T30">
    <cfRule type="dataBar" priority="5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{06A72496-118D-4D5A-9C38-C9A65287A7F9}</x14:id>
        </ext>
      </extLst>
    </cfRule>
  </conditionalFormatting>
  <conditionalFormatting sqref="U30">
    <cfRule type="dataBar" priority="5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{660D2308-6FB3-4F58-9460-9BD7C53D8EBF}</x14:id>
        </ext>
      </extLst>
    </cfRule>
  </conditionalFormatting>
  <conditionalFormatting sqref="V30">
    <cfRule type="dataBar" priority="5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{15E7E38A-DE65-4965-8F90-ACFB0E30323D}</x14:id>
        </ext>
      </extLst>
    </cfRule>
  </conditionalFormatting>
  <conditionalFormatting sqref="G30">
    <cfRule type="iconSet" priority="51">
      <iconSet>
        <cfvo type="percent" val="0"/>
        <cfvo type="percent" val="33"/>
        <cfvo type="percent" val="67"/>
      </iconSet>
    </cfRule>
  </conditionalFormatting>
  <conditionalFormatting sqref="AD30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0">
    <cfRule type="iconSet" priority="45">
      <iconSet iconSet="3Flags" reverse="1">
        <cfvo type="percent" val="0"/>
        <cfvo type="percent" val="33"/>
        <cfvo type="percent" val="67"/>
      </iconSet>
    </cfRule>
  </conditionalFormatting>
  <conditionalFormatting sqref="H1:H15 H17:H1048576">
    <cfRule type="iconSet" priority="44">
      <iconSet iconSet="3Arrows">
        <cfvo type="percent" val="0"/>
        <cfvo type="percent" val="33"/>
        <cfvo type="percent" val="67"/>
      </iconSet>
    </cfRule>
  </conditionalFormatting>
  <conditionalFormatting sqref="AE16">
    <cfRule type="containsText" dxfId="80" priority="35" operator="containsText" text="Sh">
      <formula>NOT(ISERROR(SEARCH("Sh",AE16)))</formula>
    </cfRule>
    <cfRule type="cellIs" dxfId="79" priority="36" operator="equal">
      <formula>"Sh"</formula>
    </cfRule>
  </conditionalFormatting>
  <conditionalFormatting sqref="AD16">
    <cfRule type="containsText" dxfId="78" priority="33" operator="containsText" text="Sh">
      <formula>NOT(ISERROR(SEARCH("Sh",AD16)))</formula>
    </cfRule>
    <cfRule type="cellIs" dxfId="77" priority="34" operator="equal">
      <formula>"Sh"</formula>
    </cfRule>
  </conditionalFormatting>
  <conditionalFormatting sqref="AE16">
    <cfRule type="iconSet" priority="32">
      <iconSet>
        <cfvo type="percent" val="0"/>
        <cfvo type="percent" val="90" gte="0"/>
        <cfvo type="percent" val="100"/>
      </iconSet>
    </cfRule>
  </conditionalFormatting>
  <conditionalFormatting sqref="G16">
    <cfRule type="iconSet" priority="27">
      <iconSet iconSet="3Signs">
        <cfvo type="percent" val="0"/>
        <cfvo type="percent" val="33"/>
        <cfvo type="percent" val="67"/>
      </iconSet>
    </cfRule>
  </conditionalFormatting>
  <conditionalFormatting sqref="H16">
    <cfRule type="iconSet" priority="26">
      <iconSet iconSet="3Flags">
        <cfvo type="percent" val="0"/>
        <cfvo type="percent" val="33"/>
        <cfvo type="percent" val="67"/>
      </iconSet>
    </cfRule>
  </conditionalFormatting>
  <conditionalFormatting sqref="H16">
    <cfRule type="iconSet" priority="25">
      <iconSet iconSet="3Flags">
        <cfvo type="percent" val="0"/>
        <cfvo type="percent" val="33"/>
        <cfvo type="percent" val="67"/>
      </iconSet>
    </cfRule>
  </conditionalFormatting>
  <conditionalFormatting sqref="K16">
    <cfRule type="iconSet" priority="37">
      <iconSet iconSet="3Flags" reverse="1">
        <cfvo type="percent" val="0"/>
        <cfvo type="percent" val="33"/>
        <cfvo type="percent" val="67"/>
      </iconSet>
    </cfRule>
    <cfRule type="iconSet" priority="38">
      <iconSet iconSet="3Flags">
        <cfvo type="percent" val="0"/>
        <cfvo type="percent" val="33"/>
        <cfvo type="percent" val="67"/>
      </iconSet>
    </cfRule>
  </conditionalFormatting>
  <conditionalFormatting sqref="L16:M16">
    <cfRule type="iconSet" priority="39">
      <iconSet iconSet="3Flags">
        <cfvo type="percent" val="0"/>
        <cfvo type="percent" val="33"/>
        <cfvo type="percent" val="67"/>
      </iconSet>
    </cfRule>
  </conditionalFormatting>
  <conditionalFormatting sqref="L16">
    <cfRule type="iconSet" priority="40">
      <iconSet iconSet="3Flags" reverse="1">
        <cfvo type="percent" val="0"/>
        <cfvo type="percent" val="33"/>
        <cfvo type="percent" val="67"/>
      </iconSet>
    </cfRule>
    <cfRule type="iconSet" priority="41">
      <iconSet iconSet="3Flags">
        <cfvo type="percent" val="0"/>
        <cfvo type="percent" val="33"/>
        <cfvo type="percent" val="67"/>
      </iconSet>
    </cfRule>
  </conditionalFormatting>
  <conditionalFormatting sqref="M16">
    <cfRule type="iconSet" priority="42">
      <iconSet iconSet="3Flags" reverse="1">
        <cfvo type="percent" val="0"/>
        <cfvo type="percent" val="33"/>
        <cfvo type="percent" val="67"/>
      </iconSet>
    </cfRule>
    <cfRule type="iconSet" priority="43">
      <iconSet iconSet="3Flags">
        <cfvo type="percent" val="0"/>
        <cfvo type="percent" val="33"/>
        <cfvo type="percent" val="67"/>
      </iconSet>
    </cfRule>
  </conditionalFormatting>
  <conditionalFormatting sqref="F16">
    <cfRule type="containsText" dxfId="76" priority="23" operator="containsText" text="Roll-to-Roll">
      <formula>NOT(ISERROR(SEARCH("Roll-to-Roll",F16)))</formula>
    </cfRule>
    <cfRule type="containsText" dxfId="75" priority="24" operator="containsText" text="Production">
      <formula>NOT(ISERROR(SEARCH("Production",F16)))</formula>
    </cfRule>
  </conditionalFormatting>
  <conditionalFormatting sqref="G16">
    <cfRule type="iconSet" priority="22">
      <iconSet>
        <cfvo type="percent" val="0"/>
        <cfvo type="percent" val="33"/>
        <cfvo type="percent" val="67"/>
      </iconSet>
    </cfRule>
  </conditionalFormatting>
  <conditionalFormatting sqref="H16">
    <cfRule type="iconSet" priority="20">
      <iconSet iconSet="3Flags">
        <cfvo type="percent" val="0"/>
        <cfvo type="percent" val="33"/>
        <cfvo type="percent" val="67"/>
      </iconSet>
    </cfRule>
    <cfRule type="iconSet" priority="21">
      <iconSet iconSet="3Flags" reverse="1">
        <cfvo type="percent" val="0"/>
        <cfvo type="percent" val="33"/>
        <cfvo type="percent" val="67"/>
      </iconSet>
    </cfRule>
  </conditionalFormatting>
  <conditionalFormatting sqref="AE16">
    <cfRule type="iconSet" priority="19">
      <iconSet>
        <cfvo type="percent" val="0"/>
        <cfvo type="percent" val="33"/>
        <cfvo type="percent" val="67"/>
      </iconSet>
    </cfRule>
  </conditionalFormatting>
  <conditionalFormatting sqref="S16">
    <cfRule type="dataBar" priority="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{C7ABC3F1-069F-4DF0-AC76-0112E6734C40}</x14:id>
        </ext>
      </extLst>
    </cfRule>
  </conditionalFormatting>
  <conditionalFormatting sqref="T16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{794E9AAE-BFEC-4597-ADDF-19209394503C}</x14:id>
        </ext>
      </extLst>
    </cfRule>
  </conditionalFormatting>
  <conditionalFormatting sqref="U16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{52D2B37B-34D8-469C-80DB-BF620E57AB63}</x14:id>
        </ext>
      </extLst>
    </cfRule>
  </conditionalFormatting>
  <conditionalFormatting sqref="V1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{82EDEC24-0267-4BAF-9CE7-57862E3F84A0}</x14:id>
        </ext>
      </extLst>
    </cfRule>
  </conditionalFormatting>
  <conditionalFormatting sqref="AH16">
    <cfRule type="containsText" dxfId="74" priority="15" stopIfTrue="1" operator="containsText" text="No">
      <formula>NOT(ISERROR(SEARCH("No",AH16)))</formula>
    </cfRule>
    <cfRule type="containsText" dxfId="73" priority="16" stopIfTrue="1" operator="containsText" text="High">
      <formula>NOT(ISERROR(SEARCH("High",AH16)))</formula>
    </cfRule>
    <cfRule type="containsText" dxfId="72" priority="17" stopIfTrue="1" operator="containsText" text="Medium">
      <formula>NOT(ISERROR(SEARCH("Medium",AH16)))</formula>
    </cfRule>
    <cfRule type="containsText" dxfId="71" priority="18" operator="containsText" text="Low">
      <formula>NOT(ISERROR(SEARCH("Low",AH16)))</formula>
    </cfRule>
  </conditionalFormatting>
  <conditionalFormatting sqref="AI16">
    <cfRule type="containsText" dxfId="70" priority="11" operator="containsText" text="High">
      <formula>NOT(ISERROR(SEARCH("High",AI16)))</formula>
    </cfRule>
    <cfRule type="containsText" dxfId="69" priority="12" operator="containsText" text="Medium">
      <formula>NOT(ISERROR(SEARCH("Medium",AI16)))</formula>
    </cfRule>
    <cfRule type="containsText" dxfId="68" priority="13" operator="containsText" text="Low">
      <formula>NOT(ISERROR(SEARCH("Low",AI16)))</formula>
    </cfRule>
    <cfRule type="containsText" dxfId="67" priority="14" operator="containsText" text="No">
      <formula>NOT(ISERROR(SEARCH("No",AI16)))</formula>
    </cfRule>
  </conditionalFormatting>
  <conditionalFormatting sqref="P16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{F463C9D0-F14E-4A3B-8D0F-7404FCF96F43}</x14:id>
        </ext>
      </extLst>
    </cfRule>
  </conditionalFormatting>
  <conditionalFormatting sqref="Q16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{4C1C8D7F-F4DC-4A22-AD38-D6F1BB5758B9}</x14:id>
        </ext>
      </extLst>
    </cfRule>
  </conditionalFormatting>
  <conditionalFormatting sqref="R16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{86A03E6A-A31D-4A72-B253-6D999505B6AA}</x14:id>
        </ext>
      </extLst>
    </cfRule>
  </conditionalFormatting>
  <conditionalFormatting sqref="AF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max"/>
        <color rgb="FFFF7128"/>
        <color rgb="FFFFEF9C"/>
      </colorScale>
    </cfRule>
  </conditionalFormatting>
  <conditionalFormatting sqref="AG16">
    <cfRule type="colorScale" priority="1">
      <colorScale>
        <cfvo type="min"/>
        <cfvo type="max"/>
        <color rgb="FFFCFCFF"/>
        <color rgb="FFF8696B"/>
      </colorScale>
    </cfRule>
  </conditionalFormatting>
  <dataValidations count="1">
    <dataValidation type="list" allowBlank="1" showInputMessage="1" showErrorMessage="1" sqref="AH13:AH14 AB17:AB21 AE16 AC15" xr:uid="{2EB6CA49-8410-4DD1-AA93-E0257F38437E}">
      <formula1>"20um Schlenk, 70um Civen, 18um Lux, 25um Sig, R2R Civen Top, R2R Civen Bottom, R2R Schlenk Top, R2R Schlenk Bottom"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D5CF37F-BCCC-4F24-B324-52E1265B89F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S1:S8</xm:sqref>
        </x14:conditionalFormatting>
        <x14:conditionalFormatting xmlns:xm="http://schemas.microsoft.com/office/excel/2006/main">
          <x14:cfRule type="dataBar" id="{E55A450E-59C7-4AE7-8BA5-F9D0D8DD4A6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T1:T8</xm:sqref>
        </x14:conditionalFormatting>
        <x14:conditionalFormatting xmlns:xm="http://schemas.microsoft.com/office/excel/2006/main">
          <x14:cfRule type="dataBar" id="{384D9A12-0368-461A-BE93-9D3E38EB3F8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U1:U8</xm:sqref>
        </x14:conditionalFormatting>
        <x14:conditionalFormatting xmlns:xm="http://schemas.microsoft.com/office/excel/2006/main">
          <x14:cfRule type="dataBar" id="{7E3EEBB5-3EFA-4BF1-A0A9-1ABB6F7EBC0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V1:V8</xm:sqref>
        </x14:conditionalFormatting>
        <x14:conditionalFormatting xmlns:xm="http://schemas.microsoft.com/office/excel/2006/main">
          <x14:cfRule type="dataBar" id="{C678E0A8-D8F3-46E7-9A5C-37921D32E62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P1:P8</xm:sqref>
        </x14:conditionalFormatting>
        <x14:conditionalFormatting xmlns:xm="http://schemas.microsoft.com/office/excel/2006/main">
          <x14:cfRule type="dataBar" id="{C22029E8-5052-4C06-B784-88A7900ABA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Q1:Q8</xm:sqref>
        </x14:conditionalFormatting>
        <x14:conditionalFormatting xmlns:xm="http://schemas.microsoft.com/office/excel/2006/main">
          <x14:cfRule type="dataBar" id="{1A00BDD6-C382-48B1-9706-9EC7DBAB552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R1:R8</xm:sqref>
        </x14:conditionalFormatting>
        <x14:conditionalFormatting xmlns:xm="http://schemas.microsoft.com/office/excel/2006/main">
          <x14:cfRule type="dataBar" id="{62BCEF77-7E15-4EA0-AAC6-2EE336CDB32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S9:S10</xm:sqref>
        </x14:conditionalFormatting>
        <x14:conditionalFormatting xmlns:xm="http://schemas.microsoft.com/office/excel/2006/main">
          <x14:cfRule type="dataBar" id="{130499C2-5648-404A-9222-83F309DB04E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T9:T10</xm:sqref>
        </x14:conditionalFormatting>
        <x14:conditionalFormatting xmlns:xm="http://schemas.microsoft.com/office/excel/2006/main">
          <x14:cfRule type="dataBar" id="{5315C655-DFE9-421D-8B29-A09CE76F503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U9:U10</xm:sqref>
        </x14:conditionalFormatting>
        <x14:conditionalFormatting xmlns:xm="http://schemas.microsoft.com/office/excel/2006/main">
          <x14:cfRule type="dataBar" id="{8F204037-BE78-48EE-BE80-912CA2D730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V9:V10</xm:sqref>
        </x14:conditionalFormatting>
        <x14:conditionalFormatting xmlns:xm="http://schemas.microsoft.com/office/excel/2006/main">
          <x14:cfRule type="dataBar" id="{112EA1DF-370C-425D-9646-C35C683BAE4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P9:P10</xm:sqref>
        </x14:conditionalFormatting>
        <x14:conditionalFormatting xmlns:xm="http://schemas.microsoft.com/office/excel/2006/main">
          <x14:cfRule type="dataBar" id="{5614D111-AFD4-4B0E-BDDD-1AF34D98ACA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Q9:Q10</xm:sqref>
        </x14:conditionalFormatting>
        <x14:conditionalFormatting xmlns:xm="http://schemas.microsoft.com/office/excel/2006/main">
          <x14:cfRule type="dataBar" id="{1274EDBE-68C2-4AA0-84A7-C67D6F5FB07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R9:R10</xm:sqref>
        </x14:conditionalFormatting>
        <x14:conditionalFormatting xmlns:xm="http://schemas.microsoft.com/office/excel/2006/main">
          <x14:cfRule type="dataBar" id="{F2ED21AC-000C-4FEC-B399-26C6128BF065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S11:S12</xm:sqref>
        </x14:conditionalFormatting>
        <x14:conditionalFormatting xmlns:xm="http://schemas.microsoft.com/office/excel/2006/main">
          <x14:cfRule type="dataBar" id="{97B0F515-F318-4675-AF6E-64500C72CC4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T11:T12</xm:sqref>
        </x14:conditionalFormatting>
        <x14:conditionalFormatting xmlns:xm="http://schemas.microsoft.com/office/excel/2006/main">
          <x14:cfRule type="dataBar" id="{C51A3ED5-F18D-4088-B2F3-8AACAEADE8C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U11:U12</xm:sqref>
        </x14:conditionalFormatting>
        <x14:conditionalFormatting xmlns:xm="http://schemas.microsoft.com/office/excel/2006/main">
          <x14:cfRule type="dataBar" id="{97220D7A-F324-4C6D-B2F0-F89452B41DE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V11:V12</xm:sqref>
        </x14:conditionalFormatting>
        <x14:conditionalFormatting xmlns:xm="http://schemas.microsoft.com/office/excel/2006/main">
          <x14:cfRule type="dataBar" id="{57E9ADAA-92F8-4E66-B61F-70EF411F3B9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P11:P12</xm:sqref>
        </x14:conditionalFormatting>
        <x14:conditionalFormatting xmlns:xm="http://schemas.microsoft.com/office/excel/2006/main">
          <x14:cfRule type="dataBar" id="{53B6084E-EA10-4258-BB5E-025CE4E826A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Q11:Q12</xm:sqref>
        </x14:conditionalFormatting>
        <x14:conditionalFormatting xmlns:xm="http://schemas.microsoft.com/office/excel/2006/main">
          <x14:cfRule type="dataBar" id="{FE425106-68C9-44DA-A84C-12BAEB559F4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R11:R12</xm:sqref>
        </x14:conditionalFormatting>
        <x14:conditionalFormatting xmlns:xm="http://schemas.microsoft.com/office/excel/2006/main">
          <x14:cfRule type="dataBar" id="{CFAB44B3-507C-4466-AD4E-AD3300A80C8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S13:S14</xm:sqref>
        </x14:conditionalFormatting>
        <x14:conditionalFormatting xmlns:xm="http://schemas.microsoft.com/office/excel/2006/main">
          <x14:cfRule type="dataBar" id="{3C73E8F5-FF40-48A0-A415-FF34110ACD2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T13:T14</xm:sqref>
        </x14:conditionalFormatting>
        <x14:conditionalFormatting xmlns:xm="http://schemas.microsoft.com/office/excel/2006/main">
          <x14:cfRule type="dataBar" id="{47577D63-B201-46F7-B421-54CA2D34B94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U13:U14</xm:sqref>
        </x14:conditionalFormatting>
        <x14:conditionalFormatting xmlns:xm="http://schemas.microsoft.com/office/excel/2006/main">
          <x14:cfRule type="dataBar" id="{BF6A33E9-1FCC-4AE2-9C69-9F2B248603C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V13:V14</xm:sqref>
        </x14:conditionalFormatting>
        <x14:conditionalFormatting xmlns:xm="http://schemas.microsoft.com/office/excel/2006/main">
          <x14:cfRule type="dataBar" id="{E1144544-1651-4473-9BDE-B3D0603F46C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P13:P14</xm:sqref>
        </x14:conditionalFormatting>
        <x14:conditionalFormatting xmlns:xm="http://schemas.microsoft.com/office/excel/2006/main">
          <x14:cfRule type="dataBar" id="{CE158FD2-1EDC-4EBF-847D-3F9D8263D19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Q13:Q14</xm:sqref>
        </x14:conditionalFormatting>
        <x14:conditionalFormatting xmlns:xm="http://schemas.microsoft.com/office/excel/2006/main">
          <x14:cfRule type="dataBar" id="{E4E25ED1-6D71-4319-89AE-CBB018180F9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R13:R14</xm:sqref>
        </x14:conditionalFormatting>
        <x14:conditionalFormatting xmlns:xm="http://schemas.microsoft.com/office/excel/2006/main">
          <x14:cfRule type="dataBar" id="{D7CE537C-D5F2-4897-9554-502C937E9FC5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S15</xm:sqref>
        </x14:conditionalFormatting>
        <x14:conditionalFormatting xmlns:xm="http://schemas.microsoft.com/office/excel/2006/main">
          <x14:cfRule type="dataBar" id="{E90FA87E-FA3B-4684-AA7A-F81FA36D77F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T15</xm:sqref>
        </x14:conditionalFormatting>
        <x14:conditionalFormatting xmlns:xm="http://schemas.microsoft.com/office/excel/2006/main">
          <x14:cfRule type="dataBar" id="{DC5D3770-D21B-4DC4-AAF9-C0E6E8EBCDF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U15</xm:sqref>
        </x14:conditionalFormatting>
        <x14:conditionalFormatting xmlns:xm="http://schemas.microsoft.com/office/excel/2006/main">
          <x14:cfRule type="dataBar" id="{44781A23-EC46-424C-A516-FFE35A10A0C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V15</xm:sqref>
        </x14:conditionalFormatting>
        <x14:conditionalFormatting xmlns:xm="http://schemas.microsoft.com/office/excel/2006/main">
          <x14:cfRule type="dataBar" id="{2E2DAB0B-4A18-40AC-87B6-EFDE30F43FF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P15</xm:sqref>
        </x14:conditionalFormatting>
        <x14:conditionalFormatting xmlns:xm="http://schemas.microsoft.com/office/excel/2006/main">
          <x14:cfRule type="dataBar" id="{B0813F0D-E8D0-4F07-BB11-69C1A72ED86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Q15</xm:sqref>
        </x14:conditionalFormatting>
        <x14:conditionalFormatting xmlns:xm="http://schemas.microsoft.com/office/excel/2006/main">
          <x14:cfRule type="dataBar" id="{A7EE13F2-6591-41A2-A827-48AEDC94E66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R15</xm:sqref>
        </x14:conditionalFormatting>
        <x14:conditionalFormatting xmlns:xm="http://schemas.microsoft.com/office/excel/2006/main">
          <x14:cfRule type="dataBar" id="{045E3C89-D6F3-4FAC-A67B-0F38BAD56C0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S17:S20</xm:sqref>
        </x14:conditionalFormatting>
        <x14:conditionalFormatting xmlns:xm="http://schemas.microsoft.com/office/excel/2006/main">
          <x14:cfRule type="dataBar" id="{9B89E364-C9E8-45CB-9763-B6B354F0E5C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T17:T20</xm:sqref>
        </x14:conditionalFormatting>
        <x14:conditionalFormatting xmlns:xm="http://schemas.microsoft.com/office/excel/2006/main">
          <x14:cfRule type="dataBar" id="{A1BAD36C-FC8A-4AAE-B2CB-77453730789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U17:U20</xm:sqref>
        </x14:conditionalFormatting>
        <x14:conditionalFormatting xmlns:xm="http://schemas.microsoft.com/office/excel/2006/main">
          <x14:cfRule type="dataBar" id="{D1D5CEFB-B767-406E-90A6-2A6C0F6C8A4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V17:V20</xm:sqref>
        </x14:conditionalFormatting>
        <x14:conditionalFormatting xmlns:xm="http://schemas.microsoft.com/office/excel/2006/main">
          <x14:cfRule type="dataBar" id="{1B7D8367-AA6C-43DD-A9C8-DCB6F7A4E56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P17:P20</xm:sqref>
        </x14:conditionalFormatting>
        <x14:conditionalFormatting xmlns:xm="http://schemas.microsoft.com/office/excel/2006/main">
          <x14:cfRule type="dataBar" id="{FC51848F-1803-4C59-9614-6818DBF57A3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Q17:Q20</xm:sqref>
        </x14:conditionalFormatting>
        <x14:conditionalFormatting xmlns:xm="http://schemas.microsoft.com/office/excel/2006/main">
          <x14:cfRule type="dataBar" id="{967B8C2D-41DF-45D8-971F-2E9F8F765AF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R17:R20</xm:sqref>
        </x14:conditionalFormatting>
        <x14:conditionalFormatting xmlns:xm="http://schemas.microsoft.com/office/excel/2006/main">
          <x14:cfRule type="dataBar" id="{3EE7F5C1-5A2A-443D-8E8A-1FCDF5FF20D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S21</xm:sqref>
        </x14:conditionalFormatting>
        <x14:conditionalFormatting xmlns:xm="http://schemas.microsoft.com/office/excel/2006/main">
          <x14:cfRule type="dataBar" id="{416E0CFA-9520-468B-B60D-8A5757CE4B8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T21</xm:sqref>
        </x14:conditionalFormatting>
        <x14:conditionalFormatting xmlns:xm="http://schemas.microsoft.com/office/excel/2006/main">
          <x14:cfRule type="dataBar" id="{D61382A3-20D3-488F-BB94-DD87A20D7CF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U21</xm:sqref>
        </x14:conditionalFormatting>
        <x14:conditionalFormatting xmlns:xm="http://schemas.microsoft.com/office/excel/2006/main">
          <x14:cfRule type="dataBar" id="{395526B5-878E-42CA-BCC2-0B2467BA8C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V21</xm:sqref>
        </x14:conditionalFormatting>
        <x14:conditionalFormatting xmlns:xm="http://schemas.microsoft.com/office/excel/2006/main">
          <x14:cfRule type="dataBar" id="{78E7675D-FE8D-4B5A-B299-1C564E55DF6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P21</xm:sqref>
        </x14:conditionalFormatting>
        <x14:conditionalFormatting xmlns:xm="http://schemas.microsoft.com/office/excel/2006/main">
          <x14:cfRule type="dataBar" id="{9C8F4C9B-7ADA-4ABF-8172-8F79FAE5697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Q21</xm:sqref>
        </x14:conditionalFormatting>
        <x14:conditionalFormatting xmlns:xm="http://schemas.microsoft.com/office/excel/2006/main">
          <x14:cfRule type="dataBar" id="{423C2CC0-24AF-40C4-9E78-676D1C5E6A8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R21</xm:sqref>
        </x14:conditionalFormatting>
        <x14:conditionalFormatting xmlns:xm="http://schemas.microsoft.com/office/excel/2006/main">
          <x14:cfRule type="dataBar" id="{7DB185D1-E770-4C37-B39E-605B1D5C591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S22</xm:sqref>
        </x14:conditionalFormatting>
        <x14:conditionalFormatting xmlns:xm="http://schemas.microsoft.com/office/excel/2006/main">
          <x14:cfRule type="dataBar" id="{422435A4-8DA5-42D5-BB4E-930EA739A08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S22</xm:sqref>
        </x14:conditionalFormatting>
        <x14:conditionalFormatting xmlns:xm="http://schemas.microsoft.com/office/excel/2006/main">
          <x14:cfRule type="dataBar" id="{8BF21709-6916-41AF-9A31-3E4061FBA6A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U22</xm:sqref>
        </x14:conditionalFormatting>
        <x14:conditionalFormatting xmlns:xm="http://schemas.microsoft.com/office/excel/2006/main">
          <x14:cfRule type="dataBar" id="{E225E697-1510-4680-A9B6-7FFB3417E5B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S22</xm:sqref>
        </x14:conditionalFormatting>
        <x14:conditionalFormatting xmlns:xm="http://schemas.microsoft.com/office/excel/2006/main">
          <x14:cfRule type="dataBar" id="{DBB5052D-D8BD-433F-A481-62EEC25470A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V22</xm:sqref>
        </x14:conditionalFormatting>
        <x14:conditionalFormatting xmlns:xm="http://schemas.microsoft.com/office/excel/2006/main">
          <x14:cfRule type="dataBar" id="{F67DF05F-42AA-4A00-A544-74E777F6272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U22</xm:sqref>
        </x14:conditionalFormatting>
        <x14:conditionalFormatting xmlns:xm="http://schemas.microsoft.com/office/excel/2006/main">
          <x14:cfRule type="dataBar" id="{D8946E51-2566-4E61-A8B0-8D3C976D65C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T22</xm:sqref>
        </x14:conditionalFormatting>
        <x14:conditionalFormatting xmlns:xm="http://schemas.microsoft.com/office/excel/2006/main">
          <x14:cfRule type="dataBar" id="{2C8E42F4-6631-4B2E-9CAD-CD262DB1141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S22</xm:sqref>
        </x14:conditionalFormatting>
        <x14:conditionalFormatting xmlns:xm="http://schemas.microsoft.com/office/excel/2006/main">
          <x14:cfRule type="dataBar" id="{5F6BA54B-7A94-4B80-BA9B-3B739555DDD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T22</xm:sqref>
        </x14:conditionalFormatting>
        <x14:conditionalFormatting xmlns:xm="http://schemas.microsoft.com/office/excel/2006/main">
          <x14:cfRule type="dataBar" id="{9FFD719D-F43E-4213-AD2C-82332ACF54E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U22</xm:sqref>
        </x14:conditionalFormatting>
        <x14:conditionalFormatting xmlns:xm="http://schemas.microsoft.com/office/excel/2006/main">
          <x14:cfRule type="dataBar" id="{E965088E-1F8E-45D5-A06F-76C21E73920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V22</xm:sqref>
        </x14:conditionalFormatting>
        <x14:conditionalFormatting xmlns:xm="http://schemas.microsoft.com/office/excel/2006/main">
          <x14:cfRule type="dataBar" id="{EAD0F5E6-F6D8-4505-8FDF-E13962BD948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T22</xm:sqref>
        </x14:conditionalFormatting>
        <x14:conditionalFormatting xmlns:xm="http://schemas.microsoft.com/office/excel/2006/main">
          <x14:cfRule type="dataBar" id="{10CC6199-B783-4BDD-8776-0BAA9D764FF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U22</xm:sqref>
        </x14:conditionalFormatting>
        <x14:conditionalFormatting xmlns:xm="http://schemas.microsoft.com/office/excel/2006/main">
          <x14:cfRule type="dataBar" id="{81CD5E99-D64E-4D34-BF60-F8874C4C5B5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V22</xm:sqref>
        </x14:conditionalFormatting>
        <x14:conditionalFormatting xmlns:xm="http://schemas.microsoft.com/office/excel/2006/main">
          <x14:cfRule type="dataBar" id="{DB4BD176-F719-4B95-A329-D77B5FEF735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S22</xm:sqref>
        </x14:conditionalFormatting>
        <x14:conditionalFormatting xmlns:xm="http://schemas.microsoft.com/office/excel/2006/main">
          <x14:cfRule type="dataBar" id="{706110C6-50D4-4CC1-8E91-52ED0B2D9FB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S22</xm:sqref>
        </x14:conditionalFormatting>
        <x14:conditionalFormatting xmlns:xm="http://schemas.microsoft.com/office/excel/2006/main">
          <x14:cfRule type="dataBar" id="{855CAB76-92D9-4BC8-B678-378B032A27F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T22</xm:sqref>
        </x14:conditionalFormatting>
        <x14:conditionalFormatting xmlns:xm="http://schemas.microsoft.com/office/excel/2006/main">
          <x14:cfRule type="dataBar" id="{15B14072-4425-4E1D-9335-97690A521B4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U22</xm:sqref>
        </x14:conditionalFormatting>
        <x14:conditionalFormatting xmlns:xm="http://schemas.microsoft.com/office/excel/2006/main">
          <x14:cfRule type="dataBar" id="{C8BCB8BF-FC2F-4A16-AD20-44BEAF7111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V22</xm:sqref>
        </x14:conditionalFormatting>
        <x14:conditionalFormatting xmlns:xm="http://schemas.microsoft.com/office/excel/2006/main">
          <x14:cfRule type="dataBar" id="{2779E0F8-14E0-40E6-AA2E-0B7A050369B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T29</xm:sqref>
        </x14:conditionalFormatting>
        <x14:conditionalFormatting xmlns:xm="http://schemas.microsoft.com/office/excel/2006/main">
          <x14:cfRule type="dataBar" id="{BD484DF4-1A02-4BAF-B38C-49F97579D6E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U29</xm:sqref>
        </x14:conditionalFormatting>
        <x14:conditionalFormatting xmlns:xm="http://schemas.microsoft.com/office/excel/2006/main">
          <x14:cfRule type="dataBar" id="{5C116228-54C4-415A-8D06-2AFDCE169CE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V29</xm:sqref>
        </x14:conditionalFormatting>
        <x14:conditionalFormatting xmlns:xm="http://schemas.microsoft.com/office/excel/2006/main">
          <x14:cfRule type="dataBar" id="{09A7E3A1-B9C1-405E-9288-798748CCDEA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T29</xm:sqref>
        </x14:conditionalFormatting>
        <x14:conditionalFormatting xmlns:xm="http://schemas.microsoft.com/office/excel/2006/main">
          <x14:cfRule type="dataBar" id="{5580D5C7-2725-42D1-8AB4-96C3E314DEC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U29</xm:sqref>
        </x14:conditionalFormatting>
        <x14:conditionalFormatting xmlns:xm="http://schemas.microsoft.com/office/excel/2006/main">
          <x14:cfRule type="dataBar" id="{3C4FE1BC-DB87-490B-872E-9A146AFBCF6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V29</xm:sqref>
        </x14:conditionalFormatting>
        <x14:conditionalFormatting xmlns:xm="http://schemas.microsoft.com/office/excel/2006/main">
          <x14:cfRule type="dataBar" id="{72F0C069-9CA2-472E-9FB9-6DFF56D1A55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T30</xm:sqref>
        </x14:conditionalFormatting>
        <x14:conditionalFormatting xmlns:xm="http://schemas.microsoft.com/office/excel/2006/main">
          <x14:cfRule type="dataBar" id="{3DB91DD6-4A3B-4D10-A512-0AA50B5641A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U30</xm:sqref>
        </x14:conditionalFormatting>
        <x14:conditionalFormatting xmlns:xm="http://schemas.microsoft.com/office/excel/2006/main">
          <x14:cfRule type="dataBar" id="{19FAF7C2-5DF4-4F55-8364-407DD520648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V30</xm:sqref>
        </x14:conditionalFormatting>
        <x14:conditionalFormatting xmlns:xm="http://schemas.microsoft.com/office/excel/2006/main">
          <x14:cfRule type="dataBar" id="{06A72496-118D-4D5A-9C38-C9A65287A7F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T30</xm:sqref>
        </x14:conditionalFormatting>
        <x14:conditionalFormatting xmlns:xm="http://schemas.microsoft.com/office/excel/2006/main">
          <x14:cfRule type="dataBar" id="{660D2308-6FB3-4F58-9460-9BD7C53D8EB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U30</xm:sqref>
        </x14:conditionalFormatting>
        <x14:conditionalFormatting xmlns:xm="http://schemas.microsoft.com/office/excel/2006/main">
          <x14:cfRule type="dataBar" id="{15E7E38A-DE65-4965-8F90-ACFB0E30323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V30</xm:sqref>
        </x14:conditionalFormatting>
        <x14:conditionalFormatting xmlns:xm="http://schemas.microsoft.com/office/excel/2006/main">
          <x14:cfRule type="dataBar" id="{C7ABC3F1-069F-4DF0-AC76-0112E6734C4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S16</xm:sqref>
        </x14:conditionalFormatting>
        <x14:conditionalFormatting xmlns:xm="http://schemas.microsoft.com/office/excel/2006/main">
          <x14:cfRule type="dataBar" id="{794E9AAE-BFEC-4597-ADDF-19209394503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T16</xm:sqref>
        </x14:conditionalFormatting>
        <x14:conditionalFormatting xmlns:xm="http://schemas.microsoft.com/office/excel/2006/main">
          <x14:cfRule type="dataBar" id="{52D2B37B-34D8-469C-80DB-BF620E57AB6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U16</xm:sqref>
        </x14:conditionalFormatting>
        <x14:conditionalFormatting xmlns:xm="http://schemas.microsoft.com/office/excel/2006/main">
          <x14:cfRule type="dataBar" id="{82EDEC24-0267-4BAF-9CE7-57862E3F84A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V16</xm:sqref>
        </x14:conditionalFormatting>
        <x14:conditionalFormatting xmlns:xm="http://schemas.microsoft.com/office/excel/2006/main">
          <x14:cfRule type="dataBar" id="{F463C9D0-F14E-4A3B-8D0F-7404FCF96F4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P16</xm:sqref>
        </x14:conditionalFormatting>
        <x14:conditionalFormatting xmlns:xm="http://schemas.microsoft.com/office/excel/2006/main">
          <x14:cfRule type="dataBar" id="{4C1C8D7F-F4DC-4A22-AD38-D6F1BB5758B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Q16</xm:sqref>
        </x14:conditionalFormatting>
        <x14:conditionalFormatting xmlns:xm="http://schemas.microsoft.com/office/excel/2006/main">
          <x14:cfRule type="dataBar" id="{86A03E6A-A31D-4A72-B253-6D999505B6A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R16</xm:sqref>
        </x14:conditionalFormatting>
        <x14:conditionalFormatting xmlns:xm="http://schemas.microsoft.com/office/excel/2006/main">
          <x14:cfRule type="iconSet" priority="187" id="{EA158C4D-D823-4A3C-A05E-B181286A503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S23</xm:sqref>
        </x14:conditionalFormatting>
        <x14:conditionalFormatting xmlns:xm="http://schemas.microsoft.com/office/excel/2006/main">
          <x14:cfRule type="iconSet" priority="172" id="{4772EF40-6D85-49DD-8392-DB30AAC281C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S24</xm:sqref>
        </x14:conditionalFormatting>
        <x14:conditionalFormatting xmlns:xm="http://schemas.microsoft.com/office/excel/2006/main">
          <x14:cfRule type="iconSet" priority="157" id="{509AC15C-ED85-4625-A72F-C9383F91AEC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S25</xm:sqref>
        </x14:conditionalFormatting>
        <x14:conditionalFormatting xmlns:xm="http://schemas.microsoft.com/office/excel/2006/main">
          <x14:cfRule type="iconSet" priority="138" id="{FC79FFD9-C818-42C9-9CED-7AE9827E552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S26</xm:sqref>
        </x14:conditionalFormatting>
        <x14:conditionalFormatting xmlns:xm="http://schemas.microsoft.com/office/excel/2006/main">
          <x14:cfRule type="iconSet" priority="86" id="{2FBEFB41-9F59-428D-ABC4-86F3C1F568A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S29</xm:sqref>
        </x14:conditionalFormatting>
        <x14:conditionalFormatting xmlns:xm="http://schemas.microsoft.com/office/excel/2006/main">
          <x14:cfRule type="iconSet" priority="74" id="{CAE99E29-72AF-444A-AFEE-3516AB84C52B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S29</xm:sqref>
        </x14:conditionalFormatting>
        <x14:conditionalFormatting xmlns:xm="http://schemas.microsoft.com/office/excel/2006/main">
          <x14:cfRule type="iconSet" priority="56" id="{D3E4B599-8829-4A39-A8FE-23FAAB4D9BD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S30</xm:sqref>
        </x14:conditionalFormatting>
        <x14:conditionalFormatting xmlns:xm="http://schemas.microsoft.com/office/excel/2006/main">
          <x14:cfRule type="iconSet" priority="46" id="{E04EBD57-1B8B-475C-ABED-FC711D62827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S30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6F1A-0541-4016-AD4D-1730A988C254}">
  <sheetPr codeName="Sheet12">
    <pageSetUpPr fitToPage="1"/>
  </sheetPr>
  <dimension ref="A1:S120"/>
  <sheetViews>
    <sheetView zoomScale="68" zoomScaleNormal="85" workbookViewId="0">
      <pane xSplit="1" ySplit="1" topLeftCell="C82" activePane="bottomRight" state="frozen"/>
      <selection pane="topRight" activeCell="B1" sqref="B1"/>
      <selection pane="bottomLeft" activeCell="A2" sqref="A2"/>
      <selection pane="bottomRight" activeCell="P92" sqref="P92"/>
    </sheetView>
  </sheetViews>
  <sheetFormatPr defaultColWidth="8.7265625" defaultRowHeight="14.5" x14ac:dyDescent="0.35"/>
  <cols>
    <col min="1" max="1" width="29.81640625" style="23" customWidth="1"/>
    <col min="2" max="2" width="27" style="24" bestFit="1" customWidth="1"/>
    <col min="3" max="3" width="27.81640625" style="24" bestFit="1" customWidth="1"/>
    <col min="4" max="4" width="25.1796875" style="18" customWidth="1"/>
    <col min="5" max="5" width="25.1796875" style="24" customWidth="1"/>
    <col min="6" max="6" width="38.81640625" style="24" bestFit="1" customWidth="1"/>
    <col min="7" max="7" width="23" style="24" customWidth="1"/>
    <col min="8" max="8" width="23.1796875" style="24" customWidth="1"/>
    <col min="9" max="9" width="26" style="24" customWidth="1"/>
    <col min="10" max="10" width="36.453125" style="24" customWidth="1"/>
    <col min="11" max="11" width="23.1796875" style="24" customWidth="1"/>
    <col min="12" max="12" width="33" style="24" bestFit="1" customWidth="1"/>
    <col min="13" max="13" width="14" style="18" customWidth="1"/>
    <col min="14" max="14" width="15.54296875" style="7" customWidth="1"/>
    <col min="15" max="15" width="13.7265625" style="24" bestFit="1" customWidth="1"/>
    <col min="16" max="16" width="20" style="24" customWidth="1"/>
    <col min="17" max="17" width="42.54296875" style="24" bestFit="1" customWidth="1"/>
    <col min="18" max="18" width="26" style="24" customWidth="1"/>
    <col min="19" max="19" width="45.1796875" style="24" bestFit="1" customWidth="1"/>
    <col min="20" max="16384" width="8.7265625" style="24"/>
  </cols>
  <sheetData>
    <row r="1" spans="1:19" s="20" customFormat="1" ht="64.5" customHeight="1" x14ac:dyDescent="0.35">
      <c r="A1" s="19" t="s">
        <v>271</v>
      </c>
      <c r="B1" s="20" t="s">
        <v>272</v>
      </c>
      <c r="C1" s="20" t="s">
        <v>273</v>
      </c>
      <c r="D1" s="17" t="s">
        <v>274</v>
      </c>
      <c r="E1" s="21" t="s">
        <v>275</v>
      </c>
      <c r="F1" s="20" t="s">
        <v>276</v>
      </c>
      <c r="G1" s="20" t="s">
        <v>277</v>
      </c>
      <c r="H1" s="20" t="s">
        <v>278</v>
      </c>
      <c r="I1" s="20" t="s">
        <v>279</v>
      </c>
      <c r="J1" s="20" t="s">
        <v>280</v>
      </c>
      <c r="K1" s="20" t="s">
        <v>281</v>
      </c>
      <c r="L1" s="20" t="s">
        <v>282</v>
      </c>
      <c r="M1" s="17" t="s">
        <v>283</v>
      </c>
      <c r="N1" s="22" t="s">
        <v>284</v>
      </c>
      <c r="O1" s="20" t="s">
        <v>285</v>
      </c>
      <c r="P1" s="20" t="s">
        <v>286</v>
      </c>
      <c r="Q1" s="20" t="s">
        <v>287</v>
      </c>
      <c r="R1" s="20" t="s">
        <v>288</v>
      </c>
      <c r="S1" s="20" t="s">
        <v>289</v>
      </c>
    </row>
    <row r="2" spans="1:19" x14ac:dyDescent="0.35">
      <c r="A2" s="23" t="s">
        <v>290</v>
      </c>
      <c r="B2" s="24" t="s">
        <v>104</v>
      </c>
      <c r="C2" s="24" t="s">
        <v>291</v>
      </c>
      <c r="D2" s="18">
        <v>44733</v>
      </c>
      <c r="E2" s="24" t="s">
        <v>292</v>
      </c>
      <c r="F2" s="24" t="s">
        <v>293</v>
      </c>
      <c r="G2" s="24" t="s">
        <v>294</v>
      </c>
      <c r="H2" s="24" t="s">
        <v>104</v>
      </c>
      <c r="I2" s="24" t="s">
        <v>295</v>
      </c>
      <c r="J2" s="24">
        <v>6</v>
      </c>
      <c r="K2" s="24" t="s">
        <v>296</v>
      </c>
      <c r="M2" s="18">
        <v>44785</v>
      </c>
      <c r="N2" s="7" t="s">
        <v>297</v>
      </c>
      <c r="O2" s="18">
        <v>44785</v>
      </c>
      <c r="P2" s="91" t="s">
        <v>298</v>
      </c>
      <c r="Q2" s="18">
        <v>44816</v>
      </c>
      <c r="R2" s="18" t="s">
        <v>299</v>
      </c>
      <c r="S2" s="24" t="s">
        <v>300</v>
      </c>
    </row>
    <row r="3" spans="1:19" ht="14.5" customHeight="1" x14ac:dyDescent="0.35">
      <c r="A3" s="23" t="s">
        <v>290</v>
      </c>
      <c r="B3" s="24" t="s">
        <v>104</v>
      </c>
      <c r="C3" s="24" t="s">
        <v>291</v>
      </c>
      <c r="D3" s="18">
        <v>44875</v>
      </c>
      <c r="E3" s="24" t="s">
        <v>292</v>
      </c>
      <c r="F3" s="24" t="s">
        <v>293</v>
      </c>
      <c r="G3" s="24" t="s">
        <v>301</v>
      </c>
      <c r="H3" s="24" t="s">
        <v>104</v>
      </c>
      <c r="I3" s="24" t="s">
        <v>295</v>
      </c>
      <c r="J3" s="24">
        <v>15</v>
      </c>
      <c r="K3" s="24" t="s">
        <v>302</v>
      </c>
      <c r="M3" s="18">
        <v>44904</v>
      </c>
      <c r="N3" s="7" t="s">
        <v>303</v>
      </c>
      <c r="O3" s="92">
        <v>44953</v>
      </c>
      <c r="P3" s="121" t="s">
        <v>304</v>
      </c>
    </row>
    <row r="4" spans="1:19" x14ac:dyDescent="0.35">
      <c r="A4" s="23" t="s">
        <v>305</v>
      </c>
      <c r="B4" s="24" t="s">
        <v>306</v>
      </c>
      <c r="C4" s="24" t="s">
        <v>307</v>
      </c>
      <c r="D4" s="18">
        <v>44715</v>
      </c>
      <c r="E4" s="24" t="s">
        <v>308</v>
      </c>
      <c r="G4" s="24" t="s">
        <v>309</v>
      </c>
      <c r="H4" s="24" t="s">
        <v>104</v>
      </c>
      <c r="I4" s="24" t="s">
        <v>44</v>
      </c>
      <c r="J4" s="24">
        <v>5</v>
      </c>
      <c r="K4" s="24" t="s">
        <v>310</v>
      </c>
      <c r="L4" s="24" t="s">
        <v>311</v>
      </c>
      <c r="M4" s="18">
        <f>D4+20</f>
        <v>44735</v>
      </c>
      <c r="N4" s="7" t="s">
        <v>297</v>
      </c>
      <c r="O4" s="18">
        <v>44725</v>
      </c>
      <c r="P4" s="24" t="s">
        <v>312</v>
      </c>
    </row>
    <row r="5" spans="1:19" ht="14.5" customHeight="1" x14ac:dyDescent="0.3">
      <c r="A5" s="23" t="s">
        <v>313</v>
      </c>
      <c r="B5" s="24" t="s">
        <v>314</v>
      </c>
      <c r="C5" s="24" t="s">
        <v>315</v>
      </c>
      <c r="D5" s="18">
        <v>44811</v>
      </c>
      <c r="E5" s="24" t="s">
        <v>316</v>
      </c>
      <c r="F5" s="24" t="s">
        <v>317</v>
      </c>
      <c r="G5" s="24" t="s">
        <v>318</v>
      </c>
      <c r="H5" s="24" t="s">
        <v>319</v>
      </c>
      <c r="I5" s="24" t="s">
        <v>320</v>
      </c>
      <c r="J5" s="24">
        <v>1</v>
      </c>
      <c r="K5" s="24" t="s">
        <v>321</v>
      </c>
      <c r="L5" s="24" t="s">
        <v>322</v>
      </c>
      <c r="M5" s="18">
        <f>D5+10</f>
        <v>44821</v>
      </c>
      <c r="N5" s="7" t="s">
        <v>297</v>
      </c>
      <c r="O5" s="18">
        <v>44824</v>
      </c>
      <c r="P5" s="27" t="s">
        <v>323</v>
      </c>
    </row>
    <row r="6" spans="1:19" ht="14.5" customHeight="1" x14ac:dyDescent="0.3">
      <c r="A6" s="23" t="s">
        <v>313</v>
      </c>
      <c r="B6" s="24" t="s">
        <v>314</v>
      </c>
      <c r="C6" s="24" t="s">
        <v>315</v>
      </c>
      <c r="D6" s="18">
        <v>44811</v>
      </c>
      <c r="E6" s="24" t="s">
        <v>316</v>
      </c>
      <c r="F6" s="24" t="s">
        <v>317</v>
      </c>
      <c r="G6" s="24" t="s">
        <v>324</v>
      </c>
      <c r="H6" s="24" t="s">
        <v>319</v>
      </c>
      <c r="I6" s="24" t="s">
        <v>320</v>
      </c>
      <c r="J6" s="24">
        <v>1</v>
      </c>
      <c r="K6" s="24" t="s">
        <v>321</v>
      </c>
      <c r="L6" s="24" t="s">
        <v>322</v>
      </c>
      <c r="M6" s="18">
        <f>D6+10</f>
        <v>44821</v>
      </c>
      <c r="N6" s="7" t="s">
        <v>297</v>
      </c>
      <c r="O6" s="18">
        <v>44824</v>
      </c>
      <c r="P6" s="27" t="s">
        <v>323</v>
      </c>
    </row>
    <row r="7" spans="1:19" x14ac:dyDescent="0.35">
      <c r="A7" s="23" t="s">
        <v>313</v>
      </c>
      <c r="B7" s="24" t="s">
        <v>104</v>
      </c>
      <c r="C7" s="24" t="s">
        <v>104</v>
      </c>
      <c r="D7" s="18">
        <v>44811</v>
      </c>
      <c r="E7" s="24" t="s">
        <v>316</v>
      </c>
      <c r="F7" s="24" t="s">
        <v>317</v>
      </c>
      <c r="G7" s="24" t="s">
        <v>325</v>
      </c>
      <c r="H7" s="24" t="s">
        <v>326</v>
      </c>
      <c r="I7" s="24" t="s">
        <v>320</v>
      </c>
      <c r="J7" s="24">
        <v>1</v>
      </c>
      <c r="K7" s="24" t="s">
        <v>302</v>
      </c>
      <c r="L7" s="24" t="s">
        <v>327</v>
      </c>
      <c r="M7" s="18">
        <f>D7+10</f>
        <v>44821</v>
      </c>
      <c r="N7" s="7" t="s">
        <v>328</v>
      </c>
    </row>
    <row r="8" spans="1:19" x14ac:dyDescent="0.35">
      <c r="A8" s="23" t="s">
        <v>313</v>
      </c>
      <c r="B8" s="24" t="s">
        <v>314</v>
      </c>
      <c r="C8" s="24" t="s">
        <v>315</v>
      </c>
      <c r="D8" s="18">
        <v>44812</v>
      </c>
      <c r="E8" s="24" t="s">
        <v>316</v>
      </c>
      <c r="F8" s="24" t="s">
        <v>317</v>
      </c>
      <c r="G8" s="24" t="s">
        <v>329</v>
      </c>
      <c r="H8" s="24" t="s">
        <v>326</v>
      </c>
      <c r="I8" s="24" t="s">
        <v>330</v>
      </c>
      <c r="J8" s="24">
        <v>1</v>
      </c>
      <c r="K8" s="24" t="s">
        <v>299</v>
      </c>
      <c r="N8" s="7" t="s">
        <v>331</v>
      </c>
      <c r="O8" s="18"/>
    </row>
    <row r="9" spans="1:19" x14ac:dyDescent="0.35">
      <c r="A9" s="104" t="s">
        <v>332</v>
      </c>
      <c r="B9" s="24">
        <v>159434</v>
      </c>
      <c r="C9" s="24" t="s">
        <v>315</v>
      </c>
      <c r="E9" s="24" t="s">
        <v>316</v>
      </c>
      <c r="F9" s="24" t="s">
        <v>333</v>
      </c>
      <c r="G9" s="24" t="s">
        <v>334</v>
      </c>
      <c r="H9" s="24" t="s">
        <v>104</v>
      </c>
      <c r="I9" s="24" t="s">
        <v>335</v>
      </c>
      <c r="J9" s="24">
        <v>1</v>
      </c>
      <c r="K9" s="24" t="s">
        <v>336</v>
      </c>
      <c r="L9" s="24" t="s">
        <v>337</v>
      </c>
      <c r="M9" s="18">
        <v>44860</v>
      </c>
      <c r="N9" s="7" t="s">
        <v>297</v>
      </c>
      <c r="O9" s="18">
        <v>44854</v>
      </c>
      <c r="P9" s="24" t="s">
        <v>338</v>
      </c>
    </row>
    <row r="10" spans="1:19" ht="14.5" customHeight="1" x14ac:dyDescent="0.35">
      <c r="A10" s="104" t="s">
        <v>332</v>
      </c>
      <c r="B10" s="24" t="s">
        <v>339</v>
      </c>
      <c r="C10" s="24" t="s">
        <v>315</v>
      </c>
      <c r="D10" s="18">
        <v>44875</v>
      </c>
      <c r="E10" s="24" t="s">
        <v>340</v>
      </c>
      <c r="F10" s="24" t="s">
        <v>333</v>
      </c>
      <c r="G10" s="24" t="s">
        <v>309</v>
      </c>
      <c r="H10" s="24" t="s">
        <v>104</v>
      </c>
      <c r="I10" s="24" t="s">
        <v>341</v>
      </c>
      <c r="J10" s="24">
        <v>4</v>
      </c>
      <c r="K10" s="24" t="s">
        <v>342</v>
      </c>
      <c r="L10" s="24" t="s">
        <v>343</v>
      </c>
      <c r="M10" s="18">
        <f>D10+14</f>
        <v>44889</v>
      </c>
      <c r="N10" s="7" t="s">
        <v>344</v>
      </c>
      <c r="O10" s="18"/>
    </row>
    <row r="11" spans="1:19" x14ac:dyDescent="0.35">
      <c r="A11" s="23" t="s">
        <v>345</v>
      </c>
      <c r="B11" s="24" t="s">
        <v>346</v>
      </c>
      <c r="C11" s="24" t="s">
        <v>291</v>
      </c>
      <c r="D11" s="18">
        <v>44743</v>
      </c>
      <c r="E11" s="24" t="s">
        <v>308</v>
      </c>
      <c r="F11" s="24" t="s">
        <v>347</v>
      </c>
      <c r="G11" s="24" t="s">
        <v>309</v>
      </c>
      <c r="H11" s="24" t="s">
        <v>326</v>
      </c>
      <c r="I11" s="24">
        <v>6</v>
      </c>
      <c r="J11" s="24">
        <v>4</v>
      </c>
      <c r="K11" s="24" t="s">
        <v>310</v>
      </c>
      <c r="L11" s="24" t="s">
        <v>348</v>
      </c>
      <c r="M11" s="18">
        <f t="shared" ref="M11:M16" si="0">D11+20</f>
        <v>44763</v>
      </c>
      <c r="N11" s="7" t="s">
        <v>297</v>
      </c>
      <c r="O11" s="18">
        <v>44750</v>
      </c>
      <c r="P11" s="24" t="s">
        <v>349</v>
      </c>
    </row>
    <row r="12" spans="1:19" x14ac:dyDescent="0.35">
      <c r="A12" s="23" t="s">
        <v>345</v>
      </c>
      <c r="B12" s="24" t="s">
        <v>104</v>
      </c>
      <c r="C12" s="24" t="s">
        <v>291</v>
      </c>
      <c r="D12" s="18">
        <v>44789</v>
      </c>
      <c r="E12" s="24" t="s">
        <v>340</v>
      </c>
      <c r="F12" s="24" t="s">
        <v>350</v>
      </c>
      <c r="G12" s="24" t="s">
        <v>351</v>
      </c>
      <c r="H12" s="24" t="s">
        <v>352</v>
      </c>
      <c r="I12" s="24" t="s">
        <v>353</v>
      </c>
      <c r="J12" s="24">
        <v>1</v>
      </c>
      <c r="K12" s="24" t="s">
        <v>354</v>
      </c>
      <c r="M12" s="18">
        <f t="shared" si="0"/>
        <v>44809</v>
      </c>
      <c r="N12" s="7" t="s">
        <v>344</v>
      </c>
    </row>
    <row r="13" spans="1:19" x14ac:dyDescent="0.35">
      <c r="A13" s="23" t="s">
        <v>355</v>
      </c>
      <c r="B13" s="24" t="s">
        <v>104</v>
      </c>
      <c r="C13" s="24" t="s">
        <v>291</v>
      </c>
      <c r="D13" s="18">
        <v>44757</v>
      </c>
      <c r="E13" s="24" t="s">
        <v>340</v>
      </c>
      <c r="F13" s="24" t="s">
        <v>356</v>
      </c>
      <c r="G13" s="24" t="s">
        <v>309</v>
      </c>
      <c r="H13" s="24" t="s">
        <v>104</v>
      </c>
      <c r="I13" s="24" t="s">
        <v>320</v>
      </c>
      <c r="J13" s="24">
        <v>1</v>
      </c>
      <c r="K13" s="24" t="s">
        <v>336</v>
      </c>
      <c r="L13" s="24" t="s">
        <v>357</v>
      </c>
      <c r="M13" s="18">
        <f t="shared" si="0"/>
        <v>44777</v>
      </c>
      <c r="N13" s="7" t="s">
        <v>297</v>
      </c>
      <c r="O13" s="18">
        <v>44762</v>
      </c>
      <c r="P13" s="24" t="s">
        <v>358</v>
      </c>
      <c r="Q13" s="18">
        <v>44795</v>
      </c>
      <c r="R13" s="18" t="s">
        <v>299</v>
      </c>
      <c r="S13" s="24" t="s">
        <v>359</v>
      </c>
    </row>
    <row r="14" spans="1:19" x14ac:dyDescent="0.35">
      <c r="A14" s="23" t="s">
        <v>355</v>
      </c>
      <c r="B14" s="24" t="s">
        <v>104</v>
      </c>
      <c r="C14" s="24" t="s">
        <v>291</v>
      </c>
      <c r="D14" s="18">
        <v>44757</v>
      </c>
      <c r="E14" s="24" t="s">
        <v>360</v>
      </c>
      <c r="F14" s="24" t="s">
        <v>361</v>
      </c>
      <c r="G14" s="24" t="s">
        <v>309</v>
      </c>
      <c r="H14" s="24" t="s">
        <v>362</v>
      </c>
      <c r="I14" s="24" t="s">
        <v>320</v>
      </c>
      <c r="J14" s="24">
        <v>1</v>
      </c>
      <c r="K14" s="24" t="s">
        <v>336</v>
      </c>
      <c r="L14" s="24" t="s">
        <v>363</v>
      </c>
      <c r="M14" s="18">
        <f t="shared" si="0"/>
        <v>44777</v>
      </c>
      <c r="N14" s="7" t="s">
        <v>297</v>
      </c>
      <c r="O14" s="18">
        <v>44762</v>
      </c>
      <c r="P14" s="24" t="s">
        <v>358</v>
      </c>
    </row>
    <row r="15" spans="1:19" x14ac:dyDescent="0.35">
      <c r="A15" s="23" t="s">
        <v>355</v>
      </c>
      <c r="B15" s="24" t="s">
        <v>104</v>
      </c>
      <c r="C15" s="24" t="s">
        <v>291</v>
      </c>
      <c r="D15" s="18">
        <v>44757</v>
      </c>
      <c r="E15" s="24" t="s">
        <v>316</v>
      </c>
      <c r="F15" s="24" t="s">
        <v>356</v>
      </c>
      <c r="G15" s="24" t="s">
        <v>309</v>
      </c>
      <c r="H15" s="24" t="s">
        <v>362</v>
      </c>
      <c r="I15" s="24" t="s">
        <v>320</v>
      </c>
      <c r="J15" s="24">
        <v>1</v>
      </c>
      <c r="K15" s="24" t="s">
        <v>336</v>
      </c>
      <c r="L15" s="24" t="s">
        <v>364</v>
      </c>
      <c r="M15" s="18">
        <f t="shared" si="0"/>
        <v>44777</v>
      </c>
      <c r="N15" s="7" t="s">
        <v>297</v>
      </c>
      <c r="O15" s="18">
        <v>44762</v>
      </c>
      <c r="P15" s="24" t="s">
        <v>358</v>
      </c>
    </row>
    <row r="16" spans="1:19" x14ac:dyDescent="0.35">
      <c r="A16" s="23" t="s">
        <v>355</v>
      </c>
      <c r="B16" s="24" t="s">
        <v>104</v>
      </c>
      <c r="C16" s="24" t="s">
        <v>291</v>
      </c>
      <c r="D16" s="18">
        <v>44757</v>
      </c>
      <c r="E16" s="24" t="s">
        <v>360</v>
      </c>
      <c r="F16" s="24" t="s">
        <v>356</v>
      </c>
      <c r="G16" s="24" t="s">
        <v>309</v>
      </c>
      <c r="H16" s="24" t="s">
        <v>362</v>
      </c>
      <c r="I16" s="24" t="s">
        <v>320</v>
      </c>
      <c r="J16" s="24">
        <v>1</v>
      </c>
      <c r="K16" s="24" t="s">
        <v>336</v>
      </c>
      <c r="L16" s="24" t="s">
        <v>363</v>
      </c>
      <c r="M16" s="18">
        <f t="shared" si="0"/>
        <v>44777</v>
      </c>
      <c r="N16" s="7" t="s">
        <v>297</v>
      </c>
      <c r="O16" s="18">
        <v>44762</v>
      </c>
      <c r="P16" s="24" t="s">
        <v>358</v>
      </c>
    </row>
    <row r="17" spans="1:19" ht="14.5" customHeight="1" x14ac:dyDescent="0.35">
      <c r="A17" s="23" t="s">
        <v>365</v>
      </c>
      <c r="B17" s="24" t="s">
        <v>104</v>
      </c>
      <c r="C17" s="24" t="s">
        <v>366</v>
      </c>
      <c r="D17" s="18">
        <v>44886</v>
      </c>
      <c r="E17" s="24" t="s">
        <v>367</v>
      </c>
      <c r="F17" s="24" t="s">
        <v>368</v>
      </c>
      <c r="G17" s="24" t="s">
        <v>334</v>
      </c>
      <c r="H17" s="24" t="s">
        <v>104</v>
      </c>
      <c r="I17" s="24" t="s">
        <v>369</v>
      </c>
      <c r="J17" s="24">
        <v>1</v>
      </c>
      <c r="K17" s="24" t="s">
        <v>370</v>
      </c>
      <c r="L17" s="24" t="s">
        <v>371</v>
      </c>
      <c r="N17" s="7" t="s">
        <v>297</v>
      </c>
      <c r="O17" s="18">
        <v>44895</v>
      </c>
      <c r="P17" t="s">
        <v>372</v>
      </c>
    </row>
    <row r="18" spans="1:19" ht="14.5" customHeight="1" x14ac:dyDescent="0.35">
      <c r="A18" s="23" t="s">
        <v>365</v>
      </c>
      <c r="B18" s="24" t="s">
        <v>104</v>
      </c>
      <c r="C18" s="24" t="s">
        <v>366</v>
      </c>
      <c r="D18" s="18">
        <v>44886</v>
      </c>
      <c r="E18" s="24" t="s">
        <v>316</v>
      </c>
      <c r="F18" s="24" t="s">
        <v>373</v>
      </c>
      <c r="G18" s="24" t="s">
        <v>334</v>
      </c>
      <c r="H18" s="24" t="s">
        <v>104</v>
      </c>
      <c r="I18" s="24" t="s">
        <v>369</v>
      </c>
      <c r="J18" s="24">
        <v>1</v>
      </c>
      <c r="K18" s="24" t="s">
        <v>370</v>
      </c>
      <c r="L18" s="24" t="s">
        <v>374</v>
      </c>
      <c r="N18" s="7" t="s">
        <v>297</v>
      </c>
      <c r="O18" s="18">
        <v>44895</v>
      </c>
      <c r="P18" t="s">
        <v>372</v>
      </c>
    </row>
    <row r="19" spans="1:19" ht="14.5" customHeight="1" x14ac:dyDescent="0.35">
      <c r="A19" s="23" t="s">
        <v>365</v>
      </c>
      <c r="B19" s="24" t="s">
        <v>104</v>
      </c>
      <c r="C19" s="24" t="s">
        <v>366</v>
      </c>
      <c r="D19" s="18">
        <v>44886</v>
      </c>
      <c r="E19" s="24" t="s">
        <v>316</v>
      </c>
      <c r="F19" s="24" t="s">
        <v>375</v>
      </c>
      <c r="G19" s="24" t="s">
        <v>334</v>
      </c>
      <c r="H19" s="24" t="s">
        <v>104</v>
      </c>
      <c r="I19" s="24" t="s">
        <v>369</v>
      </c>
      <c r="J19" s="24">
        <v>1</v>
      </c>
      <c r="K19" s="24" t="s">
        <v>370</v>
      </c>
      <c r="L19" s="24" t="s">
        <v>376</v>
      </c>
      <c r="N19" s="7" t="s">
        <v>297</v>
      </c>
      <c r="O19" s="18">
        <v>44895</v>
      </c>
      <c r="P19" t="s">
        <v>372</v>
      </c>
    </row>
    <row r="20" spans="1:19" x14ac:dyDescent="0.35">
      <c r="A20" s="23" t="s">
        <v>365</v>
      </c>
      <c r="B20" s="24" t="s">
        <v>104</v>
      </c>
      <c r="C20" s="24" t="s">
        <v>366</v>
      </c>
      <c r="D20" s="18">
        <v>44886</v>
      </c>
      <c r="E20" s="24" t="s">
        <v>316</v>
      </c>
      <c r="F20" s="24" t="s">
        <v>373</v>
      </c>
      <c r="G20" s="24" t="s">
        <v>377</v>
      </c>
      <c r="I20" s="24" t="s">
        <v>378</v>
      </c>
      <c r="J20" s="24">
        <v>1</v>
      </c>
      <c r="K20" s="24" t="s">
        <v>370</v>
      </c>
      <c r="L20" s="24" t="s">
        <v>379</v>
      </c>
      <c r="N20" s="7" t="s">
        <v>297</v>
      </c>
      <c r="O20" s="18">
        <v>44895</v>
      </c>
      <c r="P20" t="s">
        <v>372</v>
      </c>
    </row>
    <row r="21" spans="1:19" ht="14.25" customHeight="1" x14ac:dyDescent="0.35">
      <c r="A21" s="23" t="s">
        <v>365</v>
      </c>
      <c r="B21" s="24" t="s">
        <v>104</v>
      </c>
      <c r="C21" s="24" t="s">
        <v>366</v>
      </c>
      <c r="D21" s="18">
        <v>44886</v>
      </c>
      <c r="E21" s="24" t="s">
        <v>316</v>
      </c>
      <c r="F21" s="24" t="s">
        <v>373</v>
      </c>
      <c r="G21" s="24" t="s">
        <v>380</v>
      </c>
      <c r="I21" s="24" t="s">
        <v>378</v>
      </c>
      <c r="J21" s="24">
        <v>1</v>
      </c>
      <c r="K21" s="24" t="s">
        <v>370</v>
      </c>
      <c r="L21" s="24" t="s">
        <v>381</v>
      </c>
      <c r="N21" s="7" t="s">
        <v>297</v>
      </c>
      <c r="O21" s="18">
        <v>44895</v>
      </c>
      <c r="P21" t="s">
        <v>372</v>
      </c>
    </row>
    <row r="22" spans="1:19" ht="15" customHeight="1" x14ac:dyDescent="0.35">
      <c r="A22" s="23" t="s">
        <v>365</v>
      </c>
      <c r="B22" s="24" t="s">
        <v>104</v>
      </c>
      <c r="C22" s="24" t="s">
        <v>366</v>
      </c>
      <c r="D22" s="18">
        <v>44886</v>
      </c>
      <c r="E22" s="24" t="s">
        <v>316</v>
      </c>
      <c r="F22" s="24" t="s">
        <v>373</v>
      </c>
      <c r="G22" s="24" t="s">
        <v>318</v>
      </c>
      <c r="I22" s="24" t="s">
        <v>378</v>
      </c>
      <c r="J22" s="24">
        <v>1</v>
      </c>
      <c r="K22" s="24" t="s">
        <v>370</v>
      </c>
      <c r="L22" s="24" t="s">
        <v>382</v>
      </c>
      <c r="N22" s="7" t="s">
        <v>297</v>
      </c>
      <c r="O22" s="18">
        <v>44895</v>
      </c>
      <c r="P22" t="s">
        <v>372</v>
      </c>
    </row>
    <row r="23" spans="1:19" x14ac:dyDescent="0.35">
      <c r="A23" s="23" t="s">
        <v>383</v>
      </c>
      <c r="B23" s="24" t="s">
        <v>104</v>
      </c>
      <c r="C23" s="24" t="s">
        <v>291</v>
      </c>
      <c r="D23" s="18">
        <v>44811</v>
      </c>
      <c r="E23" s="24" t="s">
        <v>360</v>
      </c>
      <c r="F23" s="24" t="s">
        <v>384</v>
      </c>
      <c r="G23" s="24" t="s">
        <v>380</v>
      </c>
      <c r="H23" s="24" t="s">
        <v>326</v>
      </c>
      <c r="I23" s="24" t="s">
        <v>320</v>
      </c>
      <c r="J23" s="24">
        <v>2</v>
      </c>
      <c r="K23" s="24" t="s">
        <v>299</v>
      </c>
      <c r="L23" s="24" t="s">
        <v>385</v>
      </c>
      <c r="M23" s="18">
        <v>44827</v>
      </c>
      <c r="N23" s="7" t="s">
        <v>297</v>
      </c>
      <c r="O23" s="18">
        <v>44820</v>
      </c>
      <c r="P23" s="91" t="s">
        <v>386</v>
      </c>
      <c r="Q23" s="18">
        <v>44826</v>
      </c>
      <c r="R23" s="18" t="s">
        <v>299</v>
      </c>
      <c r="S23" s="24" t="s">
        <v>387</v>
      </c>
    </row>
    <row r="24" spans="1:19" x14ac:dyDescent="0.35">
      <c r="A24" s="23" t="s">
        <v>383</v>
      </c>
      <c r="B24" s="24" t="s">
        <v>104</v>
      </c>
      <c r="C24" s="24" t="s">
        <v>291</v>
      </c>
      <c r="D24" s="18">
        <v>44811</v>
      </c>
      <c r="E24" s="24" t="s">
        <v>360</v>
      </c>
      <c r="F24" s="24" t="s">
        <v>388</v>
      </c>
      <c r="G24" s="24" t="s">
        <v>380</v>
      </c>
      <c r="H24" s="24" t="s">
        <v>326</v>
      </c>
      <c r="I24" s="24" t="s">
        <v>320</v>
      </c>
      <c r="J24" s="24">
        <v>2</v>
      </c>
      <c r="K24" s="24" t="s">
        <v>389</v>
      </c>
      <c r="L24" s="24" t="s">
        <v>385</v>
      </c>
      <c r="M24" s="18">
        <v>44827</v>
      </c>
      <c r="N24" s="7" t="s">
        <v>297</v>
      </c>
      <c r="O24" s="18">
        <v>44820</v>
      </c>
      <c r="P24" s="91" t="s">
        <v>386</v>
      </c>
      <c r="Q24" s="18">
        <v>44826</v>
      </c>
      <c r="R24" s="18" t="s">
        <v>299</v>
      </c>
      <c r="S24" s="24" t="s">
        <v>387</v>
      </c>
    </row>
    <row r="25" spans="1:19" ht="14.5" customHeight="1" x14ac:dyDescent="0.3">
      <c r="A25" s="23" t="s">
        <v>383</v>
      </c>
      <c r="B25" s="24" t="s">
        <v>104</v>
      </c>
      <c r="C25" s="24" t="s">
        <v>366</v>
      </c>
      <c r="E25" s="24" t="s">
        <v>316</v>
      </c>
      <c r="F25" s="24" t="s">
        <v>333</v>
      </c>
      <c r="G25" s="24" t="s">
        <v>390</v>
      </c>
      <c r="H25" s="24" t="s">
        <v>319</v>
      </c>
      <c r="J25" s="24">
        <v>2</v>
      </c>
      <c r="K25" s="24" t="s">
        <v>299</v>
      </c>
      <c r="L25" s="24" t="s">
        <v>391</v>
      </c>
      <c r="N25" s="7" t="s">
        <v>297</v>
      </c>
      <c r="O25" s="18">
        <v>44867</v>
      </c>
      <c r="P25" s="120" t="s">
        <v>392</v>
      </c>
      <c r="Q25" s="18">
        <v>44880</v>
      </c>
      <c r="R25" s="24" t="s">
        <v>299</v>
      </c>
      <c r="S25" s="24" t="s">
        <v>393</v>
      </c>
    </row>
    <row r="26" spans="1:19" ht="14.5" customHeight="1" x14ac:dyDescent="0.35">
      <c r="A26" s="23" t="s">
        <v>394</v>
      </c>
      <c r="B26" s="24" t="s">
        <v>104</v>
      </c>
      <c r="C26" s="24" t="s">
        <v>291</v>
      </c>
      <c r="D26" s="18">
        <v>44944</v>
      </c>
      <c r="E26" s="24" t="s">
        <v>316</v>
      </c>
      <c r="F26" s="24" t="s">
        <v>333</v>
      </c>
      <c r="G26" s="24" t="s">
        <v>395</v>
      </c>
      <c r="H26" s="24" t="s">
        <v>319</v>
      </c>
      <c r="I26" s="24" t="s">
        <v>320</v>
      </c>
      <c r="J26" s="24">
        <v>10</v>
      </c>
      <c r="K26" s="24" t="s">
        <v>299</v>
      </c>
      <c r="M26" s="18">
        <v>45036</v>
      </c>
      <c r="N26" s="7" t="s">
        <v>344</v>
      </c>
      <c r="O26" s="18"/>
    </row>
    <row r="27" spans="1:19" ht="14.5" customHeight="1" x14ac:dyDescent="0.3">
      <c r="A27" s="23" t="s">
        <v>396</v>
      </c>
      <c r="B27" s="24" t="s">
        <v>104</v>
      </c>
      <c r="C27" s="24" t="s">
        <v>291</v>
      </c>
      <c r="D27" s="18">
        <v>44727</v>
      </c>
      <c r="E27" s="24" t="s">
        <v>397</v>
      </c>
      <c r="G27" s="24" t="s">
        <v>398</v>
      </c>
      <c r="H27" s="24" t="s">
        <v>399</v>
      </c>
      <c r="I27" s="24" t="s">
        <v>400</v>
      </c>
      <c r="J27" s="24">
        <v>3</v>
      </c>
      <c r="K27" s="24" t="s">
        <v>336</v>
      </c>
      <c r="L27" s="24" t="s">
        <v>401</v>
      </c>
      <c r="M27" s="18">
        <f>D27+20</f>
        <v>44747</v>
      </c>
      <c r="N27" s="7" t="s">
        <v>402</v>
      </c>
      <c r="O27" s="18">
        <v>44733</v>
      </c>
      <c r="P27" s="27"/>
    </row>
    <row r="28" spans="1:19" x14ac:dyDescent="0.35">
      <c r="A28" s="23" t="s">
        <v>396</v>
      </c>
      <c r="B28" s="24" t="s">
        <v>104</v>
      </c>
      <c r="C28" s="24" t="s">
        <v>291</v>
      </c>
      <c r="D28" s="18">
        <v>44727</v>
      </c>
      <c r="E28" s="24" t="s">
        <v>398</v>
      </c>
      <c r="G28" s="24" t="s">
        <v>398</v>
      </c>
      <c r="H28" s="24" t="s">
        <v>104</v>
      </c>
      <c r="I28" s="24" t="s">
        <v>403</v>
      </c>
      <c r="J28" s="24">
        <v>4</v>
      </c>
      <c r="K28" s="24" t="s">
        <v>336</v>
      </c>
      <c r="L28" s="24" t="s">
        <v>401</v>
      </c>
      <c r="M28" s="18">
        <f>D28+20</f>
        <v>44747</v>
      </c>
      <c r="N28" s="7" t="s">
        <v>402</v>
      </c>
      <c r="O28" s="18">
        <v>44733</v>
      </c>
    </row>
    <row r="29" spans="1:19" x14ac:dyDescent="0.35">
      <c r="A29" s="23" t="s">
        <v>404</v>
      </c>
      <c r="B29" s="24" t="s">
        <v>104</v>
      </c>
      <c r="C29" s="24" t="s">
        <v>291</v>
      </c>
      <c r="E29" s="24" t="s">
        <v>405</v>
      </c>
      <c r="F29" s="24" t="s">
        <v>333</v>
      </c>
      <c r="G29" s="24" t="s">
        <v>334</v>
      </c>
      <c r="I29" s="24" t="s">
        <v>406</v>
      </c>
      <c r="J29" s="24">
        <v>2</v>
      </c>
      <c r="K29" s="24" t="s">
        <v>310</v>
      </c>
      <c r="L29" s="24" t="s">
        <v>407</v>
      </c>
      <c r="N29" s="7" t="s">
        <v>303</v>
      </c>
      <c r="O29" s="18">
        <v>44904</v>
      </c>
      <c r="P29" s="91" t="s">
        <v>408</v>
      </c>
    </row>
    <row r="30" spans="1:19" x14ac:dyDescent="0.35">
      <c r="A30" s="23" t="s">
        <v>409</v>
      </c>
      <c r="B30" s="24" t="s">
        <v>104</v>
      </c>
      <c r="C30" s="24" t="s">
        <v>366</v>
      </c>
      <c r="D30" s="18">
        <v>44854</v>
      </c>
      <c r="E30" s="24" t="s">
        <v>316</v>
      </c>
      <c r="F30" s="24" t="s">
        <v>333</v>
      </c>
      <c r="G30" s="24" t="s">
        <v>334</v>
      </c>
      <c r="H30" s="24" t="s">
        <v>104</v>
      </c>
      <c r="I30" s="24" t="s">
        <v>406</v>
      </c>
      <c r="J30" s="24">
        <v>1</v>
      </c>
      <c r="K30" s="24" t="s">
        <v>336</v>
      </c>
      <c r="L30" s="24" t="s">
        <v>410</v>
      </c>
      <c r="N30" s="7" t="s">
        <v>303</v>
      </c>
      <c r="O30" s="18">
        <v>44859</v>
      </c>
      <c r="P30" s="24" t="s">
        <v>411</v>
      </c>
    </row>
    <row r="31" spans="1:19" ht="14.5" customHeight="1" x14ac:dyDescent="0.35">
      <c r="A31" s="23" t="s">
        <v>409</v>
      </c>
      <c r="B31" s="24" t="s">
        <v>104</v>
      </c>
      <c r="C31" s="24" t="s">
        <v>366</v>
      </c>
      <c r="D31" s="18">
        <v>44854</v>
      </c>
      <c r="E31" s="24" t="s">
        <v>316</v>
      </c>
      <c r="F31" s="24" t="s">
        <v>412</v>
      </c>
      <c r="G31" s="24" t="s">
        <v>334</v>
      </c>
      <c r="H31" s="24" t="s">
        <v>104</v>
      </c>
      <c r="I31" s="24" t="s">
        <v>406</v>
      </c>
      <c r="J31" s="24">
        <v>1</v>
      </c>
      <c r="K31" s="24" t="s">
        <v>336</v>
      </c>
      <c r="L31" s="24" t="s">
        <v>410</v>
      </c>
      <c r="N31" s="7" t="s">
        <v>303</v>
      </c>
      <c r="O31" s="18">
        <v>44859</v>
      </c>
      <c r="P31" s="24" t="s">
        <v>411</v>
      </c>
    </row>
    <row r="32" spans="1:19" x14ac:dyDescent="0.35">
      <c r="A32" s="23" t="s">
        <v>409</v>
      </c>
      <c r="B32" s="24" t="s">
        <v>104</v>
      </c>
      <c r="C32" s="24" t="s">
        <v>366</v>
      </c>
      <c r="D32" s="18">
        <v>44854</v>
      </c>
      <c r="E32" s="24" t="s">
        <v>360</v>
      </c>
      <c r="F32" s="24" t="s">
        <v>333</v>
      </c>
      <c r="G32" s="24" t="s">
        <v>334</v>
      </c>
      <c r="H32" s="24" t="s">
        <v>104</v>
      </c>
      <c r="I32" s="24" t="s">
        <v>406</v>
      </c>
      <c r="J32" s="24">
        <v>1</v>
      </c>
      <c r="K32" s="24" t="s">
        <v>336</v>
      </c>
      <c r="L32" s="24" t="s">
        <v>413</v>
      </c>
      <c r="N32" s="7" t="s">
        <v>303</v>
      </c>
      <c r="O32" s="18">
        <v>44859</v>
      </c>
      <c r="P32" s="24" t="s">
        <v>411</v>
      </c>
    </row>
    <row r="33" spans="1:19" ht="15" customHeight="1" x14ac:dyDescent="0.3">
      <c r="A33" s="23" t="s">
        <v>414</v>
      </c>
      <c r="B33" s="24" t="s">
        <v>104</v>
      </c>
      <c r="C33" s="24" t="s">
        <v>366</v>
      </c>
      <c r="E33" s="24" t="s">
        <v>316</v>
      </c>
      <c r="F33" s="24" t="s">
        <v>333</v>
      </c>
      <c r="G33" s="24" t="s">
        <v>334</v>
      </c>
      <c r="H33" s="24" t="s">
        <v>104</v>
      </c>
      <c r="I33" s="24" t="s">
        <v>406</v>
      </c>
      <c r="J33" s="24">
        <v>5</v>
      </c>
      <c r="K33" s="24" t="s">
        <v>336</v>
      </c>
      <c r="L33" s="24" t="s">
        <v>415</v>
      </c>
      <c r="N33" s="7" t="s">
        <v>297</v>
      </c>
      <c r="O33" s="18">
        <v>44865</v>
      </c>
      <c r="P33" s="120" t="s">
        <v>416</v>
      </c>
    </row>
    <row r="34" spans="1:19" ht="15" customHeight="1" x14ac:dyDescent="0.35">
      <c r="A34" s="23" t="s">
        <v>417</v>
      </c>
      <c r="B34" s="24" t="s">
        <v>104</v>
      </c>
      <c r="C34" s="24" t="s">
        <v>291</v>
      </c>
      <c r="D34" s="18">
        <v>44691</v>
      </c>
      <c r="E34" s="24" t="s">
        <v>308</v>
      </c>
      <c r="G34" s="24" t="s">
        <v>309</v>
      </c>
      <c r="H34" s="24" t="s">
        <v>104</v>
      </c>
      <c r="I34" s="24" t="s">
        <v>406</v>
      </c>
      <c r="J34" s="24" t="s">
        <v>418</v>
      </c>
      <c r="K34" s="24" t="s">
        <v>310</v>
      </c>
      <c r="L34" s="24" t="s">
        <v>125</v>
      </c>
      <c r="M34" s="18">
        <f>D34+20</f>
        <v>44711</v>
      </c>
      <c r="N34" s="7" t="s">
        <v>402</v>
      </c>
      <c r="O34" s="18">
        <v>44701</v>
      </c>
    </row>
    <row r="35" spans="1:19" ht="15" customHeight="1" x14ac:dyDescent="0.35">
      <c r="A35" s="23" t="s">
        <v>417</v>
      </c>
      <c r="B35" s="24" t="s">
        <v>104</v>
      </c>
      <c r="C35" s="24" t="s">
        <v>291</v>
      </c>
      <c r="D35" s="18">
        <v>44710</v>
      </c>
      <c r="E35" s="24" t="s">
        <v>308</v>
      </c>
      <c r="G35" s="24" t="s">
        <v>309</v>
      </c>
      <c r="H35" s="24" t="s">
        <v>104</v>
      </c>
      <c r="I35" s="24" t="s">
        <v>406</v>
      </c>
      <c r="J35" s="24">
        <v>6</v>
      </c>
      <c r="K35" s="24" t="s">
        <v>310</v>
      </c>
      <c r="L35" s="24" t="s">
        <v>419</v>
      </c>
      <c r="M35" s="18">
        <f>D35+20</f>
        <v>44730</v>
      </c>
      <c r="N35" s="7" t="s">
        <v>297</v>
      </c>
      <c r="O35" s="18">
        <v>44719</v>
      </c>
      <c r="P35" s="148"/>
    </row>
    <row r="36" spans="1:19" ht="15" customHeight="1" x14ac:dyDescent="0.35">
      <c r="A36" s="23" t="s">
        <v>417</v>
      </c>
      <c r="B36" s="24" t="s">
        <v>104</v>
      </c>
      <c r="C36" s="24" t="s">
        <v>291</v>
      </c>
      <c r="D36" s="18">
        <v>44740</v>
      </c>
      <c r="E36" s="24" t="s">
        <v>360</v>
      </c>
      <c r="G36" s="24" t="s">
        <v>309</v>
      </c>
      <c r="H36" s="24" t="s">
        <v>104</v>
      </c>
      <c r="I36" s="24" t="s">
        <v>320</v>
      </c>
      <c r="J36" s="24">
        <v>4</v>
      </c>
      <c r="K36" s="24" t="s">
        <v>336</v>
      </c>
      <c r="L36" s="24" t="s">
        <v>125</v>
      </c>
      <c r="M36" s="18">
        <f>D36+20</f>
        <v>44760</v>
      </c>
      <c r="N36" s="7" t="s">
        <v>402</v>
      </c>
      <c r="O36" s="18">
        <v>44747</v>
      </c>
    </row>
    <row r="37" spans="1:19" ht="15" customHeight="1" x14ac:dyDescent="0.35">
      <c r="A37" s="23" t="s">
        <v>417</v>
      </c>
      <c r="B37" s="24" t="s">
        <v>104</v>
      </c>
      <c r="C37" s="24" t="s">
        <v>291</v>
      </c>
      <c r="D37" s="18">
        <v>44740</v>
      </c>
      <c r="E37" s="24" t="s">
        <v>360</v>
      </c>
      <c r="G37" s="24" t="s">
        <v>309</v>
      </c>
      <c r="H37" s="24" t="s">
        <v>104</v>
      </c>
      <c r="I37" s="24" t="s">
        <v>320</v>
      </c>
      <c r="J37" s="24">
        <v>4</v>
      </c>
      <c r="K37" s="24" t="s">
        <v>336</v>
      </c>
      <c r="L37" s="7" t="s">
        <v>420</v>
      </c>
      <c r="M37" s="18">
        <f>D37+20</f>
        <v>44760</v>
      </c>
      <c r="N37" s="7" t="s">
        <v>402</v>
      </c>
      <c r="O37" s="18">
        <v>44747</v>
      </c>
    </row>
    <row r="38" spans="1:19" ht="15" customHeight="1" x14ac:dyDescent="0.35">
      <c r="A38" s="23" t="s">
        <v>417</v>
      </c>
      <c r="B38" s="24" t="s">
        <v>104</v>
      </c>
      <c r="C38" s="24" t="s">
        <v>291</v>
      </c>
      <c r="D38" s="18">
        <v>44740</v>
      </c>
      <c r="E38" s="24" t="s">
        <v>360</v>
      </c>
      <c r="G38" s="24" t="s">
        <v>309</v>
      </c>
      <c r="H38" s="24" t="s">
        <v>104</v>
      </c>
      <c r="I38" s="24" t="s">
        <v>320</v>
      </c>
      <c r="J38" s="24">
        <v>4</v>
      </c>
      <c r="K38" s="24" t="s">
        <v>336</v>
      </c>
      <c r="L38" s="7" t="s">
        <v>420</v>
      </c>
      <c r="M38" s="18">
        <f>D38+20</f>
        <v>44760</v>
      </c>
      <c r="N38" s="7" t="s">
        <v>402</v>
      </c>
      <c r="O38" s="18">
        <v>44747</v>
      </c>
    </row>
    <row r="39" spans="1:19" ht="15" customHeight="1" x14ac:dyDescent="0.35">
      <c r="A39" s="23" t="s">
        <v>417</v>
      </c>
      <c r="B39" s="24" t="s">
        <v>421</v>
      </c>
      <c r="C39" s="24" t="s">
        <v>307</v>
      </c>
      <c r="D39" s="18">
        <v>44823</v>
      </c>
      <c r="E39" s="24" t="s">
        <v>316</v>
      </c>
      <c r="F39" s="24" t="s">
        <v>422</v>
      </c>
      <c r="G39" s="24" t="s">
        <v>309</v>
      </c>
      <c r="H39" s="24" t="s">
        <v>104</v>
      </c>
      <c r="I39" s="92" t="s">
        <v>423</v>
      </c>
      <c r="J39" s="24">
        <v>6</v>
      </c>
      <c r="K39" s="24" t="s">
        <v>336</v>
      </c>
      <c r="L39" s="24" t="s">
        <v>424</v>
      </c>
      <c r="M39" s="18">
        <f>D39+0</f>
        <v>44823</v>
      </c>
      <c r="N39" s="7" t="s">
        <v>297</v>
      </c>
      <c r="O39" s="18">
        <v>44824</v>
      </c>
      <c r="P39" s="24" t="s">
        <v>425</v>
      </c>
      <c r="Q39" s="18">
        <v>44825</v>
      </c>
      <c r="R39" s="18" t="s">
        <v>426</v>
      </c>
      <c r="S39" s="24" t="s">
        <v>427</v>
      </c>
    </row>
    <row r="40" spans="1:19" ht="15" customHeight="1" x14ac:dyDescent="0.35">
      <c r="A40" s="23" t="s">
        <v>417</v>
      </c>
      <c r="B40" s="24" t="s">
        <v>421</v>
      </c>
      <c r="C40" s="24" t="s">
        <v>428</v>
      </c>
      <c r="D40" s="18">
        <v>44853</v>
      </c>
      <c r="E40" s="24" t="s">
        <v>316</v>
      </c>
      <c r="F40" s="24" t="s">
        <v>422</v>
      </c>
      <c r="G40" s="24" t="s">
        <v>309</v>
      </c>
      <c r="H40" s="24" t="s">
        <v>104</v>
      </c>
      <c r="I40" s="24" t="s">
        <v>406</v>
      </c>
      <c r="J40" s="24">
        <v>1</v>
      </c>
      <c r="K40" s="24" t="s">
        <v>429</v>
      </c>
      <c r="L40" s="24" t="s">
        <v>430</v>
      </c>
      <c r="M40" s="18">
        <f>D40+0</f>
        <v>44853</v>
      </c>
      <c r="N40" s="7" t="s">
        <v>303</v>
      </c>
      <c r="O40" s="18">
        <v>44855</v>
      </c>
      <c r="P40" s="24" t="s">
        <v>431</v>
      </c>
      <c r="Q40" s="18">
        <v>44859</v>
      </c>
      <c r="R40" s="18" t="s">
        <v>426</v>
      </c>
      <c r="S40" s="24" t="s">
        <v>427</v>
      </c>
    </row>
    <row r="41" spans="1:19" ht="15" customHeight="1" x14ac:dyDescent="0.3">
      <c r="A41" s="23" t="s">
        <v>417</v>
      </c>
      <c r="B41" s="24" t="s">
        <v>421</v>
      </c>
      <c r="C41" s="24" t="s">
        <v>428</v>
      </c>
      <c r="D41" s="18">
        <v>44853</v>
      </c>
      <c r="E41" s="24" t="s">
        <v>316</v>
      </c>
      <c r="F41" s="24" t="s">
        <v>422</v>
      </c>
      <c r="G41" s="24" t="s">
        <v>309</v>
      </c>
      <c r="H41" s="24" t="s">
        <v>104</v>
      </c>
      <c r="I41" s="24" t="s">
        <v>406</v>
      </c>
      <c r="J41" s="24">
        <v>1</v>
      </c>
      <c r="K41" s="24" t="s">
        <v>336</v>
      </c>
      <c r="L41" s="24" t="s">
        <v>432</v>
      </c>
      <c r="M41" s="18">
        <v>44915</v>
      </c>
      <c r="N41" s="7" t="s">
        <v>297</v>
      </c>
      <c r="O41" s="18">
        <v>44915</v>
      </c>
      <c r="P41" s="142" t="s">
        <v>433</v>
      </c>
      <c r="Q41" s="18"/>
      <c r="R41" s="18"/>
    </row>
    <row r="42" spans="1:19" ht="15" customHeight="1" x14ac:dyDescent="0.35">
      <c r="A42" s="23" t="s">
        <v>417</v>
      </c>
      <c r="D42" s="18">
        <v>44853</v>
      </c>
      <c r="E42" s="24" t="s">
        <v>316</v>
      </c>
      <c r="F42" s="24" t="s">
        <v>434</v>
      </c>
      <c r="G42" s="24" t="s">
        <v>309</v>
      </c>
      <c r="H42" s="24" t="s">
        <v>104</v>
      </c>
      <c r="I42" s="24" t="s">
        <v>435</v>
      </c>
      <c r="J42" s="24">
        <v>1</v>
      </c>
      <c r="K42" s="24" t="s">
        <v>310</v>
      </c>
      <c r="L42" s="24">
        <v>220608</v>
      </c>
      <c r="M42" s="18">
        <v>44915</v>
      </c>
      <c r="N42" s="7" t="s">
        <v>303</v>
      </c>
      <c r="O42" s="18">
        <v>44915</v>
      </c>
      <c r="P42" s="148"/>
      <c r="Q42" s="18"/>
      <c r="R42" s="18"/>
    </row>
    <row r="43" spans="1:19" ht="15" customHeight="1" x14ac:dyDescent="0.25">
      <c r="A43" s="23" t="s">
        <v>436</v>
      </c>
      <c r="B43" s="24" t="s">
        <v>437</v>
      </c>
      <c r="C43" s="24" t="s">
        <v>438</v>
      </c>
      <c r="D43" s="18">
        <v>44722</v>
      </c>
      <c r="E43" s="24" t="s">
        <v>340</v>
      </c>
      <c r="F43" s="24" t="s">
        <v>347</v>
      </c>
      <c r="G43" s="24" t="s">
        <v>351</v>
      </c>
      <c r="H43" s="24" t="s">
        <v>362</v>
      </c>
      <c r="I43" s="24" t="s">
        <v>353</v>
      </c>
      <c r="J43" s="24">
        <v>1</v>
      </c>
      <c r="K43" s="24" t="s">
        <v>310</v>
      </c>
      <c r="L43" s="24" t="s">
        <v>439</v>
      </c>
      <c r="M43" s="18">
        <f>D43+20</f>
        <v>44742</v>
      </c>
      <c r="N43" s="7" t="s">
        <v>297</v>
      </c>
      <c r="O43" s="18">
        <v>44855</v>
      </c>
      <c r="P43" s="119" t="s">
        <v>431</v>
      </c>
    </row>
    <row r="44" spans="1:19" ht="15" customHeight="1" x14ac:dyDescent="0.35">
      <c r="A44" s="23" t="s">
        <v>436</v>
      </c>
      <c r="B44" s="24" t="s">
        <v>104</v>
      </c>
      <c r="C44" s="24" t="s">
        <v>366</v>
      </c>
      <c r="D44" s="18">
        <v>44802</v>
      </c>
      <c r="E44" s="24" t="s">
        <v>340</v>
      </c>
      <c r="F44" s="24" t="s">
        <v>440</v>
      </c>
      <c r="G44" s="24" t="s">
        <v>351</v>
      </c>
      <c r="H44" s="24" t="s">
        <v>352</v>
      </c>
      <c r="I44" s="24" t="s">
        <v>353</v>
      </c>
      <c r="J44" s="24">
        <v>1</v>
      </c>
      <c r="K44" s="24" t="s">
        <v>354</v>
      </c>
      <c r="L44" s="24" t="s">
        <v>441</v>
      </c>
      <c r="M44" s="18">
        <f>D44+7</f>
        <v>44809</v>
      </c>
      <c r="N44" s="7" t="s">
        <v>303</v>
      </c>
      <c r="O44" s="18">
        <v>44853</v>
      </c>
      <c r="P44" s="91" t="s">
        <v>442</v>
      </c>
    </row>
    <row r="45" spans="1:19" ht="18" x14ac:dyDescent="0.35">
      <c r="A45" s="23" t="s">
        <v>436</v>
      </c>
      <c r="B45" s="24" t="s">
        <v>443</v>
      </c>
      <c r="C45" s="24" t="s">
        <v>315</v>
      </c>
      <c r="D45" s="18">
        <v>44960</v>
      </c>
      <c r="E45" s="24" t="s">
        <v>444</v>
      </c>
      <c r="F45" s="24" t="s">
        <v>445</v>
      </c>
      <c r="G45" s="24" t="s">
        <v>334</v>
      </c>
      <c r="H45" s="24" t="s">
        <v>446</v>
      </c>
      <c r="I45" s="24" t="s">
        <v>406</v>
      </c>
      <c r="J45" s="24">
        <v>4</v>
      </c>
      <c r="K45" s="24" t="s">
        <v>447</v>
      </c>
      <c r="L45" s="24" t="s">
        <v>448</v>
      </c>
      <c r="M45" s="18">
        <v>44974</v>
      </c>
      <c r="N45" s="7" t="s">
        <v>297</v>
      </c>
      <c r="O45" s="24" t="s">
        <v>449</v>
      </c>
      <c r="P45" s="145" t="s">
        <v>450</v>
      </c>
    </row>
    <row r="46" spans="1:19" ht="15" customHeight="1" x14ac:dyDescent="0.35">
      <c r="A46" s="23" t="s">
        <v>451</v>
      </c>
      <c r="B46" s="24" t="s">
        <v>452</v>
      </c>
      <c r="C46" s="24" t="s">
        <v>438</v>
      </c>
      <c r="D46" s="18">
        <v>44718</v>
      </c>
      <c r="E46" s="24" t="s">
        <v>316</v>
      </c>
      <c r="F46" s="24" t="s">
        <v>440</v>
      </c>
      <c r="G46" s="24" t="s">
        <v>351</v>
      </c>
      <c r="H46" s="24" t="s">
        <v>362</v>
      </c>
      <c r="I46" s="24" t="s">
        <v>353</v>
      </c>
      <c r="J46" s="24">
        <v>2</v>
      </c>
      <c r="K46" s="24" t="s">
        <v>310</v>
      </c>
      <c r="L46" s="24" t="s">
        <v>453</v>
      </c>
      <c r="M46" s="18">
        <f>D46+20</f>
        <v>44738</v>
      </c>
      <c r="N46" s="7" t="s">
        <v>454</v>
      </c>
      <c r="O46" s="18">
        <v>44735</v>
      </c>
      <c r="P46" s="24" t="s">
        <v>455</v>
      </c>
    </row>
    <row r="47" spans="1:19" ht="15" customHeight="1" x14ac:dyDescent="0.35">
      <c r="A47" s="23" t="s">
        <v>451</v>
      </c>
      <c r="B47" s="24" t="s">
        <v>452</v>
      </c>
      <c r="C47" s="24" t="s">
        <v>438</v>
      </c>
      <c r="D47" s="18">
        <v>44718</v>
      </c>
      <c r="E47" s="24" t="s">
        <v>308</v>
      </c>
      <c r="F47" s="24" t="s">
        <v>440</v>
      </c>
      <c r="G47" s="24" t="s">
        <v>351</v>
      </c>
      <c r="H47" s="24" t="s">
        <v>362</v>
      </c>
      <c r="I47" s="24" t="s">
        <v>353</v>
      </c>
      <c r="J47" s="24">
        <v>2</v>
      </c>
      <c r="K47" s="24" t="s">
        <v>310</v>
      </c>
      <c r="L47" s="24" t="s">
        <v>456</v>
      </c>
      <c r="M47" s="18">
        <f>D47+20</f>
        <v>44738</v>
      </c>
      <c r="N47" s="7" t="s">
        <v>454</v>
      </c>
      <c r="O47" s="18">
        <v>44740</v>
      </c>
      <c r="P47" s="24" t="s">
        <v>338</v>
      </c>
    </row>
    <row r="48" spans="1:19" ht="15" customHeight="1" x14ac:dyDescent="0.35">
      <c r="A48" s="23" t="s">
        <v>451</v>
      </c>
      <c r="B48" s="24" t="s">
        <v>457</v>
      </c>
      <c r="C48" s="24" t="s">
        <v>458</v>
      </c>
      <c r="D48" s="18">
        <v>44784</v>
      </c>
      <c r="E48" s="24" t="s">
        <v>316</v>
      </c>
      <c r="F48" s="24" t="s">
        <v>440</v>
      </c>
      <c r="G48" s="24" t="s">
        <v>351</v>
      </c>
      <c r="H48" s="24" t="s">
        <v>362</v>
      </c>
      <c r="I48" s="24" t="s">
        <v>353</v>
      </c>
      <c r="J48" s="24">
        <v>3</v>
      </c>
      <c r="K48" s="24" t="s">
        <v>459</v>
      </c>
      <c r="L48" s="28" t="s">
        <v>460</v>
      </c>
      <c r="M48" s="18">
        <f>D48+20</f>
        <v>44804</v>
      </c>
      <c r="N48" s="7" t="s">
        <v>454</v>
      </c>
      <c r="O48" s="18">
        <v>44792</v>
      </c>
      <c r="P48" t="s">
        <v>461</v>
      </c>
    </row>
    <row r="49" spans="1:17" ht="15" customHeight="1" x14ac:dyDescent="0.35">
      <c r="A49" s="23" t="s">
        <v>451</v>
      </c>
      <c r="B49" s="24" t="s">
        <v>457</v>
      </c>
      <c r="C49" s="24" t="s">
        <v>366</v>
      </c>
      <c r="D49" s="18">
        <v>44784</v>
      </c>
      <c r="E49" s="24" t="s">
        <v>340</v>
      </c>
      <c r="F49" s="24" t="s">
        <v>347</v>
      </c>
      <c r="G49" s="24" t="s">
        <v>351</v>
      </c>
      <c r="H49" s="24" t="s">
        <v>362</v>
      </c>
      <c r="I49" s="24" t="s">
        <v>353</v>
      </c>
      <c r="J49" s="24">
        <v>1</v>
      </c>
      <c r="K49" s="24" t="s">
        <v>459</v>
      </c>
      <c r="L49" s="24" t="s">
        <v>462</v>
      </c>
      <c r="M49" s="18">
        <f>D49+20</f>
        <v>44804</v>
      </c>
      <c r="N49" s="7" t="s">
        <v>454</v>
      </c>
      <c r="O49" s="18">
        <v>44792</v>
      </c>
      <c r="P49" t="s">
        <v>461</v>
      </c>
    </row>
    <row r="50" spans="1:17" ht="15" customHeight="1" x14ac:dyDescent="0.35">
      <c r="A50" s="23" t="s">
        <v>451</v>
      </c>
      <c r="B50" s="24" t="s">
        <v>463</v>
      </c>
      <c r="C50" s="24" t="s">
        <v>464</v>
      </c>
      <c r="D50" s="18">
        <v>44859</v>
      </c>
      <c r="E50" s="24" t="s">
        <v>465</v>
      </c>
      <c r="F50" s="24" t="s">
        <v>466</v>
      </c>
      <c r="G50" s="24" t="s">
        <v>467</v>
      </c>
      <c r="H50" s="24" t="s">
        <v>352</v>
      </c>
      <c r="I50" s="24" t="s">
        <v>353</v>
      </c>
      <c r="J50" s="24">
        <v>5</v>
      </c>
      <c r="K50" s="24" t="s">
        <v>459</v>
      </c>
      <c r="L50" s="24" t="s">
        <v>468</v>
      </c>
      <c r="M50" s="18">
        <v>44900</v>
      </c>
      <c r="N50" s="7" t="s">
        <v>303</v>
      </c>
      <c r="O50" s="18">
        <v>44876</v>
      </c>
      <c r="P50" s="91" t="s">
        <v>469</v>
      </c>
    </row>
    <row r="51" spans="1:17" ht="15" customHeight="1" x14ac:dyDescent="0.35">
      <c r="A51" s="23" t="s">
        <v>451</v>
      </c>
      <c r="B51" s="24" t="s">
        <v>463</v>
      </c>
      <c r="C51" s="24" t="s">
        <v>464</v>
      </c>
      <c r="D51" s="18">
        <v>44859</v>
      </c>
      <c r="E51" s="24" t="s">
        <v>465</v>
      </c>
      <c r="F51" s="24" t="s">
        <v>466</v>
      </c>
      <c r="G51" s="24" t="s">
        <v>467</v>
      </c>
      <c r="H51" s="24" t="s">
        <v>352</v>
      </c>
      <c r="I51" s="24" t="s">
        <v>353</v>
      </c>
      <c r="J51" s="24">
        <v>5</v>
      </c>
      <c r="K51" s="24" t="s">
        <v>459</v>
      </c>
      <c r="L51" s="24" t="s">
        <v>470</v>
      </c>
      <c r="M51" s="18">
        <v>44900</v>
      </c>
      <c r="N51" s="7" t="s">
        <v>303</v>
      </c>
      <c r="O51" s="18">
        <f>D51+30</f>
        <v>44889</v>
      </c>
      <c r="P51" s="91" t="s">
        <v>471</v>
      </c>
    </row>
    <row r="52" spans="1:17" ht="14.5" customHeight="1" x14ac:dyDescent="0.35">
      <c r="A52" s="23" t="s">
        <v>451</v>
      </c>
      <c r="B52" s="24" t="s">
        <v>463</v>
      </c>
      <c r="C52" s="24" t="s">
        <v>464</v>
      </c>
      <c r="D52" s="18">
        <v>44859</v>
      </c>
      <c r="E52" s="24" t="s">
        <v>465</v>
      </c>
      <c r="F52" s="24" t="s">
        <v>466</v>
      </c>
      <c r="G52" s="24" t="s">
        <v>467</v>
      </c>
      <c r="H52" s="24" t="s">
        <v>352</v>
      </c>
      <c r="I52" s="24" t="s">
        <v>353</v>
      </c>
      <c r="J52" s="24">
        <v>4</v>
      </c>
      <c r="K52" s="24" t="s">
        <v>459</v>
      </c>
      <c r="L52" s="24" t="s">
        <v>472</v>
      </c>
      <c r="M52" s="18">
        <v>44900</v>
      </c>
      <c r="N52" s="7" t="s">
        <v>303</v>
      </c>
      <c r="O52" s="18">
        <f>D52+30</f>
        <v>44889</v>
      </c>
      <c r="P52" t="s">
        <v>471</v>
      </c>
    </row>
    <row r="53" spans="1:17" ht="15" customHeight="1" x14ac:dyDescent="0.35">
      <c r="A53" s="23" t="s">
        <v>451</v>
      </c>
      <c r="B53" s="24" t="s">
        <v>473</v>
      </c>
      <c r="C53" s="24" t="s">
        <v>474</v>
      </c>
      <c r="D53" s="18">
        <v>44854</v>
      </c>
      <c r="E53" s="24" t="s">
        <v>465</v>
      </c>
      <c r="F53" s="24" t="s">
        <v>475</v>
      </c>
      <c r="G53" s="24" t="s">
        <v>309</v>
      </c>
      <c r="I53" s="24" t="s">
        <v>353</v>
      </c>
      <c r="J53" s="24">
        <v>4</v>
      </c>
      <c r="K53" s="24" t="s">
        <v>459</v>
      </c>
      <c r="L53" s="24" t="s">
        <v>476</v>
      </c>
      <c r="N53" s="7" t="s">
        <v>303</v>
      </c>
      <c r="O53" s="18">
        <v>44865</v>
      </c>
      <c r="P53" s="24" t="s">
        <v>477</v>
      </c>
    </row>
    <row r="54" spans="1:17" ht="15" customHeight="1" x14ac:dyDescent="0.35">
      <c r="A54" s="23" t="s">
        <v>451</v>
      </c>
      <c r="B54" s="24">
        <v>613</v>
      </c>
      <c r="C54" s="24" t="s">
        <v>315</v>
      </c>
      <c r="E54" s="24" t="s">
        <v>478</v>
      </c>
      <c r="F54" s="24" t="s">
        <v>333</v>
      </c>
      <c r="G54" s="24" t="s">
        <v>334</v>
      </c>
      <c r="H54" s="24" t="s">
        <v>104</v>
      </c>
      <c r="I54" s="24" t="s">
        <v>479</v>
      </c>
      <c r="J54" s="24">
        <v>4</v>
      </c>
      <c r="K54" s="24" t="s">
        <v>310</v>
      </c>
      <c r="L54" s="24" t="s">
        <v>480</v>
      </c>
      <c r="N54" s="7" t="s">
        <v>297</v>
      </c>
      <c r="O54" s="18">
        <v>44865</v>
      </c>
      <c r="P54" s="24" t="s">
        <v>477</v>
      </c>
    </row>
    <row r="55" spans="1:17" x14ac:dyDescent="0.3">
      <c r="A55" s="23" t="s">
        <v>481</v>
      </c>
      <c r="B55" s="24">
        <v>704</v>
      </c>
      <c r="C55" s="24" t="s">
        <v>315</v>
      </c>
      <c r="D55" s="18">
        <v>44988</v>
      </c>
      <c r="E55" s="24" t="s">
        <v>478</v>
      </c>
      <c r="F55" s="24" t="s">
        <v>333</v>
      </c>
      <c r="G55" s="24" t="s">
        <v>482</v>
      </c>
      <c r="H55" s="24" t="s">
        <v>362</v>
      </c>
      <c r="I55" s="24" t="s">
        <v>483</v>
      </c>
      <c r="J55" s="24" t="s">
        <v>484</v>
      </c>
      <c r="K55" s="24" t="s">
        <v>310</v>
      </c>
      <c r="L55" s="24" t="s">
        <v>485</v>
      </c>
      <c r="N55" s="7" t="s">
        <v>297</v>
      </c>
      <c r="O55" s="24" t="s">
        <v>486</v>
      </c>
      <c r="P55" s="146" t="s">
        <v>487</v>
      </c>
      <c r="Q55" s="24" t="s">
        <v>488</v>
      </c>
    </row>
    <row r="56" spans="1:17" ht="15" customHeight="1" x14ac:dyDescent="0.35">
      <c r="A56" s="23" t="s">
        <v>489</v>
      </c>
      <c r="B56" s="24" t="s">
        <v>490</v>
      </c>
      <c r="C56" s="24" t="s">
        <v>315</v>
      </c>
      <c r="D56" s="18">
        <v>44741</v>
      </c>
      <c r="E56" s="24" t="s">
        <v>465</v>
      </c>
      <c r="F56" s="24" t="s">
        <v>491</v>
      </c>
      <c r="G56" s="24" t="s">
        <v>492</v>
      </c>
      <c r="H56" s="24" t="s">
        <v>362</v>
      </c>
      <c r="I56" s="24" t="s">
        <v>493</v>
      </c>
      <c r="J56" s="24">
        <v>10</v>
      </c>
      <c r="K56" s="24" t="s">
        <v>494</v>
      </c>
      <c r="L56" s="7" t="s">
        <v>420</v>
      </c>
      <c r="M56" s="18">
        <f t="shared" ref="M56:M62" si="1">D56+30</f>
        <v>44771</v>
      </c>
      <c r="N56" s="7" t="s">
        <v>297</v>
      </c>
      <c r="O56" s="18">
        <v>44750</v>
      </c>
      <c r="P56" s="24" t="s">
        <v>495</v>
      </c>
    </row>
    <row r="57" spans="1:17" ht="14.5" customHeight="1" x14ac:dyDescent="0.35">
      <c r="A57" s="23" t="s">
        <v>489</v>
      </c>
      <c r="B57" s="24" t="s">
        <v>490</v>
      </c>
      <c r="C57" s="24" t="s">
        <v>315</v>
      </c>
      <c r="D57" s="18">
        <v>44741</v>
      </c>
      <c r="E57" s="24" t="s">
        <v>465</v>
      </c>
      <c r="F57" s="24" t="s">
        <v>491</v>
      </c>
      <c r="G57" s="24" t="s">
        <v>492</v>
      </c>
      <c r="H57" s="24" t="s">
        <v>362</v>
      </c>
      <c r="I57" s="24" t="s">
        <v>493</v>
      </c>
      <c r="J57" s="24">
        <v>10</v>
      </c>
      <c r="K57" s="24" t="s">
        <v>494</v>
      </c>
      <c r="L57" s="7" t="s">
        <v>420</v>
      </c>
      <c r="M57" s="18">
        <f t="shared" si="1"/>
        <v>44771</v>
      </c>
      <c r="N57" s="7" t="s">
        <v>297</v>
      </c>
      <c r="O57" s="18">
        <v>44750</v>
      </c>
      <c r="P57" s="24" t="s">
        <v>495</v>
      </c>
    </row>
    <row r="58" spans="1:17" ht="14.5" customHeight="1" x14ac:dyDescent="0.35">
      <c r="A58" s="23" t="s">
        <v>489</v>
      </c>
      <c r="B58" s="24" t="s">
        <v>346</v>
      </c>
      <c r="C58" s="24" t="s">
        <v>291</v>
      </c>
      <c r="D58" s="18">
        <v>44752</v>
      </c>
      <c r="E58" s="24" t="s">
        <v>360</v>
      </c>
      <c r="F58" s="24" t="s">
        <v>496</v>
      </c>
      <c r="G58" s="24" t="s">
        <v>497</v>
      </c>
      <c r="H58" s="24" t="s">
        <v>362</v>
      </c>
      <c r="I58" s="24" t="s">
        <v>320</v>
      </c>
      <c r="J58" s="24">
        <v>4</v>
      </c>
      <c r="K58" s="24" t="s">
        <v>310</v>
      </c>
      <c r="L58" s="7" t="s">
        <v>420</v>
      </c>
      <c r="M58" s="18">
        <f t="shared" si="1"/>
        <v>44782</v>
      </c>
      <c r="N58" s="7" t="s">
        <v>297</v>
      </c>
      <c r="O58" s="18">
        <v>44769</v>
      </c>
      <c r="P58" s="24" t="s">
        <v>498</v>
      </c>
    </row>
    <row r="59" spans="1:17" ht="14.5" customHeight="1" x14ac:dyDescent="0.3">
      <c r="A59" s="23" t="s">
        <v>489</v>
      </c>
      <c r="B59" s="24" t="s">
        <v>499</v>
      </c>
      <c r="C59" s="24" t="s">
        <v>315</v>
      </c>
      <c r="D59" s="18">
        <v>44762</v>
      </c>
      <c r="E59" s="24" t="s">
        <v>316</v>
      </c>
      <c r="F59" s="24" t="s">
        <v>500</v>
      </c>
      <c r="G59" s="24" t="s">
        <v>492</v>
      </c>
      <c r="H59" s="24" t="s">
        <v>362</v>
      </c>
      <c r="I59" s="24" t="s">
        <v>493</v>
      </c>
      <c r="J59" s="24">
        <v>12</v>
      </c>
      <c r="K59" s="24" t="s">
        <v>501</v>
      </c>
      <c r="L59" s="24" t="s">
        <v>502</v>
      </c>
      <c r="M59" s="18">
        <f t="shared" si="1"/>
        <v>44792</v>
      </c>
      <c r="N59" s="7" t="s">
        <v>297</v>
      </c>
      <c r="O59" s="18">
        <v>44781</v>
      </c>
      <c r="P59" s="25" t="s">
        <v>503</v>
      </c>
    </row>
    <row r="60" spans="1:17" ht="14.5" customHeight="1" x14ac:dyDescent="0.3">
      <c r="A60" s="23" t="s">
        <v>489</v>
      </c>
      <c r="B60" s="24" t="s">
        <v>499</v>
      </c>
      <c r="C60" s="24" t="s">
        <v>315</v>
      </c>
      <c r="D60" s="18">
        <v>44763</v>
      </c>
      <c r="E60" s="24" t="s">
        <v>316</v>
      </c>
      <c r="F60" s="24" t="s">
        <v>504</v>
      </c>
      <c r="G60" s="24" t="s">
        <v>492</v>
      </c>
      <c r="H60" s="24" t="s">
        <v>362</v>
      </c>
      <c r="I60" s="24" t="s">
        <v>493</v>
      </c>
      <c r="J60" s="24">
        <v>14</v>
      </c>
      <c r="K60" s="24" t="s">
        <v>501</v>
      </c>
      <c r="L60" s="24" t="s">
        <v>505</v>
      </c>
      <c r="M60" s="18">
        <f t="shared" si="1"/>
        <v>44793</v>
      </c>
      <c r="N60" s="7" t="s">
        <v>297</v>
      </c>
      <c r="O60" s="18">
        <v>44790</v>
      </c>
      <c r="P60" s="25" t="s">
        <v>506</v>
      </c>
    </row>
    <row r="61" spans="1:17" ht="14.5" customHeight="1" x14ac:dyDescent="0.35">
      <c r="A61" s="23" t="s">
        <v>489</v>
      </c>
      <c r="B61" s="24" t="s">
        <v>499</v>
      </c>
      <c r="C61" s="24" t="s">
        <v>315</v>
      </c>
      <c r="D61" s="18">
        <v>44762</v>
      </c>
      <c r="E61" s="24" t="s">
        <v>316</v>
      </c>
      <c r="F61" s="24" t="s">
        <v>507</v>
      </c>
      <c r="G61" s="24" t="s">
        <v>492</v>
      </c>
      <c r="H61" s="24" t="s">
        <v>362</v>
      </c>
      <c r="I61" s="24" t="s">
        <v>493</v>
      </c>
      <c r="J61" s="24">
        <v>6</v>
      </c>
      <c r="K61" s="24" t="s">
        <v>501</v>
      </c>
      <c r="L61" s="24" t="s">
        <v>508</v>
      </c>
      <c r="M61" s="18">
        <f t="shared" si="1"/>
        <v>44792</v>
      </c>
      <c r="N61" s="7" t="s">
        <v>297</v>
      </c>
      <c r="O61" s="18">
        <v>44792</v>
      </c>
      <c r="P61" t="s">
        <v>509</v>
      </c>
    </row>
    <row r="62" spans="1:17" ht="14.5" customHeight="1" x14ac:dyDescent="0.3">
      <c r="A62" s="23" t="s">
        <v>489</v>
      </c>
      <c r="B62" s="24" t="s">
        <v>499</v>
      </c>
      <c r="C62" s="24" t="s">
        <v>315</v>
      </c>
      <c r="D62" s="18">
        <v>44762</v>
      </c>
      <c r="E62" s="24" t="s">
        <v>316</v>
      </c>
      <c r="F62" s="24" t="s">
        <v>510</v>
      </c>
      <c r="G62" s="24" t="s">
        <v>492</v>
      </c>
      <c r="H62" s="24" t="s">
        <v>362</v>
      </c>
      <c r="I62" s="24" t="s">
        <v>493</v>
      </c>
      <c r="J62" s="24">
        <v>4</v>
      </c>
      <c r="K62" s="24" t="s">
        <v>501</v>
      </c>
      <c r="L62" s="24" t="s">
        <v>511</v>
      </c>
      <c r="M62" s="18">
        <f t="shared" si="1"/>
        <v>44792</v>
      </c>
      <c r="N62" s="7" t="s">
        <v>297</v>
      </c>
      <c r="O62" s="18">
        <v>44781</v>
      </c>
      <c r="P62" s="25" t="s">
        <v>503</v>
      </c>
    </row>
    <row r="63" spans="1:17" ht="14.5" customHeight="1" x14ac:dyDescent="0.3">
      <c r="A63" s="23" t="s">
        <v>489</v>
      </c>
      <c r="B63" s="24" t="s">
        <v>512</v>
      </c>
      <c r="C63" s="24" t="s">
        <v>315</v>
      </c>
      <c r="D63" s="18">
        <v>44796</v>
      </c>
      <c r="E63" s="24" t="s">
        <v>316</v>
      </c>
      <c r="F63" s="24" t="s">
        <v>513</v>
      </c>
      <c r="G63" s="24" t="s">
        <v>492</v>
      </c>
      <c r="H63" s="24" t="s">
        <v>362</v>
      </c>
      <c r="I63" s="24" t="s">
        <v>493</v>
      </c>
      <c r="J63" s="24">
        <v>36</v>
      </c>
      <c r="K63" s="24" t="s">
        <v>514</v>
      </c>
      <c r="L63" s="24" t="s">
        <v>515</v>
      </c>
      <c r="M63" s="18">
        <f>D63+37</f>
        <v>44833</v>
      </c>
      <c r="N63" s="7" t="s">
        <v>297</v>
      </c>
      <c r="O63" s="18">
        <v>44819</v>
      </c>
      <c r="P63" s="25" t="s">
        <v>516</v>
      </c>
    </row>
    <row r="64" spans="1:17" ht="14.5" customHeight="1" x14ac:dyDescent="0.35">
      <c r="A64" s="23" t="s">
        <v>489</v>
      </c>
      <c r="B64" s="24" t="s">
        <v>512</v>
      </c>
      <c r="C64" s="24" t="s">
        <v>315</v>
      </c>
      <c r="D64" s="18">
        <v>44797</v>
      </c>
      <c r="E64" s="24" t="s">
        <v>316</v>
      </c>
      <c r="F64" s="24" t="s">
        <v>517</v>
      </c>
      <c r="G64" s="24" t="s">
        <v>492</v>
      </c>
      <c r="H64" s="24" t="s">
        <v>362</v>
      </c>
      <c r="I64" s="24" t="s">
        <v>493</v>
      </c>
      <c r="J64" s="24">
        <v>37</v>
      </c>
      <c r="K64" s="24" t="s">
        <v>514</v>
      </c>
      <c r="L64" s="24" t="s">
        <v>515</v>
      </c>
      <c r="M64" s="18">
        <f>D64+37</f>
        <v>44834</v>
      </c>
      <c r="N64" s="7" t="s">
        <v>297</v>
      </c>
      <c r="O64" s="18">
        <v>44827</v>
      </c>
      <c r="P64" t="s">
        <v>518</v>
      </c>
    </row>
    <row r="65" spans="1:17" ht="14.5" customHeight="1" x14ac:dyDescent="0.3">
      <c r="A65" s="23" t="s">
        <v>489</v>
      </c>
      <c r="B65" s="24" t="s">
        <v>519</v>
      </c>
      <c r="C65" s="24" t="s">
        <v>315</v>
      </c>
      <c r="D65" s="18">
        <v>44796</v>
      </c>
      <c r="E65" s="24" t="s">
        <v>316</v>
      </c>
      <c r="F65" s="24" t="s">
        <v>520</v>
      </c>
      <c r="G65" s="24" t="s">
        <v>492</v>
      </c>
      <c r="H65" s="24" t="s">
        <v>362</v>
      </c>
      <c r="I65" s="24" t="s">
        <v>493</v>
      </c>
      <c r="J65" s="24">
        <v>4</v>
      </c>
      <c r="K65" s="24" t="s">
        <v>514</v>
      </c>
      <c r="M65" s="18">
        <f>D65+37</f>
        <v>44833</v>
      </c>
      <c r="N65" s="7" t="s">
        <v>454</v>
      </c>
      <c r="O65" s="18">
        <v>44813</v>
      </c>
      <c r="P65" s="27" t="s">
        <v>521</v>
      </c>
    </row>
    <row r="66" spans="1:17" ht="14.5" customHeight="1" x14ac:dyDescent="0.3">
      <c r="A66" s="23" t="s">
        <v>489</v>
      </c>
      <c r="B66" s="24" t="s">
        <v>519</v>
      </c>
      <c r="C66" s="24" t="s">
        <v>315</v>
      </c>
      <c r="D66" s="18">
        <v>44796</v>
      </c>
      <c r="E66" s="24" t="s">
        <v>316</v>
      </c>
      <c r="F66" s="24" t="s">
        <v>522</v>
      </c>
      <c r="G66" s="24" t="s">
        <v>492</v>
      </c>
      <c r="H66" s="24" t="s">
        <v>362</v>
      </c>
      <c r="I66" s="24" t="s">
        <v>493</v>
      </c>
      <c r="J66" s="24">
        <v>4</v>
      </c>
      <c r="K66" s="24" t="s">
        <v>514</v>
      </c>
      <c r="L66" s="24" t="s">
        <v>523</v>
      </c>
      <c r="M66" s="18">
        <f>D66+37</f>
        <v>44833</v>
      </c>
      <c r="N66" s="7" t="s">
        <v>454</v>
      </c>
      <c r="O66" s="18">
        <v>44813</v>
      </c>
      <c r="P66" s="27" t="s">
        <v>521</v>
      </c>
    </row>
    <row r="67" spans="1:17" ht="14.5" customHeight="1" x14ac:dyDescent="0.3">
      <c r="A67" s="23" t="s">
        <v>489</v>
      </c>
      <c r="B67" s="24" t="s">
        <v>524</v>
      </c>
      <c r="C67" s="24" t="s">
        <v>315</v>
      </c>
      <c r="D67" s="18" t="s">
        <v>525</v>
      </c>
      <c r="E67" s="24" t="s">
        <v>316</v>
      </c>
      <c r="F67" s="24" t="s">
        <v>526</v>
      </c>
      <c r="G67" s="24" t="s">
        <v>492</v>
      </c>
      <c r="H67" s="24" t="s">
        <v>362</v>
      </c>
      <c r="I67" s="24" t="s">
        <v>493</v>
      </c>
      <c r="J67" s="24">
        <v>14</v>
      </c>
      <c r="K67" s="24" t="s">
        <v>310</v>
      </c>
      <c r="L67" s="24" t="s">
        <v>527</v>
      </c>
      <c r="N67" s="7" t="s">
        <v>303</v>
      </c>
      <c r="O67" s="18">
        <v>44846</v>
      </c>
      <c r="P67" s="27" t="s">
        <v>528</v>
      </c>
    </row>
    <row r="68" spans="1:17" ht="14.5" customHeight="1" x14ac:dyDescent="0.35">
      <c r="A68" s="23" t="s">
        <v>489</v>
      </c>
      <c r="B68" s="24" t="s">
        <v>524</v>
      </c>
      <c r="C68" s="24" t="s">
        <v>315</v>
      </c>
      <c r="D68" s="18" t="s">
        <v>525</v>
      </c>
      <c r="E68" s="24" t="s">
        <v>316</v>
      </c>
      <c r="F68" s="24" t="s">
        <v>526</v>
      </c>
      <c r="G68" s="24" t="s">
        <v>492</v>
      </c>
      <c r="H68" s="24" t="s">
        <v>362</v>
      </c>
      <c r="I68" s="24" t="s">
        <v>493</v>
      </c>
      <c r="J68" s="24">
        <v>16</v>
      </c>
      <c r="K68" s="24" t="s">
        <v>514</v>
      </c>
      <c r="L68" s="24" t="s">
        <v>529</v>
      </c>
      <c r="N68" s="7" t="s">
        <v>303</v>
      </c>
      <c r="O68" s="18">
        <v>44858</v>
      </c>
      <c r="P68" s="18" t="s">
        <v>530</v>
      </c>
    </row>
    <row r="69" spans="1:17" ht="14.5" customHeight="1" x14ac:dyDescent="0.35">
      <c r="A69" s="23" t="s">
        <v>489</v>
      </c>
      <c r="B69" s="24" t="s">
        <v>524</v>
      </c>
      <c r="C69" s="24" t="s">
        <v>315</v>
      </c>
      <c r="D69" s="18" t="s">
        <v>525</v>
      </c>
      <c r="E69" s="24" t="s">
        <v>316</v>
      </c>
      <c r="F69" s="24" t="s">
        <v>526</v>
      </c>
      <c r="G69" s="24" t="s">
        <v>492</v>
      </c>
      <c r="H69" s="24" t="s">
        <v>362</v>
      </c>
      <c r="I69" s="24" t="s">
        <v>493</v>
      </c>
      <c r="J69" s="24">
        <v>16</v>
      </c>
      <c r="K69" s="24" t="s">
        <v>310</v>
      </c>
      <c r="L69" s="24">
        <v>220927</v>
      </c>
      <c r="N69" s="7" t="s">
        <v>303</v>
      </c>
      <c r="O69" s="18">
        <v>44869</v>
      </c>
      <c r="P69" s="121" t="s">
        <v>531</v>
      </c>
    </row>
    <row r="70" spans="1:17" ht="15.65" customHeight="1" x14ac:dyDescent="0.3">
      <c r="A70" s="23" t="s">
        <v>489</v>
      </c>
      <c r="B70" s="24" t="s">
        <v>524</v>
      </c>
      <c r="C70" s="24" t="s">
        <v>315</v>
      </c>
      <c r="D70" s="18" t="s">
        <v>525</v>
      </c>
      <c r="E70" s="24" t="s">
        <v>316</v>
      </c>
      <c r="F70" s="24" t="s">
        <v>526</v>
      </c>
      <c r="G70" s="24" t="s">
        <v>492</v>
      </c>
      <c r="H70" s="24" t="s">
        <v>362</v>
      </c>
      <c r="I70" s="24" t="s">
        <v>493</v>
      </c>
      <c r="J70" s="24">
        <v>14</v>
      </c>
      <c r="K70" s="24" t="s">
        <v>310</v>
      </c>
      <c r="L70" s="24" t="s">
        <v>532</v>
      </c>
      <c r="N70" s="7" t="s">
        <v>303</v>
      </c>
      <c r="O70" s="18">
        <v>44876</v>
      </c>
      <c r="P70" s="27" t="s">
        <v>533</v>
      </c>
    </row>
    <row r="71" spans="1:17" ht="14.5" customHeight="1" x14ac:dyDescent="0.35">
      <c r="A71" s="23" t="s">
        <v>489</v>
      </c>
      <c r="B71" s="24" t="s">
        <v>366</v>
      </c>
      <c r="C71" s="24" t="s">
        <v>291</v>
      </c>
      <c r="D71" s="18">
        <v>44866</v>
      </c>
      <c r="E71" s="24" t="s">
        <v>316</v>
      </c>
      <c r="F71" s="24" t="s">
        <v>534</v>
      </c>
      <c r="G71" s="24" t="s">
        <v>492</v>
      </c>
      <c r="H71" s="24" t="s">
        <v>362</v>
      </c>
      <c r="I71" s="24" t="s">
        <v>493</v>
      </c>
      <c r="J71" s="24">
        <v>1</v>
      </c>
      <c r="K71" s="24" t="s">
        <v>310</v>
      </c>
      <c r="L71" s="24" t="s">
        <v>535</v>
      </c>
      <c r="N71" s="7" t="s">
        <v>303</v>
      </c>
      <c r="O71" s="18">
        <v>44869</v>
      </c>
      <c r="P71" s="123" t="s">
        <v>536</v>
      </c>
    </row>
    <row r="72" spans="1:17" ht="14.5" customHeight="1" x14ac:dyDescent="0.35">
      <c r="A72" s="23" t="s">
        <v>489</v>
      </c>
      <c r="B72" s="24" t="s">
        <v>537</v>
      </c>
      <c r="C72" s="24" t="s">
        <v>315</v>
      </c>
      <c r="D72" s="18">
        <v>44881</v>
      </c>
      <c r="E72" s="24" t="s">
        <v>316</v>
      </c>
      <c r="F72" s="24" t="s">
        <v>538</v>
      </c>
      <c r="G72" s="24" t="s">
        <v>492</v>
      </c>
      <c r="H72" s="24" t="s">
        <v>362</v>
      </c>
      <c r="I72" s="24" t="s">
        <v>493</v>
      </c>
      <c r="J72" s="24">
        <v>10</v>
      </c>
      <c r="K72" s="24" t="s">
        <v>310</v>
      </c>
      <c r="L72" s="24">
        <v>220929</v>
      </c>
      <c r="M72" s="18">
        <f>D72+20</f>
        <v>44901</v>
      </c>
      <c r="N72" s="7" t="s">
        <v>303</v>
      </c>
      <c r="O72" s="18">
        <v>44887</v>
      </c>
      <c r="P72" s="140" t="s">
        <v>539</v>
      </c>
    </row>
    <row r="73" spans="1:17" ht="14.5" customHeight="1" x14ac:dyDescent="0.3">
      <c r="A73" s="23" t="s">
        <v>489</v>
      </c>
      <c r="B73" s="24" t="s">
        <v>446</v>
      </c>
      <c r="C73" s="24" t="s">
        <v>540</v>
      </c>
      <c r="D73" s="18">
        <v>44881</v>
      </c>
      <c r="E73" s="24" t="s">
        <v>316</v>
      </c>
      <c r="F73" s="24" t="s">
        <v>497</v>
      </c>
      <c r="G73" s="24" t="s">
        <v>497</v>
      </c>
      <c r="H73" s="24" t="s">
        <v>362</v>
      </c>
      <c r="I73" s="24" t="s">
        <v>541</v>
      </c>
      <c r="J73" s="24">
        <v>5</v>
      </c>
      <c r="K73" s="24" t="s">
        <v>501</v>
      </c>
      <c r="L73" s="24" t="s">
        <v>542</v>
      </c>
      <c r="N73" s="7" t="s">
        <v>303</v>
      </c>
      <c r="O73" s="18">
        <v>44900</v>
      </c>
      <c r="P73" s="27" t="s">
        <v>543</v>
      </c>
    </row>
    <row r="74" spans="1:17" ht="14.5" customHeight="1" x14ac:dyDescent="0.35">
      <c r="A74" s="23" t="s">
        <v>489</v>
      </c>
      <c r="B74" s="29" t="s">
        <v>544</v>
      </c>
      <c r="C74" s="24" t="s">
        <v>315</v>
      </c>
      <c r="D74" s="18">
        <v>44929</v>
      </c>
      <c r="E74" s="24" t="s">
        <v>316</v>
      </c>
      <c r="F74" s="24" t="s">
        <v>538</v>
      </c>
      <c r="G74" s="24" t="s">
        <v>492</v>
      </c>
      <c r="H74" s="24" t="s">
        <v>362</v>
      </c>
      <c r="I74" s="24" t="s">
        <v>493</v>
      </c>
      <c r="J74" s="24">
        <v>20</v>
      </c>
      <c r="K74" s="24" t="s">
        <v>310</v>
      </c>
      <c r="O74" s="18"/>
      <c r="P74" s="140"/>
    </row>
    <row r="75" spans="1:17" ht="14.5" customHeight="1" x14ac:dyDescent="0.35">
      <c r="A75" s="23" t="s">
        <v>489</v>
      </c>
      <c r="B75" s="24" t="s">
        <v>524</v>
      </c>
      <c r="C75" s="24" t="s">
        <v>545</v>
      </c>
      <c r="D75" s="18">
        <v>44909</v>
      </c>
      <c r="E75" s="24" t="s">
        <v>465</v>
      </c>
      <c r="G75" s="24" t="s">
        <v>492</v>
      </c>
      <c r="H75" s="24" t="s">
        <v>362</v>
      </c>
      <c r="I75" s="24" t="s">
        <v>493</v>
      </c>
      <c r="J75" s="24">
        <v>9</v>
      </c>
      <c r="K75" s="24" t="s">
        <v>310</v>
      </c>
      <c r="O75" s="18"/>
      <c r="Q75" s="24" t="s">
        <v>546</v>
      </c>
    </row>
    <row r="76" spans="1:17" x14ac:dyDescent="0.35">
      <c r="A76" s="23" t="s">
        <v>489</v>
      </c>
      <c r="B76" s="24" t="s">
        <v>366</v>
      </c>
      <c r="C76" s="24" t="s">
        <v>291</v>
      </c>
      <c r="D76" s="18">
        <v>44812</v>
      </c>
      <c r="E76" s="24" t="s">
        <v>316</v>
      </c>
      <c r="F76" s="24" t="s">
        <v>317</v>
      </c>
      <c r="G76" s="24" t="s">
        <v>329</v>
      </c>
      <c r="H76" s="24" t="s">
        <v>326</v>
      </c>
      <c r="I76" s="24" t="s">
        <v>330</v>
      </c>
      <c r="J76" s="24">
        <v>1</v>
      </c>
      <c r="K76" s="24" t="s">
        <v>299</v>
      </c>
      <c r="L76" s="24" t="s">
        <v>547</v>
      </c>
      <c r="N76" s="7" t="s">
        <v>297</v>
      </c>
      <c r="O76" s="18"/>
      <c r="P76" s="24" t="s">
        <v>548</v>
      </c>
    </row>
    <row r="77" spans="1:17" ht="14.5" customHeight="1" x14ac:dyDescent="0.3">
      <c r="A77" s="23" t="s">
        <v>549</v>
      </c>
      <c r="B77" s="24" t="s">
        <v>446</v>
      </c>
      <c r="C77" s="24" t="s">
        <v>540</v>
      </c>
      <c r="D77" s="18">
        <v>44813</v>
      </c>
      <c r="E77" s="24" t="s">
        <v>465</v>
      </c>
      <c r="F77" s="24" t="s">
        <v>550</v>
      </c>
      <c r="G77" s="24" t="s">
        <v>497</v>
      </c>
      <c r="H77" s="24" t="s">
        <v>362</v>
      </c>
      <c r="I77" s="24" t="s">
        <v>320</v>
      </c>
      <c r="J77" s="24">
        <v>6</v>
      </c>
      <c r="K77" s="24" t="s">
        <v>310</v>
      </c>
      <c r="L77" s="24" t="s">
        <v>551</v>
      </c>
      <c r="M77" s="18">
        <f>D77+37</f>
        <v>44850</v>
      </c>
      <c r="N77" s="7" t="s">
        <v>454</v>
      </c>
      <c r="O77" s="18">
        <v>44840</v>
      </c>
      <c r="P77" s="27" t="s">
        <v>552</v>
      </c>
    </row>
    <row r="78" spans="1:17" ht="14.5" customHeight="1" x14ac:dyDescent="0.3">
      <c r="A78" s="23" t="s">
        <v>549</v>
      </c>
      <c r="B78" s="24" t="s">
        <v>446</v>
      </c>
      <c r="C78" s="24" t="s">
        <v>540</v>
      </c>
      <c r="D78" s="18">
        <v>44887</v>
      </c>
      <c r="E78" s="24" t="s">
        <v>465</v>
      </c>
      <c r="F78" s="24" t="s">
        <v>553</v>
      </c>
      <c r="G78" s="24" t="s">
        <v>497</v>
      </c>
      <c r="H78" s="24" t="s">
        <v>362</v>
      </c>
      <c r="I78" s="24" t="s">
        <v>320</v>
      </c>
      <c r="J78" s="24">
        <v>5</v>
      </c>
      <c r="K78" s="24" t="s">
        <v>310</v>
      </c>
      <c r="L78" s="24" t="s">
        <v>554</v>
      </c>
      <c r="N78" s="7" t="s">
        <v>454</v>
      </c>
      <c r="O78" s="18">
        <v>44900</v>
      </c>
      <c r="P78" s="27" t="s">
        <v>543</v>
      </c>
    </row>
    <row r="79" spans="1:17" ht="14.5" customHeight="1" x14ac:dyDescent="0.35">
      <c r="A79" s="23" t="s">
        <v>549</v>
      </c>
      <c r="B79" s="24" t="s">
        <v>446</v>
      </c>
      <c r="C79" s="24" t="s">
        <v>540</v>
      </c>
      <c r="E79" s="24" t="s">
        <v>465</v>
      </c>
      <c r="F79" s="24" t="s">
        <v>553</v>
      </c>
      <c r="G79" s="24" t="s">
        <v>497</v>
      </c>
      <c r="H79" s="24" t="s">
        <v>362</v>
      </c>
      <c r="I79" s="24" t="s">
        <v>320</v>
      </c>
      <c r="J79" s="24">
        <v>5</v>
      </c>
      <c r="K79" s="24" t="s">
        <v>310</v>
      </c>
      <c r="L79" s="24" t="s">
        <v>555</v>
      </c>
      <c r="N79" s="7" t="s">
        <v>454</v>
      </c>
      <c r="O79" s="18">
        <v>44909</v>
      </c>
      <c r="P79" s="121" t="s">
        <v>556</v>
      </c>
      <c r="Q79" s="24" t="s">
        <v>557</v>
      </c>
    </row>
    <row r="80" spans="1:17" ht="14.5" customHeight="1" x14ac:dyDescent="0.35">
      <c r="A80" s="23" t="s">
        <v>549</v>
      </c>
      <c r="B80" s="29" t="s">
        <v>558</v>
      </c>
      <c r="C80" s="24" t="s">
        <v>540</v>
      </c>
      <c r="E80" s="24" t="s">
        <v>465</v>
      </c>
      <c r="F80" s="24" t="s">
        <v>559</v>
      </c>
      <c r="G80" s="24" t="s">
        <v>497</v>
      </c>
      <c r="H80" s="24" t="s">
        <v>362</v>
      </c>
      <c r="I80" s="24" t="s">
        <v>320</v>
      </c>
      <c r="J80" s="24">
        <v>2</v>
      </c>
      <c r="K80" s="24" t="s">
        <v>310</v>
      </c>
      <c r="L80" s="24">
        <v>2210191809</v>
      </c>
      <c r="N80" s="7" t="s">
        <v>454</v>
      </c>
      <c r="O80" s="18">
        <v>44946</v>
      </c>
      <c r="P80" s="123" t="s">
        <v>560</v>
      </c>
      <c r="Q80" s="24" t="s">
        <v>561</v>
      </c>
    </row>
    <row r="81" spans="1:17" ht="14.5" customHeight="1" x14ac:dyDescent="0.35">
      <c r="A81" s="23" t="s">
        <v>549</v>
      </c>
      <c r="B81" s="29" t="s">
        <v>558</v>
      </c>
      <c r="C81" s="24" t="s">
        <v>540</v>
      </c>
      <c r="E81" s="24" t="s">
        <v>465</v>
      </c>
      <c r="F81" s="24" t="s">
        <v>562</v>
      </c>
      <c r="G81" s="24" t="s">
        <v>497</v>
      </c>
      <c r="H81" s="24" t="s">
        <v>362</v>
      </c>
      <c r="I81" s="24" t="s">
        <v>320</v>
      </c>
      <c r="J81" s="24">
        <v>4</v>
      </c>
      <c r="K81" s="24" t="s">
        <v>310</v>
      </c>
      <c r="L81" s="24" t="s">
        <v>563</v>
      </c>
      <c r="N81" s="7" t="s">
        <v>454</v>
      </c>
      <c r="O81" s="18">
        <v>44950</v>
      </c>
      <c r="P81" s="123" t="s">
        <v>564</v>
      </c>
    </row>
    <row r="82" spans="1:17" ht="14.5" customHeight="1" x14ac:dyDescent="0.35">
      <c r="A82" s="23" t="s">
        <v>549</v>
      </c>
      <c r="B82" s="29" t="s">
        <v>565</v>
      </c>
      <c r="C82" s="24" t="s">
        <v>540</v>
      </c>
      <c r="D82"/>
      <c r="E82" s="24" t="s">
        <v>465</v>
      </c>
      <c r="F82" s="24" t="s">
        <v>566</v>
      </c>
      <c r="G82" s="24" t="s">
        <v>497</v>
      </c>
      <c r="H82" s="24" t="s">
        <v>362</v>
      </c>
      <c r="I82" s="24" t="s">
        <v>320</v>
      </c>
      <c r="J82" s="24" t="s">
        <v>567</v>
      </c>
      <c r="K82" s="24" t="s">
        <v>310</v>
      </c>
      <c r="L82" s="24" t="s">
        <v>568</v>
      </c>
      <c r="N82" s="7" t="s">
        <v>303</v>
      </c>
      <c r="O82" s="18">
        <v>44960</v>
      </c>
      <c r="P82" s="143" t="s">
        <v>569</v>
      </c>
      <c r="Q82" s="24" t="s">
        <v>570</v>
      </c>
    </row>
    <row r="83" spans="1:17" ht="14.5" customHeight="1" x14ac:dyDescent="0.35">
      <c r="A83" s="23" t="s">
        <v>549</v>
      </c>
      <c r="B83" s="29" t="s">
        <v>565</v>
      </c>
      <c r="C83" s="24" t="s">
        <v>540</v>
      </c>
      <c r="D83"/>
      <c r="E83" s="24" t="s">
        <v>465</v>
      </c>
      <c r="F83" s="24" t="s">
        <v>566</v>
      </c>
      <c r="G83" s="24" t="s">
        <v>497</v>
      </c>
      <c r="H83" s="24" t="s">
        <v>362</v>
      </c>
      <c r="I83" s="24" t="s">
        <v>320</v>
      </c>
      <c r="J83" s="24" t="s">
        <v>571</v>
      </c>
      <c r="K83" s="24" t="s">
        <v>310</v>
      </c>
      <c r="L83" s="24" t="s">
        <v>568</v>
      </c>
      <c r="N83" s="7" t="s">
        <v>303</v>
      </c>
      <c r="O83" s="18">
        <v>44970</v>
      </c>
      <c r="P83" s="146" t="s">
        <v>572</v>
      </c>
      <c r="Q83" s="24" t="s">
        <v>573</v>
      </c>
    </row>
    <row r="84" spans="1:17" x14ac:dyDescent="0.35">
      <c r="A84" s="23" t="s">
        <v>549</v>
      </c>
      <c r="B84" s="24" t="s">
        <v>574</v>
      </c>
      <c r="C84" s="24" t="s">
        <v>315</v>
      </c>
      <c r="D84" s="18">
        <v>44972</v>
      </c>
      <c r="E84" s="24" t="s">
        <v>316</v>
      </c>
      <c r="F84" s="24" t="s">
        <v>333</v>
      </c>
      <c r="G84" s="24" t="s">
        <v>497</v>
      </c>
      <c r="H84" s="24" t="s">
        <v>362</v>
      </c>
      <c r="I84" s="24" t="s">
        <v>320</v>
      </c>
      <c r="J84" s="24">
        <v>20</v>
      </c>
      <c r="K84" s="24" t="s">
        <v>447</v>
      </c>
      <c r="L84" s="24">
        <v>230130</v>
      </c>
      <c r="M84" s="18">
        <v>45000</v>
      </c>
      <c r="N84" s="7" t="s">
        <v>297</v>
      </c>
      <c r="O84" s="18">
        <v>44988</v>
      </c>
      <c r="P84" s="147" t="s">
        <v>575</v>
      </c>
      <c r="Q84" s="24" t="s">
        <v>576</v>
      </c>
    </row>
    <row r="85" spans="1:17" ht="14.5" customHeight="1" x14ac:dyDescent="0.3">
      <c r="A85" s="23" t="s">
        <v>549</v>
      </c>
      <c r="B85" s="24" t="s">
        <v>577</v>
      </c>
      <c r="C85" s="24" t="s">
        <v>540</v>
      </c>
      <c r="D85" s="18">
        <v>44951</v>
      </c>
      <c r="E85" s="24" t="s">
        <v>465</v>
      </c>
      <c r="F85" s="24" t="s">
        <v>566</v>
      </c>
      <c r="G85" s="24" t="s">
        <v>497</v>
      </c>
      <c r="H85" s="24" t="s">
        <v>362</v>
      </c>
      <c r="I85" s="24" t="s">
        <v>320</v>
      </c>
      <c r="J85" s="24">
        <v>3</v>
      </c>
      <c r="K85" s="24" t="s">
        <v>310</v>
      </c>
      <c r="N85" s="7" t="s">
        <v>297</v>
      </c>
      <c r="O85" s="18">
        <v>44988</v>
      </c>
      <c r="P85" s="27" t="s">
        <v>578</v>
      </c>
    </row>
    <row r="86" spans="1:17" x14ac:dyDescent="0.35">
      <c r="A86" s="23" t="s">
        <v>579</v>
      </c>
      <c r="B86" s="24" t="s">
        <v>580</v>
      </c>
      <c r="C86" s="24" t="s">
        <v>315</v>
      </c>
      <c r="D86" s="18">
        <v>44727</v>
      </c>
      <c r="E86" s="24" t="s">
        <v>316</v>
      </c>
      <c r="F86" s="24" t="s">
        <v>316</v>
      </c>
      <c r="G86" s="24" t="s">
        <v>398</v>
      </c>
      <c r="H86" s="24" t="s">
        <v>399</v>
      </c>
      <c r="I86" s="24" t="s">
        <v>581</v>
      </c>
      <c r="J86" s="24">
        <v>2</v>
      </c>
      <c r="K86" s="24" t="s">
        <v>336</v>
      </c>
      <c r="L86" s="24" t="s">
        <v>582</v>
      </c>
      <c r="M86" s="18">
        <f>D86+20</f>
        <v>44747</v>
      </c>
      <c r="N86" s="7" t="s">
        <v>297</v>
      </c>
      <c r="O86" s="18">
        <v>44728</v>
      </c>
      <c r="P86" s="24" t="s">
        <v>583</v>
      </c>
    </row>
    <row r="87" spans="1:17" ht="14.5" customHeight="1" x14ac:dyDescent="0.25">
      <c r="A87" s="23" t="s">
        <v>584</v>
      </c>
      <c r="B87" s="24" t="s">
        <v>104</v>
      </c>
      <c r="C87" s="24" t="s">
        <v>585</v>
      </c>
      <c r="E87" s="24" t="s">
        <v>465</v>
      </c>
      <c r="G87" s="24" t="s">
        <v>309</v>
      </c>
      <c r="I87" s="24" t="s">
        <v>406</v>
      </c>
      <c r="J87" s="24">
        <v>3</v>
      </c>
      <c r="K87" s="24" t="s">
        <v>447</v>
      </c>
      <c r="L87" s="24" t="s">
        <v>586</v>
      </c>
      <c r="N87" s="7" t="s">
        <v>303</v>
      </c>
      <c r="O87" s="18">
        <v>44929</v>
      </c>
      <c r="P87" s="141" t="s">
        <v>587</v>
      </c>
    </row>
    <row r="88" spans="1:17" x14ac:dyDescent="0.35">
      <c r="A88" s="23" t="s">
        <v>588</v>
      </c>
      <c r="B88" s="24" t="s">
        <v>104</v>
      </c>
      <c r="C88" s="24" t="s">
        <v>291</v>
      </c>
      <c r="D88" s="18">
        <v>44717</v>
      </c>
      <c r="E88" s="24" t="s">
        <v>30</v>
      </c>
      <c r="F88" s="24" t="s">
        <v>589</v>
      </c>
      <c r="G88" s="24" t="s">
        <v>590</v>
      </c>
      <c r="H88" s="24" t="s">
        <v>591</v>
      </c>
      <c r="I88" s="24" t="s">
        <v>592</v>
      </c>
      <c r="J88" s="24">
        <v>1</v>
      </c>
      <c r="K88" s="24" t="s">
        <v>593</v>
      </c>
      <c r="L88" s="24" t="s">
        <v>401</v>
      </c>
      <c r="M88" s="18">
        <f>D88+20</f>
        <v>44737</v>
      </c>
      <c r="N88" s="7" t="s">
        <v>454</v>
      </c>
      <c r="P88" s="148"/>
    </row>
    <row r="89" spans="1:17" x14ac:dyDescent="0.35">
      <c r="A89" s="23" t="s">
        <v>594</v>
      </c>
      <c r="B89" s="24" t="s">
        <v>104</v>
      </c>
      <c r="C89" s="24" t="s">
        <v>291</v>
      </c>
      <c r="D89" s="18">
        <v>44740</v>
      </c>
      <c r="E89" s="24" t="s">
        <v>30</v>
      </c>
      <c r="G89" s="24" t="s">
        <v>309</v>
      </c>
      <c r="H89" s="24" t="s">
        <v>104</v>
      </c>
      <c r="I89" s="24" t="s">
        <v>595</v>
      </c>
      <c r="J89" s="24">
        <v>1</v>
      </c>
      <c r="K89" s="24" t="s">
        <v>310</v>
      </c>
      <c r="L89" s="24" t="s">
        <v>596</v>
      </c>
      <c r="M89" s="18">
        <f>D89+20</f>
        <v>44760</v>
      </c>
      <c r="N89" s="7" t="s">
        <v>297</v>
      </c>
      <c r="O89" s="18">
        <v>44741</v>
      </c>
      <c r="P89" s="24" t="s">
        <v>597</v>
      </c>
    </row>
    <row r="90" spans="1:17" ht="14.5" customHeight="1" x14ac:dyDescent="0.35">
      <c r="A90" s="23" t="s">
        <v>594</v>
      </c>
      <c r="B90" s="24" t="s">
        <v>104</v>
      </c>
      <c r="C90" s="24" t="s">
        <v>291</v>
      </c>
      <c r="D90" s="18">
        <v>44740</v>
      </c>
      <c r="E90" s="24" t="s">
        <v>30</v>
      </c>
      <c r="G90" s="24" t="s">
        <v>309</v>
      </c>
      <c r="H90" s="24" t="s">
        <v>104</v>
      </c>
      <c r="I90" s="24" t="s">
        <v>595</v>
      </c>
      <c r="J90" s="24">
        <v>1</v>
      </c>
      <c r="K90" s="24" t="s">
        <v>310</v>
      </c>
      <c r="L90" s="24" t="s">
        <v>598</v>
      </c>
      <c r="M90" s="18">
        <f>D90+20</f>
        <v>44760</v>
      </c>
      <c r="N90" s="7" t="s">
        <v>297</v>
      </c>
      <c r="O90" s="18">
        <v>44741</v>
      </c>
      <c r="P90" s="24" t="s">
        <v>597</v>
      </c>
    </row>
    <row r="91" spans="1:17" x14ac:dyDescent="0.35">
      <c r="A91" s="23" t="s">
        <v>599</v>
      </c>
      <c r="B91" s="24" t="s">
        <v>104</v>
      </c>
      <c r="C91" s="24" t="s">
        <v>366</v>
      </c>
      <c r="D91" s="18">
        <v>44930</v>
      </c>
      <c r="E91" s="24" t="s">
        <v>316</v>
      </c>
      <c r="F91" s="24" t="s">
        <v>333</v>
      </c>
      <c r="G91" s="24" t="s">
        <v>600</v>
      </c>
      <c r="H91" s="24" t="s">
        <v>362</v>
      </c>
      <c r="J91" s="24" t="s">
        <v>601</v>
      </c>
      <c r="K91" s="24" t="s">
        <v>310</v>
      </c>
      <c r="L91" s="24" t="s">
        <v>602</v>
      </c>
      <c r="M91" s="18">
        <f>Table2[[#This Row],[Date acknowleded]]+15</f>
        <v>44945</v>
      </c>
      <c r="N91" s="7" t="s">
        <v>297</v>
      </c>
      <c r="O91" s="18">
        <v>44938</v>
      </c>
      <c r="P91" s="91" t="s">
        <v>603</v>
      </c>
    </row>
    <row r="92" spans="1:17" ht="23.5" x14ac:dyDescent="0.55000000000000004">
      <c r="A92" s="23" t="s">
        <v>599</v>
      </c>
      <c r="B92" s="24" t="s">
        <v>104</v>
      </c>
      <c r="C92" s="24" t="s">
        <v>604</v>
      </c>
      <c r="E92" s="24" t="s">
        <v>316</v>
      </c>
      <c r="F92" s="24" t="s">
        <v>333</v>
      </c>
      <c r="G92" s="24" t="s">
        <v>600</v>
      </c>
      <c r="H92" s="24" t="s">
        <v>362</v>
      </c>
      <c r="J92" s="24">
        <v>5</v>
      </c>
      <c r="K92" s="24" t="s">
        <v>310</v>
      </c>
      <c r="L92" s="24" t="s">
        <v>605</v>
      </c>
      <c r="N92" s="7" t="s">
        <v>297</v>
      </c>
      <c r="O92" s="18">
        <v>45002</v>
      </c>
      <c r="P92" s="149" t="s">
        <v>606</v>
      </c>
    </row>
    <row r="93" spans="1:17" x14ac:dyDescent="0.35">
      <c r="O93" s="18"/>
    </row>
    <row r="94" spans="1:17" x14ac:dyDescent="0.35">
      <c r="A94" s="23" t="s">
        <v>607</v>
      </c>
      <c r="B94" s="24" t="s">
        <v>104</v>
      </c>
      <c r="C94" s="24" t="s">
        <v>291</v>
      </c>
      <c r="D94" s="18">
        <v>44812</v>
      </c>
      <c r="E94" s="24" t="s">
        <v>360</v>
      </c>
      <c r="F94" s="24" t="s">
        <v>333</v>
      </c>
      <c r="G94" s="24" t="s">
        <v>309</v>
      </c>
      <c r="H94" s="24" t="s">
        <v>104</v>
      </c>
      <c r="I94" s="24" t="s">
        <v>608</v>
      </c>
      <c r="J94" s="24">
        <v>4</v>
      </c>
      <c r="K94" s="24" t="s">
        <v>609</v>
      </c>
      <c r="L94" s="24" t="s">
        <v>610</v>
      </c>
      <c r="M94" s="18">
        <v>44820</v>
      </c>
      <c r="N94" s="7" t="s">
        <v>297</v>
      </c>
      <c r="O94" s="18">
        <v>44819</v>
      </c>
      <c r="P94" s="91" t="s">
        <v>611</v>
      </c>
    </row>
    <row r="95" spans="1:17" ht="14.5" customHeight="1" x14ac:dyDescent="0.35">
      <c r="A95" s="23" t="s">
        <v>607</v>
      </c>
      <c r="B95" s="24" t="s">
        <v>104</v>
      </c>
      <c r="C95" s="24" t="s">
        <v>291</v>
      </c>
      <c r="D95" s="18">
        <v>44812</v>
      </c>
      <c r="E95" s="24" t="s">
        <v>340</v>
      </c>
      <c r="F95" s="24" t="s">
        <v>333</v>
      </c>
      <c r="G95" s="24" t="s">
        <v>309</v>
      </c>
      <c r="H95" s="24" t="s">
        <v>104</v>
      </c>
      <c r="I95" s="24" t="s">
        <v>608</v>
      </c>
      <c r="J95" s="24">
        <v>4</v>
      </c>
      <c r="K95" s="24" t="s">
        <v>609</v>
      </c>
      <c r="L95" s="24" t="s">
        <v>612</v>
      </c>
      <c r="M95" s="18">
        <v>44820</v>
      </c>
      <c r="N95" s="7" t="s">
        <v>297</v>
      </c>
      <c r="O95" s="18">
        <v>44819</v>
      </c>
      <c r="P95" s="91" t="s">
        <v>611</v>
      </c>
    </row>
    <row r="96" spans="1:17" x14ac:dyDescent="0.35">
      <c r="A96" s="23" t="s">
        <v>607</v>
      </c>
      <c r="B96" s="24" t="s">
        <v>104</v>
      </c>
      <c r="C96" s="24" t="s">
        <v>291</v>
      </c>
      <c r="D96" s="18">
        <v>44812</v>
      </c>
      <c r="E96" s="24" t="s">
        <v>360</v>
      </c>
      <c r="F96" s="24" t="s">
        <v>333</v>
      </c>
      <c r="G96" s="24" t="s">
        <v>309</v>
      </c>
      <c r="H96" s="24" t="s">
        <v>104</v>
      </c>
      <c r="I96" s="24" t="s">
        <v>608</v>
      </c>
      <c r="J96" s="24">
        <v>4</v>
      </c>
      <c r="K96" s="24" t="s">
        <v>609</v>
      </c>
      <c r="L96" s="24" t="s">
        <v>613</v>
      </c>
      <c r="M96" s="18">
        <v>44820</v>
      </c>
      <c r="N96" s="7" t="s">
        <v>297</v>
      </c>
      <c r="O96" s="18">
        <v>44819</v>
      </c>
      <c r="P96" s="91" t="s">
        <v>611</v>
      </c>
    </row>
    <row r="97" spans="1:19" ht="14.5" customHeight="1" x14ac:dyDescent="0.35">
      <c r="A97" s="23" t="s">
        <v>614</v>
      </c>
      <c r="B97" s="24" t="s">
        <v>104</v>
      </c>
      <c r="C97" s="24" t="s">
        <v>366</v>
      </c>
      <c r="D97" s="18">
        <v>44880</v>
      </c>
      <c r="E97" s="24" t="s">
        <v>316</v>
      </c>
      <c r="F97" s="24" t="s">
        <v>333</v>
      </c>
      <c r="G97" s="24" t="s">
        <v>334</v>
      </c>
      <c r="H97" s="24" t="s">
        <v>104</v>
      </c>
      <c r="I97" s="24" t="s">
        <v>369</v>
      </c>
      <c r="J97" s="24">
        <v>1</v>
      </c>
      <c r="K97" s="24" t="s">
        <v>389</v>
      </c>
      <c r="L97" s="24" t="s">
        <v>615</v>
      </c>
      <c r="N97" s="7" t="s">
        <v>297</v>
      </c>
      <c r="O97" s="18">
        <f>D97+15</f>
        <v>44895</v>
      </c>
      <c r="P97" s="24" t="s">
        <v>616</v>
      </c>
    </row>
    <row r="98" spans="1:19" ht="14.5" customHeight="1" x14ac:dyDescent="0.35">
      <c r="A98" s="23" t="s">
        <v>617</v>
      </c>
      <c r="B98" s="24" t="s">
        <v>104</v>
      </c>
      <c r="C98" s="24" t="s">
        <v>366</v>
      </c>
      <c r="D98" s="18">
        <v>44880</v>
      </c>
      <c r="E98" s="24" t="s">
        <v>316</v>
      </c>
      <c r="F98" s="24" t="s">
        <v>333</v>
      </c>
      <c r="G98" s="24" t="s">
        <v>334</v>
      </c>
      <c r="H98" s="24" t="s">
        <v>104</v>
      </c>
      <c r="I98" s="24" t="s">
        <v>369</v>
      </c>
      <c r="J98" s="24">
        <v>1</v>
      </c>
      <c r="K98" s="24" t="s">
        <v>389</v>
      </c>
      <c r="L98" s="24" t="s">
        <v>618</v>
      </c>
      <c r="N98" s="7" t="s">
        <v>297</v>
      </c>
      <c r="O98" s="18">
        <f>D98+15</f>
        <v>44895</v>
      </c>
      <c r="P98" s="24" t="s">
        <v>619</v>
      </c>
    </row>
    <row r="99" spans="1:19" ht="14.5" customHeight="1" x14ac:dyDescent="0.35">
      <c r="A99" s="23" t="s">
        <v>620</v>
      </c>
      <c r="B99" s="24" t="s">
        <v>104</v>
      </c>
      <c r="C99" s="24" t="s">
        <v>291</v>
      </c>
      <c r="D99" s="18">
        <v>44908</v>
      </c>
      <c r="E99" s="24" t="s">
        <v>316</v>
      </c>
      <c r="F99" s="24" t="s">
        <v>333</v>
      </c>
      <c r="G99" s="24" t="s">
        <v>318</v>
      </c>
      <c r="H99" s="24" t="s">
        <v>319</v>
      </c>
      <c r="I99" s="24" t="s">
        <v>320</v>
      </c>
      <c r="J99" s="24">
        <v>4</v>
      </c>
      <c r="K99" s="24" t="s">
        <v>299</v>
      </c>
      <c r="M99" s="18">
        <f>Table2[[#This Row],[Date acknowleded]]+15</f>
        <v>44923</v>
      </c>
      <c r="N99" s="7" t="s">
        <v>303</v>
      </c>
      <c r="O99" s="18">
        <v>44949</v>
      </c>
      <c r="P99" s="24" t="s">
        <v>621</v>
      </c>
    </row>
    <row r="100" spans="1:19" ht="14.5" customHeight="1" x14ac:dyDescent="0.35">
      <c r="A100" s="23" t="s">
        <v>622</v>
      </c>
      <c r="B100" s="24" t="s">
        <v>104</v>
      </c>
      <c r="C100" s="24" t="s">
        <v>291</v>
      </c>
      <c r="D100" s="18">
        <v>44781</v>
      </c>
      <c r="E100" s="24" t="s">
        <v>30</v>
      </c>
      <c r="F100" s="24" t="s">
        <v>350</v>
      </c>
      <c r="G100" s="24" t="s">
        <v>351</v>
      </c>
      <c r="H100" s="24" t="s">
        <v>352</v>
      </c>
      <c r="I100" s="24" t="s">
        <v>320</v>
      </c>
      <c r="J100" s="24">
        <v>1</v>
      </c>
      <c r="K100" s="24" t="s">
        <v>623</v>
      </c>
      <c r="L100" s="24" t="s">
        <v>624</v>
      </c>
      <c r="M100" s="18">
        <f>D100+10</f>
        <v>44791</v>
      </c>
      <c r="N100" s="7" t="s">
        <v>297</v>
      </c>
      <c r="O100" s="18">
        <v>44795</v>
      </c>
      <c r="P100" s="58" t="s">
        <v>625</v>
      </c>
      <c r="Q100" s="18">
        <v>44860</v>
      </c>
      <c r="R100" s="24" t="s">
        <v>426</v>
      </c>
      <c r="S100" s="24" t="s">
        <v>626</v>
      </c>
    </row>
    <row r="101" spans="1:19" x14ac:dyDescent="0.35">
      <c r="A101" s="23" t="s">
        <v>622</v>
      </c>
      <c r="B101" s="24" t="s">
        <v>104</v>
      </c>
      <c r="C101" s="24" t="s">
        <v>291</v>
      </c>
      <c r="D101" s="18">
        <v>44781</v>
      </c>
      <c r="E101" s="24" t="s">
        <v>30</v>
      </c>
      <c r="F101" s="24" t="s">
        <v>350</v>
      </c>
      <c r="G101" s="24" t="s">
        <v>351</v>
      </c>
      <c r="H101" s="24" t="s">
        <v>352</v>
      </c>
      <c r="I101" s="24" t="s">
        <v>320</v>
      </c>
      <c r="J101" s="24">
        <v>1</v>
      </c>
      <c r="K101" s="24" t="s">
        <v>623</v>
      </c>
      <c r="L101" s="24" t="s">
        <v>627</v>
      </c>
      <c r="M101" s="18">
        <f>D101+10</f>
        <v>44791</v>
      </c>
      <c r="N101" s="7" t="s">
        <v>628</v>
      </c>
      <c r="O101" s="18"/>
      <c r="P101" s="148"/>
    </row>
    <row r="102" spans="1:19" ht="14.5" customHeight="1" x14ac:dyDescent="0.25">
      <c r="A102" s="23" t="s">
        <v>629</v>
      </c>
      <c r="B102" s="24" t="s">
        <v>630</v>
      </c>
      <c r="C102" s="24" t="s">
        <v>315</v>
      </c>
      <c r="D102" s="18">
        <v>44734</v>
      </c>
      <c r="E102" s="24" t="s">
        <v>30</v>
      </c>
      <c r="G102" s="24" t="s">
        <v>590</v>
      </c>
      <c r="H102" s="24" t="s">
        <v>104</v>
      </c>
      <c r="I102" s="24" t="s">
        <v>631</v>
      </c>
      <c r="J102" s="24">
        <v>3</v>
      </c>
      <c r="K102" s="24" t="s">
        <v>336</v>
      </c>
      <c r="L102" s="24" t="s">
        <v>401</v>
      </c>
      <c r="M102" s="18">
        <f>D102+20</f>
        <v>44754</v>
      </c>
      <c r="N102" s="7" t="s">
        <v>297</v>
      </c>
      <c r="O102" s="18">
        <v>44740</v>
      </c>
      <c r="P102" s="26" t="s">
        <v>632</v>
      </c>
    </row>
    <row r="103" spans="1:19" ht="14.5" customHeight="1" x14ac:dyDescent="0.25">
      <c r="A103" s="23" t="s">
        <v>629</v>
      </c>
      <c r="B103" s="24" t="s">
        <v>630</v>
      </c>
      <c r="C103" s="24" t="s">
        <v>315</v>
      </c>
      <c r="D103" s="18">
        <v>44734</v>
      </c>
      <c r="E103" s="24" t="s">
        <v>30</v>
      </c>
      <c r="G103" s="24" t="s">
        <v>398</v>
      </c>
      <c r="H103" s="24" t="s">
        <v>399</v>
      </c>
      <c r="I103" s="24" t="s">
        <v>631</v>
      </c>
      <c r="J103" s="24">
        <v>3</v>
      </c>
      <c r="K103" s="24" t="s">
        <v>336</v>
      </c>
      <c r="L103" s="24" t="s">
        <v>401</v>
      </c>
      <c r="M103" s="18">
        <f>D103+20</f>
        <v>44754</v>
      </c>
      <c r="N103" s="7" t="s">
        <v>297</v>
      </c>
      <c r="O103" s="18">
        <v>44740</v>
      </c>
      <c r="P103" s="26" t="s">
        <v>632</v>
      </c>
    </row>
    <row r="104" spans="1:19" x14ac:dyDescent="0.35">
      <c r="A104" s="23" t="s">
        <v>633</v>
      </c>
      <c r="B104" s="29">
        <v>22103028</v>
      </c>
      <c r="C104" s="24" t="s">
        <v>315</v>
      </c>
      <c r="D104" s="18">
        <v>44866</v>
      </c>
      <c r="E104" s="24" t="s">
        <v>634</v>
      </c>
      <c r="F104" s="24" t="s">
        <v>635</v>
      </c>
      <c r="G104" s="24" t="s">
        <v>334</v>
      </c>
      <c r="H104" s="24" t="s">
        <v>104</v>
      </c>
      <c r="I104" s="24" t="s">
        <v>369</v>
      </c>
      <c r="J104" s="24">
        <v>16</v>
      </c>
      <c r="K104" s="24" t="s">
        <v>636</v>
      </c>
      <c r="L104" s="24" t="s">
        <v>637</v>
      </c>
      <c r="M104" s="18">
        <f>D104+21</f>
        <v>44887</v>
      </c>
      <c r="N104" s="7" t="s">
        <v>297</v>
      </c>
      <c r="O104" s="18">
        <v>44876</v>
      </c>
      <c r="P104" s="24" t="s">
        <v>638</v>
      </c>
    </row>
    <row r="105" spans="1:19" ht="15" customHeight="1" x14ac:dyDescent="0.35">
      <c r="A105" s="23" t="s">
        <v>639</v>
      </c>
      <c r="B105" s="24" t="s">
        <v>104</v>
      </c>
      <c r="C105" s="24" t="s">
        <v>291</v>
      </c>
      <c r="D105" s="18">
        <v>44781</v>
      </c>
      <c r="E105" s="24" t="s">
        <v>30</v>
      </c>
      <c r="F105" s="24" t="s">
        <v>640</v>
      </c>
      <c r="G105" s="24" t="s">
        <v>309</v>
      </c>
      <c r="H105" s="24" t="s">
        <v>104</v>
      </c>
      <c r="I105" s="24" t="s">
        <v>320</v>
      </c>
      <c r="J105" s="24">
        <v>1</v>
      </c>
      <c r="K105" s="24" t="s">
        <v>389</v>
      </c>
      <c r="L105" s="24" t="s">
        <v>641</v>
      </c>
      <c r="M105" s="18">
        <f>D105+20</f>
        <v>44801</v>
      </c>
      <c r="N105" s="7" t="s">
        <v>297</v>
      </c>
      <c r="O105" s="18">
        <v>44789</v>
      </c>
      <c r="P105" s="24" t="s">
        <v>642</v>
      </c>
    </row>
    <row r="106" spans="1:19" ht="14.5" customHeight="1" x14ac:dyDescent="0.35">
      <c r="A106" s="23" t="s">
        <v>639</v>
      </c>
      <c r="B106" s="24" t="s">
        <v>104</v>
      </c>
      <c r="C106" s="24" t="s">
        <v>291</v>
      </c>
      <c r="D106" s="18">
        <v>44781</v>
      </c>
      <c r="E106" s="24" t="s">
        <v>30</v>
      </c>
      <c r="F106" s="24" t="s">
        <v>643</v>
      </c>
      <c r="G106" s="24" t="s">
        <v>590</v>
      </c>
      <c r="I106" s="24" t="s">
        <v>320</v>
      </c>
      <c r="J106" s="24">
        <v>1</v>
      </c>
      <c r="K106" s="24" t="s">
        <v>389</v>
      </c>
      <c r="L106" s="24" t="s">
        <v>644</v>
      </c>
      <c r="M106" s="18">
        <f>D106+20</f>
        <v>44801</v>
      </c>
      <c r="N106" s="7" t="s">
        <v>297</v>
      </c>
      <c r="O106" s="18">
        <v>44789</v>
      </c>
      <c r="P106" s="24" t="s">
        <v>642</v>
      </c>
    </row>
    <row r="107" spans="1:19" x14ac:dyDescent="0.35">
      <c r="A107" s="23" t="s">
        <v>639</v>
      </c>
      <c r="B107" s="24" t="s">
        <v>104</v>
      </c>
      <c r="C107" s="24" t="s">
        <v>291</v>
      </c>
      <c r="D107" s="18">
        <v>44781</v>
      </c>
      <c r="E107" s="24" t="s">
        <v>30</v>
      </c>
      <c r="F107" s="24" t="s">
        <v>643</v>
      </c>
      <c r="G107" s="24" t="s">
        <v>590</v>
      </c>
      <c r="I107" s="24" t="s">
        <v>320</v>
      </c>
      <c r="J107" s="24">
        <v>1</v>
      </c>
      <c r="K107" s="24" t="s">
        <v>389</v>
      </c>
      <c r="L107" s="24" t="s">
        <v>645</v>
      </c>
      <c r="M107" s="18">
        <f>D107+20</f>
        <v>44801</v>
      </c>
      <c r="N107" s="7" t="s">
        <v>297</v>
      </c>
      <c r="O107" s="18">
        <v>44789</v>
      </c>
      <c r="P107" s="24" t="s">
        <v>642</v>
      </c>
    </row>
    <row r="108" spans="1:19" x14ac:dyDescent="0.35">
      <c r="A108" s="23" t="s">
        <v>639</v>
      </c>
      <c r="B108" t="s">
        <v>646</v>
      </c>
      <c r="D108" s="18">
        <v>44932</v>
      </c>
      <c r="F108" s="24" t="s">
        <v>647</v>
      </c>
      <c r="G108" s="24" t="s">
        <v>309</v>
      </c>
      <c r="H108" s="24" t="s">
        <v>446</v>
      </c>
      <c r="I108" s="24" t="s">
        <v>406</v>
      </c>
      <c r="J108" s="24" t="s">
        <v>648</v>
      </c>
      <c r="K108" s="24" t="s">
        <v>310</v>
      </c>
      <c r="L108" s="24" t="s">
        <v>649</v>
      </c>
      <c r="N108" s="7" t="s">
        <v>303</v>
      </c>
      <c r="O108" s="18">
        <v>44932</v>
      </c>
      <c r="P108" s="24" t="s">
        <v>650</v>
      </c>
    </row>
    <row r="109" spans="1:19" x14ac:dyDescent="0.35">
      <c r="A109" s="23" t="s">
        <v>639</v>
      </c>
      <c r="B109" s="24" t="s">
        <v>646</v>
      </c>
      <c r="C109" s="24" t="s">
        <v>315</v>
      </c>
      <c r="D109" s="18">
        <v>44909</v>
      </c>
      <c r="E109" s="24" t="s">
        <v>316</v>
      </c>
      <c r="F109" s="24" t="s">
        <v>333</v>
      </c>
      <c r="G109" s="24" t="s">
        <v>334</v>
      </c>
      <c r="H109" s="24" t="s">
        <v>104</v>
      </c>
      <c r="I109" s="24" t="s">
        <v>651</v>
      </c>
      <c r="J109" s="24">
        <v>5</v>
      </c>
      <c r="K109" s="24" t="s">
        <v>336</v>
      </c>
      <c r="L109" s="24" t="s">
        <v>652</v>
      </c>
      <c r="M109" s="18">
        <f>Table2[[#This Row],[Date acknowleded]]+15</f>
        <v>44924</v>
      </c>
      <c r="N109" s="7" t="s">
        <v>297</v>
      </c>
      <c r="O109" s="18">
        <v>44932</v>
      </c>
      <c r="P109" s="24" t="s">
        <v>650</v>
      </c>
    </row>
    <row r="110" spans="1:19" x14ac:dyDescent="0.35">
      <c r="A110" s="23" t="s">
        <v>653</v>
      </c>
      <c r="B110" s="24" t="s">
        <v>104</v>
      </c>
      <c r="C110" s="24" t="s">
        <v>291</v>
      </c>
      <c r="D110" s="18">
        <v>44823</v>
      </c>
      <c r="E110" s="24" t="s">
        <v>360</v>
      </c>
      <c r="F110" s="24" t="s">
        <v>333</v>
      </c>
      <c r="G110" s="24" t="s">
        <v>654</v>
      </c>
      <c r="H110" s="24" t="s">
        <v>319</v>
      </c>
      <c r="I110" s="24" t="s">
        <v>320</v>
      </c>
      <c r="J110" s="24">
        <v>2</v>
      </c>
      <c r="K110" s="24" t="s">
        <v>299</v>
      </c>
      <c r="M110" s="18">
        <v>44834</v>
      </c>
      <c r="N110" s="7" t="s">
        <v>297</v>
      </c>
      <c r="O110" s="18">
        <v>44831</v>
      </c>
      <c r="P110" s="24" t="s">
        <v>650</v>
      </c>
    </row>
    <row r="111" spans="1:19" x14ac:dyDescent="0.35">
      <c r="A111" s="23" t="s">
        <v>394</v>
      </c>
      <c r="B111" s="24" t="s">
        <v>104</v>
      </c>
      <c r="C111" s="24" t="s">
        <v>291</v>
      </c>
      <c r="D111" s="18">
        <v>44944</v>
      </c>
      <c r="E111" s="24" t="s">
        <v>316</v>
      </c>
      <c r="F111" s="24" t="s">
        <v>333</v>
      </c>
      <c r="G111" s="24" t="s">
        <v>329</v>
      </c>
      <c r="H111" s="24" t="s">
        <v>319</v>
      </c>
      <c r="I111" s="24" t="s">
        <v>320</v>
      </c>
      <c r="J111" s="24">
        <v>1</v>
      </c>
      <c r="K111" s="24" t="s">
        <v>299</v>
      </c>
      <c r="M111" s="18">
        <v>45036</v>
      </c>
      <c r="N111" s="7" t="s">
        <v>344</v>
      </c>
      <c r="O111" s="18"/>
    </row>
    <row r="112" spans="1:19" x14ac:dyDescent="0.35">
      <c r="A112" s="23" t="s">
        <v>655</v>
      </c>
      <c r="C112" s="24" t="s">
        <v>315</v>
      </c>
      <c r="E112" s="24" t="s">
        <v>478</v>
      </c>
      <c r="F112" s="24" t="s">
        <v>656</v>
      </c>
      <c r="G112" s="24" t="s">
        <v>334</v>
      </c>
      <c r="H112" s="24" t="s">
        <v>319</v>
      </c>
      <c r="I112" s="24" t="s">
        <v>320</v>
      </c>
      <c r="J112" s="24">
        <v>2</v>
      </c>
      <c r="K112" s="24" t="s">
        <v>336</v>
      </c>
      <c r="L112" s="24" t="s">
        <v>657</v>
      </c>
      <c r="N112" s="7" t="s">
        <v>297</v>
      </c>
      <c r="O112" s="18">
        <v>44988</v>
      </c>
      <c r="P112" s="24" t="s">
        <v>658</v>
      </c>
    </row>
    <row r="115" spans="1:16" x14ac:dyDescent="0.35">
      <c r="A115" s="23" t="s">
        <v>659</v>
      </c>
      <c r="B115" s="24" t="s">
        <v>104</v>
      </c>
      <c r="C115" s="24" t="s">
        <v>660</v>
      </c>
      <c r="E115" s="24" t="s">
        <v>316</v>
      </c>
      <c r="F115" s="24" t="s">
        <v>661</v>
      </c>
      <c r="G115" s="24" t="s">
        <v>334</v>
      </c>
      <c r="H115" s="24" t="s">
        <v>319</v>
      </c>
      <c r="I115" s="24" t="s">
        <v>320</v>
      </c>
      <c r="J115" s="24">
        <v>2</v>
      </c>
      <c r="K115" s="24" t="s">
        <v>336</v>
      </c>
      <c r="L115" s="24" t="s">
        <v>662</v>
      </c>
      <c r="N115" s="7" t="s">
        <v>297</v>
      </c>
      <c r="O115" s="18">
        <v>44966</v>
      </c>
      <c r="P115" s="24" t="s">
        <v>663</v>
      </c>
    </row>
    <row r="116" spans="1:16" x14ac:dyDescent="0.35">
      <c r="A116" s="23" t="s">
        <v>664</v>
      </c>
      <c r="B116" s="24" t="s">
        <v>104</v>
      </c>
      <c r="C116" s="24" t="s">
        <v>660</v>
      </c>
      <c r="D116" s="18">
        <v>44965</v>
      </c>
      <c r="E116" s="24" t="s">
        <v>316</v>
      </c>
      <c r="F116" s="24" t="s">
        <v>333</v>
      </c>
      <c r="G116" s="24" t="s">
        <v>334</v>
      </c>
      <c r="H116" s="24" t="s">
        <v>104</v>
      </c>
      <c r="I116" s="24" t="s">
        <v>406</v>
      </c>
      <c r="J116" s="24">
        <v>2</v>
      </c>
      <c r="K116" s="24" t="s">
        <v>299</v>
      </c>
      <c r="L116" s="24" t="s">
        <v>665</v>
      </c>
      <c r="N116" s="7" t="s">
        <v>297</v>
      </c>
      <c r="O116" s="18">
        <v>44966</v>
      </c>
      <c r="P116" s="24" t="s">
        <v>666</v>
      </c>
    </row>
    <row r="118" spans="1:16" x14ac:dyDescent="0.35">
      <c r="A118" s="23" t="s">
        <v>667</v>
      </c>
      <c r="C118" s="24" t="s">
        <v>315</v>
      </c>
      <c r="D118" s="18">
        <v>44988</v>
      </c>
      <c r="E118" s="24" t="s">
        <v>316</v>
      </c>
      <c r="F118" s="24" t="s">
        <v>668</v>
      </c>
      <c r="G118" s="24" t="s">
        <v>334</v>
      </c>
      <c r="H118" s="24" t="s">
        <v>362</v>
      </c>
      <c r="I118" s="24" t="s">
        <v>669</v>
      </c>
      <c r="J118" s="24">
        <v>1</v>
      </c>
      <c r="K118" s="24" t="s">
        <v>336</v>
      </c>
      <c r="L118" s="24" t="s">
        <v>670</v>
      </c>
      <c r="M118" s="18">
        <v>44995</v>
      </c>
      <c r="N118" s="7" t="s">
        <v>344</v>
      </c>
    </row>
    <row r="119" spans="1:16" x14ac:dyDescent="0.35">
      <c r="A119" s="23" t="s">
        <v>667</v>
      </c>
      <c r="C119" s="24" t="s">
        <v>315</v>
      </c>
      <c r="D119" s="18">
        <v>44988</v>
      </c>
      <c r="E119" s="24" t="s">
        <v>316</v>
      </c>
      <c r="F119" s="24" t="s">
        <v>333</v>
      </c>
      <c r="G119" s="24" t="s">
        <v>334</v>
      </c>
      <c r="H119" s="24" t="s">
        <v>446</v>
      </c>
      <c r="I119" s="24" t="s">
        <v>44</v>
      </c>
      <c r="J119" s="24">
        <v>1</v>
      </c>
      <c r="K119" s="24" t="s">
        <v>336</v>
      </c>
      <c r="L119" s="24" t="s">
        <v>671</v>
      </c>
      <c r="M119" s="18">
        <v>44995</v>
      </c>
      <c r="N119" s="7" t="s">
        <v>344</v>
      </c>
    </row>
    <row r="120" spans="1:16" x14ac:dyDescent="0.35">
      <c r="A120" s="23" t="s">
        <v>672</v>
      </c>
      <c r="D120" s="18">
        <v>44997</v>
      </c>
      <c r="E120" s="24" t="s">
        <v>444</v>
      </c>
      <c r="F120" s="24" t="s">
        <v>673</v>
      </c>
      <c r="G120" s="24" t="s">
        <v>674</v>
      </c>
      <c r="H120" s="24" t="s">
        <v>362</v>
      </c>
      <c r="I120" s="24" t="s">
        <v>675</v>
      </c>
      <c r="J120" s="24">
        <v>1</v>
      </c>
      <c r="K120" s="24" t="s">
        <v>389</v>
      </c>
      <c r="L120" s="24" t="s">
        <v>676</v>
      </c>
      <c r="N120" s="7" t="s">
        <v>344</v>
      </c>
    </row>
  </sheetData>
  <sortState xmlns:xlrd2="http://schemas.microsoft.com/office/spreadsheetml/2017/richdata2" ref="A2:S62">
    <sortCondition ref="A1:A62"/>
  </sortState>
  <phoneticPr fontId="2" type="noConversion"/>
  <conditionalFormatting sqref="A65:XFD65 A63:O64 Q63:XFD64 Q66:XFD71 O78:XFD78 M87:XFD87 N89:XFD89 A87:K87 Q90:XFD90 C94:XFD94 Q95:XFD95 A23:XFD25 A28:XFD37 C95:O95 C90:O90 C88:XFD88 C89:K89 A88:B90 A72:XFD72 A103:XFD103 A100:H102 J100:J102 A26:O27 Q26:XFD27 A98:J99 K98:XFD102 A97:XFD97 A105:O105 B106:O106 Q105:XFD106 A94:A96 C96:XFD96 B95:B96 A73:C74 E73:XFD73 E74:O74 O86:XFD86 C104:XFD104 A104 A107:XFD108 A75 C75:O75 Q74:XFD77 A66:O71 A109:O109 Q109:XFD109 A1:XFD2 A77:P77 A76:O76 A38:K39 M38:O39 B78:C79 B86:C86 A4:XFD16 A3:O3 Q3:XFD3 A115:XFD116 O79:O83 C80:C83 E86:M86 E78:N83 A17:O22 Q17:XFD22 A91:XFD91 A92:O93 Q92:XFD93 A56:XFD62 A110:XFD112 A85:XFD85 A84:O84 Q79:XFD84 A40:O51 Q38:XFD51 A52:XFD54 A118:XFD1048576">
    <cfRule type="expression" dxfId="66" priority="20">
      <formula>$N1="Ongoing"</formula>
    </cfRule>
  </conditionalFormatting>
  <conditionalFormatting sqref="O87 O89 M90:M112 M56:M88 M115:M116 M1:M54 M118:M1048576">
    <cfRule type="expression" dxfId="65" priority="15">
      <formula>AND($C1&gt; TODAY()-7,$N1="Ongoing")</formula>
    </cfRule>
  </conditionalFormatting>
  <conditionalFormatting sqref="I63:I64">
    <cfRule type="expression" dxfId="64" priority="14">
      <formula>$N63="Ongoing"</formula>
    </cfRule>
  </conditionalFormatting>
  <conditionalFormatting sqref="O68">
    <cfRule type="expression" dxfId="63" priority="13">
      <formula>AND($C68&gt; TODAY()-7,$N68="Ongoing")</formula>
    </cfRule>
  </conditionalFormatting>
  <conditionalFormatting sqref="I100:I102">
    <cfRule type="expression" dxfId="62" priority="3217">
      <formula>$N99="Ongoing"</formula>
    </cfRule>
  </conditionalFormatting>
  <conditionalFormatting sqref="I73:I74">
    <cfRule type="expression" dxfId="61" priority="12">
      <formula>$N73="Ongoing"</formula>
    </cfRule>
  </conditionalFormatting>
  <conditionalFormatting sqref="D73:D74">
    <cfRule type="expression" dxfId="60" priority="11">
      <formula>$N73="Ongoing"</formula>
    </cfRule>
  </conditionalFormatting>
  <conditionalFormatting sqref="P46">
    <cfRule type="expression" dxfId="59" priority="10">
      <formula>$N46="Ongoing"</formula>
    </cfRule>
  </conditionalFormatting>
  <conditionalFormatting sqref="O88">
    <cfRule type="expression" dxfId="58" priority="8">
      <formula>AND($C88&gt; TODAY()-7,$N88="Ongoing")</formula>
    </cfRule>
  </conditionalFormatting>
  <conditionalFormatting sqref="L89">
    <cfRule type="expression" dxfId="57" priority="4469">
      <formula>$N87="Ongoing"</formula>
    </cfRule>
  </conditionalFormatting>
  <conditionalFormatting sqref="L87">
    <cfRule type="expression" dxfId="56" priority="4472">
      <formula>$N89="Ongoing"</formula>
    </cfRule>
  </conditionalFormatting>
  <conditionalFormatting sqref="N86">
    <cfRule type="expression" dxfId="55" priority="4">
      <formula>$N86="Ongoing"</formula>
    </cfRule>
  </conditionalFormatting>
  <conditionalFormatting sqref="D86">
    <cfRule type="expression" dxfId="54" priority="1">
      <formula>$N86="Ongoing"</formula>
    </cfRule>
  </conditionalFormatting>
  <conditionalFormatting sqref="D78:D80">
    <cfRule type="expression" dxfId="53" priority="4721">
      <formula>$N73="Ongoing"</formula>
    </cfRule>
  </conditionalFormatting>
  <conditionalFormatting sqref="L37:L38">
    <cfRule type="expression" dxfId="52" priority="4723">
      <formula>$N38="Ongoing"</formula>
    </cfRule>
  </conditionalFormatting>
  <conditionalFormatting sqref="D82:D85">
    <cfRule type="expression" dxfId="51" priority="5083">
      <formula>$N76="Ongoing"</formula>
    </cfRule>
  </conditionalFormatting>
  <hyperlinks>
    <hyperlink ref="P71" r:id="rId1" xr:uid="{8549F49F-11B9-4ECC-9C4B-ADC948516906}"/>
    <hyperlink ref="P80" r:id="rId2" display="1Z7X4V110394136424Track" xr:uid="{5568ACCB-89BE-4D70-B9D0-A12020A3BB8C}"/>
  </hyperlinks>
  <pageMargins left="0.7" right="0.7" top="0.75" bottom="0.75" header="0.3" footer="0.3"/>
  <pageSetup scale="17" orientation="portrait" r:id="rId3"/>
  <legacyDrawing r:id="rId4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F148-B0AD-43DD-A3FF-9C0243925AD7}">
  <dimension ref="A1:U60"/>
  <sheetViews>
    <sheetView topLeftCell="A32" zoomScale="80" zoomScaleNormal="55" workbookViewId="0">
      <selection activeCell="L61" sqref="L61"/>
    </sheetView>
  </sheetViews>
  <sheetFormatPr defaultColWidth="9" defaultRowHeight="14.5" x14ac:dyDescent="0.35"/>
  <cols>
    <col min="1" max="1" width="11.1796875" style="112" bestFit="1" customWidth="1"/>
    <col min="2" max="2" width="17" style="112" bestFit="1" customWidth="1"/>
    <col min="3" max="3" width="20.7265625" style="3" customWidth="1"/>
    <col min="4" max="4" width="20.7265625" style="113" customWidth="1"/>
    <col min="5" max="5" width="27.81640625" style="5" customWidth="1"/>
    <col min="6" max="6" width="19" style="3" bestFit="1" customWidth="1"/>
    <col min="7" max="7" width="22.54296875" style="3" customWidth="1"/>
    <col min="8" max="8" width="17.81640625" style="5" customWidth="1"/>
    <col min="9" max="9" width="10.1796875" style="3" customWidth="1"/>
    <col min="10" max="11" width="23" style="3" customWidth="1"/>
    <col min="12" max="12" width="9.1796875" style="5" customWidth="1"/>
    <col min="13" max="13" width="36.81640625" style="3" bestFit="1" customWidth="1"/>
    <col min="14" max="14" width="19.7265625" style="5" bestFit="1" customWidth="1"/>
    <col min="15" max="15" width="17.54296875" style="3" bestFit="1" customWidth="1"/>
    <col min="16" max="16" width="9" style="3"/>
    <col min="17" max="17" width="13.1796875" style="3" customWidth="1"/>
    <col min="18" max="19" width="9" style="3"/>
    <col min="20" max="20" width="19.1796875" style="3" customWidth="1"/>
    <col min="21" max="16384" width="9" style="3"/>
  </cols>
  <sheetData>
    <row r="1" spans="1:21" s="109" customFormat="1" ht="39" customHeight="1" x14ac:dyDescent="0.35">
      <c r="A1" s="108" t="s">
        <v>0</v>
      </c>
      <c r="B1" s="109" t="s">
        <v>677</v>
      </c>
      <c r="C1" s="109" t="s">
        <v>678</v>
      </c>
      <c r="D1" s="110" t="s">
        <v>679</v>
      </c>
      <c r="E1" s="111" t="s">
        <v>680</v>
      </c>
      <c r="F1" s="109" t="s">
        <v>681</v>
      </c>
      <c r="G1" s="109" t="s">
        <v>682</v>
      </c>
      <c r="H1" s="111" t="s">
        <v>30</v>
      </c>
      <c r="I1" s="109" t="s">
        <v>31</v>
      </c>
      <c r="J1" s="109" t="s">
        <v>683</v>
      </c>
      <c r="K1" s="109" t="s">
        <v>684</v>
      </c>
      <c r="L1" s="111" t="s">
        <v>685</v>
      </c>
      <c r="M1" s="109" t="s">
        <v>686</v>
      </c>
      <c r="N1" s="111" t="s">
        <v>687</v>
      </c>
    </row>
    <row r="2" spans="1:21" s="114" customFormat="1" x14ac:dyDescent="0.35">
      <c r="A2" s="112">
        <v>44589</v>
      </c>
      <c r="B2" s="5" t="s">
        <v>57</v>
      </c>
      <c r="C2" s="3" t="s">
        <v>688</v>
      </c>
      <c r="D2" s="113" t="s">
        <v>689</v>
      </c>
      <c r="E2" s="5">
        <v>8</v>
      </c>
      <c r="F2" s="3" t="s">
        <v>690</v>
      </c>
      <c r="G2" s="3" t="s">
        <v>138</v>
      </c>
      <c r="H2" s="5">
        <v>0</v>
      </c>
      <c r="I2" s="3" t="s">
        <v>691</v>
      </c>
      <c r="J2" s="3">
        <v>0.04</v>
      </c>
      <c r="K2" s="3" t="str">
        <f t="shared" ref="K2:K41" si="0">IF(AND(J2&lt;0.06,G2="Single",H2&lt;1, I2="No"),"Type A",IF(AND(J2&lt;0.06,G2="Poly",H2&lt;1,OR(I2="No",I2="Splits")),"Type B",IF(AND(J2&lt;0.06,G2="Poly",H2&gt;0),"Type C",IF(AND(J2&lt;0.06,G2="Poly",H2&gt;5,I2="yes"),"TYPE D","R&amp;D"))))</f>
        <v>R&amp;D</v>
      </c>
      <c r="L2" s="5">
        <v>8</v>
      </c>
      <c r="M2" s="3"/>
      <c r="N2" s="5">
        <f>E2-L2</f>
        <v>0</v>
      </c>
    </row>
    <row r="3" spans="1:21" s="114" customFormat="1" x14ac:dyDescent="0.35">
      <c r="A3" s="112">
        <v>44602</v>
      </c>
      <c r="B3" s="5" t="s">
        <v>57</v>
      </c>
      <c r="C3" s="3" t="s">
        <v>692</v>
      </c>
      <c r="D3" s="113" t="s">
        <v>689</v>
      </c>
      <c r="E3" s="5">
        <v>8</v>
      </c>
      <c r="F3" s="3"/>
      <c r="G3" s="3" t="s">
        <v>138</v>
      </c>
      <c r="H3" s="5">
        <v>0</v>
      </c>
      <c r="I3" s="3" t="s">
        <v>691</v>
      </c>
      <c r="J3" s="3">
        <v>0.01</v>
      </c>
      <c r="K3" s="3" t="str">
        <f t="shared" si="0"/>
        <v>R&amp;D</v>
      </c>
      <c r="L3" s="5">
        <v>1</v>
      </c>
      <c r="M3" s="3"/>
      <c r="N3" s="5">
        <f>E3-L3</f>
        <v>7</v>
      </c>
    </row>
    <row r="4" spans="1:21" x14ac:dyDescent="0.35">
      <c r="A4" s="112">
        <v>44602</v>
      </c>
      <c r="B4" s="5" t="s">
        <v>57</v>
      </c>
      <c r="D4" s="113" t="s">
        <v>693</v>
      </c>
      <c r="E4" s="5">
        <v>2</v>
      </c>
      <c r="G4" s="3" t="s">
        <v>155</v>
      </c>
      <c r="H4" s="5">
        <v>0</v>
      </c>
      <c r="I4" s="3" t="s">
        <v>694</v>
      </c>
      <c r="J4" s="3">
        <v>0.03</v>
      </c>
      <c r="K4" s="3" t="str">
        <f t="shared" si="0"/>
        <v>Type A</v>
      </c>
      <c r="L4" s="5">
        <v>0</v>
      </c>
      <c r="M4" s="3" t="s">
        <v>695</v>
      </c>
      <c r="N4" s="5">
        <f>E4-L4</f>
        <v>2</v>
      </c>
    </row>
    <row r="5" spans="1:21" x14ac:dyDescent="0.35">
      <c r="A5" s="112">
        <v>44602</v>
      </c>
      <c r="B5" s="5" t="s">
        <v>59</v>
      </c>
      <c r="C5" s="3" t="s">
        <v>696</v>
      </c>
      <c r="D5" s="113" t="s">
        <v>693</v>
      </c>
      <c r="E5" s="5">
        <v>6</v>
      </c>
      <c r="G5" s="3" t="s">
        <v>155</v>
      </c>
      <c r="H5" s="5">
        <v>0</v>
      </c>
      <c r="I5" s="3" t="s">
        <v>32</v>
      </c>
      <c r="J5" s="3">
        <v>0.02</v>
      </c>
      <c r="K5" s="3" t="str">
        <f t="shared" si="0"/>
        <v>R&amp;D</v>
      </c>
      <c r="L5" s="5">
        <v>0</v>
      </c>
      <c r="N5" s="5">
        <f>E5-L5</f>
        <v>6</v>
      </c>
    </row>
    <row r="6" spans="1:21" ht="14.25" customHeight="1" x14ac:dyDescent="0.35">
      <c r="A6" s="112">
        <v>44628</v>
      </c>
      <c r="B6" s="5" t="s">
        <v>59</v>
      </c>
      <c r="C6" s="3" t="s">
        <v>697</v>
      </c>
      <c r="D6" s="113" t="s">
        <v>693</v>
      </c>
      <c r="E6" s="5">
        <v>16</v>
      </c>
      <c r="G6" s="3" t="s">
        <v>155</v>
      </c>
      <c r="H6" s="5">
        <v>0</v>
      </c>
      <c r="I6" s="3" t="s">
        <v>694</v>
      </c>
      <c r="J6" s="3">
        <v>0.02</v>
      </c>
      <c r="K6" s="3" t="str">
        <f t="shared" si="0"/>
        <v>Type A</v>
      </c>
      <c r="L6" s="5">
        <v>0</v>
      </c>
      <c r="N6" s="5">
        <f>E6-L6</f>
        <v>16</v>
      </c>
    </row>
    <row r="7" spans="1:21" ht="14.25" customHeight="1" thickBot="1" x14ac:dyDescent="0.4">
      <c r="A7" s="112">
        <v>44628</v>
      </c>
      <c r="B7" s="5" t="s">
        <v>94</v>
      </c>
      <c r="D7" s="113" t="s">
        <v>698</v>
      </c>
      <c r="E7" s="5">
        <v>6</v>
      </c>
      <c r="G7" s="3" t="s">
        <v>155</v>
      </c>
      <c r="K7" s="3" t="str">
        <f t="shared" si="0"/>
        <v>R&amp;D</v>
      </c>
      <c r="L7" s="5">
        <v>0</v>
      </c>
    </row>
    <row r="8" spans="1:21" x14ac:dyDescent="0.35">
      <c r="A8" s="112">
        <v>44628</v>
      </c>
      <c r="B8" s="5" t="s">
        <v>95</v>
      </c>
      <c r="C8" s="3" t="s">
        <v>699</v>
      </c>
      <c r="D8" s="113" t="s">
        <v>693</v>
      </c>
      <c r="E8" s="5">
        <v>6</v>
      </c>
      <c r="G8" s="3" t="s">
        <v>155</v>
      </c>
      <c r="H8" s="5">
        <v>0</v>
      </c>
      <c r="I8" s="3" t="s">
        <v>694</v>
      </c>
      <c r="J8" s="3">
        <v>0.02</v>
      </c>
      <c r="K8" s="3" t="str">
        <f t="shared" si="0"/>
        <v>Type A</v>
      </c>
      <c r="L8" s="5">
        <v>0</v>
      </c>
      <c r="N8" s="5">
        <f t="shared" ref="N8:N19" si="1">E8-L8</f>
        <v>6</v>
      </c>
      <c r="P8" s="162" t="s">
        <v>700</v>
      </c>
      <c r="Q8" s="163"/>
      <c r="R8" s="166">
        <f>SUMIF(D2:D33, "Schlenk", N2:N33)</f>
        <v>139</v>
      </c>
      <c r="S8" s="150" t="s">
        <v>701</v>
      </c>
      <c r="T8" s="151"/>
      <c r="U8" s="154">
        <f>SUMIF(K2:K60, "Type A", N2:N60)</f>
        <v>118</v>
      </c>
    </row>
    <row r="9" spans="1:21" x14ac:dyDescent="0.35">
      <c r="A9" s="112">
        <v>44628</v>
      </c>
      <c r="B9" s="5" t="s">
        <v>96</v>
      </c>
      <c r="C9" s="3" t="s">
        <v>702</v>
      </c>
      <c r="D9" s="113" t="s">
        <v>693</v>
      </c>
      <c r="E9" s="5">
        <v>10</v>
      </c>
      <c r="G9" s="3" t="s">
        <v>155</v>
      </c>
      <c r="H9" s="5">
        <v>0</v>
      </c>
      <c r="I9" s="3" t="s">
        <v>694</v>
      </c>
      <c r="J9" s="3">
        <v>0.04</v>
      </c>
      <c r="K9" s="3" t="str">
        <f t="shared" si="0"/>
        <v>Type A</v>
      </c>
      <c r="L9" s="5">
        <v>0</v>
      </c>
      <c r="N9" s="5">
        <f t="shared" si="1"/>
        <v>10</v>
      </c>
      <c r="P9" s="164"/>
      <c r="Q9" s="165"/>
      <c r="R9" s="167"/>
      <c r="S9" s="152"/>
      <c r="T9" s="153"/>
      <c r="U9" s="155"/>
    </row>
    <row r="10" spans="1:21" x14ac:dyDescent="0.35">
      <c r="A10" s="112">
        <v>44628</v>
      </c>
      <c r="B10" s="5" t="s">
        <v>97</v>
      </c>
      <c r="C10" s="3" t="s">
        <v>703</v>
      </c>
      <c r="D10" s="113" t="s">
        <v>693</v>
      </c>
      <c r="E10" s="5">
        <v>9</v>
      </c>
      <c r="G10" s="3" t="s">
        <v>155</v>
      </c>
      <c r="H10" s="5">
        <v>0</v>
      </c>
      <c r="I10" s="3" t="s">
        <v>694</v>
      </c>
      <c r="J10" s="3">
        <v>0.01</v>
      </c>
      <c r="K10" s="3" t="str">
        <f t="shared" si="0"/>
        <v>Type A</v>
      </c>
      <c r="L10" s="5">
        <v>0</v>
      </c>
      <c r="N10" s="5">
        <f t="shared" si="1"/>
        <v>9</v>
      </c>
      <c r="P10" s="164"/>
      <c r="Q10" s="165"/>
      <c r="R10" s="167"/>
      <c r="S10" s="152"/>
      <c r="T10" s="153"/>
      <c r="U10" s="155"/>
    </row>
    <row r="11" spans="1:21" x14ac:dyDescent="0.35">
      <c r="A11" s="112">
        <v>44665</v>
      </c>
      <c r="B11" s="5" t="s">
        <v>50</v>
      </c>
      <c r="C11" s="3" t="s">
        <v>704</v>
      </c>
      <c r="D11" s="113" t="s">
        <v>693</v>
      </c>
      <c r="E11" s="5">
        <v>8</v>
      </c>
      <c r="F11" s="3" t="s">
        <v>705</v>
      </c>
      <c r="G11" s="3" t="s">
        <v>155</v>
      </c>
      <c r="H11" s="5">
        <v>0</v>
      </c>
      <c r="I11" s="3" t="s">
        <v>694</v>
      </c>
      <c r="J11" s="3">
        <v>0.14000000000000001</v>
      </c>
      <c r="K11" s="3" t="str">
        <f t="shared" si="0"/>
        <v>R&amp;D</v>
      </c>
      <c r="L11" s="5">
        <v>2</v>
      </c>
      <c r="N11" s="5">
        <f t="shared" si="1"/>
        <v>6</v>
      </c>
      <c r="P11" s="164"/>
      <c r="Q11" s="165"/>
      <c r="R11" s="167"/>
      <c r="S11" s="152"/>
      <c r="T11" s="153"/>
      <c r="U11" s="155"/>
    </row>
    <row r="12" spans="1:21" x14ac:dyDescent="0.35">
      <c r="A12" s="112">
        <v>44665</v>
      </c>
      <c r="B12" s="5" t="s">
        <v>94</v>
      </c>
      <c r="C12" s="3" t="s">
        <v>706</v>
      </c>
      <c r="D12" s="113" t="s">
        <v>693</v>
      </c>
      <c r="E12" s="5">
        <v>8</v>
      </c>
      <c r="F12" s="3" t="s">
        <v>705</v>
      </c>
      <c r="G12" s="3" t="s">
        <v>155</v>
      </c>
      <c r="H12" s="5">
        <v>0</v>
      </c>
      <c r="I12" s="3" t="s">
        <v>694</v>
      </c>
      <c r="J12" s="3">
        <v>0.36</v>
      </c>
      <c r="K12" s="3" t="str">
        <f t="shared" si="0"/>
        <v>R&amp;D</v>
      </c>
      <c r="L12" s="5">
        <v>0</v>
      </c>
      <c r="N12" s="5">
        <f t="shared" si="1"/>
        <v>8</v>
      </c>
      <c r="P12" s="168" t="s">
        <v>707</v>
      </c>
      <c r="Q12" s="169"/>
      <c r="R12" s="172">
        <f>SUMIF(D2:D56,"Civen", N2:N60)</f>
        <v>29</v>
      </c>
      <c r="S12" s="156" t="s">
        <v>708</v>
      </c>
      <c r="T12" s="157"/>
      <c r="U12" s="172">
        <f>SUMIF(K2:K60,"TYPE B", N2:N109)</f>
        <v>46</v>
      </c>
    </row>
    <row r="13" spans="1:21" x14ac:dyDescent="0.35">
      <c r="A13" s="112">
        <v>44665</v>
      </c>
      <c r="B13" s="5" t="s">
        <v>98</v>
      </c>
      <c r="C13" s="3" t="s">
        <v>709</v>
      </c>
      <c r="D13" s="113" t="s">
        <v>693</v>
      </c>
      <c r="E13" s="5">
        <v>6</v>
      </c>
      <c r="F13" s="3" t="s">
        <v>705</v>
      </c>
      <c r="G13" s="3" t="s">
        <v>155</v>
      </c>
      <c r="H13" s="5">
        <v>0</v>
      </c>
      <c r="I13" s="3" t="s">
        <v>694</v>
      </c>
      <c r="J13" s="3">
        <v>0.14000000000000001</v>
      </c>
      <c r="K13" s="3" t="str">
        <f t="shared" si="0"/>
        <v>R&amp;D</v>
      </c>
      <c r="L13" s="5">
        <v>0</v>
      </c>
      <c r="N13" s="5">
        <f t="shared" si="1"/>
        <v>6</v>
      </c>
      <c r="P13" s="168"/>
      <c r="Q13" s="169"/>
      <c r="R13" s="173"/>
      <c r="S13" s="156"/>
      <c r="T13" s="157"/>
      <c r="U13" s="160"/>
    </row>
    <row r="14" spans="1:21" x14ac:dyDescent="0.35">
      <c r="A14" s="112">
        <v>44665</v>
      </c>
      <c r="B14" s="5" t="s">
        <v>97</v>
      </c>
      <c r="C14" s="3" t="s">
        <v>710</v>
      </c>
      <c r="D14" s="113" t="s">
        <v>693</v>
      </c>
      <c r="E14" s="5">
        <v>3</v>
      </c>
      <c r="F14" s="3" t="s">
        <v>705</v>
      </c>
      <c r="G14" s="3" t="s">
        <v>155</v>
      </c>
      <c r="H14" s="5">
        <v>0</v>
      </c>
      <c r="I14" s="3" t="s">
        <v>694</v>
      </c>
      <c r="J14" s="3">
        <v>0.05</v>
      </c>
      <c r="K14" s="3" t="str">
        <f t="shared" si="0"/>
        <v>Type A</v>
      </c>
      <c r="L14" s="5">
        <v>0</v>
      </c>
      <c r="N14" s="5">
        <f t="shared" si="1"/>
        <v>3</v>
      </c>
      <c r="P14" s="168"/>
      <c r="Q14" s="169"/>
      <c r="R14" s="173"/>
      <c r="S14" s="156"/>
      <c r="T14" s="157"/>
      <c r="U14" s="160"/>
    </row>
    <row r="15" spans="1:21" ht="15" thickBot="1" x14ac:dyDescent="0.4">
      <c r="A15" s="112">
        <v>44665</v>
      </c>
      <c r="B15" s="5" t="s">
        <v>96</v>
      </c>
      <c r="C15" s="3" t="s">
        <v>711</v>
      </c>
      <c r="D15" s="113" t="s">
        <v>693</v>
      </c>
      <c r="E15" s="5">
        <v>2</v>
      </c>
      <c r="F15" s="3" t="s">
        <v>712</v>
      </c>
      <c r="G15" s="3" t="s">
        <v>155</v>
      </c>
      <c r="H15" s="5">
        <v>0</v>
      </c>
      <c r="I15" s="3" t="s">
        <v>694</v>
      </c>
      <c r="J15" s="3">
        <v>0.06</v>
      </c>
      <c r="K15" s="3" t="str">
        <f t="shared" si="0"/>
        <v>R&amp;D</v>
      </c>
      <c r="L15" s="5">
        <v>0</v>
      </c>
      <c r="N15" s="5">
        <f t="shared" si="1"/>
        <v>2</v>
      </c>
      <c r="P15" s="170"/>
      <c r="Q15" s="171"/>
      <c r="R15" s="174"/>
      <c r="S15" s="158"/>
      <c r="T15" s="159"/>
      <c r="U15" s="161"/>
    </row>
    <row r="16" spans="1:21" x14ac:dyDescent="0.35">
      <c r="A16" s="112">
        <v>44701</v>
      </c>
      <c r="B16" s="5" t="s">
        <v>50</v>
      </c>
      <c r="C16" s="5" t="s">
        <v>713</v>
      </c>
      <c r="D16" s="113" t="s">
        <v>693</v>
      </c>
      <c r="E16" s="5">
        <v>6</v>
      </c>
      <c r="F16" s="3" t="s">
        <v>714</v>
      </c>
      <c r="G16" s="3" t="s">
        <v>155</v>
      </c>
      <c r="H16" s="5">
        <v>0</v>
      </c>
      <c r="I16" s="3" t="s">
        <v>691</v>
      </c>
      <c r="J16" s="3">
        <v>0.22761838071085205</v>
      </c>
      <c r="K16" s="3" t="str">
        <f t="shared" si="0"/>
        <v>R&amp;D</v>
      </c>
      <c r="L16" s="5">
        <v>0</v>
      </c>
      <c r="M16" s="114"/>
      <c r="N16" s="5">
        <f t="shared" si="1"/>
        <v>6</v>
      </c>
      <c r="R16" s="115"/>
      <c r="S16" s="150" t="s">
        <v>715</v>
      </c>
      <c r="T16" s="151"/>
      <c r="U16" s="154">
        <f>SUMIF(K2:K60, "Type A", N2:N60)</f>
        <v>118</v>
      </c>
    </row>
    <row r="17" spans="1:21" x14ac:dyDescent="0.35">
      <c r="A17" s="112">
        <v>44701</v>
      </c>
      <c r="B17" s="5" t="s">
        <v>50</v>
      </c>
      <c r="C17" s="5"/>
      <c r="D17" s="113" t="s">
        <v>689</v>
      </c>
      <c r="E17" s="5">
        <v>0</v>
      </c>
      <c r="G17" s="3" t="s">
        <v>138</v>
      </c>
      <c r="H17" s="5">
        <v>1</v>
      </c>
      <c r="I17" s="3" t="s">
        <v>691</v>
      </c>
      <c r="J17" s="3">
        <v>0.44500000000000001</v>
      </c>
      <c r="K17" s="3" t="str">
        <f t="shared" si="0"/>
        <v>R&amp;D</v>
      </c>
      <c r="L17" s="5">
        <v>0</v>
      </c>
      <c r="M17" s="114"/>
      <c r="N17" s="5">
        <f t="shared" si="1"/>
        <v>0</v>
      </c>
      <c r="S17" s="152"/>
      <c r="T17" s="153"/>
      <c r="U17" s="155"/>
    </row>
    <row r="18" spans="1:21" x14ac:dyDescent="0.35">
      <c r="A18" s="112">
        <v>44701</v>
      </c>
      <c r="B18" s="5" t="s">
        <v>57</v>
      </c>
      <c r="C18" s="5" t="s">
        <v>716</v>
      </c>
      <c r="D18" s="113" t="s">
        <v>693</v>
      </c>
      <c r="E18" s="5">
        <v>2</v>
      </c>
      <c r="F18" s="3" t="s">
        <v>717</v>
      </c>
      <c r="G18" s="3" t="s">
        <v>155</v>
      </c>
      <c r="H18" s="5">
        <v>0</v>
      </c>
      <c r="I18" s="3" t="s">
        <v>694</v>
      </c>
      <c r="J18" s="3">
        <v>2.5897162269117553E-2</v>
      </c>
      <c r="K18" s="3" t="str">
        <f t="shared" si="0"/>
        <v>Type A</v>
      </c>
      <c r="L18" s="5">
        <v>0</v>
      </c>
      <c r="N18" s="5">
        <f t="shared" si="1"/>
        <v>2</v>
      </c>
      <c r="S18" s="152"/>
      <c r="T18" s="153"/>
      <c r="U18" s="155"/>
    </row>
    <row r="19" spans="1:21" x14ac:dyDescent="0.35">
      <c r="A19" s="112">
        <v>44701</v>
      </c>
      <c r="B19" s="5" t="s">
        <v>57</v>
      </c>
      <c r="C19" s="5"/>
      <c r="D19" s="113" t="s">
        <v>689</v>
      </c>
      <c r="E19" s="5">
        <v>4</v>
      </c>
      <c r="G19" s="3" t="s">
        <v>138</v>
      </c>
      <c r="H19" s="5">
        <v>0</v>
      </c>
      <c r="I19" s="3" t="s">
        <v>691</v>
      </c>
      <c r="J19" s="3">
        <v>0.02</v>
      </c>
      <c r="K19" s="3" t="str">
        <f t="shared" si="0"/>
        <v>R&amp;D</v>
      </c>
      <c r="L19" s="5">
        <v>2</v>
      </c>
      <c r="N19" s="5">
        <f t="shared" si="1"/>
        <v>2</v>
      </c>
      <c r="S19" s="152"/>
      <c r="T19" s="153"/>
      <c r="U19" s="155"/>
    </row>
    <row r="20" spans="1:21" x14ac:dyDescent="0.35">
      <c r="A20" s="112">
        <v>44701</v>
      </c>
      <c r="B20" s="5" t="s">
        <v>59</v>
      </c>
      <c r="C20" s="5" t="s">
        <v>582</v>
      </c>
      <c r="D20" s="113" t="s">
        <v>693</v>
      </c>
      <c r="E20" s="5">
        <v>2</v>
      </c>
      <c r="F20" s="3" t="s">
        <v>718</v>
      </c>
      <c r="G20" s="3" t="s">
        <v>138</v>
      </c>
      <c r="H20" s="5">
        <v>10</v>
      </c>
      <c r="I20" s="3" t="s">
        <v>32</v>
      </c>
      <c r="J20" s="3">
        <v>2.1008179937733875E-2</v>
      </c>
      <c r="K20" s="3" t="str">
        <f t="shared" si="0"/>
        <v>Type C</v>
      </c>
      <c r="L20" s="5">
        <v>2</v>
      </c>
      <c r="M20" s="3">
        <v>0</v>
      </c>
      <c r="N20" s="5">
        <v>2</v>
      </c>
      <c r="S20" s="156" t="s">
        <v>719</v>
      </c>
      <c r="T20" s="157"/>
      <c r="U20" s="160"/>
    </row>
    <row r="21" spans="1:21" x14ac:dyDescent="0.35">
      <c r="A21" s="112">
        <v>44701</v>
      </c>
      <c r="B21" s="5" t="s">
        <v>59</v>
      </c>
      <c r="C21" s="5"/>
      <c r="D21" s="113" t="s">
        <v>689</v>
      </c>
      <c r="E21" s="5">
        <v>6</v>
      </c>
      <c r="G21" s="3" t="s">
        <v>138</v>
      </c>
      <c r="H21" s="5">
        <v>5</v>
      </c>
      <c r="I21" s="3" t="s">
        <v>691</v>
      </c>
      <c r="J21" s="3">
        <v>0.01</v>
      </c>
      <c r="K21" s="3" t="str">
        <f t="shared" si="0"/>
        <v>Type C</v>
      </c>
      <c r="L21" s="5">
        <v>0</v>
      </c>
      <c r="N21" s="5">
        <v>6</v>
      </c>
      <c r="S21" s="156"/>
      <c r="T21" s="157"/>
      <c r="U21" s="160"/>
    </row>
    <row r="22" spans="1:21" x14ac:dyDescent="0.35">
      <c r="A22" s="112">
        <v>44701</v>
      </c>
      <c r="B22" s="5" t="s">
        <v>94</v>
      </c>
      <c r="C22" s="5" t="s">
        <v>613</v>
      </c>
      <c r="D22" s="113" t="s">
        <v>693</v>
      </c>
      <c r="E22" s="5">
        <v>14</v>
      </c>
      <c r="F22" s="3" t="s">
        <v>717</v>
      </c>
      <c r="G22" s="3" t="s">
        <v>155</v>
      </c>
      <c r="H22" s="5">
        <v>1</v>
      </c>
      <c r="I22" s="3" t="s">
        <v>694</v>
      </c>
      <c r="J22" s="3">
        <v>5.1516089610898139E-2</v>
      </c>
      <c r="K22" s="3" t="str">
        <f t="shared" si="0"/>
        <v>R&amp;D</v>
      </c>
      <c r="L22" s="5">
        <v>5</v>
      </c>
      <c r="N22" s="5">
        <v>14</v>
      </c>
      <c r="S22" s="156"/>
      <c r="T22" s="157"/>
      <c r="U22" s="160"/>
    </row>
    <row r="23" spans="1:21" ht="15" thickBot="1" x14ac:dyDescent="0.4">
      <c r="A23" s="112">
        <v>44701</v>
      </c>
      <c r="B23" s="5" t="s">
        <v>94</v>
      </c>
      <c r="D23" s="113" t="s">
        <v>689</v>
      </c>
      <c r="E23" s="5">
        <v>20</v>
      </c>
      <c r="G23" s="3" t="s">
        <v>138</v>
      </c>
      <c r="H23" s="5">
        <v>1</v>
      </c>
      <c r="I23" s="3" t="s">
        <v>691</v>
      </c>
      <c r="J23" s="3">
        <v>0.01</v>
      </c>
      <c r="K23" s="3" t="str">
        <f t="shared" si="0"/>
        <v>Type C</v>
      </c>
      <c r="L23" s="5">
        <v>12</v>
      </c>
      <c r="N23" s="5">
        <f>E23-L23</f>
        <v>8</v>
      </c>
      <c r="S23" s="158"/>
      <c r="T23" s="159"/>
      <c r="U23" s="161"/>
    </row>
    <row r="24" spans="1:21" x14ac:dyDescent="0.35">
      <c r="A24" s="112">
        <v>44701</v>
      </c>
      <c r="B24" s="116" t="s">
        <v>144</v>
      </c>
      <c r="C24" s="3" t="s">
        <v>125</v>
      </c>
      <c r="D24" s="113" t="s">
        <v>689</v>
      </c>
      <c r="E24" s="5">
        <v>7</v>
      </c>
      <c r="F24" s="3" t="s">
        <v>720</v>
      </c>
      <c r="G24" s="3" t="s">
        <v>138</v>
      </c>
      <c r="H24" s="5">
        <v>1</v>
      </c>
      <c r="I24" s="3" t="s">
        <v>32</v>
      </c>
      <c r="J24" s="3">
        <v>0.05</v>
      </c>
      <c r="K24" s="3" t="str">
        <f t="shared" si="0"/>
        <v>Type C</v>
      </c>
      <c r="L24" s="5">
        <v>4</v>
      </c>
      <c r="M24" s="3" t="s">
        <v>721</v>
      </c>
      <c r="N24" s="5">
        <v>3</v>
      </c>
      <c r="R24" s="3">
        <f>SUM(R8:R15)</f>
        <v>168</v>
      </c>
      <c r="T24" s="3" t="s">
        <v>722</v>
      </c>
      <c r="U24" s="3">
        <f>SUM(U8:U23)</f>
        <v>282</v>
      </c>
    </row>
    <row r="25" spans="1:21" x14ac:dyDescent="0.35">
      <c r="A25" s="112">
        <v>44721</v>
      </c>
      <c r="B25" s="5" t="s">
        <v>50</v>
      </c>
      <c r="C25" s="3" t="s">
        <v>723</v>
      </c>
      <c r="D25" s="113" t="s">
        <v>693</v>
      </c>
      <c r="E25" s="5">
        <v>2</v>
      </c>
      <c r="F25" s="3" t="s">
        <v>724</v>
      </c>
      <c r="G25" s="3" t="s">
        <v>155</v>
      </c>
      <c r="H25" s="5">
        <v>1</v>
      </c>
      <c r="I25" s="3" t="s">
        <v>694</v>
      </c>
      <c r="J25" s="3">
        <v>0.03</v>
      </c>
      <c r="K25" s="3" t="str">
        <f t="shared" si="0"/>
        <v>R&amp;D</v>
      </c>
      <c r="L25" s="5">
        <v>0</v>
      </c>
      <c r="N25" s="5">
        <f>E25-L25</f>
        <v>2</v>
      </c>
    </row>
    <row r="26" spans="1:21" x14ac:dyDescent="0.35">
      <c r="A26" s="112">
        <v>44721</v>
      </c>
      <c r="B26" s="5" t="s">
        <v>50</v>
      </c>
      <c r="D26" s="113" t="s">
        <v>689</v>
      </c>
      <c r="E26" s="5">
        <v>5</v>
      </c>
      <c r="G26" s="3" t="s">
        <v>138</v>
      </c>
      <c r="H26" s="5">
        <v>1</v>
      </c>
      <c r="I26" s="3" t="s">
        <v>691</v>
      </c>
      <c r="J26" s="3">
        <v>0.01</v>
      </c>
      <c r="K26" s="3" t="str">
        <f t="shared" si="0"/>
        <v>Type C</v>
      </c>
      <c r="L26" s="5">
        <v>4</v>
      </c>
      <c r="M26" s="3" t="s">
        <v>725</v>
      </c>
      <c r="N26" s="5">
        <f>E26-L26</f>
        <v>1</v>
      </c>
    </row>
    <row r="27" spans="1:21" x14ac:dyDescent="0.35">
      <c r="A27" s="112">
        <v>44721</v>
      </c>
      <c r="B27" s="5" t="s">
        <v>57</v>
      </c>
      <c r="C27" s="3" t="s">
        <v>726</v>
      </c>
      <c r="D27" s="113" t="s">
        <v>693</v>
      </c>
      <c r="E27" s="5">
        <v>8</v>
      </c>
      <c r="F27" s="3" t="s">
        <v>717</v>
      </c>
      <c r="G27" s="3" t="s">
        <v>155</v>
      </c>
      <c r="H27" s="5">
        <v>0</v>
      </c>
      <c r="I27" s="3" t="s">
        <v>694</v>
      </c>
      <c r="J27" s="3">
        <v>0.02</v>
      </c>
      <c r="K27" s="3" t="str">
        <f t="shared" si="0"/>
        <v>Type A</v>
      </c>
      <c r="L27" s="5">
        <v>5</v>
      </c>
      <c r="M27" s="3" t="s">
        <v>727</v>
      </c>
      <c r="N27" s="5">
        <f>E27-L27</f>
        <v>3</v>
      </c>
    </row>
    <row r="28" spans="1:21" x14ac:dyDescent="0.35">
      <c r="A28" s="112">
        <v>44721</v>
      </c>
      <c r="B28" s="5" t="s">
        <v>57</v>
      </c>
      <c r="D28" s="113" t="s">
        <v>689</v>
      </c>
      <c r="E28" s="5">
        <v>10</v>
      </c>
      <c r="F28" s="3" t="s">
        <v>728</v>
      </c>
      <c r="G28" s="3" t="s">
        <v>138</v>
      </c>
      <c r="H28" s="5">
        <v>5</v>
      </c>
      <c r="I28" s="3" t="s">
        <v>32</v>
      </c>
      <c r="J28" s="3">
        <v>0.01</v>
      </c>
      <c r="K28" s="3" t="str">
        <f t="shared" si="0"/>
        <v>Type C</v>
      </c>
      <c r="L28" s="5">
        <v>9</v>
      </c>
      <c r="N28" s="5">
        <f>E28-L28</f>
        <v>1</v>
      </c>
    </row>
    <row r="29" spans="1:21" x14ac:dyDescent="0.35">
      <c r="A29" s="112">
        <v>44732</v>
      </c>
      <c r="B29" s="5" t="s">
        <v>50</v>
      </c>
      <c r="C29" s="3" t="s">
        <v>729</v>
      </c>
      <c r="D29" s="113" t="s">
        <v>693</v>
      </c>
      <c r="E29" s="5">
        <v>20</v>
      </c>
      <c r="G29" s="3" t="s">
        <v>155</v>
      </c>
      <c r="H29" s="5">
        <v>0</v>
      </c>
      <c r="I29" s="3" t="s">
        <v>694</v>
      </c>
      <c r="J29" s="3">
        <v>0.02</v>
      </c>
      <c r="K29" s="3" t="str">
        <f t="shared" si="0"/>
        <v>Type A</v>
      </c>
      <c r="L29" s="5">
        <v>13</v>
      </c>
      <c r="M29" s="3" t="s">
        <v>730</v>
      </c>
      <c r="N29" s="5">
        <f>E29-L29</f>
        <v>7</v>
      </c>
    </row>
    <row r="30" spans="1:21" x14ac:dyDescent="0.35">
      <c r="A30" s="112">
        <v>44733</v>
      </c>
      <c r="B30" s="5" t="s">
        <v>57</v>
      </c>
      <c r="C30" s="3" t="s">
        <v>731</v>
      </c>
      <c r="D30" s="113" t="s">
        <v>689</v>
      </c>
      <c r="E30" s="5" t="s">
        <v>732</v>
      </c>
      <c r="F30" s="3" t="s">
        <v>733</v>
      </c>
      <c r="G30" s="3" t="s">
        <v>138</v>
      </c>
      <c r="H30" s="5">
        <v>1</v>
      </c>
      <c r="I30" s="3" t="s">
        <v>691</v>
      </c>
      <c r="J30" s="3">
        <v>0.04</v>
      </c>
      <c r="K30" s="3" t="str">
        <f t="shared" si="0"/>
        <v>Type C</v>
      </c>
      <c r="L30" s="5">
        <v>0</v>
      </c>
      <c r="N30" s="5" t="s">
        <v>732</v>
      </c>
    </row>
    <row r="31" spans="1:21" x14ac:dyDescent="0.35">
      <c r="A31" s="112">
        <v>44735</v>
      </c>
      <c r="B31" s="5" t="s">
        <v>59</v>
      </c>
      <c r="C31" s="3" t="s">
        <v>420</v>
      </c>
      <c r="D31" s="113" t="s">
        <v>689</v>
      </c>
      <c r="E31" s="5">
        <v>20</v>
      </c>
      <c r="G31" s="3" t="s">
        <v>138</v>
      </c>
      <c r="H31" s="5">
        <v>5</v>
      </c>
      <c r="I31" s="3" t="s">
        <v>734</v>
      </c>
      <c r="J31" s="3">
        <v>0.02</v>
      </c>
      <c r="K31" s="3" t="str">
        <f t="shared" si="0"/>
        <v>Type C</v>
      </c>
      <c r="L31" s="5">
        <v>20</v>
      </c>
      <c r="M31" s="3" t="s">
        <v>730</v>
      </c>
      <c r="N31" s="5">
        <f>E31-L31</f>
        <v>0</v>
      </c>
    </row>
    <row r="32" spans="1:21" x14ac:dyDescent="0.35">
      <c r="A32" s="112">
        <v>44754</v>
      </c>
      <c r="B32" s="5" t="s">
        <v>50</v>
      </c>
      <c r="C32" s="3" t="s">
        <v>735</v>
      </c>
      <c r="D32" s="113" t="s">
        <v>693</v>
      </c>
      <c r="E32" s="5">
        <v>20</v>
      </c>
      <c r="G32" s="3" t="s">
        <v>155</v>
      </c>
      <c r="H32" s="5">
        <v>0</v>
      </c>
      <c r="I32" s="3" t="s">
        <v>694</v>
      </c>
      <c r="J32" s="3">
        <v>0.02</v>
      </c>
      <c r="K32" s="3" t="str">
        <f t="shared" si="0"/>
        <v>Type A</v>
      </c>
      <c r="L32" s="5">
        <v>7</v>
      </c>
      <c r="M32" s="3" t="s">
        <v>736</v>
      </c>
      <c r="N32" s="5">
        <f>E32-L32</f>
        <v>13</v>
      </c>
    </row>
    <row r="33" spans="1:14" x14ac:dyDescent="0.35">
      <c r="A33" s="112">
        <v>44754</v>
      </c>
      <c r="B33" s="5" t="s">
        <v>57</v>
      </c>
      <c r="C33" s="3" t="s">
        <v>737</v>
      </c>
      <c r="D33" s="113" t="s">
        <v>693</v>
      </c>
      <c r="E33" s="5">
        <v>20</v>
      </c>
      <c r="G33" s="3" t="s">
        <v>138</v>
      </c>
      <c r="H33" s="5">
        <v>3</v>
      </c>
      <c r="I33" s="3" t="s">
        <v>694</v>
      </c>
      <c r="J33" s="3">
        <v>0.02</v>
      </c>
      <c r="K33" s="3" t="str">
        <f t="shared" si="0"/>
        <v>Type C</v>
      </c>
      <c r="L33" s="5">
        <v>4</v>
      </c>
      <c r="N33" s="5">
        <f>E33-L33</f>
        <v>16</v>
      </c>
    </row>
    <row r="34" spans="1:14" x14ac:dyDescent="0.35">
      <c r="A34" s="112">
        <v>44776</v>
      </c>
      <c r="B34" s="5" t="s">
        <v>50</v>
      </c>
      <c r="C34" s="3" t="s">
        <v>178</v>
      </c>
      <c r="D34" s="113" t="s">
        <v>689</v>
      </c>
      <c r="E34" s="5">
        <v>60</v>
      </c>
      <c r="G34" s="3" t="s">
        <v>138</v>
      </c>
      <c r="H34" s="5">
        <v>1</v>
      </c>
      <c r="I34" s="3" t="s">
        <v>694</v>
      </c>
      <c r="J34" s="3">
        <v>0.01</v>
      </c>
      <c r="K34" s="3" t="str">
        <f t="shared" si="0"/>
        <v>Type C</v>
      </c>
      <c r="L34" s="5">
        <v>60</v>
      </c>
      <c r="M34" s="3" t="s">
        <v>738</v>
      </c>
      <c r="N34" s="5">
        <f>E34-L34</f>
        <v>0</v>
      </c>
    </row>
    <row r="35" spans="1:14" x14ac:dyDescent="0.35">
      <c r="A35" s="112">
        <v>44777</v>
      </c>
      <c r="B35" s="5" t="s">
        <v>57</v>
      </c>
      <c r="D35" s="113" t="s">
        <v>739</v>
      </c>
      <c r="E35" s="5">
        <v>6</v>
      </c>
      <c r="F35" s="3" t="s">
        <v>740</v>
      </c>
      <c r="G35" s="3" t="s">
        <v>138</v>
      </c>
      <c r="K35" s="3" t="str">
        <f t="shared" si="0"/>
        <v>R&amp;D</v>
      </c>
      <c r="L35" s="5">
        <v>0</v>
      </c>
      <c r="N35" s="5">
        <v>6</v>
      </c>
    </row>
    <row r="36" spans="1:14" x14ac:dyDescent="0.35">
      <c r="A36" s="112">
        <v>44777</v>
      </c>
      <c r="B36" s="5" t="s">
        <v>57</v>
      </c>
      <c r="C36" s="3" t="s">
        <v>741</v>
      </c>
      <c r="D36" s="113" t="s">
        <v>739</v>
      </c>
      <c r="E36" s="5">
        <v>32</v>
      </c>
      <c r="G36" s="3" t="s">
        <v>138</v>
      </c>
      <c r="H36" s="5">
        <v>1</v>
      </c>
      <c r="I36" s="3" t="s">
        <v>694</v>
      </c>
      <c r="J36" s="3">
        <v>0.08</v>
      </c>
      <c r="K36" s="3" t="str">
        <f t="shared" si="0"/>
        <v>R&amp;D</v>
      </c>
      <c r="L36" s="5">
        <v>32</v>
      </c>
      <c r="M36" s="3" t="s">
        <v>742</v>
      </c>
      <c r="N36" s="5">
        <f>E36-L36</f>
        <v>0</v>
      </c>
    </row>
    <row r="37" spans="1:14" x14ac:dyDescent="0.35">
      <c r="A37" s="112">
        <v>44803</v>
      </c>
      <c r="B37" s="117" t="s">
        <v>50</v>
      </c>
      <c r="C37" s="3" t="s">
        <v>430</v>
      </c>
      <c r="D37" s="113" t="s">
        <v>739</v>
      </c>
      <c r="E37" s="5">
        <v>20</v>
      </c>
      <c r="G37" s="3" t="s">
        <v>138</v>
      </c>
      <c r="H37" s="5">
        <v>0</v>
      </c>
      <c r="I37" s="3" t="s">
        <v>694</v>
      </c>
      <c r="J37" s="3">
        <v>0.02</v>
      </c>
      <c r="K37" s="3" t="str">
        <f t="shared" si="0"/>
        <v>Type B</v>
      </c>
      <c r="L37" s="5">
        <v>20</v>
      </c>
      <c r="M37" s="3" t="s">
        <v>743</v>
      </c>
      <c r="N37" s="5">
        <f>E37-L37</f>
        <v>0</v>
      </c>
    </row>
    <row r="38" spans="1:14" x14ac:dyDescent="0.35">
      <c r="A38" s="112">
        <v>44804</v>
      </c>
      <c r="B38" s="117" t="s">
        <v>59</v>
      </c>
      <c r="D38" s="113" t="s">
        <v>739</v>
      </c>
      <c r="E38" s="5">
        <v>20</v>
      </c>
      <c r="G38" s="3" t="s">
        <v>138</v>
      </c>
      <c r="H38" s="5">
        <v>1</v>
      </c>
      <c r="I38" s="3" t="s">
        <v>694</v>
      </c>
      <c r="J38" s="3">
        <v>0.08</v>
      </c>
      <c r="K38" s="3" t="str">
        <f t="shared" si="0"/>
        <v>R&amp;D</v>
      </c>
      <c r="L38" s="5">
        <v>20</v>
      </c>
      <c r="M38" s="3" t="s">
        <v>489</v>
      </c>
      <c r="N38" s="5">
        <f>E38-L38</f>
        <v>0</v>
      </c>
    </row>
    <row r="39" spans="1:14" x14ac:dyDescent="0.35">
      <c r="A39" s="112">
        <v>44830</v>
      </c>
      <c r="B39" s="117" t="s">
        <v>50</v>
      </c>
      <c r="C39" s="3" t="s">
        <v>744</v>
      </c>
      <c r="D39" s="113" t="s">
        <v>693</v>
      </c>
      <c r="E39" s="5">
        <v>20</v>
      </c>
      <c r="G39" s="3" t="s">
        <v>155</v>
      </c>
      <c r="H39" s="5">
        <v>1</v>
      </c>
      <c r="I39" s="3" t="s">
        <v>694</v>
      </c>
      <c r="J39" s="3">
        <v>0.1</v>
      </c>
      <c r="K39" s="3" t="str">
        <f t="shared" si="0"/>
        <v>R&amp;D</v>
      </c>
    </row>
    <row r="40" spans="1:14" x14ac:dyDescent="0.35">
      <c r="A40" s="112">
        <v>44830</v>
      </c>
      <c r="B40" s="117" t="s">
        <v>57</v>
      </c>
      <c r="C40" s="3" t="s">
        <v>745</v>
      </c>
      <c r="D40" s="113" t="s">
        <v>689</v>
      </c>
      <c r="E40" s="5">
        <v>20</v>
      </c>
      <c r="G40" s="3" t="s">
        <v>138</v>
      </c>
      <c r="H40" s="5">
        <v>1.5</v>
      </c>
      <c r="I40" s="3" t="s">
        <v>694</v>
      </c>
      <c r="J40" s="3">
        <v>0.02</v>
      </c>
      <c r="K40" s="3" t="str">
        <f t="shared" si="0"/>
        <v>Type C</v>
      </c>
      <c r="L40" s="5">
        <v>20</v>
      </c>
      <c r="M40" s="3" t="s">
        <v>746</v>
      </c>
      <c r="N40" s="5">
        <f t="shared" ref="N40:N50" si="2">E40-L40</f>
        <v>0</v>
      </c>
    </row>
    <row r="41" spans="1:14" x14ac:dyDescent="0.35">
      <c r="A41" s="112">
        <v>44831</v>
      </c>
      <c r="B41" s="117" t="s">
        <v>59</v>
      </c>
      <c r="C41" s="3" t="s">
        <v>747</v>
      </c>
      <c r="D41" s="113" t="s">
        <v>689</v>
      </c>
      <c r="E41" s="5">
        <v>20</v>
      </c>
      <c r="G41" s="3" t="s">
        <v>138</v>
      </c>
      <c r="H41" s="5">
        <v>1</v>
      </c>
      <c r="I41" s="3" t="s">
        <v>694</v>
      </c>
      <c r="J41" s="3">
        <v>0.03</v>
      </c>
      <c r="K41" s="3" t="str">
        <f t="shared" si="0"/>
        <v>Type C</v>
      </c>
      <c r="L41" s="5">
        <v>20</v>
      </c>
      <c r="M41" s="3" t="s">
        <v>489</v>
      </c>
      <c r="N41" s="5">
        <f t="shared" si="2"/>
        <v>0</v>
      </c>
    </row>
    <row r="42" spans="1:14" x14ac:dyDescent="0.35">
      <c r="A42" s="112">
        <v>44832</v>
      </c>
      <c r="B42" s="117" t="s">
        <v>94</v>
      </c>
      <c r="C42" s="3" t="s">
        <v>748</v>
      </c>
      <c r="D42" s="113" t="s">
        <v>689</v>
      </c>
      <c r="E42" s="5">
        <v>20</v>
      </c>
      <c r="G42" s="3" t="s">
        <v>138</v>
      </c>
      <c r="H42" s="5">
        <v>1</v>
      </c>
      <c r="I42" s="3" t="s">
        <v>694</v>
      </c>
      <c r="J42" s="3">
        <v>0.03</v>
      </c>
      <c r="K42" s="3" t="str">
        <f>IF(AND(J42&lt;0.06,G42="Single",H42&lt;1, I42="No"),"Type A",IF(AND(J42&lt;0.06,G42="Poly",H42&lt;1,OR(I42="No",I42="Splits")),"Type B",IF(AND(J42&lt;0.06,G42="Poly",H42&gt;0),"Type C",IF(AND(J42&lt;0.06,G42="Poly",H42&gt;5,I42="yes"),"TYPE D","R&amp;D"))))</f>
        <v>Type C</v>
      </c>
      <c r="L42" s="5">
        <v>20</v>
      </c>
      <c r="M42" s="3" t="s">
        <v>489</v>
      </c>
      <c r="N42" s="5">
        <f t="shared" si="2"/>
        <v>0</v>
      </c>
    </row>
    <row r="43" spans="1:14" x14ac:dyDescent="0.35">
      <c r="A43" s="112">
        <v>44833</v>
      </c>
      <c r="B43" s="117" t="s">
        <v>95</v>
      </c>
      <c r="C43" s="3" t="s">
        <v>749</v>
      </c>
      <c r="D43" s="113" t="s">
        <v>689</v>
      </c>
      <c r="E43" s="5">
        <v>16</v>
      </c>
      <c r="G43" s="3" t="s">
        <v>138</v>
      </c>
      <c r="H43" s="5">
        <v>0</v>
      </c>
      <c r="I43" s="3" t="s">
        <v>694</v>
      </c>
      <c r="J43" s="3">
        <v>0.03</v>
      </c>
      <c r="K43" s="3" t="str">
        <f t="shared" ref="K43" si="3">IF(AND(J43&lt;0.06,G43="Single",H43&lt;1, I43="No"),"Type A",IF(AND(J43&lt;0.06,G43="Poly",H43&lt;1,OR(I43="No",I43="Splits")),"Type B",IF(AND(J43&lt;0.06,G43="Poly",H43&gt;4),"Type C",IF(AND(J43&lt;0.06,G43="Poly",H43&gt;5,I43="yes"),"TYPE D","R&amp;D"))))</f>
        <v>Type B</v>
      </c>
      <c r="L43" s="5">
        <v>15</v>
      </c>
      <c r="M43" s="3" t="s">
        <v>750</v>
      </c>
      <c r="N43" s="5">
        <f>E43-L43</f>
        <v>1</v>
      </c>
    </row>
    <row r="44" spans="1:14" x14ac:dyDescent="0.35">
      <c r="A44" s="112">
        <v>44851</v>
      </c>
      <c r="B44" s="117" t="s">
        <v>50</v>
      </c>
      <c r="C44" s="3" t="s">
        <v>751</v>
      </c>
      <c r="D44" s="113" t="s">
        <v>689</v>
      </c>
      <c r="E44" s="5">
        <v>20</v>
      </c>
      <c r="G44" s="3" t="s">
        <v>138</v>
      </c>
      <c r="H44" s="5">
        <v>0</v>
      </c>
      <c r="I44" s="3" t="s">
        <v>694</v>
      </c>
      <c r="J44" s="3">
        <v>0.04</v>
      </c>
      <c r="K44" s="3" t="str">
        <f t="shared" ref="K44:K48" si="4">IF(AND(J44&lt;0.06,G44="Single",H44&lt;1, I44="No"),"Type A",IF(AND(J44&lt;0.06,G44="Poly",H44&lt;1,OR(I44="No",I44="Splits")),"Type B",IF(AND(J44&lt;0.06,G44="Poly",H44&gt;4),"Type C",IF(AND(J44&lt;0.06,G44="Poly",H44&gt;5,I44="yes"),"TYPE D","R&amp;D"))))</f>
        <v>Type B</v>
      </c>
      <c r="L44" s="5">
        <v>20</v>
      </c>
      <c r="M44" s="3" t="s">
        <v>752</v>
      </c>
      <c r="N44" s="5">
        <f t="shared" si="2"/>
        <v>0</v>
      </c>
    </row>
    <row r="45" spans="1:14" x14ac:dyDescent="0.35">
      <c r="A45" s="112">
        <v>44852</v>
      </c>
      <c r="B45" s="117" t="s">
        <v>57</v>
      </c>
      <c r="C45" s="3" t="s">
        <v>753</v>
      </c>
      <c r="D45" s="113" t="s">
        <v>689</v>
      </c>
      <c r="E45" s="5">
        <v>20</v>
      </c>
      <c r="G45" s="3" t="s">
        <v>138</v>
      </c>
      <c r="H45" s="5">
        <v>0</v>
      </c>
      <c r="I45" s="3" t="s">
        <v>694</v>
      </c>
      <c r="J45" s="3">
        <v>0.03</v>
      </c>
      <c r="K45" s="3" t="str">
        <f t="shared" si="4"/>
        <v>Type B</v>
      </c>
      <c r="L45" s="5">
        <v>20</v>
      </c>
      <c r="M45" s="3" t="s">
        <v>754</v>
      </c>
      <c r="N45" s="5">
        <f t="shared" si="2"/>
        <v>0</v>
      </c>
    </row>
    <row r="46" spans="1:14" x14ac:dyDescent="0.35">
      <c r="A46" s="112">
        <v>44852</v>
      </c>
      <c r="B46" s="117" t="s">
        <v>59</v>
      </c>
      <c r="C46" s="3" t="s">
        <v>755</v>
      </c>
      <c r="D46" s="113" t="s">
        <v>689</v>
      </c>
      <c r="E46" s="5">
        <v>20</v>
      </c>
      <c r="G46" s="3" t="s">
        <v>138</v>
      </c>
      <c r="H46" s="5">
        <v>0</v>
      </c>
      <c r="I46" s="3" t="s">
        <v>694</v>
      </c>
      <c r="J46" s="3">
        <v>0.02</v>
      </c>
      <c r="K46" s="3" t="str">
        <f t="shared" si="4"/>
        <v>Type B</v>
      </c>
      <c r="L46" s="5">
        <v>20</v>
      </c>
      <c r="M46" s="3" t="s">
        <v>756</v>
      </c>
      <c r="N46" s="5">
        <f t="shared" si="2"/>
        <v>0</v>
      </c>
    </row>
    <row r="47" spans="1:14" x14ac:dyDescent="0.35">
      <c r="A47" s="112">
        <v>44853</v>
      </c>
      <c r="B47" s="117" t="s">
        <v>94</v>
      </c>
      <c r="C47" s="3" t="s">
        <v>757</v>
      </c>
      <c r="D47" s="113" t="s">
        <v>689</v>
      </c>
      <c r="E47" s="5">
        <v>8</v>
      </c>
      <c r="G47" s="3" t="s">
        <v>138</v>
      </c>
      <c r="H47" s="5">
        <v>0</v>
      </c>
      <c r="I47" s="3" t="s">
        <v>694</v>
      </c>
      <c r="J47" s="3">
        <v>0.02</v>
      </c>
      <c r="K47" s="3" t="str">
        <f t="shared" si="4"/>
        <v>Type B</v>
      </c>
      <c r="L47" s="5">
        <v>8</v>
      </c>
      <c r="M47" s="3" t="s">
        <v>489</v>
      </c>
      <c r="N47" s="5">
        <f t="shared" si="2"/>
        <v>0</v>
      </c>
    </row>
    <row r="48" spans="1:14" x14ac:dyDescent="0.35">
      <c r="A48" s="112">
        <v>44853</v>
      </c>
      <c r="B48" s="117" t="s">
        <v>95</v>
      </c>
      <c r="C48" s="3" t="s">
        <v>758</v>
      </c>
      <c r="D48" s="113" t="s">
        <v>689</v>
      </c>
      <c r="E48" s="5">
        <v>20</v>
      </c>
      <c r="G48" s="3" t="s">
        <v>138</v>
      </c>
      <c r="H48" s="5">
        <v>0</v>
      </c>
      <c r="I48" s="3" t="s">
        <v>694</v>
      </c>
      <c r="J48" s="3">
        <v>0.05</v>
      </c>
      <c r="K48" s="3" t="str">
        <f t="shared" si="4"/>
        <v>Type B</v>
      </c>
      <c r="L48" s="5">
        <v>20</v>
      </c>
      <c r="M48" s="3" t="s">
        <v>759</v>
      </c>
      <c r="N48" s="5">
        <f t="shared" si="2"/>
        <v>0</v>
      </c>
    </row>
    <row r="49" spans="1:14" x14ac:dyDescent="0.35">
      <c r="A49" s="112">
        <v>44853</v>
      </c>
      <c r="B49" s="117" t="s">
        <v>96</v>
      </c>
      <c r="C49" s="3" t="s">
        <v>760</v>
      </c>
      <c r="D49" s="113" t="s">
        <v>693</v>
      </c>
      <c r="E49" s="5">
        <v>10</v>
      </c>
      <c r="G49" s="3" t="s">
        <v>155</v>
      </c>
      <c r="H49" s="5">
        <v>0</v>
      </c>
      <c r="I49" s="3" t="s">
        <v>694</v>
      </c>
      <c r="J49" s="3">
        <v>0.15</v>
      </c>
      <c r="K49" s="3" t="str">
        <f t="shared" ref="K49:K50" si="5">IF(AND(J49&lt;0.06,G49="Single",H49&lt;1, I49="No"),"Type A",IF(AND(J49&lt;0.06,G49="Poly",H49&lt;1,OR(I49="No",I49="Splits")),"Type B",IF(AND(J49&lt;0.06,G49="Poly",H49&gt;4),"Type C",IF(AND(J49&lt;0.06,G49="Poly",H49&gt;5,I49="yes"),"TYPE D","R&amp;D"))))</f>
        <v>R&amp;D</v>
      </c>
      <c r="L49" s="5">
        <v>0</v>
      </c>
      <c r="N49" s="5">
        <f t="shared" si="2"/>
        <v>10</v>
      </c>
    </row>
    <row r="50" spans="1:14" x14ac:dyDescent="0.35">
      <c r="A50" s="112">
        <v>44853</v>
      </c>
      <c r="B50" s="117" t="s">
        <v>97</v>
      </c>
      <c r="C50" s="3" t="s">
        <v>761</v>
      </c>
      <c r="D50" s="113" t="s">
        <v>693</v>
      </c>
      <c r="E50" s="5">
        <v>10</v>
      </c>
      <c r="G50" s="3" t="s">
        <v>155</v>
      </c>
      <c r="H50" s="5">
        <v>0</v>
      </c>
      <c r="I50" s="3" t="s">
        <v>694</v>
      </c>
      <c r="J50" s="3">
        <v>0.18</v>
      </c>
      <c r="K50" s="3" t="str">
        <f t="shared" si="5"/>
        <v>R&amp;D</v>
      </c>
      <c r="L50" s="5">
        <v>0</v>
      </c>
      <c r="N50" s="5">
        <f t="shared" si="2"/>
        <v>10</v>
      </c>
    </row>
    <row r="51" spans="1:14" x14ac:dyDescent="0.35">
      <c r="A51" s="112">
        <v>44854</v>
      </c>
      <c r="B51" s="117" t="s">
        <v>98</v>
      </c>
      <c r="C51" s="3" t="s">
        <v>762</v>
      </c>
      <c r="D51" s="113" t="s">
        <v>693</v>
      </c>
      <c r="E51" s="5">
        <v>12</v>
      </c>
      <c r="G51" s="3" t="s">
        <v>155</v>
      </c>
      <c r="H51" s="5">
        <v>0</v>
      </c>
      <c r="I51" s="3" t="s">
        <v>694</v>
      </c>
      <c r="J51" s="3">
        <v>0.02</v>
      </c>
      <c r="K51" s="3" t="str">
        <f>IF(AND(J51&lt;0.06,G51="Single",H51&lt;1, I51="No"),"Type A",IF(AND(J51&lt;0.06,G51="Poly",H51&lt;1,OR(I51="No",I51="Splits")),"Type B",IF(AND(J51&lt;0.06,G51="Poly",H51&gt;4),"Type C",IF(AND(J51&lt;0.06,G51="Poly",H51&gt;5,I51="yes"),"TYPE D","R&amp;D"))))</f>
        <v>Type A</v>
      </c>
      <c r="L51" s="5">
        <v>12</v>
      </c>
      <c r="N51" s="5">
        <f>E51-L51</f>
        <v>0</v>
      </c>
    </row>
    <row r="52" spans="1:14" x14ac:dyDescent="0.35">
      <c r="A52" s="112">
        <v>44873</v>
      </c>
      <c r="B52" s="117" t="s">
        <v>50</v>
      </c>
      <c r="C52" s="3" t="s">
        <v>763</v>
      </c>
      <c r="D52" s="113" t="s">
        <v>764</v>
      </c>
      <c r="E52" s="5">
        <v>10</v>
      </c>
      <c r="G52" s="3" t="s">
        <v>138</v>
      </c>
      <c r="H52" s="5">
        <v>0</v>
      </c>
      <c r="I52" s="3" t="s">
        <v>694</v>
      </c>
      <c r="J52" s="3">
        <v>0.03</v>
      </c>
      <c r="K52" s="3" t="str">
        <f>IF(AND(J52&lt;0.06,G52="Single",H52&lt;1, I52="No"),"Type A",IF(AND(J52&lt;0.06,G52="Poly",H52&lt;1,OR(I52="No",I52="Splits")),"Type B",IF(AND(J52&lt;0.06,G52="Poly",H52&gt;4),"Type C",IF(AND(J52&lt;0.06,G52="Poly",H52&gt;5,I52="yes"),"TYPE D","R&amp;D"))))</f>
        <v>Type B</v>
      </c>
      <c r="L52" s="5">
        <v>9</v>
      </c>
      <c r="M52" s="3" t="s">
        <v>765</v>
      </c>
      <c r="N52" s="5">
        <f>E52-L52</f>
        <v>1</v>
      </c>
    </row>
    <row r="53" spans="1:14" x14ac:dyDescent="0.35">
      <c r="A53" s="112">
        <v>44874</v>
      </c>
      <c r="B53" s="117" t="s">
        <v>57</v>
      </c>
      <c r="C53" s="3" t="s">
        <v>637</v>
      </c>
      <c r="D53" s="113" t="s">
        <v>764</v>
      </c>
      <c r="E53" s="5">
        <v>10</v>
      </c>
      <c r="G53" s="3" t="s">
        <v>138</v>
      </c>
      <c r="H53" s="5">
        <v>0</v>
      </c>
      <c r="I53" s="3" t="s">
        <v>694</v>
      </c>
      <c r="J53" s="3">
        <v>0.06</v>
      </c>
      <c r="K53" s="3" t="str">
        <f>IF(AND(J53&lt;0.06,G53="Single",H53&lt;1, I53="No"),"Type A",IF(AND(J53&lt;0.06,G53="Poly",H53&lt;1,OR(I53="No",I53="Splits")),"Type B",IF(AND(J53&lt;0.06,G53="Poly",H53&gt;4),"Type C",IF(AND(J53&lt;0.06,G53="Poly",H53&gt;5,I53="yes"),"TYPE D","R&amp;D"))))</f>
        <v>R&amp;D</v>
      </c>
      <c r="L53" s="5">
        <v>8</v>
      </c>
      <c r="M53" s="3" t="s">
        <v>765</v>
      </c>
      <c r="N53" s="5">
        <f>E53-L53</f>
        <v>2</v>
      </c>
    </row>
    <row r="54" spans="1:14" ht="14.25" customHeight="1" x14ac:dyDescent="0.35">
      <c r="A54" s="112">
        <v>44874</v>
      </c>
      <c r="B54" s="117" t="s">
        <v>59</v>
      </c>
      <c r="C54" s="3" t="s">
        <v>766</v>
      </c>
      <c r="D54" s="113" t="s">
        <v>693</v>
      </c>
      <c r="E54" s="5">
        <v>15</v>
      </c>
      <c r="G54" s="3" t="s">
        <v>155</v>
      </c>
      <c r="H54" s="5">
        <v>0</v>
      </c>
      <c r="I54" s="3" t="s">
        <v>694</v>
      </c>
      <c r="J54" s="3">
        <v>0.03</v>
      </c>
      <c r="K54" s="3" t="str">
        <f>IF(AND(J54&lt;0.06,G54="Single",H54&lt;1, I54="No"),"Type A",IF(AND(J54&lt;0.06,G54="Poly",H54&lt;1,OR(I54="No",I54="Splits")),"Type B",IF(AND(J54&lt;0.06,G54="Poly",H54&gt;4),"Type C",IF(AND(J54&lt;0.06,G54="Poly",H54&gt;5,I54="yes"),"TYPE D","R&amp;D"))))</f>
        <v>Type A</v>
      </c>
      <c r="L54" s="5">
        <v>8</v>
      </c>
      <c r="M54" s="3" t="s">
        <v>767</v>
      </c>
      <c r="N54" s="5">
        <f>E54-L54</f>
        <v>7</v>
      </c>
    </row>
    <row r="55" spans="1:14" x14ac:dyDescent="0.35">
      <c r="A55" s="112">
        <v>44875</v>
      </c>
      <c r="B55" s="117" t="s">
        <v>94</v>
      </c>
      <c r="C55" s="3" t="s">
        <v>768</v>
      </c>
      <c r="D55" s="113" t="s">
        <v>689</v>
      </c>
      <c r="E55" s="5">
        <v>23</v>
      </c>
      <c r="G55" s="3" t="s">
        <v>138</v>
      </c>
      <c r="H55" s="5">
        <v>0</v>
      </c>
      <c r="I55" s="3" t="s">
        <v>694</v>
      </c>
      <c r="J55" s="3">
        <v>0.03</v>
      </c>
      <c r="K55" s="3" t="str">
        <f>IF(AND(J55&lt;0.06,G55="Single",H55&lt;1, I55="No"),"Type A",IF(AND(J55&lt;0.06,G55="Poly",H55&lt;1,OR(I55="No",I55="Splits")),"Type B",IF(AND(J55&lt;0.06,G55="Poly",H55&gt;4),"Type C",IF(AND(J55&lt;0.06,G55="Poly",H55&gt;5,I55="yes"),"TYPE D","R&amp;D"))))</f>
        <v>Type B</v>
      </c>
      <c r="L55" s="5">
        <v>23</v>
      </c>
      <c r="M55" s="3" t="s">
        <v>769</v>
      </c>
      <c r="N55" s="5">
        <f>E55-L55</f>
        <v>0</v>
      </c>
    </row>
    <row r="56" spans="1:14" x14ac:dyDescent="0.35">
      <c r="A56" s="112">
        <v>44956</v>
      </c>
      <c r="B56" s="117" t="s">
        <v>50</v>
      </c>
      <c r="C56" s="3" t="s">
        <v>770</v>
      </c>
      <c r="D56" s="113" t="s">
        <v>689</v>
      </c>
      <c r="E56" s="5">
        <v>20</v>
      </c>
      <c r="G56" s="3" t="s">
        <v>138</v>
      </c>
      <c r="H56" s="5">
        <v>0</v>
      </c>
      <c r="I56" s="3" t="s">
        <v>694</v>
      </c>
      <c r="J56" s="3">
        <v>0.03</v>
      </c>
      <c r="K56" s="3" t="str">
        <f t="shared" ref="K56:K57" si="6">IF(AND(J56&lt;0.06,G56="Single",H56&lt;1, I56="No"),"Type A",IF(AND(J56&lt;0.06,G56="Poly",H56&lt;1,OR(I56="No",I56="Splits")),"Type B",IF(AND(J56&lt;0.06,G56="Poly",H56&gt;0),"Type C",IF(AND(J56&lt;0.06,G56="Poly",H56&gt;5,I56="yes"),"TYPE D","R&amp;D"))))</f>
        <v>Type B</v>
      </c>
      <c r="L56" s="5">
        <v>20</v>
      </c>
      <c r="M56" s="3" t="s">
        <v>489</v>
      </c>
      <c r="N56" s="5">
        <f t="shared" ref="N56:N58" si="7">E56-L56</f>
        <v>0</v>
      </c>
    </row>
    <row r="57" spans="1:14" x14ac:dyDescent="0.35">
      <c r="A57" s="112">
        <v>44957</v>
      </c>
      <c r="B57" s="117" t="s">
        <v>771</v>
      </c>
      <c r="C57" s="3" t="s">
        <v>772</v>
      </c>
      <c r="D57" s="113" t="s">
        <v>689</v>
      </c>
      <c r="E57" s="5">
        <v>10</v>
      </c>
      <c r="G57" s="3" t="s">
        <v>138</v>
      </c>
      <c r="H57" s="5">
        <v>0</v>
      </c>
      <c r="I57" s="3" t="s">
        <v>694</v>
      </c>
      <c r="J57" s="3">
        <v>0.03</v>
      </c>
      <c r="K57" s="3" t="str">
        <f t="shared" si="6"/>
        <v>Type B</v>
      </c>
      <c r="L57" s="5">
        <v>6</v>
      </c>
      <c r="M57" s="3" t="s">
        <v>773</v>
      </c>
      <c r="N57" s="5">
        <f t="shared" si="7"/>
        <v>4</v>
      </c>
    </row>
    <row r="58" spans="1:14" x14ac:dyDescent="0.35">
      <c r="A58" s="112">
        <v>44957</v>
      </c>
      <c r="B58" s="117" t="s">
        <v>59</v>
      </c>
      <c r="C58" s="3" t="s">
        <v>774</v>
      </c>
      <c r="D58" s="113" t="s">
        <v>693</v>
      </c>
      <c r="E58" s="5">
        <v>40</v>
      </c>
      <c r="G58" s="3" t="s">
        <v>155</v>
      </c>
      <c r="H58" s="5">
        <v>0.25</v>
      </c>
      <c r="I58" s="3" t="s">
        <v>694</v>
      </c>
      <c r="J58" s="3">
        <v>0.08</v>
      </c>
      <c r="K58" s="3" t="s">
        <v>340</v>
      </c>
      <c r="L58" s="5">
        <v>0</v>
      </c>
      <c r="N58" s="5">
        <f t="shared" si="7"/>
        <v>40</v>
      </c>
    </row>
    <row r="59" spans="1:14" x14ac:dyDescent="0.35">
      <c r="A59" s="112">
        <v>44987</v>
      </c>
      <c r="B59" s="117" t="s">
        <v>50</v>
      </c>
      <c r="D59" s="113" t="s">
        <v>739</v>
      </c>
      <c r="E59" s="5">
        <v>40</v>
      </c>
      <c r="G59" s="3" t="s">
        <v>138</v>
      </c>
      <c r="H59" s="5">
        <v>5</v>
      </c>
      <c r="I59" s="3" t="s">
        <v>694</v>
      </c>
      <c r="K59" s="3" t="str">
        <f>IF(AND(J59&lt;0.06,G59="Single",H59&lt;1, I59="No"),"Type A",IF(AND(J59&lt;0.06,G59="Poly",H59&lt;1,OR(I59="No",I59="Splits")),"Type B",IF(AND(J59&lt;0.06,G59="Poly",H59&gt;4),"Type C",IF(AND(J59&lt;0.06,G59="Poly",H59&gt;5,I59="yes"),"TYPE D","R&amp;D"))))</f>
        <v>Type C</v>
      </c>
      <c r="L59" s="5">
        <v>4</v>
      </c>
      <c r="M59" s="3" t="s">
        <v>667</v>
      </c>
      <c r="N59" s="5">
        <v>40</v>
      </c>
    </row>
    <row r="60" spans="1:14" x14ac:dyDescent="0.35">
      <c r="A60" s="112">
        <v>44987</v>
      </c>
      <c r="B60" s="117" t="s">
        <v>57</v>
      </c>
      <c r="D60" s="113" t="s">
        <v>775</v>
      </c>
      <c r="E60" s="5">
        <v>40</v>
      </c>
      <c r="G60" s="3" t="s">
        <v>138</v>
      </c>
      <c r="I60" s="3" t="s">
        <v>694</v>
      </c>
      <c r="K60" s="3" t="str">
        <f>IF(AND(J60&lt;0.06,G60="Single",H60&lt;1, I60="No"),"Type A",IF(AND(J60&lt;0.06,G60="Poly",H60&lt;1,OR(I60="No",I60="Splits")),"Type B",IF(AND(J60&lt;0.06,G60="Poly",H60&gt;4),"Type C",IF(AND(J60&lt;0.06,G60="Poly",H60&gt;5,I60="yes"),"TYPE D","R&amp;D"))))</f>
        <v>Type B</v>
      </c>
      <c r="N60" s="5">
        <v>40</v>
      </c>
    </row>
  </sheetData>
  <mergeCells count="12">
    <mergeCell ref="S16:T19"/>
    <mergeCell ref="U16:U19"/>
    <mergeCell ref="S20:T23"/>
    <mergeCell ref="U20:U23"/>
    <mergeCell ref="P8:Q11"/>
    <mergeCell ref="R8:R11"/>
    <mergeCell ref="S8:T11"/>
    <mergeCell ref="U8:U11"/>
    <mergeCell ref="P12:Q15"/>
    <mergeCell ref="R12:R15"/>
    <mergeCell ref="S12:T15"/>
    <mergeCell ref="U12:U15"/>
  </mergeCells>
  <phoneticPr fontId="2" type="noConversion"/>
  <conditionalFormatting sqref="B6:B8 B2:C5">
    <cfRule type="containsText" dxfId="29" priority="19" operator="containsText" text="Production">
      <formula>NOT(ISERROR(SEARCH("Production",B2)))</formula>
    </cfRule>
    <cfRule type="containsText" dxfId="28" priority="20" operator="containsText" text="Roll">
      <formula>NOT(ISERROR(SEARCH("Roll",B2)))</formula>
    </cfRule>
  </conditionalFormatting>
  <conditionalFormatting sqref="B10 B9:C9">
    <cfRule type="containsText" dxfId="27" priority="15" operator="containsText" text="Production">
      <formula>NOT(ISERROR(SEARCH("Production",B9)))</formula>
    </cfRule>
    <cfRule type="containsText" dxfId="26" priority="16" operator="containsText" text="Roll">
      <formula>NOT(ISERROR(SEARCH("Roll",B9)))</formula>
    </cfRule>
  </conditionalFormatting>
  <conditionalFormatting sqref="B12:B36">
    <cfRule type="containsText" dxfId="25" priority="4" operator="containsText" text="Production">
      <formula>NOT(ISERROR(SEARCH("Production",B12)))</formula>
    </cfRule>
    <cfRule type="containsText" dxfId="24" priority="5" operator="containsText" text="Roll">
      <formula>NOT(ISERROR(SEARCH("Roll",B12)))</formula>
    </cfRule>
  </conditionalFormatting>
  <conditionalFormatting sqref="C6:C8">
    <cfRule type="containsText" dxfId="23" priority="17" operator="containsText" text="Production">
      <formula>NOT(ISERROR(SEARCH("Production",C6)))</formula>
    </cfRule>
    <cfRule type="containsText" dxfId="22" priority="18" operator="containsText" text="Roll">
      <formula>NOT(ISERROR(SEARCH("Roll",C6)))</formula>
    </cfRule>
  </conditionalFormatting>
  <conditionalFormatting sqref="K1:K1048576">
    <cfRule type="containsText" dxfId="21" priority="6" operator="containsText" text="Discard">
      <formula>NOT(ISERROR(SEARCH("Discard",K1)))</formula>
    </cfRule>
    <cfRule type="containsText" dxfId="20" priority="7" operator="containsText" text=" A">
      <formula>NOT(ISERROR(SEARCH(" A",K1)))</formula>
    </cfRule>
    <cfRule type="containsText" dxfId="19" priority="8" operator="containsText" text=" B">
      <formula>NOT(ISERROR(SEARCH(" B",K1)))</formula>
    </cfRule>
  </conditionalFormatting>
  <conditionalFormatting sqref="K56:K58">
    <cfRule type="containsText" dxfId="18" priority="1" operator="containsText" text="Discard">
      <formula>NOT(ISERROR(SEARCH("Discard",K56)))</formula>
    </cfRule>
    <cfRule type="containsText" dxfId="17" priority="2" operator="containsText" text=" A">
      <formula>NOT(ISERROR(SEARCH(" A",K56)))</formula>
    </cfRule>
    <cfRule type="containsText" dxfId="16" priority="3" operator="containsText" text=" B">
      <formula>NOT(ISERROR(SEARCH(" B",K56)))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Datasheet</vt:lpstr>
      <vt:lpstr>To be deleted</vt:lpstr>
      <vt:lpstr>Ongoing orders</vt:lpstr>
      <vt:lpstr>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Mira Baraket</dc:creator>
  <cp:keywords/>
  <dc:description/>
  <cp:lastModifiedBy>Michael Stanford</cp:lastModifiedBy>
  <cp:revision/>
  <dcterms:created xsi:type="dcterms:W3CDTF">2022-04-18T13:28:27Z</dcterms:created>
  <dcterms:modified xsi:type="dcterms:W3CDTF">2023-03-24T19:11:16Z</dcterms:modified>
  <cp:category/>
  <cp:contentStatus/>
</cp:coreProperties>
</file>